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mis-km-nt1\知識庫\01-壽險精算處\02清償能力組\1.清償能力\0. RBC\檢查報表(94~)\109年2QRBC\109年2QRBC\再保險\"/>
    </mc:Choice>
  </mc:AlternateContent>
  <bookViews>
    <workbookView xWindow="7920" yWindow="60" windowWidth="11205" windowHeight="11835" tabRatio="856" firstSheet="15" activeTab="15"/>
  </bookViews>
  <sheets>
    <sheet name="封面" sheetId="79" r:id="rId1"/>
    <sheet name="目錄" sheetId="80" r:id="rId2"/>
    <sheet name="表03" sheetId="110" r:id="rId3"/>
    <sheet name="表05-1" sheetId="111" r:id="rId4"/>
    <sheet name="表06" sheetId="57" r:id="rId5"/>
    <sheet name="表09-1" sheetId="142" r:id="rId6"/>
    <sheet name="表09-2" sheetId="161" r:id="rId7"/>
    <sheet name="表10-1" sheetId="91" r:id="rId8"/>
    <sheet name="表10-2" sheetId="112" r:id="rId9"/>
    <sheet name="表10-3" sheetId="58" r:id="rId10"/>
    <sheet name="表10-4" sheetId="59" r:id="rId11"/>
    <sheet name="表11-1" sheetId="81" r:id="rId12"/>
    <sheet name="表11-2" sheetId="113" r:id="rId13"/>
    <sheet name="表12-1" sheetId="143" r:id="rId14"/>
    <sheet name="表12-2" sheetId="150" r:id="rId15"/>
    <sheet name="表13-1" sheetId="149" r:id="rId16"/>
    <sheet name="表13-2" sheetId="61" r:id="rId17"/>
    <sheet name="表13-4" sheetId="155" r:id="rId18"/>
    <sheet name="表16-1-1" sheetId="73" r:id="rId19"/>
    <sheet name="表16-1-2" sheetId="74" r:id="rId20"/>
    <sheet name="表16-1-3" sheetId="75" r:id="rId21"/>
    <sheet name="表16-1-4" sheetId="76" r:id="rId22"/>
    <sheet name="表16-1-5" sheetId="77" r:id="rId23"/>
    <sheet name="表16-2-1" sheetId="66" r:id="rId24"/>
    <sheet name="表16-2-2" sheetId="67" r:id="rId25"/>
    <sheet name="表16-2-3" sheetId="68" r:id="rId26"/>
    <sheet name="表19-3-1" sheetId="69" r:id="rId27"/>
    <sheet name="表19-3-2" sheetId="70" r:id="rId28"/>
    <sheet name="表19-4" sheetId="122" r:id="rId29"/>
    <sheet name="表19-5" sheetId="123" r:id="rId30"/>
    <sheet name="表19-6" sheetId="124" r:id="rId31"/>
    <sheet name="表20-1" sheetId="11" r:id="rId32"/>
    <sheet name="表20-2" sheetId="12" r:id="rId33"/>
    <sheet name="表21-1" sheetId="13" r:id="rId34"/>
    <sheet name="表21-2" sheetId="106" r:id="rId35"/>
    <sheet name="表22-3" sheetId="17" r:id="rId36"/>
    <sheet name="表22-4" sheetId="18" r:id="rId37"/>
    <sheet name="表23-1" sheetId="114" r:id="rId38"/>
    <sheet name="表23-2" sheetId="115" r:id="rId39"/>
    <sheet name="表24-1" sheetId="21" r:id="rId40"/>
    <sheet name="表24-2" sheetId="22" r:id="rId41"/>
    <sheet name="表25-1" sheetId="120" r:id="rId42"/>
    <sheet name="表25-2" sheetId="121" r:id="rId43"/>
    <sheet name="表25-3" sheetId="148" r:id="rId44"/>
    <sheet name="表30-1" sheetId="29" r:id="rId45"/>
    <sheet name="表30-2" sheetId="30" r:id="rId46"/>
    <sheet name="表30-3" sheetId="31" r:id="rId47"/>
    <sheet name="表30-3-1" sheetId="32" r:id="rId48"/>
    <sheet name="表30-3-2" sheetId="33" r:id="rId49"/>
    <sheet name="表30-3-3" sheetId="72" r:id="rId50"/>
    <sheet name="表30-4" sheetId="34" r:id="rId51"/>
    <sheet name="表30-4-1" sheetId="144" r:id="rId52"/>
    <sheet name="表30-4-2" sheetId="156" r:id="rId53"/>
    <sheet name="表30-5" sheetId="35" r:id="rId54"/>
    <sheet name="表30-5-1" sheetId="152" r:id="rId55"/>
    <sheet name="表30-5-2" sheetId="153" r:id="rId56"/>
    <sheet name="表30-6" sheetId="36" r:id="rId57"/>
    <sheet name="表30-6-1" sheetId="154" r:id="rId58"/>
    <sheet name="表30-7" sheetId="37" r:id="rId59"/>
    <sheet name="表30-7-1" sheetId="141" r:id="rId60"/>
    <sheet name="表30-8" sheetId="39" r:id="rId61"/>
    <sheet name="表30-8-1 " sheetId="108" r:id="rId62"/>
    <sheet name="表30-8-2" sheetId="109" r:id="rId63"/>
    <sheet name="表30-8-3" sheetId="104" r:id="rId64"/>
    <sheet name="表30-8-4" sheetId="125" r:id="rId65"/>
    <sheet name="表30-8-5" sheetId="145" r:id="rId66"/>
    <sheet name="表30-8-6" sheetId="146" r:id="rId67"/>
    <sheet name="表30-8-7" sheetId="160" r:id="rId68"/>
    <sheet name="表30-9" sheetId="43" r:id="rId69"/>
    <sheet name="表30-10" sheetId="44" r:id="rId70"/>
    <sheet name="表30-11" sheetId="54" r:id="rId71"/>
    <sheet name="表30-12" sheetId="46" r:id="rId72"/>
    <sheet name="表30-13" sheetId="47" r:id="rId73"/>
    <sheet name="表30-14" sheetId="48" r:id="rId74"/>
    <sheet name="表30-15" sheetId="49" r:id="rId75"/>
    <sheet name="表30-16" sheetId="50" r:id="rId76"/>
    <sheet name="表30-14-1" sheetId="51" r:id="rId77"/>
    <sheet name="表30-14-2" sheetId="52" r:id="rId78"/>
    <sheet name="表30-14-3" sheetId="159" r:id="rId79"/>
  </sheets>
  <externalReferences>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s>
  <definedNames>
    <definedName name="\z">#N/A</definedName>
    <definedName name="__123Graph_X" localSheetId="5" hidden="1">'[1]5DAYRPT '!#REF!</definedName>
    <definedName name="__123Graph_X" localSheetId="8" hidden="1">'[2]5DAYRPT '!#REF!</definedName>
    <definedName name="__123Graph_X" localSheetId="13" hidden="1">'[1]5DAYRPT '!#REF!</definedName>
    <definedName name="__123Graph_X" localSheetId="14" hidden="1">'[2]5DAYRPT '!#REF!</definedName>
    <definedName name="__123Graph_X" localSheetId="15" hidden="1">'[2]5DAYRPT '!#REF!</definedName>
    <definedName name="__123Graph_X" localSheetId="17" hidden="1">'[3]5DAYRPT '!#REF!</definedName>
    <definedName name="__123Graph_X" localSheetId="43" hidden="1">'[2]5DAYRPT '!#REF!</definedName>
    <definedName name="__123Graph_X" localSheetId="51" hidden="1">'[1]5DAYRPT '!#REF!</definedName>
    <definedName name="__123Graph_X" localSheetId="52" hidden="1">'[1]5DAYRPT '!#REF!</definedName>
    <definedName name="__123Graph_X" localSheetId="64" hidden="1">'[2]5DAYRPT '!#REF!</definedName>
    <definedName name="__123Graph_X" hidden="1">'[2]5DAYRPT '!#REF!</definedName>
    <definedName name="_xlnm._FilterDatabase" localSheetId="1" hidden="1">目錄!$A$1:$N$155</definedName>
    <definedName name="_xlnm._FilterDatabase" localSheetId="7" hidden="1">'表10-1'!$A$1:$AA$34</definedName>
    <definedName name="_xlnm._FilterDatabase" localSheetId="11" hidden="1">'表11-1'!$B$5:$AF$11</definedName>
    <definedName name="_xlnm._FilterDatabase" localSheetId="15" hidden="1">'表13-1'!$A$5:$AF$36</definedName>
    <definedName name="_xlnm._FilterDatabase" localSheetId="0" hidden="1">封面!$A$1:$B$5</definedName>
    <definedName name="_Order1" hidden="1">255</definedName>
    <definedName name="A" localSheetId="59">[4]Sheet1!$A$6</definedName>
    <definedName name="A">[5]不動產!$A$6</definedName>
    <definedName name="aaa" localSheetId="5">[6]Sheet2!$A$6</definedName>
    <definedName name="aaa" localSheetId="13">[6]Sheet2!$A$6</definedName>
    <definedName name="aaa" localSheetId="14">[6]Sheet2!$A$6</definedName>
    <definedName name="aaa" localSheetId="43">[6]Sheet2!$A$6</definedName>
    <definedName name="aaa" localSheetId="51">[6]Sheet2!$A$6</definedName>
    <definedName name="aaa" localSheetId="52">[6]Sheet2!$A$6</definedName>
    <definedName name="aaa" localSheetId="59">[4]Sheet2!$A$6</definedName>
    <definedName name="aaa" localSheetId="64">[6]Sheet2!$A$6</definedName>
    <definedName name="aaa">[7]Sheet2!$A$6</definedName>
    <definedName name="AP" localSheetId="5">#REF!</definedName>
    <definedName name="AP" localSheetId="13">#REF!</definedName>
    <definedName name="AP" localSheetId="14">#REF!</definedName>
    <definedName name="AP" localSheetId="43">#REF!</definedName>
    <definedName name="AP" localSheetId="51">#REF!</definedName>
    <definedName name="AP" localSheetId="52">#REF!</definedName>
    <definedName name="AP" localSheetId="59">#REF!</definedName>
    <definedName name="AP" localSheetId="64">#REF!</definedName>
    <definedName name="AP">#REF!</definedName>
    <definedName name="Appendix1" localSheetId="17">[8]General!$B$2:$I$47</definedName>
    <definedName name="Appendix1">[9]General!$B$2:$I$47</definedName>
    <definedName name="Appendix2" localSheetId="17">[8]General!$B$50:$I$104</definedName>
    <definedName name="Appendix2">[9]General!$B$50:$I$104</definedName>
    <definedName name="AS2DocOpenMode" hidden="1">"AS2DocumentEdit"</definedName>
    <definedName name="AS2HasNoAutoHeaderFooter">"OFF"</definedName>
    <definedName name="b" localSheetId="14">#REF!</definedName>
    <definedName name="b" localSheetId="59">[4]Sheet1!$H$2</definedName>
    <definedName name="b">#REF!</definedName>
    <definedName name="bbb" localSheetId="14">[6]Sheet2!$A$6</definedName>
    <definedName name="bbb" localSheetId="43">[6]Sheet2!$A$6</definedName>
    <definedName name="bbb">[10]Sheet2!$A$6</definedName>
    <definedName name="Business_Risk1" localSheetId="17">[8]Business!$B$2:$L$35</definedName>
    <definedName name="Business_Risk1">[9]Business!$B$2:$L$35</definedName>
    <definedName name="Business_Risk2" localSheetId="17">[8]Business!$B$37:$L$70</definedName>
    <definedName name="Business_Risk2">[9]Business!$B$37:$L$70</definedName>
    <definedName name="Business_Risk3" localSheetId="17">[8]Business!$B$72:$L$105</definedName>
    <definedName name="Business_Risk3">[9]Business!$B$72:$L$105</definedName>
    <definedName name="Business_Risk4" localSheetId="17">[8]Business!$B$107:$L$140</definedName>
    <definedName name="Business_Risk4">[9]Business!$B$107:$L$140</definedName>
    <definedName name="Business_Risk5" localSheetId="17">[8]Business!$B$142:$L$175</definedName>
    <definedName name="Business_Risk5">[9]Business!$B$142:$L$175</definedName>
    <definedName name="Business_Summary" localSheetId="17">[8]Business!$R$2:$AJ$35</definedName>
    <definedName name="Business_Summary">[9]Business!$R$2:$AJ$35</definedName>
    <definedName name="Capital" localSheetId="59">'[11]表05-1'!$D$221</definedName>
    <definedName name="Capital">'[12]表05-1'!$D$221</definedName>
    <definedName name="cc" localSheetId="14">#REF!</definedName>
    <definedName name="cc" localSheetId="59">[4]Sheet1!$I$2</definedName>
    <definedName name="cc">#REF!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 localSheetId="15">#REF!</definedName>
    <definedName name="CF_NetIncome" localSheetId="52">#REF!</definedName>
    <definedName name="CF_NetIncome">#REF!</definedName>
    <definedName name="CF_Payables">#REF!</definedName>
    <definedName name="CF_PrepaidExpenses">#REF!</definedName>
    <definedName name="CF_Property">#REF!</definedName>
    <definedName name="CF_Receivables">#REF!</definedName>
    <definedName name="CF_Shares">#REF!</definedName>
    <definedName name="CF_Taxation">#REF!</definedName>
    <definedName name="Country_Diversification" localSheetId="17">'[8]Ceded WP'!$B$2:$R$66</definedName>
    <definedName name="Country_Diversification">'[9]Ceded WP'!$B$2:$R$66</definedName>
    <definedName name="Country_Index" localSheetId="17">'[8]misc calcs'!$C$142</definedName>
    <definedName name="Country_Index">'[9]misc calcs'!$C$142</definedName>
    <definedName name="CP" localSheetId="5">#REF!</definedName>
    <definedName name="CP" localSheetId="13">#REF!</definedName>
    <definedName name="CP" localSheetId="14">#REF!</definedName>
    <definedName name="CP" localSheetId="43">#REF!</definedName>
    <definedName name="CP" localSheetId="51">#REF!</definedName>
    <definedName name="CP" localSheetId="52">#REF!</definedName>
    <definedName name="CP" localSheetId="59">#REF!</definedName>
    <definedName name="CP" localSheetId="64">#REF!</definedName>
    <definedName name="CP">#REF!</definedName>
    <definedName name="Credit_Risk1" localSheetId="17">[8]Credit!$B$3:$P$59</definedName>
    <definedName name="Credit_Risk1">[9]Credit!$B$3:$P$59</definedName>
    <definedName name="Credit_Risk2" localSheetId="17">[8]Credit!$B$64:$P$120</definedName>
    <definedName name="Credit_Risk2">[9]Credit!$B$64:$P$120</definedName>
    <definedName name="Credit_Risk3" localSheetId="17">[8]Credit!$B$125:$P$181</definedName>
    <definedName name="Credit_Risk3">[9]Credit!$B$125:$P$181</definedName>
    <definedName name="Credit_Risk4" localSheetId="17">[8]Credit!$B$186:$P$242</definedName>
    <definedName name="Credit_Risk4">[9]Credit!$B$186:$P$242</definedName>
    <definedName name="Credit_Risk5" localSheetId="17">[8]Credit!$B$246:$P$303</definedName>
    <definedName name="Credit_Risk5">[9]Credit!$B$246:$P$303</definedName>
    <definedName name="Credit_Summary" localSheetId="17">[8]Credit!$BC$3:$BT$59</definedName>
    <definedName name="Credit_Summary">[9]Credit!$BC$3:$BT$59</definedName>
    <definedName name="Currency_Index" localSheetId="17">'[8]misc calcs'!$C$40</definedName>
    <definedName name="Currency_Index">'[9]misc calcs'!$C$40</definedName>
    <definedName name="Currency_List" localSheetId="17">'[8]misc calcs'!$B$47:$B$116</definedName>
    <definedName name="Currency_List">'[9]misc calcs'!$B$47:$B$116</definedName>
    <definedName name="d" localSheetId="14">#REF!</definedName>
    <definedName name="d" localSheetId="59">[4]Sheet1!$J$2</definedName>
    <definedName name="d">#REF!</definedName>
    <definedName name="_xlnm.Database" localSheetId="15">#REF!</definedName>
    <definedName name="_xlnm.Database" localSheetId="52">#REF!</definedName>
    <definedName name="_xlnm.Database">#REF!</definedName>
    <definedName name="dfg" localSheetId="59">[4]Sheet1!$A$52</definedName>
    <definedName name="dfg">'[13]表02(負債業主權益)'!$A$52</definedName>
    <definedName name="Diverse" localSheetId="17">'[8]Ceded WP'!$B$2:$R$66</definedName>
    <definedName name="Diverse">'[9]Ceded WP'!$B$2:$R$66</definedName>
    <definedName name="DWP" localSheetId="5">#REF!</definedName>
    <definedName name="DWP" localSheetId="13">#REF!</definedName>
    <definedName name="DWP" localSheetId="14">#REF!</definedName>
    <definedName name="DWP" localSheetId="43">#REF!</definedName>
    <definedName name="DWP" localSheetId="51">#REF!</definedName>
    <definedName name="DWP" localSheetId="52">#REF!</definedName>
    <definedName name="DWP" localSheetId="59">#REF!</definedName>
    <definedName name="DWP" localSheetId="64">#REF!</definedName>
    <definedName name="DWP">#REF!</definedName>
    <definedName name="E" localSheetId="14">#REF!</definedName>
    <definedName name="E" localSheetId="59">[4]Sheet1!$G$2</definedName>
    <definedName name="E">#REF!</definedName>
    <definedName name="EndDate">[14]Prem!$D$3</definedName>
    <definedName name="Exchange_Rate_Date" localSheetId="17">'[8]misc calcs'!$E$46</definedName>
    <definedName name="Exchange_Rate_Date">'[9]misc calcs'!$E$46</definedName>
    <definedName name="Exchange_Rates" localSheetId="17">'[8]misc calcs'!$E$47:$E$116</definedName>
    <definedName name="Exchange_Rates">'[9]misc calcs'!$E$47:$E$116</definedName>
    <definedName name="f" localSheetId="14">#REF!</definedName>
    <definedName name="f" localSheetId="59">[4]Sheet1!$K$2</definedName>
    <definedName name="f">#REF!</definedName>
    <definedName name="fde" localSheetId="59">[4]Sheet1!$A$50</definedName>
    <definedName name="fde">[13]表03!$A$50</definedName>
    <definedName name="frd" localSheetId="59">[4]Sheet1!$A$24</definedName>
    <definedName name="frd">[13]表09!$A$24</definedName>
    <definedName name="G" localSheetId="14">#REF!</definedName>
    <definedName name="G" localSheetId="59">[4]Sheet1!$M$2</definedName>
    <definedName name="G">#REF!</definedName>
    <definedName name="i" localSheetId="14">#REF!</definedName>
    <definedName name="i" localSheetId="59">[4]Sheet1!$N$2</definedName>
    <definedName name="i">#REF!</definedName>
    <definedName name="I1_01_01" localSheetId="5">'[15]表02-2'!$B$23</definedName>
    <definedName name="I1_01_01" localSheetId="13">'[15]表02-2'!$B$23</definedName>
    <definedName name="I1_01_01" localSheetId="14">'[15]表02-2'!$B$23</definedName>
    <definedName name="I1_01_01" localSheetId="43">'[16]表01-1'!$B$23</definedName>
    <definedName name="I1_01_01" localSheetId="51">'[15]表02-2'!$B$23</definedName>
    <definedName name="I1_01_01" localSheetId="52">'[15]表02-2'!$B$23</definedName>
    <definedName name="I1_01_01" localSheetId="59">'[4]表02-2'!$B$23</definedName>
    <definedName name="I1_01_01" localSheetId="64">'[15]表02-2'!$B$23</definedName>
    <definedName name="I1_01_01">'[16]表01-1'!$B$23</definedName>
    <definedName name="I1_02_01" localSheetId="5">'[15]表02-6'!$A$44</definedName>
    <definedName name="I1_02_01" localSheetId="13">'[15]表02-6'!$A$44</definedName>
    <definedName name="I1_02_01" localSheetId="14">'[15]表02-6'!$A$44</definedName>
    <definedName name="I1_02_01" localSheetId="17">#REF!</definedName>
    <definedName name="I1_02_01" localSheetId="43">'[15]表02-6'!$A$44</definedName>
    <definedName name="I1_02_01" localSheetId="51">'[15]表02-6'!$A$44</definedName>
    <definedName name="I1_02_01" localSheetId="52">'[15]表02-6'!$A$44</definedName>
    <definedName name="I1_02_01" localSheetId="59">'[4]表02-6'!$A$44</definedName>
    <definedName name="I1_02_01" localSheetId="64">'[15]表02-6'!$A$44</definedName>
    <definedName name="I1_02_01">#REF!</definedName>
    <definedName name="I1_02_02" localSheetId="5">'[15]表02-7'!$A$19</definedName>
    <definedName name="I1_02_02" localSheetId="13">'[15]表02-7'!$A$19</definedName>
    <definedName name="I1_02_02" localSheetId="14">'[15]表02-7'!$A$19</definedName>
    <definedName name="I1_02_02" localSheetId="17">#REF!</definedName>
    <definedName name="I1_02_02" localSheetId="43">'[15]表02-7'!$A$19</definedName>
    <definedName name="I1_02_02" localSheetId="51">'[15]表02-7'!$A$19</definedName>
    <definedName name="I1_02_02" localSheetId="52">'[15]表02-7'!$A$19</definedName>
    <definedName name="I1_02_02" localSheetId="59">'[4]表02-7'!$A$19</definedName>
    <definedName name="I1_02_02" localSheetId="64">'[15]表02-7'!$A$19</definedName>
    <definedName name="I1_02_02">#REF!</definedName>
    <definedName name="I1_02_03" localSheetId="5">'[15]表02-5'!$A$29</definedName>
    <definedName name="I1_02_03" localSheetId="13">'[15]表02-5'!$A$29</definedName>
    <definedName name="I1_02_03" localSheetId="14">'[15]表02-5'!$A$29</definedName>
    <definedName name="I1_02_03" localSheetId="17">#REF!</definedName>
    <definedName name="I1_02_03" localSheetId="43">'[15]表02-5'!$A$29</definedName>
    <definedName name="I1_02_03" localSheetId="51">'[15]表02-5'!$A$29</definedName>
    <definedName name="I1_02_03" localSheetId="52">'[15]表02-5'!$A$29</definedName>
    <definedName name="I1_02_03" localSheetId="59">'[4]表02-5'!$A$29</definedName>
    <definedName name="I1_02_03" localSheetId="64">'[15]表02-5'!$A$29</definedName>
    <definedName name="I1_02_03">#REF!</definedName>
    <definedName name="I1_02_04" localSheetId="5">'[15]表02-3'!$A$30</definedName>
    <definedName name="I1_02_04" localSheetId="13">'[15]表02-3'!$A$30</definedName>
    <definedName name="I1_02_04" localSheetId="14">'[15]表02-3'!$A$30</definedName>
    <definedName name="I1_02_04" localSheetId="17">#REF!</definedName>
    <definedName name="I1_02_04" localSheetId="43">'[15]表02-3'!$A$30</definedName>
    <definedName name="I1_02_04" localSheetId="51">'[15]表02-3'!$A$30</definedName>
    <definedName name="I1_02_04" localSheetId="52">'[15]表02-3'!$A$30</definedName>
    <definedName name="I1_02_04" localSheetId="59">'[4]表02-3'!$A$30</definedName>
    <definedName name="I1_02_04" localSheetId="64">'[15]表02-3'!$A$30</definedName>
    <definedName name="I1_02_04">#REF!</definedName>
    <definedName name="I1_02_05" localSheetId="5">'[15]表02-4'!$A$16</definedName>
    <definedName name="I1_02_05" localSheetId="13">'[15]表02-4'!$A$16</definedName>
    <definedName name="I1_02_05" localSheetId="14">'[15]表02-4'!$A$16</definedName>
    <definedName name="I1_02_05" localSheetId="17">#REF!</definedName>
    <definedName name="I1_02_05" localSheetId="43">'[15]表02-4'!$A$16</definedName>
    <definedName name="I1_02_05" localSheetId="51">'[15]表02-4'!$A$16</definedName>
    <definedName name="I1_02_05" localSheetId="52">'[15]表02-4'!$A$16</definedName>
    <definedName name="I1_02_05" localSheetId="59">'[4]表02-4'!$A$16</definedName>
    <definedName name="I1_02_05" localSheetId="64">'[15]表02-4'!$A$16</definedName>
    <definedName name="I1_02_05">#REF!</definedName>
    <definedName name="I1_02_06" localSheetId="5">[15]Sheet1!$A$18</definedName>
    <definedName name="I1_02_06" localSheetId="13">[15]Sheet1!$A$18</definedName>
    <definedName name="I1_02_06" localSheetId="14">[15]Sheet1!$A$18</definedName>
    <definedName name="I1_02_06" localSheetId="17">#REF!</definedName>
    <definedName name="I1_02_06" localSheetId="43">[15]Sheet1!$A$18</definedName>
    <definedName name="I1_02_06" localSheetId="51">[15]Sheet1!$A$18</definedName>
    <definedName name="I1_02_06" localSheetId="52">[15]Sheet1!$A$18</definedName>
    <definedName name="I1_02_06" localSheetId="59">[4]Sheet1!$A$18</definedName>
    <definedName name="I1_02_06" localSheetId="64">[15]Sheet1!$A$18</definedName>
    <definedName name="I1_02_06">#REF!</definedName>
    <definedName name="I1_02_07" localSheetId="5">'[15]表01-1'!$A$22</definedName>
    <definedName name="I1_02_07" localSheetId="13">'[15]表01-1'!$A$22</definedName>
    <definedName name="I1_02_07" localSheetId="14">'[15]表01-1'!$A$22</definedName>
    <definedName name="I1_02_07" localSheetId="17">#REF!</definedName>
    <definedName name="I1_02_07" localSheetId="43">'[15]表01-1'!$A$22</definedName>
    <definedName name="I1_02_07" localSheetId="51">'[15]表01-1'!$A$22</definedName>
    <definedName name="I1_02_07" localSheetId="52">'[15]表01-1'!$A$22</definedName>
    <definedName name="I1_02_07" localSheetId="59">'[4]表01-1'!$A$22</definedName>
    <definedName name="I1_02_07" localSheetId="64">'[15]表01-1'!$A$22</definedName>
    <definedName name="I1_02_07">#REF!</definedName>
    <definedName name="Interest_Rate_Risk1" localSheetId="17">[8]Interest!$B$2:$K$68</definedName>
    <definedName name="Interest_Rate_Risk1">[9]Interest!$B$2:$K$68</definedName>
    <definedName name="Interest_Rate_Risk2" localSheetId="17">[8]Interest!$B$70:$K$136</definedName>
    <definedName name="Interest_Rate_Risk2">[9]Interest!$B$70:$K$136</definedName>
    <definedName name="Interest_Rate_Risk3" localSheetId="17">[8]Interest!$B$138:$K$204</definedName>
    <definedName name="Interest_Rate_Risk3">[9]Interest!$B$138:$K$204</definedName>
    <definedName name="Interest_Rate_Risk4" localSheetId="17">[8]Interest!$B$206:$K$272</definedName>
    <definedName name="Interest_Rate_Risk4">[9]Interest!$B$206:$K$272</definedName>
    <definedName name="Interest_Rate_Risk5" localSheetId="17">[8]Interest!$B$274:$K$340</definedName>
    <definedName name="Interest_Rate_Risk5">[9]Interest!$B$274:$K$340</definedName>
    <definedName name="Interest_Summary" localSheetId="17">[8]Interest!$AE$2:$AV$68</definedName>
    <definedName name="Interest_Summary">[9]Interest!$AE$2:$AV$68</definedName>
    <definedName name="Invest_Summary" localSheetId="17">[8]Investment!$AE$2:$BC$74</definedName>
    <definedName name="Invest_Summary">[9]Investment!$AE$2:$BC$74</definedName>
    <definedName name="Investment_Risk1" localSheetId="17">[8]Investment!$B$2:$S$74</definedName>
    <definedName name="Investment_Risk1">[9]Investment!$B$2:$S$74</definedName>
    <definedName name="Investment_Risk2" localSheetId="17">[8]Investment!$B$77:$S$149</definedName>
    <definedName name="Investment_Risk2">[9]Investment!$B$77:$S$149</definedName>
    <definedName name="Investment_Risk3" localSheetId="17">[8]Investment!$B$152:$S$224</definedName>
    <definedName name="Investment_Risk3">[9]Investment!$B$152:$S$224</definedName>
    <definedName name="Investment_Risk4" localSheetId="17">[8]Investment!$B$227:$S$299</definedName>
    <definedName name="Investment_Risk4">[9]Investment!$B$227:$S$299</definedName>
    <definedName name="Investment_Risk5" localSheetId="17">[8]Investment!$B$302:$S$374</definedName>
    <definedName name="Investment_Risk5">[9]Investment!$B$302:$S$374</definedName>
    <definedName name="LBCell010" localSheetId="5">#REF!</definedName>
    <definedName name="LBCell010" localSheetId="13">#REF!</definedName>
    <definedName name="LBCell010" localSheetId="14">#REF!</definedName>
    <definedName name="LBCell010" localSheetId="43">#REF!</definedName>
    <definedName name="LBCell010" localSheetId="51">#REF!</definedName>
    <definedName name="LBCell010" localSheetId="52">#REF!</definedName>
    <definedName name="LBCell010" localSheetId="59">[4]Sheet2!$A$224</definedName>
    <definedName name="LBCell010" localSheetId="64">#REF!</definedName>
    <definedName name="LBCell010">#REF!</definedName>
    <definedName name="LBCell020" localSheetId="5">#REF!</definedName>
    <definedName name="LBCell020" localSheetId="13">#REF!</definedName>
    <definedName name="LBCell020" localSheetId="14">#REF!</definedName>
    <definedName name="LBCell020" localSheetId="43">#REF!</definedName>
    <definedName name="LBCell020" localSheetId="51">#REF!</definedName>
    <definedName name="LBCell020" localSheetId="52">#REF!</definedName>
    <definedName name="LBCell020" localSheetId="59">[4]Sheet2!$A$43</definedName>
    <definedName name="LBCell020" localSheetId="64">#REF!</definedName>
    <definedName name="LBCell020">#REF!</definedName>
    <definedName name="LBCell021" localSheetId="5">#REF!</definedName>
    <definedName name="LBCell021" localSheetId="13">#REF!</definedName>
    <definedName name="LBCell021" localSheetId="14">#REF!</definedName>
    <definedName name="LBCell021" localSheetId="43">#REF!</definedName>
    <definedName name="LBCell021" localSheetId="51">#REF!</definedName>
    <definedName name="LBCell021" localSheetId="52">#REF!</definedName>
    <definedName name="LBCell021" localSheetId="59">[4]Sheet2!$A$48</definedName>
    <definedName name="LBCell021" localSheetId="64">#REF!</definedName>
    <definedName name="LBCell021">#REF!</definedName>
    <definedName name="LBCell022" localSheetId="5">#REF!</definedName>
    <definedName name="LBCell022" localSheetId="13">#REF!</definedName>
    <definedName name="LBCell022" localSheetId="14">#REF!</definedName>
    <definedName name="LBCell022" localSheetId="43">#REF!</definedName>
    <definedName name="LBCell022" localSheetId="51">#REF!</definedName>
    <definedName name="LBCell022" localSheetId="52">#REF!</definedName>
    <definedName name="LBCell022" localSheetId="59">[4]Sheet2!$A$52</definedName>
    <definedName name="LBCell022" localSheetId="64">#REF!</definedName>
    <definedName name="LBCell022">#REF!</definedName>
    <definedName name="LBCell030" localSheetId="5">#REF!</definedName>
    <definedName name="LBCell030" localSheetId="13">#REF!</definedName>
    <definedName name="LBCell030" localSheetId="14">#REF!</definedName>
    <definedName name="LBCell030" localSheetId="43">#REF!</definedName>
    <definedName name="LBCell030" localSheetId="51">#REF!</definedName>
    <definedName name="LBCell030" localSheetId="52">#REF!</definedName>
    <definedName name="LBCell030" localSheetId="59">[4]Sheet2!$A$50</definedName>
    <definedName name="LBCell030" localSheetId="64">#REF!</definedName>
    <definedName name="LBCell030">#REF!</definedName>
    <definedName name="LBCell071SUM" localSheetId="59">[4]Sheet2!$E$40</definedName>
    <definedName name="LBCell071SUM">'[17]表07(總計)'!$E$40</definedName>
    <definedName name="LBCell090" localSheetId="5">#REF!</definedName>
    <definedName name="LBCell090" localSheetId="13">#REF!</definedName>
    <definedName name="LBCell090" localSheetId="14">#REF!</definedName>
    <definedName name="LBCell090" localSheetId="43">#REF!</definedName>
    <definedName name="LBCell090" localSheetId="51">#REF!</definedName>
    <definedName name="LBCell090" localSheetId="52">#REF!</definedName>
    <definedName name="LBCell090" localSheetId="59">[4]Sheet2!$A$24</definedName>
    <definedName name="LBCell090" localSheetId="64">#REF!</definedName>
    <definedName name="LBCell090">#REF!</definedName>
    <definedName name="LBCell111SUM" localSheetId="59">[4]Sheet2!$E$6</definedName>
    <definedName name="LBCell111SUM">'[13]表11(總計)'!$E$6</definedName>
    <definedName name="LBCell150" localSheetId="5">#REF!</definedName>
    <definedName name="LBCell150" localSheetId="13">#REF!</definedName>
    <definedName name="LBCell150" localSheetId="14">#REF!</definedName>
    <definedName name="LBCell150" localSheetId="43">#REF!</definedName>
    <definedName name="LBCell150" localSheetId="51">#REF!</definedName>
    <definedName name="LBCell150" localSheetId="52">#REF!</definedName>
    <definedName name="LBCell150" localSheetId="59">[4]Sheet2!$A$20</definedName>
    <definedName name="LBCell150" localSheetId="64">#REF!</definedName>
    <definedName name="LBCell150">#REF!</definedName>
    <definedName name="LBCell160" localSheetId="14">'[18]表13-1'!#REF!</definedName>
    <definedName name="LBCell160" localSheetId="15">'[18]表13-1'!#REF!</definedName>
    <definedName name="LBCell160" localSheetId="52">'[18]表13-1'!#REF!</definedName>
    <definedName name="LBCell160" localSheetId="59">[4]Sheet2!$B$24</definedName>
    <definedName name="LBCell160">'[18]表13-1'!#REF!</definedName>
    <definedName name="leb" localSheetId="59">[4]Sheet1!$A$224</definedName>
    <definedName name="leb">[13]表01!$A$224</definedName>
    <definedName name="LH_Ins_Summary" localSheetId="17">'[8]Life Reserves'!$AD$3:$AR$38</definedName>
    <definedName name="LH_Ins_Summary">'[9]Life Reserves'!$AD$3:$AR$38</definedName>
    <definedName name="LH_Insurance_Risk1" localSheetId="17">'[8]Life Reserves'!$B$3:$L$38</definedName>
    <definedName name="LH_Insurance_Risk1">'[9]Life Reserves'!$B$3:$L$38</definedName>
    <definedName name="LH_Insurance_Risk2" localSheetId="17">'[8]Life Reserves'!$B$43:$L$78</definedName>
    <definedName name="LH_Insurance_Risk2">'[9]Life Reserves'!$B$43:$L$78</definedName>
    <definedName name="LH_Insurance_Risk3" localSheetId="17">'[8]Life Reserves'!$B$83:$L$118</definedName>
    <definedName name="LH_Insurance_Risk3">'[9]Life Reserves'!$B$83:$L$118</definedName>
    <definedName name="LH_Insurance_Risk4" localSheetId="17">'[8]Life Reserves'!$B$123:$L$158</definedName>
    <definedName name="LH_Insurance_Risk4">'[9]Life Reserves'!$B$123:$L$158</definedName>
    <definedName name="LH_Insurance_Risk5" localSheetId="17">'[8]Life Reserves'!$B$163:$L$198</definedName>
    <definedName name="LH_Insurance_Risk5">'[9]Life Reserves'!$B$163:$L$198</definedName>
    <definedName name="li" localSheetId="59">[4]Sheet1!$A$48</definedName>
    <definedName name="li">'[13]表02(資產附表)'!$A$48</definedName>
    <definedName name="lib" localSheetId="59">[4]Sheet1!$A$43</definedName>
    <definedName name="lib">'[13]表02(資產)'!$A$43</definedName>
    <definedName name="Local_Risk_Charges" localSheetId="17">'[8]misc calcs'!$G$168:$G$241</definedName>
    <definedName name="Local_Risk_Charges">'[9]misc calcs'!$G$168:$G$241</definedName>
    <definedName name="LR" localSheetId="5">#REF!</definedName>
    <definedName name="LR" localSheetId="13">#REF!</definedName>
    <definedName name="LR" localSheetId="14">#REF!</definedName>
    <definedName name="LR" localSheetId="43">#REF!</definedName>
    <definedName name="LR" localSheetId="51">#REF!</definedName>
    <definedName name="LR" localSheetId="52">#REF!</definedName>
    <definedName name="LR" localSheetId="59">#REF!</definedName>
    <definedName name="LR" localSheetId="64">#REF!</definedName>
    <definedName name="LR">#REF!</definedName>
    <definedName name="LTCell010" localSheetId="5">#REF!</definedName>
    <definedName name="LTCell010" localSheetId="13">#REF!</definedName>
    <definedName name="LTCell010" localSheetId="14">#REF!</definedName>
    <definedName name="LTCell010" localSheetId="43">#REF!</definedName>
    <definedName name="LTCell010" localSheetId="51">#REF!</definedName>
    <definedName name="LTCell010" localSheetId="52">#REF!</definedName>
    <definedName name="LTCell010" localSheetId="59">[4]Sheet2!$A$5</definedName>
    <definedName name="LTCell010" localSheetId="64">#REF!</definedName>
    <definedName name="LTCell010">#REF!</definedName>
    <definedName name="LTCell020" localSheetId="5">#REF!</definedName>
    <definedName name="LTCell020" localSheetId="13">#REF!</definedName>
    <definedName name="LTCell020" localSheetId="14">#REF!</definedName>
    <definedName name="LTCell020" localSheetId="43">#REF!</definedName>
    <definedName name="LTCell020" localSheetId="51">#REF!</definedName>
    <definedName name="LTCell020" localSheetId="52">#REF!</definedName>
    <definedName name="LTCell020" localSheetId="59">[4]Sheet2!$A$5</definedName>
    <definedName name="LTCell020" localSheetId="64">#REF!</definedName>
    <definedName name="LTCell020">#REF!</definedName>
    <definedName name="LTCell021" localSheetId="5">#REF!</definedName>
    <definedName name="LTCell021" localSheetId="13">#REF!</definedName>
    <definedName name="LTCell021" localSheetId="14">#REF!</definedName>
    <definedName name="LTCell021" localSheetId="43">#REF!</definedName>
    <definedName name="LTCell021" localSheetId="51">#REF!</definedName>
    <definedName name="LTCell021" localSheetId="52">#REF!</definedName>
    <definedName name="LTCell021" localSheetId="59">[4]Sheet2!$A$5</definedName>
    <definedName name="LTCell021" localSheetId="64">#REF!</definedName>
    <definedName name="LTCell021">#REF!</definedName>
    <definedName name="LTCell022" localSheetId="5">#REF!</definedName>
    <definedName name="LTCell022" localSheetId="13">#REF!</definedName>
    <definedName name="LTCell022" localSheetId="14">#REF!</definedName>
    <definedName name="LTCell022" localSheetId="43">#REF!</definedName>
    <definedName name="LTCell022" localSheetId="51">#REF!</definedName>
    <definedName name="LTCell022" localSheetId="52">#REF!</definedName>
    <definedName name="LTCell022" localSheetId="59">[4]Sheet2!$A$5</definedName>
    <definedName name="LTCell022" localSheetId="64">#REF!</definedName>
    <definedName name="LTCell022">#REF!</definedName>
    <definedName name="LTCell030" localSheetId="5">#REF!</definedName>
    <definedName name="LTCell030" localSheetId="13">#REF!</definedName>
    <definedName name="LTCell030" localSheetId="14">#REF!</definedName>
    <definedName name="LTCell030" localSheetId="43">#REF!</definedName>
    <definedName name="LTCell030" localSheetId="51">#REF!</definedName>
    <definedName name="LTCell030" localSheetId="52">#REF!</definedName>
    <definedName name="LTCell030" localSheetId="59">[4]Sheet2!$A$5</definedName>
    <definedName name="LTCell030" localSheetId="64">#REF!</definedName>
    <definedName name="LTCell030">#REF!</definedName>
    <definedName name="LTCell090" localSheetId="5">#REF!</definedName>
    <definedName name="LTCell090" localSheetId="13">#REF!</definedName>
    <definedName name="LTCell090" localSheetId="14">#REF!</definedName>
    <definedName name="LTCell090" localSheetId="43">#REF!</definedName>
    <definedName name="LTCell090" localSheetId="51">#REF!</definedName>
    <definedName name="LTCell090" localSheetId="52">#REF!</definedName>
    <definedName name="LTCell090" localSheetId="59">[4]Sheet2!$A$6</definedName>
    <definedName name="LTCell090" localSheetId="64">#REF!</definedName>
    <definedName name="LTCell090">#REF!</definedName>
    <definedName name="LTCell150" localSheetId="5">#REF!</definedName>
    <definedName name="LTCell150" localSheetId="13">#REF!</definedName>
    <definedName name="LTCell150" localSheetId="14">#REF!</definedName>
    <definedName name="LTCell150" localSheetId="43">#REF!</definedName>
    <definedName name="LTCell150" localSheetId="51">#REF!</definedName>
    <definedName name="LTCell150" localSheetId="52">#REF!</definedName>
    <definedName name="LTCell150" localSheetId="59">[4]Sheet2!$A$6</definedName>
    <definedName name="LTCell150" localSheetId="64">#REF!</definedName>
    <definedName name="LTCell150">#REF!</definedName>
    <definedName name="LTCell160" localSheetId="14">'[18]表13-1'!#REF!</definedName>
    <definedName name="LTCell160" localSheetId="15">'[18]表13-1'!#REF!</definedName>
    <definedName name="LTCell160" localSheetId="52">'[18]表13-1'!#REF!</definedName>
    <definedName name="LTCell160" localSheetId="59">[4]Sheet2!$B$5</definedName>
    <definedName name="LTCell160">'[18]表13-1'!#REF!</definedName>
    <definedName name="Market_Risk_Charges" localSheetId="17">'[8]misc calcs'!$F$168:$F$241</definedName>
    <definedName name="Market_Risk_Charges">'[9]misc calcs'!$F$168:$F$241</definedName>
    <definedName name="mh" localSheetId="14">#REF!</definedName>
    <definedName name="mh" localSheetId="59">[4]Sheet1!$H$1</definedName>
    <definedName name="mh">#REF!</definedName>
    <definedName name="MOF_05">#REF!</definedName>
    <definedName name="netprem_written" localSheetId="5">[6]Sheet2!#REF!</definedName>
    <definedName name="netprem_written" localSheetId="13">[6]Sheet2!#REF!</definedName>
    <definedName name="netprem_written" localSheetId="14">[6]Sheet2!#REF!</definedName>
    <definedName name="netprem_written" localSheetId="15">[7]Sheet2!#REF!</definedName>
    <definedName name="netprem_written" localSheetId="43">[6]Sheet2!#REF!</definedName>
    <definedName name="netprem_written" localSheetId="51">[6]Sheet2!#REF!</definedName>
    <definedName name="netprem_written" localSheetId="52">[6]Sheet2!#REF!</definedName>
    <definedName name="netprem_written" localSheetId="59">[4]Sheet2!#REF!</definedName>
    <definedName name="netprem_written" localSheetId="64">[6]Sheet2!#REF!</definedName>
    <definedName name="netprem_written">[7]Sheet2!#REF!</definedName>
    <definedName name="NWP" localSheetId="5">#REF!</definedName>
    <definedName name="NWP" localSheetId="13">#REF!</definedName>
    <definedName name="NWP" localSheetId="14">#REF!</definedName>
    <definedName name="NWP" localSheetId="43">#REF!</definedName>
    <definedName name="NWP" localSheetId="51">#REF!</definedName>
    <definedName name="NWP" localSheetId="52">#REF!</definedName>
    <definedName name="NWP" localSheetId="59">#REF!</definedName>
    <definedName name="NWP" localSheetId="64">#REF!</definedName>
    <definedName name="NWP">#REF!</definedName>
    <definedName name="Premium_Risk1" localSheetId="17">[8]Premium!$B$2:$N$72</definedName>
    <definedName name="Premium_Risk1">[9]Premium!$B$2:$N$72</definedName>
    <definedName name="Premium_Risk2" localSheetId="17">[8]Premium!$B$75:$N$145</definedName>
    <definedName name="Premium_Risk2">[9]Premium!$B$75:$N$145</definedName>
    <definedName name="Premium_Risk3" localSheetId="17">[8]Premium!$B$148:$N$218</definedName>
    <definedName name="Premium_Risk3">[9]Premium!$B$148:$N$218</definedName>
    <definedName name="Premium_Risk4" localSheetId="17">[8]Premium!$B$221:$N$291</definedName>
    <definedName name="Premium_Risk4">[9]Premium!$B$221:$N$291</definedName>
    <definedName name="Premium_Risk5" localSheetId="17">[8]Premium!$B$294:$N$364</definedName>
    <definedName name="Premium_Risk5">[9]Premium!$B$294:$N$364</definedName>
    <definedName name="Premium_Summary" localSheetId="17">[8]Premium!$AB$2:$AU$72</definedName>
    <definedName name="Premium_Summary">[9]Premium!$AB$2:$AU$72</definedName>
    <definedName name="_xlnm.Print_Area" localSheetId="4">表06!$A$1:$AN$63</definedName>
    <definedName name="_xlnm.Print_Area" localSheetId="5">'表09-1'!$A$1:$AF$33</definedName>
    <definedName name="_xlnm.Print_Area" localSheetId="9">'表10-3'!$A$1:$I$50</definedName>
    <definedName name="_xlnm.Print_Area" localSheetId="13">'表12-1'!$A$1:$AA$29</definedName>
    <definedName name="_xlnm.Print_Area" localSheetId="15">'表13-1'!$A$1:$AI$41</definedName>
    <definedName name="_xlnm.Print_Area" localSheetId="17">'表13-4'!$A$1:$Z$31</definedName>
    <definedName name="_xlnm.Print_Area" localSheetId="28">'表19-4'!$A$1:$AH$35</definedName>
    <definedName name="_xlnm.Print_Area" localSheetId="29">'表19-5'!$A$1:$P$27</definedName>
    <definedName name="_xlnm.Print_Area" localSheetId="30">'表19-6'!$A$1:$P$27</definedName>
    <definedName name="_xlnm.Print_Area" localSheetId="35">'表22-3'!$A$1:$N$49</definedName>
    <definedName name="_xlnm.Print_Area" localSheetId="76">'表30-14-1'!$A$1:$L$1329</definedName>
    <definedName name="_xlnm.Print_Area" localSheetId="77">'表30-14-2'!$A$1:$M$782</definedName>
    <definedName name="_xlnm.Print_Area" localSheetId="45">'表30-2'!$A$1:$G$131</definedName>
    <definedName name="_xlnm.Print_Area" localSheetId="51">'表30-4-1'!$A$1:$I$30</definedName>
    <definedName name="_xlnm.Print_Area" localSheetId="52">'表30-4-2'!$A$1:$K$29</definedName>
    <definedName name="_xlnm.Print_Area" localSheetId="64">'表30-8-4'!$A$1:$K$61</definedName>
    <definedName name="_xlnm.Print_Area" localSheetId="65">'表30-8-5'!$A$1:$M$28</definedName>
    <definedName name="_xlnm.Print_Titles" localSheetId="1">目錄!$3:$4</definedName>
    <definedName name="_xlnm.Print_Titles" localSheetId="2">表03!$3:$5</definedName>
    <definedName name="_xlnm.Print_Titles" localSheetId="3">'表05-1'!$3:$5</definedName>
    <definedName name="_xlnm.Print_Titles" localSheetId="7">'表10-1'!$3:$5</definedName>
    <definedName name="_xlnm.Print_Titles" localSheetId="10">'表10-4'!$3:$4</definedName>
    <definedName name="_xlnm.Print_Titles" localSheetId="12">'表11-2'!$3:$5</definedName>
    <definedName name="_xlnm.Print_Titles" localSheetId="18">'表16-1-1'!$3:$5</definedName>
    <definedName name="_xlnm.Print_Titles" localSheetId="19">'表16-1-2'!$3:$5</definedName>
    <definedName name="_xlnm.Print_Titles" localSheetId="20">'表16-1-3'!$3:$5</definedName>
    <definedName name="_xlnm.Print_Titles" localSheetId="21">'表16-1-4'!$3:$5</definedName>
    <definedName name="_xlnm.Print_Titles" localSheetId="22">'表16-1-5'!$3:$5</definedName>
    <definedName name="_xlnm.Print_Titles" localSheetId="72">'表30-13'!$3:$4</definedName>
    <definedName name="_xlnm.Print_Titles" localSheetId="45">'表30-2'!$3:$3</definedName>
    <definedName name="_xlnm.Print_Titles" localSheetId="46">'表30-3'!$3:$3</definedName>
    <definedName name="_xlnm.Print_Titles" localSheetId="47">'表30-3-1'!$3:$5</definedName>
    <definedName name="_xlnm.Print_Titles" localSheetId="48">'表30-3-2'!$3:$5</definedName>
    <definedName name="_xlnm.Print_Titles" localSheetId="49">'表30-3-3'!$3:$5</definedName>
    <definedName name="_xlnm.Print_Titles" localSheetId="53">'表30-5'!$3:$3</definedName>
    <definedName name="Print1">#REF!</definedName>
    <definedName name="Recoverable_Breakout1" localSheetId="17">[8]Credit!$AA$6:$AS$59</definedName>
    <definedName name="Recoverable_Breakout1">[9]Credit!$AA$6:$AS$59</definedName>
    <definedName name="Recoverable_Breakout2" localSheetId="17">[8]Credit!$AA$67:$AS$120</definedName>
    <definedName name="Recoverable_Breakout2">[9]Credit!$AA$67:$AS$120</definedName>
    <definedName name="Recoverable_Breakout3" localSheetId="17">[8]Credit!$AA$128:$AS$181</definedName>
    <definedName name="Recoverable_Breakout3">[9]Credit!$AA$128:$AS$181</definedName>
    <definedName name="Recoverable_Breakout4" localSheetId="17">[8]Credit!$AA$189:$AS$242</definedName>
    <definedName name="Recoverable_Breakout4">[9]Credit!$AA$189:$AS$242</definedName>
    <definedName name="Recoverable_Breakout5" localSheetId="17">[8]Credit!$AA$246:$AS$303</definedName>
    <definedName name="Recoverable_Breakout5">[9]Credit!$AA$246:$AS$303</definedName>
    <definedName name="Req_Cap_Summary" localSheetId="17">'[8]Req Cap'!$AA$3:$AV$70</definedName>
    <definedName name="Req_Cap_Summary">'[9]Req Cap'!$AA$3:$AV$70</definedName>
    <definedName name="Required_Capital1" localSheetId="17">'[8]Req Cap'!$B$3:$P$70</definedName>
    <definedName name="Required_Capital1">'[9]Req Cap'!$B$3:$P$70</definedName>
    <definedName name="Required_Capital2" localSheetId="17">'[8]Req Cap'!$B$74:$P$141</definedName>
    <definedName name="Required_Capital2">'[9]Req Cap'!$B$74:$P$141</definedName>
    <definedName name="Required_Capital3" localSheetId="17">'[8]Req Cap'!$B$145:$P$212</definedName>
    <definedName name="Required_Capital3">'[9]Req Cap'!$B$145:$P$212</definedName>
    <definedName name="Required_Capital4" localSheetId="17">'[8]Req Cap'!$B$216:$P$283</definedName>
    <definedName name="Required_Capital4">'[9]Req Cap'!$B$216:$P$283</definedName>
    <definedName name="Required_Capital5" localSheetId="17">'[8]Req Cap'!$B$287:$P$354</definedName>
    <definedName name="Required_Capital5">'[9]Req Cap'!$B$287:$P$354</definedName>
    <definedName name="Reserve_Risk1" localSheetId="17">'[8]NonLife Reserves'!$B$2:$T$62</definedName>
    <definedName name="Reserve_Risk1">'[9]NonLife Reserves'!$B$2:$T$62</definedName>
    <definedName name="Reserve_Risk2" localSheetId="17">'[8]NonLife Reserves'!$B$66:$T$126</definedName>
    <definedName name="Reserve_Risk2">'[9]NonLife Reserves'!$B$66:$T$126</definedName>
    <definedName name="Reserve_Risk3" localSheetId="17">'[8]NonLife Reserves'!$B$130:$T$190</definedName>
    <definedName name="Reserve_Risk3">'[9]NonLife Reserves'!$B$130:$T$190</definedName>
    <definedName name="Reserve_Risk4" localSheetId="17">'[8]NonLife Reserves'!$B$194:$T$254</definedName>
    <definedName name="Reserve_Risk4">'[9]NonLife Reserves'!$B$194:$T$254</definedName>
    <definedName name="Reserve_Risk5" localSheetId="17">'[8]NonLife Reserves'!$B$258:$T$318</definedName>
    <definedName name="Reserve_Risk5">'[9]NonLife Reserves'!$B$258:$T$318</definedName>
    <definedName name="Reserve_Summary" localSheetId="17">'[8]NonLife Reserves'!$AC$2:$AV$62</definedName>
    <definedName name="Reserve_Summary">'[9]NonLife Reserves'!$AC$2:$AV$62</definedName>
    <definedName name="Reserve_Summary2" localSheetId="17">'[8]NonLife Reserves'!$AY$2:$BR$62</definedName>
    <definedName name="Reserve_Summary2">'[9]NonLife Reserves'!$AY$2:$BR$62</definedName>
    <definedName name="sencount" hidden="1">3</definedName>
    <definedName name="SHT040BR1" localSheetId="5">#REF!</definedName>
    <definedName name="SHT040BR1" localSheetId="13">#REF!</definedName>
    <definedName name="SHT040BR1" localSheetId="14">#REF!</definedName>
    <definedName name="SHT040BR1" localSheetId="43">#REF!</definedName>
    <definedName name="SHT040BR1" localSheetId="51">#REF!</definedName>
    <definedName name="SHT040BR1" localSheetId="52">#REF!</definedName>
    <definedName name="SHT040BR1" localSheetId="59">[4]Sheet2!$G$20:$G$25</definedName>
    <definedName name="SHT040BR1" localSheetId="64">#REF!</definedName>
    <definedName name="SHT040BR1">#REF!</definedName>
    <definedName name="SHT040BR2" localSheetId="5">#REF!</definedName>
    <definedName name="SHT040BR2" localSheetId="13">#REF!</definedName>
    <definedName name="SHT040BR2" localSheetId="14">#REF!</definedName>
    <definedName name="SHT040BR2" localSheetId="43">#REF!</definedName>
    <definedName name="SHT040BR2" localSheetId="51">#REF!</definedName>
    <definedName name="SHT040BR2" localSheetId="52">#REF!</definedName>
    <definedName name="SHT040BR2" localSheetId="59">[4]Sheet2!$I$20:$I$25</definedName>
    <definedName name="SHT040BR2" localSheetId="64">#REF!</definedName>
    <definedName name="SHT040BR2">#REF!</definedName>
    <definedName name="SHT040TR1" localSheetId="5">#REF!</definedName>
    <definedName name="SHT040TR1" localSheetId="13">#REF!</definedName>
    <definedName name="SHT040TR1" localSheetId="14">#REF!</definedName>
    <definedName name="SHT040TR1" localSheetId="43">#REF!</definedName>
    <definedName name="SHT040TR1" localSheetId="51">#REF!</definedName>
    <definedName name="SHT040TR1" localSheetId="52">#REF!</definedName>
    <definedName name="SHT040TR1" localSheetId="59">[4]Sheet2!$G$8:$G$16</definedName>
    <definedName name="SHT040TR1" localSheetId="64">#REF!</definedName>
    <definedName name="SHT040TR1">#REF!</definedName>
    <definedName name="SHT040TR2" localSheetId="5">#REF!</definedName>
    <definedName name="SHT040TR2" localSheetId="13">#REF!</definedName>
    <definedName name="SHT040TR2" localSheetId="14">#REF!</definedName>
    <definedName name="SHT040TR2" localSheetId="43">#REF!</definedName>
    <definedName name="SHT040TR2" localSheetId="51">#REF!</definedName>
    <definedName name="SHT040TR2" localSheetId="52">#REF!</definedName>
    <definedName name="SHT040TR2" localSheetId="59">[4]Sheet2!$I$8:$I$16</definedName>
    <definedName name="SHT040TR2" localSheetId="64">#REF!</definedName>
    <definedName name="SHT040TR2">#REF!</definedName>
    <definedName name="SHT050BR1" localSheetId="5">#REF!</definedName>
    <definedName name="SHT050BR1" localSheetId="13">#REF!</definedName>
    <definedName name="SHT050BR1" localSheetId="14">#REF!</definedName>
    <definedName name="SHT050BR1" localSheetId="43">#REF!</definedName>
    <definedName name="SHT050BR1" localSheetId="51">#REF!</definedName>
    <definedName name="SHT050BR1" localSheetId="52">#REF!</definedName>
    <definedName name="SHT050BR1" localSheetId="59">[4]Sheet2!$E$15:$E$21</definedName>
    <definedName name="SHT050BR1" localSheetId="64">#REF!</definedName>
    <definedName name="SHT050BR1">#REF!</definedName>
    <definedName name="SHT050BR2" localSheetId="5">#REF!</definedName>
    <definedName name="SHT050BR2" localSheetId="13">#REF!</definedName>
    <definedName name="SHT050BR2" localSheetId="14">#REF!</definedName>
    <definedName name="SHT050BR2" localSheetId="43">#REF!</definedName>
    <definedName name="SHT050BR2" localSheetId="51">#REF!</definedName>
    <definedName name="SHT050BR2" localSheetId="52">#REF!</definedName>
    <definedName name="SHT050BR2" localSheetId="59">[4]Sheet2!$I$15:$I$21</definedName>
    <definedName name="SHT050BR2" localSheetId="64">#REF!</definedName>
    <definedName name="SHT050BR2">#REF!</definedName>
    <definedName name="SHT050BR3" localSheetId="5">#REF!</definedName>
    <definedName name="SHT050BR3" localSheetId="13">#REF!</definedName>
    <definedName name="SHT050BR3" localSheetId="14">#REF!</definedName>
    <definedName name="SHT050BR3" localSheetId="43">#REF!</definedName>
    <definedName name="SHT050BR3" localSheetId="51">#REF!</definedName>
    <definedName name="SHT050BR3" localSheetId="52">#REF!</definedName>
    <definedName name="SHT050BR3" localSheetId="59">[4]Sheet2!$O$15:$O$21</definedName>
    <definedName name="SHT050BR3" localSheetId="64">#REF!</definedName>
    <definedName name="SHT050BR3">#REF!</definedName>
    <definedName name="SHT050BR4" localSheetId="5">#REF!</definedName>
    <definedName name="SHT050BR4" localSheetId="13">#REF!</definedName>
    <definedName name="SHT050BR4" localSheetId="14">#REF!</definedName>
    <definedName name="SHT050BR4" localSheetId="43">#REF!</definedName>
    <definedName name="SHT050BR4" localSheetId="51">#REF!</definedName>
    <definedName name="SHT050BR4" localSheetId="52">#REF!</definedName>
    <definedName name="SHT050BR4" localSheetId="59">[4]Sheet2!$Y$15:$Y$21</definedName>
    <definedName name="SHT050BR4" localSheetId="64">#REF!</definedName>
    <definedName name="SHT050BR4">#REF!</definedName>
    <definedName name="SHT050BR5" localSheetId="5">#REF!</definedName>
    <definedName name="SHT050BR5" localSheetId="13">#REF!</definedName>
    <definedName name="SHT050BR5" localSheetId="14">#REF!</definedName>
    <definedName name="SHT050BR5" localSheetId="43">#REF!</definedName>
    <definedName name="SHT050BR5" localSheetId="51">#REF!</definedName>
    <definedName name="SHT050BR5" localSheetId="52">#REF!</definedName>
    <definedName name="SHT050BR5" localSheetId="59">[4]Sheet2!$AA$15:$AA$21</definedName>
    <definedName name="SHT050BR5" localSheetId="64">#REF!</definedName>
    <definedName name="SHT050BR5">#REF!</definedName>
    <definedName name="SHT050BR6" localSheetId="5">#REF!</definedName>
    <definedName name="SHT050BR6" localSheetId="13">#REF!</definedName>
    <definedName name="SHT050BR6" localSheetId="14">#REF!</definedName>
    <definedName name="SHT050BR6" localSheetId="43">#REF!</definedName>
    <definedName name="SHT050BR6" localSheetId="51">#REF!</definedName>
    <definedName name="SHT050BR6" localSheetId="52">#REF!</definedName>
    <definedName name="SHT050BR6" localSheetId="59">[4]Sheet2!$AC$15:$AC$21</definedName>
    <definedName name="SHT050BR6" localSheetId="64">#REF!</definedName>
    <definedName name="SHT050BR6">#REF!</definedName>
    <definedName name="SHT050BR7" localSheetId="5">#REF!</definedName>
    <definedName name="SHT050BR7" localSheetId="13">#REF!</definedName>
    <definedName name="SHT050BR7" localSheetId="14">#REF!</definedName>
    <definedName name="SHT050BR7" localSheetId="43">#REF!</definedName>
    <definedName name="SHT050BR7" localSheetId="51">#REF!</definedName>
    <definedName name="SHT050BR7" localSheetId="52">#REF!</definedName>
    <definedName name="SHT050BR7" localSheetId="59">[4]Sheet2!$AE$15:$AE$21</definedName>
    <definedName name="SHT050BR7" localSheetId="64">#REF!</definedName>
    <definedName name="SHT050BR7">#REF!</definedName>
    <definedName name="SHT050BR8" localSheetId="5">#REF!</definedName>
    <definedName name="SHT050BR8" localSheetId="13">#REF!</definedName>
    <definedName name="SHT050BR8" localSheetId="14">#REF!</definedName>
    <definedName name="SHT050BR8" localSheetId="43">#REF!</definedName>
    <definedName name="SHT050BR8" localSheetId="51">#REF!</definedName>
    <definedName name="SHT050BR8" localSheetId="52">#REF!</definedName>
    <definedName name="SHT050BR8" localSheetId="59">[4]Sheet2!$AI$15:$AI$21</definedName>
    <definedName name="SHT050BR8" localSheetId="64">#REF!</definedName>
    <definedName name="SHT050BR8">#REF!</definedName>
    <definedName name="SHT050BR9" localSheetId="5">#REF!</definedName>
    <definedName name="SHT050BR9" localSheetId="13">#REF!</definedName>
    <definedName name="SHT050BR9" localSheetId="14">#REF!</definedName>
    <definedName name="SHT050BR9" localSheetId="43">#REF!</definedName>
    <definedName name="SHT050BR9" localSheetId="51">#REF!</definedName>
    <definedName name="SHT050BR9" localSheetId="52">#REF!</definedName>
    <definedName name="SHT050BR9" localSheetId="59">[4]Sheet2!$AK$15:$AK$21</definedName>
    <definedName name="SHT050BR9" localSheetId="64">#REF!</definedName>
    <definedName name="SHT050BR9">#REF!</definedName>
    <definedName name="SHT050TR1" localSheetId="5">#REF!</definedName>
    <definedName name="SHT050TR1" localSheetId="13">#REF!</definedName>
    <definedName name="SHT050TR1" localSheetId="14">#REF!</definedName>
    <definedName name="SHT050TR1" localSheetId="43">#REF!</definedName>
    <definedName name="SHT050TR1" localSheetId="51">#REF!</definedName>
    <definedName name="SHT050TR1" localSheetId="52">#REF!</definedName>
    <definedName name="SHT050TR1" localSheetId="59">[4]Sheet2!$E$9:$E$13</definedName>
    <definedName name="SHT050TR1" localSheetId="64">#REF!</definedName>
    <definedName name="SHT050TR1">#REF!</definedName>
    <definedName name="SHT050TR2" localSheetId="5">#REF!</definedName>
    <definedName name="SHT050TR2" localSheetId="13">#REF!</definedName>
    <definedName name="SHT050TR2" localSheetId="14">#REF!</definedName>
    <definedName name="SHT050TR2" localSheetId="43">#REF!</definedName>
    <definedName name="SHT050TR2" localSheetId="51">#REF!</definedName>
    <definedName name="SHT050TR2" localSheetId="52">#REF!</definedName>
    <definedName name="SHT050TR2" localSheetId="59">[4]Sheet2!$I$9:$I$13</definedName>
    <definedName name="SHT050TR2" localSheetId="64">#REF!</definedName>
    <definedName name="SHT050TR2">#REF!</definedName>
    <definedName name="SHT050TR3" localSheetId="5">#REF!</definedName>
    <definedName name="SHT050TR3" localSheetId="13">#REF!</definedName>
    <definedName name="SHT050TR3" localSheetId="14">#REF!</definedName>
    <definedName name="SHT050TR3" localSheetId="43">#REF!</definedName>
    <definedName name="SHT050TR3" localSheetId="51">#REF!</definedName>
    <definedName name="SHT050TR3" localSheetId="52">#REF!</definedName>
    <definedName name="SHT050TR3" localSheetId="59">[4]Sheet2!$O$9:$O$13</definedName>
    <definedName name="SHT050TR3" localSheetId="64">#REF!</definedName>
    <definedName name="SHT050TR3">#REF!</definedName>
    <definedName name="SHT050TR4" localSheetId="5">#REF!</definedName>
    <definedName name="SHT050TR4" localSheetId="13">#REF!</definedName>
    <definedName name="SHT050TR4" localSheetId="14">#REF!</definedName>
    <definedName name="SHT050TR4" localSheetId="43">#REF!</definedName>
    <definedName name="SHT050TR4" localSheetId="51">#REF!</definedName>
    <definedName name="SHT050TR4" localSheetId="52">#REF!</definedName>
    <definedName name="SHT050TR4" localSheetId="59">[4]Sheet2!$Y$9:$Y$13</definedName>
    <definedName name="SHT050TR4" localSheetId="64">#REF!</definedName>
    <definedName name="SHT050TR4">#REF!</definedName>
    <definedName name="SHT050TR5" localSheetId="5">#REF!</definedName>
    <definedName name="SHT050TR5" localSheetId="13">#REF!</definedName>
    <definedName name="SHT050TR5" localSheetId="14">#REF!</definedName>
    <definedName name="SHT050TR5" localSheetId="43">#REF!</definedName>
    <definedName name="SHT050TR5" localSheetId="51">#REF!</definedName>
    <definedName name="SHT050TR5" localSheetId="52">#REF!</definedName>
    <definedName name="SHT050TR5" localSheetId="59">[4]Sheet2!$AA$9:$AA$13</definedName>
    <definedName name="SHT050TR5" localSheetId="64">#REF!</definedName>
    <definedName name="SHT050TR5">#REF!</definedName>
    <definedName name="SHT050TR6" localSheetId="5">#REF!</definedName>
    <definedName name="SHT050TR6" localSheetId="13">#REF!</definedName>
    <definedName name="SHT050TR6" localSheetId="14">#REF!</definedName>
    <definedName name="SHT050TR6" localSheetId="43">#REF!</definedName>
    <definedName name="SHT050TR6" localSheetId="51">#REF!</definedName>
    <definedName name="SHT050TR6" localSheetId="52">#REF!</definedName>
    <definedName name="SHT050TR6" localSheetId="59">[4]Sheet2!$AC$9:$AC$13</definedName>
    <definedName name="SHT050TR6" localSheetId="64">#REF!</definedName>
    <definedName name="SHT050TR6">#REF!</definedName>
    <definedName name="SHT050TR7" localSheetId="5">#REF!</definedName>
    <definedName name="SHT050TR7" localSheetId="13">#REF!</definedName>
    <definedName name="SHT050TR7" localSheetId="14">#REF!</definedName>
    <definedName name="SHT050TR7" localSheetId="43">#REF!</definedName>
    <definedName name="SHT050TR7" localSheetId="51">#REF!</definedName>
    <definedName name="SHT050TR7" localSheetId="52">#REF!</definedName>
    <definedName name="SHT050TR7" localSheetId="59">[4]Sheet2!$AE$9:$AE$13</definedName>
    <definedName name="SHT050TR7" localSheetId="64">#REF!</definedName>
    <definedName name="SHT050TR7">#REF!</definedName>
    <definedName name="SHT050TR8" localSheetId="5">#REF!</definedName>
    <definedName name="SHT050TR8" localSheetId="13">#REF!</definedName>
    <definedName name="SHT050TR8" localSheetId="14">#REF!</definedName>
    <definedName name="SHT050TR8" localSheetId="43">#REF!</definedName>
    <definedName name="SHT050TR8" localSheetId="51">#REF!</definedName>
    <definedName name="SHT050TR8" localSheetId="52">#REF!</definedName>
    <definedName name="SHT050TR8" localSheetId="59">[4]Sheet2!$AI$9:$AI$13</definedName>
    <definedName name="SHT050TR8" localSheetId="64">#REF!</definedName>
    <definedName name="SHT050TR8">#REF!</definedName>
    <definedName name="SHT050TR9" localSheetId="5">#REF!</definedName>
    <definedName name="SHT050TR9" localSheetId="13">#REF!</definedName>
    <definedName name="SHT050TR9" localSheetId="14">#REF!</definedName>
    <definedName name="SHT050TR9" localSheetId="43">#REF!</definedName>
    <definedName name="SHT050TR9" localSheetId="51">#REF!</definedName>
    <definedName name="SHT050TR9" localSheetId="52">#REF!</definedName>
    <definedName name="SHT050TR9" localSheetId="59">[4]Sheet2!$AK$9:$AK$13</definedName>
    <definedName name="SHT050TR9" localSheetId="64">#REF!</definedName>
    <definedName name="SHT050TR9">#REF!</definedName>
    <definedName name="SHT051BR1" localSheetId="5">#REF!</definedName>
    <definedName name="SHT051BR1" localSheetId="13">#REF!</definedName>
    <definedName name="SHT051BR1" localSheetId="14">#REF!</definedName>
    <definedName name="SHT051BR1" localSheetId="43">#REF!</definedName>
    <definedName name="SHT051BR1" localSheetId="51">#REF!</definedName>
    <definedName name="SHT051BR1" localSheetId="52">#REF!</definedName>
    <definedName name="SHT051BR1" localSheetId="59">[4]Sheet2!$G$21:$G$34</definedName>
    <definedName name="SHT051BR1" localSheetId="64">#REF!</definedName>
    <definedName name="SHT051BR1">#REF!</definedName>
    <definedName name="SHT051BR2" localSheetId="5">#REF!</definedName>
    <definedName name="SHT051BR2" localSheetId="13">#REF!</definedName>
    <definedName name="SHT051BR2" localSheetId="14">#REF!</definedName>
    <definedName name="SHT051BR2" localSheetId="43">#REF!</definedName>
    <definedName name="SHT051BR2" localSheetId="51">#REF!</definedName>
    <definedName name="SHT051BR2" localSheetId="52">#REF!</definedName>
    <definedName name="SHT051BR2" localSheetId="59">[4]Sheet2!$K$21:$K$34</definedName>
    <definedName name="SHT051BR2" localSheetId="64">#REF!</definedName>
    <definedName name="SHT051BR2">#REF!</definedName>
    <definedName name="SHT051BR3" localSheetId="5">#REF!</definedName>
    <definedName name="SHT051BR3" localSheetId="13">#REF!</definedName>
    <definedName name="SHT051BR3" localSheetId="14">#REF!</definedName>
    <definedName name="SHT051BR3" localSheetId="43">#REF!</definedName>
    <definedName name="SHT051BR3" localSheetId="51">#REF!</definedName>
    <definedName name="SHT051BR3" localSheetId="52">#REF!</definedName>
    <definedName name="SHT051BR3" localSheetId="59">[4]Sheet2!$R$21:$R$34</definedName>
    <definedName name="SHT051BR3" localSheetId="64">#REF!</definedName>
    <definedName name="SHT051BR3">#REF!</definedName>
    <definedName name="SHT051BR4" localSheetId="5">#REF!</definedName>
    <definedName name="SHT051BR4" localSheetId="13">#REF!</definedName>
    <definedName name="SHT051BR4" localSheetId="14">#REF!</definedName>
    <definedName name="SHT051BR4" localSheetId="43">#REF!</definedName>
    <definedName name="SHT051BR4" localSheetId="51">#REF!</definedName>
    <definedName name="SHT051BR4" localSheetId="52">#REF!</definedName>
    <definedName name="SHT051BR4" localSheetId="59">[4]Sheet2!$AC$21:$AC$34</definedName>
    <definedName name="SHT051BR4" localSheetId="64">#REF!</definedName>
    <definedName name="SHT051BR4">#REF!</definedName>
    <definedName name="SHT051BR5" localSheetId="5">#REF!</definedName>
    <definedName name="SHT051BR5" localSheetId="13">#REF!</definedName>
    <definedName name="SHT051BR5" localSheetId="14">#REF!</definedName>
    <definedName name="SHT051BR5" localSheetId="43">#REF!</definedName>
    <definedName name="SHT051BR5" localSheetId="51">#REF!</definedName>
    <definedName name="SHT051BR5" localSheetId="52">#REF!</definedName>
    <definedName name="SHT051BR5" localSheetId="59">[4]Sheet2!$AE$21:$AE$34</definedName>
    <definedName name="SHT051BR5" localSheetId="64">#REF!</definedName>
    <definedName name="SHT051BR5">#REF!</definedName>
    <definedName name="SHT051BR6" localSheetId="5">#REF!</definedName>
    <definedName name="SHT051BR6" localSheetId="13">#REF!</definedName>
    <definedName name="SHT051BR6" localSheetId="14">#REF!</definedName>
    <definedName name="SHT051BR6" localSheetId="43">#REF!</definedName>
    <definedName name="SHT051BR6" localSheetId="51">#REF!</definedName>
    <definedName name="SHT051BR6" localSheetId="52">#REF!</definedName>
    <definedName name="SHT051BR6" localSheetId="59">[4]Sheet2!$AG$21:$AG$34</definedName>
    <definedName name="SHT051BR6" localSheetId="64">#REF!</definedName>
    <definedName name="SHT051BR6">#REF!</definedName>
    <definedName name="SHT051BR7" localSheetId="5">#REF!</definedName>
    <definedName name="SHT051BR7" localSheetId="13">#REF!</definedName>
    <definedName name="SHT051BR7" localSheetId="14">#REF!</definedName>
    <definedName name="SHT051BR7" localSheetId="43">#REF!</definedName>
    <definedName name="SHT051BR7" localSheetId="51">#REF!</definedName>
    <definedName name="SHT051BR7" localSheetId="52">#REF!</definedName>
    <definedName name="SHT051BR7" localSheetId="59">[4]Sheet2!$AI$21:$AI$34</definedName>
    <definedName name="SHT051BR7" localSheetId="64">#REF!</definedName>
    <definedName name="SHT051BR7">#REF!</definedName>
    <definedName name="SHT051BR8" localSheetId="5">#REF!</definedName>
    <definedName name="SHT051BR8" localSheetId="13">#REF!</definedName>
    <definedName name="SHT051BR8" localSheetId="14">#REF!</definedName>
    <definedName name="SHT051BR8" localSheetId="43">#REF!</definedName>
    <definedName name="SHT051BR8" localSheetId="51">#REF!</definedName>
    <definedName name="SHT051BR8" localSheetId="52">#REF!</definedName>
    <definedName name="SHT051BR8" localSheetId="59">[4]Sheet2!$AN$21:$AN$34</definedName>
    <definedName name="SHT051BR8" localSheetId="64">#REF!</definedName>
    <definedName name="SHT051BR8">#REF!</definedName>
    <definedName name="SHT051BR9" localSheetId="5">#REF!</definedName>
    <definedName name="SHT051BR9" localSheetId="13">#REF!</definedName>
    <definedName name="SHT051BR9" localSheetId="14">#REF!</definedName>
    <definedName name="SHT051BR9" localSheetId="43">#REF!</definedName>
    <definedName name="SHT051BR9" localSheetId="51">#REF!</definedName>
    <definedName name="SHT051BR9" localSheetId="52">#REF!</definedName>
    <definedName name="SHT051BR9" localSheetId="59">[4]Sheet2!$AP$21:$AP$34</definedName>
    <definedName name="SHT051BR9" localSheetId="64">#REF!</definedName>
    <definedName name="SHT051BR9">#REF!</definedName>
    <definedName name="SHT051TR1" localSheetId="5">#REF!</definedName>
    <definedName name="SHT051TR1" localSheetId="13">#REF!</definedName>
    <definedName name="SHT051TR1" localSheetId="14">#REF!</definedName>
    <definedName name="SHT051TR1" localSheetId="43">#REF!</definedName>
    <definedName name="SHT051TR1" localSheetId="51">#REF!</definedName>
    <definedName name="SHT051TR1" localSheetId="52">#REF!</definedName>
    <definedName name="SHT051TR1" localSheetId="59">[4]Sheet2!$G$9:$G$18</definedName>
    <definedName name="SHT051TR1" localSheetId="64">#REF!</definedName>
    <definedName name="SHT051TR1">#REF!</definedName>
    <definedName name="SHT051TR2" localSheetId="5">#REF!</definedName>
    <definedName name="SHT051TR2" localSheetId="13">#REF!</definedName>
    <definedName name="SHT051TR2" localSheetId="14">#REF!</definedName>
    <definedName name="SHT051TR2" localSheetId="43">#REF!</definedName>
    <definedName name="SHT051TR2" localSheetId="51">#REF!</definedName>
    <definedName name="SHT051TR2" localSheetId="52">#REF!</definedName>
    <definedName name="SHT051TR2" localSheetId="59">[4]Sheet2!$K$9:$K$18</definedName>
    <definedName name="SHT051TR2" localSheetId="64">#REF!</definedName>
    <definedName name="SHT051TR2">#REF!</definedName>
    <definedName name="SHT051TR3" localSheetId="5">#REF!</definedName>
    <definedName name="SHT051TR3" localSheetId="13">#REF!</definedName>
    <definedName name="SHT051TR3" localSheetId="14">#REF!</definedName>
    <definedName name="SHT051TR3" localSheetId="43">#REF!</definedName>
    <definedName name="SHT051TR3" localSheetId="51">#REF!</definedName>
    <definedName name="SHT051TR3" localSheetId="52">#REF!</definedName>
    <definedName name="SHT051TR3" localSheetId="59">[4]Sheet2!$R$9:$R$18</definedName>
    <definedName name="SHT051TR3" localSheetId="64">#REF!</definedName>
    <definedName name="SHT051TR3">#REF!</definedName>
    <definedName name="SHT051TR4" localSheetId="5">#REF!</definedName>
    <definedName name="SHT051TR4" localSheetId="13">#REF!</definedName>
    <definedName name="SHT051TR4" localSheetId="14">#REF!</definedName>
    <definedName name="SHT051TR4" localSheetId="43">#REF!</definedName>
    <definedName name="SHT051TR4" localSheetId="51">#REF!</definedName>
    <definedName name="SHT051TR4" localSheetId="52">#REF!</definedName>
    <definedName name="SHT051TR4" localSheetId="59">[4]Sheet2!$AC$9:$AC$18</definedName>
    <definedName name="SHT051TR4" localSheetId="64">#REF!</definedName>
    <definedName name="SHT051TR4">#REF!</definedName>
    <definedName name="SHT051TR5" localSheetId="5">#REF!</definedName>
    <definedName name="SHT051TR5" localSheetId="13">#REF!</definedName>
    <definedName name="SHT051TR5" localSheetId="14">#REF!</definedName>
    <definedName name="SHT051TR5" localSheetId="43">#REF!</definedName>
    <definedName name="SHT051TR5" localSheetId="51">#REF!</definedName>
    <definedName name="SHT051TR5" localSheetId="52">#REF!</definedName>
    <definedName name="SHT051TR5" localSheetId="59">[4]Sheet2!$AE$9:$AE$18</definedName>
    <definedName name="SHT051TR5" localSheetId="64">#REF!</definedName>
    <definedName name="SHT051TR5">#REF!</definedName>
    <definedName name="SHT051TR6" localSheetId="5">#REF!</definedName>
    <definedName name="SHT051TR6" localSheetId="13">#REF!</definedName>
    <definedName name="SHT051TR6" localSheetId="14">#REF!</definedName>
    <definedName name="SHT051TR6" localSheetId="43">#REF!</definedName>
    <definedName name="SHT051TR6" localSheetId="51">#REF!</definedName>
    <definedName name="SHT051TR6" localSheetId="52">#REF!</definedName>
    <definedName name="SHT051TR6" localSheetId="59">[4]Sheet2!$AG$9:$AG$18</definedName>
    <definedName name="SHT051TR6" localSheetId="64">#REF!</definedName>
    <definedName name="SHT051TR6">#REF!</definedName>
    <definedName name="SHT051TR7" localSheetId="5">#REF!</definedName>
    <definedName name="SHT051TR7" localSheetId="13">#REF!</definedName>
    <definedName name="SHT051TR7" localSheetId="14">#REF!</definedName>
    <definedName name="SHT051TR7" localSheetId="43">#REF!</definedName>
    <definedName name="SHT051TR7" localSheetId="51">#REF!</definedName>
    <definedName name="SHT051TR7" localSheetId="52">#REF!</definedName>
    <definedName name="SHT051TR7" localSheetId="59">[4]Sheet2!$AI$9:$AI$18</definedName>
    <definedName name="SHT051TR7" localSheetId="64">#REF!</definedName>
    <definedName name="SHT051TR7">#REF!</definedName>
    <definedName name="SHT051TR8" localSheetId="5">#REF!</definedName>
    <definedName name="SHT051TR8" localSheetId="13">#REF!</definedName>
    <definedName name="SHT051TR8" localSheetId="14">#REF!</definedName>
    <definedName name="SHT051TR8" localSheetId="43">#REF!</definedName>
    <definedName name="SHT051TR8" localSheetId="51">#REF!</definedName>
    <definedName name="SHT051TR8" localSheetId="52">#REF!</definedName>
    <definedName name="SHT051TR8" localSheetId="59">[4]Sheet2!$AN$9:$AN$18</definedName>
    <definedName name="SHT051TR8" localSheetId="64">#REF!</definedName>
    <definedName name="SHT051TR8">#REF!</definedName>
    <definedName name="SHT051TR9" localSheetId="5">#REF!</definedName>
    <definedName name="SHT051TR9" localSheetId="13">#REF!</definedName>
    <definedName name="SHT051TR9" localSheetId="14">#REF!</definedName>
    <definedName name="SHT051TR9" localSheetId="43">#REF!</definedName>
    <definedName name="SHT051TR9" localSheetId="51">#REF!</definedName>
    <definedName name="SHT051TR9" localSheetId="52">#REF!</definedName>
    <definedName name="SHT051TR9" localSheetId="59">[4]Sheet2!$AP$9:$AP$18</definedName>
    <definedName name="SHT051TR9" localSheetId="64">#REF!</definedName>
    <definedName name="SHT051TR9">#REF!</definedName>
    <definedName name="SHT060BR1" localSheetId="5">#REF!</definedName>
    <definedName name="SHT060BR1" localSheetId="13">#REF!</definedName>
    <definedName name="SHT060BR1" localSheetId="14">#REF!</definedName>
    <definedName name="SHT060BR1" localSheetId="43">#REF!</definedName>
    <definedName name="SHT060BR1" localSheetId="51">#REF!</definedName>
    <definedName name="SHT060BR1" localSheetId="52">#REF!</definedName>
    <definedName name="SHT060BR1" localSheetId="59">[4]Sheet2!$G$16:$G$27</definedName>
    <definedName name="SHT060BR1" localSheetId="64">#REF!</definedName>
    <definedName name="SHT060BR1">#REF!</definedName>
    <definedName name="SHT060BR2" localSheetId="5">#REF!</definedName>
    <definedName name="SHT060BR2" localSheetId="13">#REF!</definedName>
    <definedName name="SHT060BR2" localSheetId="14">#REF!</definedName>
    <definedName name="SHT060BR2" localSheetId="43">#REF!</definedName>
    <definedName name="SHT060BR2" localSheetId="51">#REF!</definedName>
    <definedName name="SHT060BR2" localSheetId="52">#REF!</definedName>
    <definedName name="SHT060BR2" localSheetId="59">[4]Sheet2!$H$16:$H$27</definedName>
    <definedName name="SHT060BR2" localSheetId="64">#REF!</definedName>
    <definedName name="SHT060BR2">#REF!</definedName>
    <definedName name="SHT060BR3" localSheetId="5">#REF!</definedName>
    <definedName name="SHT060BR3" localSheetId="13">#REF!</definedName>
    <definedName name="SHT060BR3" localSheetId="14">#REF!</definedName>
    <definedName name="SHT060BR3" localSheetId="43">#REF!</definedName>
    <definedName name="SHT060BR3" localSheetId="51">#REF!</definedName>
    <definedName name="SHT060BR3" localSheetId="52">#REF!</definedName>
    <definedName name="SHT060BR3" localSheetId="59">[4]Sheet2!$J$16:$J$27</definedName>
    <definedName name="SHT060BR3" localSheetId="64">#REF!</definedName>
    <definedName name="SHT060BR3">#REF!</definedName>
    <definedName name="SHT060TR1" localSheetId="5">#REF!</definedName>
    <definedName name="SHT060TR1" localSheetId="13">#REF!</definedName>
    <definedName name="SHT060TR1" localSheetId="14">#REF!</definedName>
    <definedName name="SHT060TR1" localSheetId="43">#REF!</definedName>
    <definedName name="SHT060TR1" localSheetId="51">#REF!</definedName>
    <definedName name="SHT060TR1" localSheetId="52">#REF!</definedName>
    <definedName name="SHT060TR1" localSheetId="59">[4]Sheet2!$G$8:$G$13</definedName>
    <definedName name="SHT060TR1" localSheetId="64">#REF!</definedName>
    <definedName name="SHT060TR1">#REF!</definedName>
    <definedName name="SHT060TR2" localSheetId="5">#REF!</definedName>
    <definedName name="SHT060TR2" localSheetId="13">#REF!</definedName>
    <definedName name="SHT060TR2" localSheetId="14">#REF!</definedName>
    <definedName name="SHT060TR2" localSheetId="43">#REF!</definedName>
    <definedName name="SHT060TR2" localSheetId="51">#REF!</definedName>
    <definedName name="SHT060TR2" localSheetId="52">#REF!</definedName>
    <definedName name="SHT060TR2" localSheetId="59">[4]Sheet2!$H$8:$H$13</definedName>
    <definedName name="SHT060TR2" localSheetId="64">#REF!</definedName>
    <definedName name="SHT060TR2">#REF!</definedName>
    <definedName name="SHT060TR3" localSheetId="5">#REF!</definedName>
    <definedName name="SHT060TR3" localSheetId="13">#REF!</definedName>
    <definedName name="SHT060TR3" localSheetId="14">#REF!</definedName>
    <definedName name="SHT060TR3" localSheetId="43">#REF!</definedName>
    <definedName name="SHT060TR3" localSheetId="51">#REF!</definedName>
    <definedName name="SHT060TR3" localSheetId="52">#REF!</definedName>
    <definedName name="SHT060TR3" localSheetId="59">[4]Sheet2!$J$8:$J$13</definedName>
    <definedName name="SHT060TR3" localSheetId="64">#REF!</definedName>
    <definedName name="SHT060TR3">#REF!</definedName>
    <definedName name="SHT060TR8" localSheetId="59">[4]Sheet2!$G$35</definedName>
    <definedName name="SHT060TR8">[17]表06!$G$35</definedName>
    <definedName name="SHT070TR1" localSheetId="5">#REF!</definedName>
    <definedName name="SHT070TR1" localSheetId="13">#REF!</definedName>
    <definedName name="SHT070TR1" localSheetId="14">#REF!</definedName>
    <definedName name="SHT070TR1" localSheetId="43">#REF!</definedName>
    <definedName name="SHT070TR1" localSheetId="51">#REF!</definedName>
    <definedName name="SHT070TR1" localSheetId="52">#REF!</definedName>
    <definedName name="SHT070TR1" localSheetId="59">[4]Sheet2!$D$9:$D$19</definedName>
    <definedName name="SHT070TR1" localSheetId="64">#REF!</definedName>
    <definedName name="SHT070TR1">#REF!</definedName>
    <definedName name="SHT070TR2" localSheetId="5">#REF!</definedName>
    <definedName name="SHT070TR2" localSheetId="13">#REF!</definedName>
    <definedName name="SHT070TR2" localSheetId="14">#REF!</definedName>
    <definedName name="SHT070TR2" localSheetId="43">#REF!</definedName>
    <definedName name="SHT070TR2" localSheetId="51">#REF!</definedName>
    <definedName name="SHT070TR2" localSheetId="52">#REF!</definedName>
    <definedName name="SHT070TR2" localSheetId="59">[4]Sheet2!$F$9:$F$19</definedName>
    <definedName name="SHT070TR2" localSheetId="64">#REF!</definedName>
    <definedName name="SHT070TR2">#REF!</definedName>
    <definedName name="SHT070TR3" localSheetId="5">#REF!</definedName>
    <definedName name="SHT070TR3" localSheetId="13">#REF!</definedName>
    <definedName name="SHT070TR3" localSheetId="14">#REF!</definedName>
    <definedName name="SHT070TR3" localSheetId="43">#REF!</definedName>
    <definedName name="SHT070TR3" localSheetId="51">#REF!</definedName>
    <definedName name="SHT070TR3" localSheetId="52">#REF!</definedName>
    <definedName name="SHT070TR3" localSheetId="59">[4]Sheet2!$H$9:$H$19</definedName>
    <definedName name="SHT070TR3" localSheetId="64">#REF!</definedName>
    <definedName name="SHT070TR3">#REF!</definedName>
    <definedName name="SHT070TR4" localSheetId="5">#REF!</definedName>
    <definedName name="SHT070TR4" localSheetId="13">#REF!</definedName>
    <definedName name="SHT070TR4" localSheetId="14">#REF!</definedName>
    <definedName name="SHT070TR4" localSheetId="43">#REF!</definedName>
    <definedName name="SHT070TR4" localSheetId="51">#REF!</definedName>
    <definedName name="SHT070TR4" localSheetId="52">#REF!</definedName>
    <definedName name="SHT070TR4" localSheetId="59">[4]Sheet2!$N$9:$N$19</definedName>
    <definedName name="SHT070TR4" localSheetId="64">#REF!</definedName>
    <definedName name="SHT070TR4">#REF!</definedName>
    <definedName name="SHT070TR5" localSheetId="5">#REF!</definedName>
    <definedName name="SHT070TR5" localSheetId="13">#REF!</definedName>
    <definedName name="SHT070TR5" localSheetId="14">#REF!</definedName>
    <definedName name="SHT070TR5" localSheetId="43">#REF!</definedName>
    <definedName name="SHT070TR5" localSheetId="51">#REF!</definedName>
    <definedName name="SHT070TR5" localSheetId="52">#REF!</definedName>
    <definedName name="SHT070TR5" localSheetId="59">[4]Sheet2!$P$9:$P$19</definedName>
    <definedName name="SHT070TR5" localSheetId="64">#REF!</definedName>
    <definedName name="SHT070TR5">#REF!</definedName>
    <definedName name="SHT070TR6" localSheetId="5">#REF!</definedName>
    <definedName name="SHT070TR6" localSheetId="13">#REF!</definedName>
    <definedName name="SHT070TR6" localSheetId="14">#REF!</definedName>
    <definedName name="SHT070TR6" localSheetId="43">#REF!</definedName>
    <definedName name="SHT070TR6" localSheetId="51">#REF!</definedName>
    <definedName name="SHT070TR6" localSheetId="52">#REF!</definedName>
    <definedName name="SHT070TR6" localSheetId="59">[4]Sheet2!$R$9:$R$19</definedName>
    <definedName name="SHT070TR6" localSheetId="64">#REF!</definedName>
    <definedName name="SHT070TR6">#REF!</definedName>
    <definedName name="SHT070TR7" localSheetId="5">#REF!</definedName>
    <definedName name="SHT070TR7" localSheetId="13">#REF!</definedName>
    <definedName name="SHT070TR7" localSheetId="14">#REF!</definedName>
    <definedName name="SHT070TR7" localSheetId="43">#REF!</definedName>
    <definedName name="SHT070TR7" localSheetId="51">#REF!</definedName>
    <definedName name="SHT070TR7" localSheetId="52">#REF!</definedName>
    <definedName name="SHT070TR7" localSheetId="59">[4]Sheet2!$T$9:$T$19</definedName>
    <definedName name="SHT070TR7" localSheetId="64">#REF!</definedName>
    <definedName name="SHT070TR7">#REF!</definedName>
    <definedName name="SHT070TR8" localSheetId="5">#REF!</definedName>
    <definedName name="SHT070TR8" localSheetId="13">#REF!</definedName>
    <definedName name="SHT070TR8" localSheetId="14">#REF!</definedName>
    <definedName name="SHT070TR8" localSheetId="43">#REF!</definedName>
    <definedName name="SHT070TR8" localSheetId="51">#REF!</definedName>
    <definedName name="SHT070TR8" localSheetId="52">#REF!</definedName>
    <definedName name="SHT070TR8" localSheetId="59">[4]Sheet2!$X$9:$X$19</definedName>
    <definedName name="SHT070TR8" localSheetId="64">#REF!</definedName>
    <definedName name="SHT070TR8">#REF!</definedName>
    <definedName name="SHT070TR9" localSheetId="5">#REF!</definedName>
    <definedName name="SHT070TR9" localSheetId="13">#REF!</definedName>
    <definedName name="SHT070TR9" localSheetId="14">#REF!</definedName>
    <definedName name="SHT070TR9" localSheetId="43">#REF!</definedName>
    <definedName name="SHT070TR9" localSheetId="51">#REF!</definedName>
    <definedName name="SHT070TR9" localSheetId="52">#REF!</definedName>
    <definedName name="SHT070TR9" localSheetId="59">[4]Sheet2!$Z$9:$Z$19</definedName>
    <definedName name="SHT070TR9" localSheetId="64">#REF!</definedName>
    <definedName name="SHT070TR9">#REF!</definedName>
    <definedName name="SHT071TR1" localSheetId="5">#REF!</definedName>
    <definedName name="SHT071TR1" localSheetId="13">#REF!</definedName>
    <definedName name="SHT071TR1" localSheetId="14">#REF!</definedName>
    <definedName name="SHT071TR1" localSheetId="43">#REF!</definedName>
    <definedName name="SHT071TR1" localSheetId="51">#REF!</definedName>
    <definedName name="SHT071TR1" localSheetId="52">#REF!</definedName>
    <definedName name="SHT071TR1" localSheetId="59">[4]Sheet2!$D$9:$D$19</definedName>
    <definedName name="SHT071TR1" localSheetId="64">#REF!</definedName>
    <definedName name="SHT071TR1">#REF!</definedName>
    <definedName name="SHT071TR2" localSheetId="5">#REF!</definedName>
    <definedName name="SHT071TR2" localSheetId="13">#REF!</definedName>
    <definedName name="SHT071TR2" localSheetId="14">#REF!</definedName>
    <definedName name="SHT071TR2" localSheetId="43">#REF!</definedName>
    <definedName name="SHT071TR2" localSheetId="51">#REF!</definedName>
    <definedName name="SHT071TR2" localSheetId="52">#REF!</definedName>
    <definedName name="SHT071TR2" localSheetId="59">[4]Sheet2!$F$9:$F$19</definedName>
    <definedName name="SHT071TR2" localSheetId="64">#REF!</definedName>
    <definedName name="SHT071TR2">#REF!</definedName>
    <definedName name="SHT071TR3" localSheetId="5">#REF!</definedName>
    <definedName name="SHT071TR3" localSheetId="13">#REF!</definedName>
    <definedName name="SHT071TR3" localSheetId="14">#REF!</definedName>
    <definedName name="SHT071TR3" localSheetId="43">#REF!</definedName>
    <definedName name="SHT071TR3" localSheetId="51">#REF!</definedName>
    <definedName name="SHT071TR3" localSheetId="52">#REF!</definedName>
    <definedName name="SHT071TR3" localSheetId="59">[4]Sheet2!$H$9:$H$19</definedName>
    <definedName name="SHT071TR3" localSheetId="64">#REF!</definedName>
    <definedName name="SHT071TR3">#REF!</definedName>
    <definedName name="SHT071TR4" localSheetId="5">#REF!</definedName>
    <definedName name="SHT071TR4" localSheetId="13">#REF!</definedName>
    <definedName name="SHT071TR4" localSheetId="14">#REF!</definedName>
    <definedName name="SHT071TR4" localSheetId="43">#REF!</definedName>
    <definedName name="SHT071TR4" localSheetId="51">#REF!</definedName>
    <definedName name="SHT071TR4" localSheetId="52">#REF!</definedName>
    <definedName name="SHT071TR4" localSheetId="59">[4]Sheet2!$N$9:$N$19</definedName>
    <definedName name="SHT071TR4" localSheetId="64">#REF!</definedName>
    <definedName name="SHT071TR4">#REF!</definedName>
    <definedName name="SHT071TR5" localSheetId="5">#REF!</definedName>
    <definedName name="SHT071TR5" localSheetId="13">#REF!</definedName>
    <definedName name="SHT071TR5" localSheetId="14">#REF!</definedName>
    <definedName name="SHT071TR5" localSheetId="43">#REF!</definedName>
    <definedName name="SHT071TR5" localSheetId="51">#REF!</definedName>
    <definedName name="SHT071TR5" localSheetId="52">#REF!</definedName>
    <definedName name="SHT071TR5" localSheetId="59">[4]Sheet2!$P$9:$P$19</definedName>
    <definedName name="SHT071TR5" localSheetId="64">#REF!</definedName>
    <definedName name="SHT071TR5">#REF!</definedName>
    <definedName name="SHT071TR6" localSheetId="5">#REF!</definedName>
    <definedName name="SHT071TR6" localSheetId="13">#REF!</definedName>
    <definedName name="SHT071TR6" localSheetId="14">#REF!</definedName>
    <definedName name="SHT071TR6" localSheetId="43">#REF!</definedName>
    <definedName name="SHT071TR6" localSheetId="51">#REF!</definedName>
    <definedName name="SHT071TR6" localSheetId="52">#REF!</definedName>
    <definedName name="SHT071TR6" localSheetId="59">[4]Sheet2!$R$9:$R$19</definedName>
    <definedName name="SHT071TR6" localSheetId="64">#REF!</definedName>
    <definedName name="SHT071TR6">#REF!</definedName>
    <definedName name="SHT071TR7" localSheetId="5">#REF!</definedName>
    <definedName name="SHT071TR7" localSheetId="13">#REF!</definedName>
    <definedName name="SHT071TR7" localSheetId="14">#REF!</definedName>
    <definedName name="SHT071TR7" localSheetId="43">#REF!</definedName>
    <definedName name="SHT071TR7" localSheetId="51">#REF!</definedName>
    <definedName name="SHT071TR7" localSheetId="52">#REF!</definedName>
    <definedName name="SHT071TR7" localSheetId="59">[4]Sheet2!$T$9:$T$19</definedName>
    <definedName name="SHT071TR7" localSheetId="64">#REF!</definedName>
    <definedName name="SHT071TR7">#REF!</definedName>
    <definedName name="SHT071TR8" localSheetId="5">#REF!</definedName>
    <definedName name="SHT071TR8" localSheetId="13">#REF!</definedName>
    <definedName name="SHT071TR8" localSheetId="14">#REF!</definedName>
    <definedName name="SHT071TR8" localSheetId="43">#REF!</definedName>
    <definedName name="SHT071TR8" localSheetId="51">#REF!</definedName>
    <definedName name="SHT071TR8" localSheetId="52">#REF!</definedName>
    <definedName name="SHT071TR8" localSheetId="59">[4]Sheet2!$X$9:$X$19</definedName>
    <definedName name="SHT071TR8" localSheetId="64">#REF!</definedName>
    <definedName name="SHT071TR8">#REF!</definedName>
    <definedName name="SHT071TR9" localSheetId="5">#REF!</definedName>
    <definedName name="SHT071TR9" localSheetId="13">#REF!</definedName>
    <definedName name="SHT071TR9" localSheetId="14">#REF!</definedName>
    <definedName name="SHT071TR9" localSheetId="43">#REF!</definedName>
    <definedName name="SHT071TR9" localSheetId="51">#REF!</definedName>
    <definedName name="SHT071TR9" localSheetId="52">#REF!</definedName>
    <definedName name="SHT071TR9" localSheetId="59">[4]Sheet2!$Z$9:$Z$19</definedName>
    <definedName name="SHT071TR9" localSheetId="64">#REF!</definedName>
    <definedName name="SHT071TR9">#REF!</definedName>
    <definedName name="SHT080BR1" localSheetId="5">#REF!</definedName>
    <definedName name="SHT080BR1" localSheetId="13">#REF!</definedName>
    <definedName name="SHT080BR1" localSheetId="14">#REF!</definedName>
    <definedName name="SHT080BR1" localSheetId="43">#REF!</definedName>
    <definedName name="SHT080BR1" localSheetId="51">#REF!</definedName>
    <definedName name="SHT080BR1" localSheetId="52">#REF!</definedName>
    <definedName name="SHT080BR1" localSheetId="59">[4]Sheet2!$G$17:$N$22</definedName>
    <definedName name="SHT080BR1" localSheetId="64">#REF!</definedName>
    <definedName name="SHT080BR1">#REF!</definedName>
    <definedName name="SHT080TR1" localSheetId="5">#REF!</definedName>
    <definedName name="SHT080TR1" localSheetId="13">#REF!</definedName>
    <definedName name="SHT080TR1" localSheetId="14">#REF!</definedName>
    <definedName name="SHT080TR1" localSheetId="43">#REF!</definedName>
    <definedName name="SHT080TR1" localSheetId="51">#REF!</definedName>
    <definedName name="SHT080TR1" localSheetId="52">#REF!</definedName>
    <definedName name="SHT080TR1" localSheetId="59">[4]Sheet2!$G$9:$N$14</definedName>
    <definedName name="SHT080TR1" localSheetId="64">#REF!</definedName>
    <definedName name="SHT080TR1">#REF!</definedName>
    <definedName name="SHT100TR8" localSheetId="59">[4]Sheet2!$G$38</definedName>
    <definedName name="SHT100TR8">[13]表10!$G$38</definedName>
    <definedName name="SHT151BR1" localSheetId="5">#REF!</definedName>
    <definedName name="SHT151BR1" localSheetId="13">#REF!</definedName>
    <definedName name="SHT151BR1" localSheetId="14">#REF!</definedName>
    <definedName name="SHT151BR1" localSheetId="43">#REF!</definedName>
    <definedName name="SHT151BR1" localSheetId="51">#REF!</definedName>
    <definedName name="SHT151BR1" localSheetId="52">#REF!</definedName>
    <definedName name="SHT151BR1" localSheetId="59">[4]Sheet2!$E$12:$E$15</definedName>
    <definedName name="SHT151BR1" localSheetId="64">#REF!</definedName>
    <definedName name="SHT151BR1">#REF!</definedName>
    <definedName name="SHT151TR1" localSheetId="5">#REF!</definedName>
    <definedName name="SHT151TR1" localSheetId="13">#REF!</definedName>
    <definedName name="SHT151TR1" localSheetId="14">#REF!</definedName>
    <definedName name="SHT151TR1" localSheetId="43">#REF!</definedName>
    <definedName name="SHT151TR1" localSheetId="51">#REF!</definedName>
    <definedName name="SHT151TR1" localSheetId="52">#REF!</definedName>
    <definedName name="SHT151TR1" localSheetId="59">[4]Sheet2!$E$7:$E$11</definedName>
    <definedName name="SHT151TR1" localSheetId="64">#REF!</definedName>
    <definedName name="SHT151TR1">#REF!</definedName>
    <definedName name="sht151tr2" localSheetId="59">[4]Sheet1!$E$7:$E$11</definedName>
    <definedName name="sht151tr2">'[13]表15(合併列示及總計)'!$E$7:$E$11</definedName>
    <definedName name="Sovereign_Risk_Charges" localSheetId="17">'[8]misc calcs'!$E$168:$E$241</definedName>
    <definedName name="Sovereign_Risk_Charges">'[9]misc calcs'!$E$168:$E$241</definedName>
    <definedName name="TextRefCopy1">#REF!</definedName>
    <definedName name="TextRefCopy10">#REF!</definedName>
    <definedName name="TextRefCopy11">#REF!</definedName>
    <definedName name="TextRefCopy12">#REF!</definedName>
    <definedName name="TextRefCopy13" localSheetId="15">#REF!</definedName>
    <definedName name="TextRefCopy13" localSheetId="5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 localSheetId="15">#REF!</definedName>
    <definedName name="TextRefCopy29" localSheetId="52">#REF!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 localSheetId="15">#REF!</definedName>
    <definedName name="TextRefCopy4" localSheetId="52">#REF!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5">#REF!</definedName>
    <definedName name="TextRefCopy6">#REF!</definedName>
    <definedName name="TextRefCopy7">#REF!</definedName>
    <definedName name="TextRefCopy8">#REF!</definedName>
    <definedName name="TextRefCopy9">#REF!</definedName>
    <definedName name="TextRefCopyRangeCount" hidden="1">46</definedName>
    <definedName name="TWD" localSheetId="15">#REF!</definedName>
    <definedName name="TWD" localSheetId="52">#REF!</definedName>
    <definedName name="TWD">#REF!</definedName>
    <definedName name="USD_Business_Risk1" localSheetId="17">[8]Business!$B$410:$L$443</definedName>
    <definedName name="USD_Business_Risk1">[9]Business!$B$410:$L$443</definedName>
    <definedName name="USD_Business_Risk2" localSheetId="17">[8]Business!$B$445:$L$478</definedName>
    <definedName name="USD_Business_Risk2">[9]Business!$B$445:$L$478</definedName>
    <definedName name="USD_Business_Risk3" localSheetId="17">[8]Business!$B$480:$L$513</definedName>
    <definedName name="USD_Business_Risk3">[9]Business!$B$480:$L$513</definedName>
    <definedName name="USD_Business_Risk4" localSheetId="17">[8]Business!$B$515:$L$548</definedName>
    <definedName name="USD_Business_Risk4">[9]Business!$B$515:$L$548</definedName>
    <definedName name="USD_Business_Risk5" localSheetId="17">[8]Business!$B$550:$L$583</definedName>
    <definedName name="USD_Business_Risk5">[9]Business!$B$550:$L$583</definedName>
    <definedName name="USD_Business_Summary" localSheetId="17">[8]Business!$R$410:$AJ$443</definedName>
    <definedName name="USD_Business_Summary">[9]Business!$R$410:$AJ$443</definedName>
    <definedName name="USD_Credit_Risk1" localSheetId="17">[8]Credit!$B$403:$P$459</definedName>
    <definedName name="USD_Credit_Risk1">[9]Credit!$B$403:$P$459</definedName>
    <definedName name="USD_Credit_Risk2" localSheetId="17">[8]Credit!$B$464:$P$520</definedName>
    <definedName name="USD_Credit_Risk2">[9]Credit!$B$464:$P$520</definedName>
    <definedName name="USD_Credit_Risk3" localSheetId="17">[8]Credit!$B$525:$P$581</definedName>
    <definedName name="USD_Credit_Risk3">[9]Credit!$B$525:$P$581</definedName>
    <definedName name="USD_Credit_Risk4" localSheetId="17">[8]Credit!$B$586:$P$642</definedName>
    <definedName name="USD_Credit_Risk4">[9]Credit!$B$586:$P$642</definedName>
    <definedName name="USD_Credit_Risk5" localSheetId="17">[8]Credit!$B$646:$P$703</definedName>
    <definedName name="USD_Credit_Risk5">[9]Credit!$B$646:$P$703</definedName>
    <definedName name="USD_Credit_Summary" localSheetId="17">[8]Credit!$BC$403:$BT$459</definedName>
    <definedName name="USD_Credit_Summary">[9]Credit!$BC$403:$BT$459</definedName>
    <definedName name="USD_Diverse" localSheetId="17">'[8]Ceded WP'!$B$406:$R$470</definedName>
    <definedName name="USD_Diverse">'[9]Ceded WP'!$B$406:$R$470</definedName>
    <definedName name="USD_Interest_Rate_Risk1" localSheetId="17">[8]Interest!$B$538:$K$604</definedName>
    <definedName name="USD_Interest_Rate_Risk1">[9]Interest!$B$538:$K$604</definedName>
    <definedName name="USD_Interest_Rate_Risk2" localSheetId="17">[8]Interest!$B$606:$K$672</definedName>
    <definedName name="USD_Interest_Rate_Risk2">[9]Interest!$B$606:$K$672</definedName>
    <definedName name="USD_Interest_Rate_Risk3" localSheetId="17">[8]Interest!$B$674:$K$740</definedName>
    <definedName name="USD_Interest_Rate_Risk3">[9]Interest!$B$674:$K$740</definedName>
    <definedName name="USD_Interest_Rate_Risk4" localSheetId="17">[8]Interest!$B$742:$K$808</definedName>
    <definedName name="USD_Interest_Rate_Risk4">[9]Interest!$B$742:$K$808</definedName>
    <definedName name="USD_Interest_Rate_Risk5" localSheetId="17">[8]Interest!$B$810:$K$876</definedName>
    <definedName name="USD_Interest_Rate_Risk5">[9]Interest!$B$810:$K$876</definedName>
    <definedName name="USD_Interest_Summary" localSheetId="17">[8]Interest!$AE$538:$AV$604</definedName>
    <definedName name="USD_Interest_Summary">[9]Interest!$AE$538:$AV$604</definedName>
    <definedName name="USD_Invest_Summary" localSheetId="17">[8]Investment!$AE$433:$BC$505</definedName>
    <definedName name="USD_Invest_Summary">[9]Investment!$AE$433:$BC$505</definedName>
    <definedName name="USD_Investment_Risk1" localSheetId="17">[8]Investment!$B$433:$S$505</definedName>
    <definedName name="USD_Investment_Risk1">[9]Investment!$B$433:$S$505</definedName>
    <definedName name="USD_Investment_Risk2" localSheetId="17">[8]Investment!$B$508:$S$580</definedName>
    <definedName name="USD_Investment_Risk2">[9]Investment!$B$508:$S$580</definedName>
    <definedName name="USD_Investment_Risk3" localSheetId="17">[8]Investment!$B$583:$S$655</definedName>
    <definedName name="USD_Investment_Risk3">[9]Investment!$B$583:$S$655</definedName>
    <definedName name="USD_Investment_Risk4" localSheetId="17">[8]Investment!$B$658:$S$730</definedName>
    <definedName name="USD_Investment_Risk4">[9]Investment!$B$658:$S$730</definedName>
    <definedName name="USD_Investment_Risk5" localSheetId="17">[8]Investment!$B$733:$S$805</definedName>
    <definedName name="USD_Investment_Risk5">[9]Investment!$B$733:$S$805</definedName>
    <definedName name="USD_LH_Ins_Summary" localSheetId="17">'[8]Life Reserves'!$AD$331:$AR$366</definedName>
    <definedName name="USD_LH_Ins_Summary">'[9]Life Reserves'!$AD$331:$AR$366</definedName>
    <definedName name="USD_LH_Insurance_Risk1" localSheetId="17">'[8]Life Reserves'!$B$331:$L$366</definedName>
    <definedName name="USD_LH_Insurance_Risk1">'[9]Life Reserves'!$B$331:$L$366</definedName>
    <definedName name="USD_LH_Insurance_Risk2" localSheetId="17">'[8]Life Reserves'!$B$371:$L$406</definedName>
    <definedName name="USD_LH_Insurance_Risk2">'[9]Life Reserves'!$B$371:$L$406</definedName>
    <definedName name="USD_LH_Insurance_Risk3" localSheetId="17">'[8]Life Reserves'!$B$411:$L$446</definedName>
    <definedName name="USD_LH_Insurance_Risk3">'[9]Life Reserves'!$B$411:$L$446</definedName>
    <definedName name="USD_LH_Insurance_Risk4" localSheetId="17">'[8]Life Reserves'!$B$451:$L$486</definedName>
    <definedName name="USD_LH_Insurance_Risk4">'[9]Life Reserves'!$B$451:$L$486</definedName>
    <definedName name="USD_LH_Insurance_Risk5" localSheetId="17">'[8]Life Reserves'!$B$491:$L$526</definedName>
    <definedName name="USD_LH_Insurance_Risk5">'[9]Life Reserves'!$B$491:$L$526</definedName>
    <definedName name="USD_Premium_Risk1" localSheetId="17">[8]Premium!$B$513:$N$583</definedName>
    <definedName name="USD_Premium_Risk1">[9]Premium!$B$513:$N$583</definedName>
    <definedName name="USD_Premium_Risk2" localSheetId="17">[8]Premium!$B$586:$N$656</definedName>
    <definedName name="USD_Premium_Risk2">[9]Premium!$B$586:$N$656</definedName>
    <definedName name="USD_Premium_Risk3" localSheetId="17">[8]Premium!$B$659:$N$729</definedName>
    <definedName name="USD_Premium_Risk3">[9]Premium!$B$659:$N$729</definedName>
    <definedName name="USD_Premium_Risk4" localSheetId="17">[8]Premium!$B$732:$N$802</definedName>
    <definedName name="USD_Premium_Risk4">[9]Premium!$B$732:$N$802</definedName>
    <definedName name="USD_Premium_Risk5" localSheetId="17">[8]Premium!$B$805:$N$875</definedName>
    <definedName name="USD_Premium_Risk5">[9]Premium!$B$805:$N$875</definedName>
    <definedName name="USD_Premium_Summary" localSheetId="17">[8]Premium!$AB$513:$AU$583</definedName>
    <definedName name="USD_Premium_Summary">[9]Premium!$AB$513:$AU$583</definedName>
    <definedName name="USD_Recoverable_Breakout1" localSheetId="17">[8]Credit!$AA$406:$AS$459</definedName>
    <definedName name="USD_Recoverable_Breakout1">[9]Credit!$AA$406:$AS$459</definedName>
    <definedName name="USD_Recoverable_Breakout2" localSheetId="17">[8]Credit!$AA$467:$AS$520</definedName>
    <definedName name="USD_Recoverable_Breakout2">[9]Credit!$AA$467:$AS$520</definedName>
    <definedName name="USD_Recoverable_Breakout3" localSheetId="17">[8]Credit!$AA$528:$AS$581</definedName>
    <definedName name="USD_Recoverable_Breakout3">[9]Credit!$AA$528:$AS$581</definedName>
    <definedName name="USD_Recoverable_Breakout4" localSheetId="17">[8]Credit!$AA$589:$AS$642</definedName>
    <definedName name="USD_Recoverable_Breakout4">[9]Credit!$AA$589:$AS$642</definedName>
    <definedName name="USD_Recoverable_Breakout5" localSheetId="17">[8]Credit!$AA$646:$AS$703</definedName>
    <definedName name="USD_Recoverable_Breakout5">[9]Credit!$AA$646:$AS$703</definedName>
    <definedName name="USD_Req_Cap_Summary" localSheetId="17">'[8]Req Cap'!$AA$403:$AV$470</definedName>
    <definedName name="USD_Req_Cap_Summary">'[9]Req Cap'!$AA$403:$AV$470</definedName>
    <definedName name="USD_Required_Capital1" localSheetId="17">'[8]Req Cap'!$B$403:$P$470</definedName>
    <definedName name="USD_Required_Capital1">'[9]Req Cap'!$B$403:$P$470</definedName>
    <definedName name="USD_Required_Capital2" localSheetId="17">'[8]Req Cap'!$B$474:$P$541</definedName>
    <definedName name="USD_Required_Capital2">'[9]Req Cap'!$B$474:$P$541</definedName>
    <definedName name="USD_Required_Capital3" localSheetId="17">'[8]Req Cap'!$B$545:$P$612</definedName>
    <definedName name="USD_Required_Capital3">'[9]Req Cap'!$B$545:$P$612</definedName>
    <definedName name="USD_Required_Capital4" localSheetId="17">'[8]Req Cap'!$B$616:$P$683</definedName>
    <definedName name="USD_Required_Capital4">'[9]Req Cap'!$B$616:$P$683</definedName>
    <definedName name="USD_Required_Capital5" localSheetId="17">'[8]Req Cap'!$B$686:$P$754</definedName>
    <definedName name="USD_Required_Capital5">'[9]Req Cap'!$B$686:$P$754</definedName>
    <definedName name="USD_Reserve_Risk1" localSheetId="17">'[8]NonLife Reserves'!$B$492:$T$552</definedName>
    <definedName name="USD_Reserve_Risk1">'[9]NonLife Reserves'!$B$492:$T$552</definedName>
    <definedName name="USD_Reserve_Risk2" localSheetId="17">'[8]NonLife Reserves'!$B$556:$T$616</definedName>
    <definedName name="USD_Reserve_Risk2">'[9]NonLife Reserves'!$B$556:$T$616</definedName>
    <definedName name="USD_Reserve_Risk3" localSheetId="17">'[8]NonLife Reserves'!$B$620:$T$680</definedName>
    <definedName name="USD_Reserve_Risk3">'[9]NonLife Reserves'!$B$620:$T$680</definedName>
    <definedName name="USD_Reserve_Risk4" localSheetId="17">'[8]NonLife Reserves'!$B$684:$T$744</definedName>
    <definedName name="USD_Reserve_Risk4">'[9]NonLife Reserves'!$B$684:$T$744</definedName>
    <definedName name="USD_Reserve_Risk5" localSheetId="17">'[8]NonLife Reserves'!$B$748:$T$808</definedName>
    <definedName name="USD_Reserve_Risk5">'[9]NonLife Reserves'!$B$748:$T$808</definedName>
    <definedName name="USD_Reserve_Summary" localSheetId="17">'[8]NonLife Reserves'!$AC$492:$AV$552</definedName>
    <definedName name="USD_Reserve_Summary">'[9]NonLife Reserves'!$AC$492:$AV$552</definedName>
    <definedName name="USD_Reserve_Summary2" localSheetId="17">'[8]NonLife Reserves'!$AY$492:$BR$552</definedName>
    <definedName name="USD_Reserve_Summary2">'[9]NonLife Reserves'!$AY$492:$BR$552</definedName>
    <definedName name="weight_rate" localSheetId="14">#REF!</definedName>
    <definedName name="weight_rate" localSheetId="59">[4]Sheet1!$L$1</definedName>
    <definedName name="weight_rate">#REF!</definedName>
    <definedName name="xxxChunkR16382C1">+#REF!+#REF!+#REF!+#REF!+#REF!+#REF!+#REF!+#REF!+#REF!+#REF!+#REF!+#REF!+#REF!+#REF!+#REF!+#REF!+#REF!+#REF!+#REF!+#REF!+#REF!+#REF!+#REF!+#REF!+#REF!+#REF!+#REF!+#REF!</definedName>
    <definedName name="xxxChunkR16383C1">+#REF!+#REF!+#REF!+#REF!+#REF!-#REF!+#REF!+#REF!+#REF!+#REF!+#REF!+#REF!-#REF!+#REF!-#REF!+#REF!+#REF!+#REF!+#REF!+#REF!+#REF!+#REF!+#REF!+#REF!+#REF!+#REF!+#REF!+#REF!+#REF!+#REF!+#REF!+#REF!-#REF!</definedName>
    <definedName name="Z_7793056B_648B_11D0_9F55_D619C2B31977_.wvu.PrintArea" localSheetId="31" hidden="1">'表20-1'!$B$1:$J$37</definedName>
    <definedName name="Z_7793056B_648B_11D0_9F55_D619C2B31977_.wvu.PrintArea" localSheetId="41" hidden="1">'表25-1'!$B$1:$J$33</definedName>
    <definedName name="Z_7793056B_648B_11D0_9F55_D619C2B31977_.wvu.PrintArea" localSheetId="42" hidden="1">'表25-2'!$B$1:$J$20</definedName>
    <definedName name="Z_7793056B_648B_11D0_9F55_D619C2B31977_.wvu.PrintTitles" localSheetId="2" hidden="1">表03!$4:$6</definedName>
    <definedName name="Z_E69C307B_4ABB_40A8_9AB0_2BE059051B2A_.wvu.PrintArea" localSheetId="31" hidden="1">'表20-1'!$A$1:$J$49</definedName>
    <definedName name="Z_E69C307B_4ABB_40A8_9AB0_2BE059051B2A_.wvu.PrintArea" localSheetId="34" hidden="1">'表21-2'!$A$1:$N$25</definedName>
    <definedName name="Z_E69C307B_4ABB_40A8_9AB0_2BE059051B2A_.wvu.PrintArea" localSheetId="35" hidden="1">'表22-3'!$A$1:$N$50</definedName>
    <definedName name="Z_E69C307B_4ABB_40A8_9AB0_2BE059051B2A_.wvu.PrintArea" localSheetId="36" hidden="1">'表22-4'!$A$1:$K$23</definedName>
    <definedName name="Z_E69C307B_4ABB_40A8_9AB0_2BE059051B2A_.wvu.PrintArea" localSheetId="37" hidden="1">'表23-1'!$A$1:$P$53</definedName>
    <definedName name="Z_E69C307B_4ABB_40A8_9AB0_2BE059051B2A_.wvu.PrintArea" localSheetId="38" hidden="1">'表23-2'!$A$1:$M$24</definedName>
    <definedName name="Z_E69C307B_4ABB_40A8_9AB0_2BE059051B2A_.wvu.PrintArea" localSheetId="39" hidden="1">'表24-1'!$A$1:$Y$52</definedName>
    <definedName name="Z_E69C307B_4ABB_40A8_9AB0_2BE059051B2A_.wvu.PrintArea" localSheetId="40" hidden="1">'表24-2'!$A$1:$W$24</definedName>
    <definedName name="Z_E69C307B_4ABB_40A8_9AB0_2BE059051B2A_.wvu.PrintArea" localSheetId="41" hidden="1">'表25-1'!$A$1:$AF$55</definedName>
    <definedName name="Z_E69C307B_4ABB_40A8_9AB0_2BE059051B2A_.wvu.PrintArea" localSheetId="42" hidden="1">'表25-2'!$A$1:$AF$27</definedName>
    <definedName name="公司代碼">[19]公司別!$A$1:$B$60</definedName>
    <definedName name="利率" localSheetId="59">#REF!</definedName>
    <definedName name="利率">#REF!</definedName>
    <definedName name="核準文號" localSheetId="59">#REF!</definedName>
    <definedName name="核準文號">#REF!</definedName>
    <definedName name="匯率" localSheetId="17">#REF!</definedName>
    <definedName name="匯率">#REF!</definedName>
    <definedName name="總體法規稽核結論" localSheetId="5">#REF!</definedName>
    <definedName name="總體法規稽核結論" localSheetId="13">#REF!</definedName>
    <definedName name="總體法規稽核結論" localSheetId="14">#REF!</definedName>
    <definedName name="總體法規稽核結論" localSheetId="43">#REF!</definedName>
    <definedName name="總體法規稽核結論" localSheetId="51">#REF!</definedName>
    <definedName name="總體法規稽核結論" localSheetId="52">#REF!</definedName>
    <definedName name="總體法規稽核結論" localSheetId="59">[4]Sheet2!$F$2</definedName>
    <definedName name="總體法規稽核結論" localSheetId="64">#REF!</definedName>
    <definedName name="總體法規稽核結論">#REF!</definedName>
    <definedName name="總體數學勾稽結論" localSheetId="5">#REF!</definedName>
    <definedName name="總體數學勾稽結論" localSheetId="13">#REF!</definedName>
    <definedName name="總體數學勾稽結論" localSheetId="14">#REF!</definedName>
    <definedName name="總體數學勾稽結論" localSheetId="43">#REF!</definedName>
    <definedName name="總體數學勾稽結論" localSheetId="51">#REF!</definedName>
    <definedName name="總體數學勾稽結論" localSheetId="52">#REF!</definedName>
    <definedName name="總體數學勾稽結論" localSheetId="59">[4]Sheet2!$F$2</definedName>
    <definedName name="總體數學勾稽結論" localSheetId="64">#REF!</definedName>
    <definedName name="總體數學勾稽結論">#REF!</definedName>
  </definedNames>
  <calcPr calcId="152511"/>
</workbook>
</file>

<file path=xl/calcChain.xml><?xml version="1.0" encoding="utf-8"?>
<calcChain xmlns="http://schemas.openxmlformats.org/spreadsheetml/2006/main">
  <c r="G13" i="29" l="1"/>
  <c r="K4" i="159" l="1" a="1"/>
  <c r="K4" i="159" s="1"/>
  <c r="J4" i="159" a="1"/>
  <c r="J4" i="159" s="1"/>
  <c r="I4" i="159" a="1"/>
  <c r="I4" i="159" s="1"/>
  <c r="H4" i="159" a="1"/>
  <c r="H4" i="159" s="1"/>
  <c r="G12" i="29" l="1"/>
  <c r="G14" i="29" s="1"/>
  <c r="H14" i="29"/>
  <c r="D169" i="31"/>
  <c r="A1" i="49" l="1"/>
  <c r="D93" i="30" l="1"/>
  <c r="F783" i="52" l="1"/>
  <c r="F782" i="52"/>
  <c r="F781" i="52"/>
  <c r="F780" i="52"/>
  <c r="F779" i="52"/>
  <c r="F778" i="52"/>
  <c r="F776" i="52"/>
  <c r="F774" i="52"/>
  <c r="F772" i="52"/>
  <c r="F769" i="52"/>
  <c r="F768" i="52"/>
  <c r="F767" i="52"/>
  <c r="F766" i="52"/>
  <c r="F765" i="52"/>
  <c r="F764" i="52"/>
  <c r="F763" i="52"/>
  <c r="F762" i="52"/>
  <c r="F761" i="52"/>
  <c r="F760" i="52"/>
  <c r="F759" i="52"/>
  <c r="F758" i="52"/>
  <c r="F757" i="52"/>
  <c r="F756" i="52"/>
  <c r="F755" i="52"/>
  <c r="F754" i="52"/>
  <c r="F753" i="52"/>
  <c r="F752" i="52"/>
  <c r="F751" i="52"/>
  <c r="F750" i="52"/>
  <c r="F749" i="52"/>
  <c r="F748" i="52"/>
  <c r="F747" i="52"/>
  <c r="F746" i="52"/>
  <c r="F745" i="52"/>
  <c r="F744" i="52"/>
  <c r="F743" i="52"/>
  <c r="F742" i="52"/>
  <c r="F741" i="52"/>
  <c r="F740" i="52"/>
  <c r="F739" i="52"/>
  <c r="F738" i="52"/>
  <c r="F737" i="52"/>
  <c r="F736" i="52"/>
  <c r="F735" i="52"/>
  <c r="F734" i="52"/>
  <c r="F733" i="52"/>
  <c r="F732" i="52"/>
  <c r="F731" i="52"/>
  <c r="F730" i="52"/>
  <c r="F729" i="52"/>
  <c r="F728" i="52"/>
  <c r="F727" i="52"/>
  <c r="F726" i="52"/>
  <c r="F725" i="52"/>
  <c r="F724" i="52"/>
  <c r="F723" i="52"/>
  <c r="F722" i="52"/>
  <c r="F721" i="52"/>
  <c r="F720" i="52"/>
  <c r="F719" i="52"/>
  <c r="F718" i="52"/>
  <c r="F717" i="52"/>
  <c r="F716" i="52"/>
  <c r="F715" i="52"/>
  <c r="F714" i="52"/>
  <c r="F713" i="52"/>
  <c r="F712" i="52"/>
  <c r="F711" i="52"/>
  <c r="F710" i="52"/>
  <c r="F709" i="52"/>
  <c r="F708" i="52"/>
  <c r="F707" i="52"/>
  <c r="F706" i="52"/>
  <c r="F705" i="52"/>
  <c r="F704" i="52"/>
  <c r="F703" i="52"/>
  <c r="F702" i="52"/>
  <c r="F701" i="52"/>
  <c r="F700" i="52"/>
  <c r="F699" i="52"/>
  <c r="F698" i="52"/>
  <c r="F697" i="52"/>
  <c r="F696" i="52"/>
  <c r="F695" i="52"/>
  <c r="F694" i="52"/>
  <c r="F693" i="52"/>
  <c r="F692" i="52"/>
  <c r="F691" i="52"/>
  <c r="F690" i="52"/>
  <c r="F689" i="52"/>
  <c r="F688" i="52"/>
  <c r="F687" i="52"/>
  <c r="F686" i="52"/>
  <c r="F685" i="52"/>
  <c r="F684" i="52"/>
  <c r="F683" i="52"/>
  <c r="F682" i="52"/>
  <c r="F681" i="52"/>
  <c r="F680" i="52"/>
  <c r="F679" i="52"/>
  <c r="F678" i="52"/>
  <c r="F677" i="52"/>
  <c r="F676" i="52"/>
  <c r="F675" i="52"/>
  <c r="F674" i="52"/>
  <c r="F673" i="52"/>
  <c r="F672" i="52"/>
  <c r="F671" i="52"/>
  <c r="F670" i="52"/>
  <c r="F669" i="52"/>
  <c r="F668" i="52"/>
  <c r="F667" i="52"/>
  <c r="F666" i="52"/>
  <c r="F665" i="52"/>
  <c r="F664" i="52"/>
  <c r="F663" i="52"/>
  <c r="F662" i="52"/>
  <c r="F661" i="52"/>
  <c r="F660" i="52"/>
  <c r="F659" i="52"/>
  <c r="F658" i="52"/>
  <c r="F657" i="52"/>
  <c r="F656" i="52"/>
  <c r="F655" i="52"/>
  <c r="F654" i="52"/>
  <c r="F653" i="52"/>
  <c r="F652" i="52"/>
  <c r="F651" i="52"/>
  <c r="F650" i="52"/>
  <c r="F649" i="52"/>
  <c r="F648" i="52"/>
  <c r="F647" i="52"/>
  <c r="F646" i="52"/>
  <c r="F645" i="52"/>
  <c r="F644" i="52"/>
  <c r="F643" i="52"/>
  <c r="F642" i="52"/>
  <c r="F641" i="52"/>
  <c r="F640" i="52"/>
  <c r="F639" i="52"/>
  <c r="F638" i="52"/>
  <c r="F637" i="52"/>
  <c r="F636" i="52"/>
  <c r="F635" i="52"/>
  <c r="F634" i="52"/>
  <c r="F633" i="52"/>
  <c r="F632" i="52"/>
  <c r="F631" i="52"/>
  <c r="F630" i="52"/>
  <c r="F629" i="52"/>
  <c r="F628" i="52"/>
  <c r="F627" i="52"/>
  <c r="F626" i="52"/>
  <c r="F625" i="52"/>
  <c r="F624" i="52"/>
  <c r="F623" i="52"/>
  <c r="F622" i="52"/>
  <c r="F621" i="52"/>
  <c r="F620" i="52"/>
  <c r="F619" i="52"/>
  <c r="F618" i="52"/>
  <c r="F617" i="52"/>
  <c r="F616" i="52"/>
  <c r="F615" i="52"/>
  <c r="F614" i="52"/>
  <c r="F613" i="52"/>
  <c r="F612" i="52"/>
  <c r="F611" i="52"/>
  <c r="F610" i="52"/>
  <c r="F609" i="52"/>
  <c r="F608" i="52"/>
  <c r="F607" i="52"/>
  <c r="F606" i="52"/>
  <c r="F605" i="52"/>
  <c r="F604" i="52"/>
  <c r="F603" i="52"/>
  <c r="F602" i="52"/>
  <c r="F601" i="52"/>
  <c r="F600" i="52"/>
  <c r="F599" i="52"/>
  <c r="F598" i="52"/>
  <c r="F597" i="52"/>
  <c r="F596" i="52"/>
  <c r="F595" i="52"/>
  <c r="F594" i="52"/>
  <c r="F593" i="52"/>
  <c r="F592" i="52"/>
  <c r="F591" i="52"/>
  <c r="F590" i="52"/>
  <c r="F589" i="52"/>
  <c r="F588" i="52"/>
  <c r="F587" i="52"/>
  <c r="F586" i="52"/>
  <c r="F585" i="52"/>
  <c r="F584" i="52"/>
  <c r="F583" i="52"/>
  <c r="F582" i="52"/>
  <c r="F581" i="52"/>
  <c r="F580" i="52"/>
  <c r="F579" i="52"/>
  <c r="F578" i="52"/>
  <c r="F577" i="52"/>
  <c r="F576" i="52"/>
  <c r="F575" i="52"/>
  <c r="F574" i="52"/>
  <c r="F573" i="52"/>
  <c r="F572" i="52"/>
  <c r="F571" i="52"/>
  <c r="F570" i="52"/>
  <c r="F569" i="52"/>
  <c r="F568" i="52"/>
  <c r="F567" i="52"/>
  <c r="F566" i="52"/>
  <c r="F565" i="52"/>
  <c r="F564" i="52"/>
  <c r="F563" i="52"/>
  <c r="F562" i="52"/>
  <c r="F561" i="52"/>
  <c r="F560" i="52"/>
  <c r="F559" i="52"/>
  <c r="F558" i="52"/>
  <c r="F557" i="52"/>
  <c r="F556" i="52"/>
  <c r="F555" i="52"/>
  <c r="F554" i="52"/>
  <c r="F553" i="52"/>
  <c r="F552" i="52"/>
  <c r="F551" i="52"/>
  <c r="F550" i="52"/>
  <c r="F549" i="52"/>
  <c r="F548" i="52"/>
  <c r="F547" i="52"/>
  <c r="F546" i="52"/>
  <c r="F545" i="52"/>
  <c r="F544" i="52"/>
  <c r="F543" i="52"/>
  <c r="F542" i="52"/>
  <c r="F541" i="52"/>
  <c r="F540" i="52"/>
  <c r="F539" i="52"/>
  <c r="F538" i="52"/>
  <c r="F537" i="52"/>
  <c r="F536" i="52"/>
  <c r="F535" i="52"/>
  <c r="F534" i="52"/>
  <c r="F533" i="52"/>
  <c r="F532" i="52"/>
  <c r="F531" i="52"/>
  <c r="F530" i="52"/>
  <c r="F529" i="52"/>
  <c r="F528" i="52"/>
  <c r="F527" i="52"/>
  <c r="F526" i="52"/>
  <c r="F525" i="52"/>
  <c r="F524" i="52"/>
  <c r="F523" i="52"/>
  <c r="F522" i="52"/>
  <c r="F521" i="52"/>
  <c r="F520" i="52"/>
  <c r="F519" i="52"/>
  <c r="F518" i="52"/>
  <c r="F517" i="52"/>
  <c r="F516" i="52"/>
  <c r="F515" i="52"/>
  <c r="F514" i="52"/>
  <c r="F513" i="52"/>
  <c r="F512" i="52"/>
  <c r="F511" i="52"/>
  <c r="F510" i="52"/>
  <c r="F509" i="52"/>
  <c r="F508" i="52"/>
  <c r="F507" i="52"/>
  <c r="F506" i="52"/>
  <c r="F505" i="52"/>
  <c r="F504" i="52"/>
  <c r="F503" i="52"/>
  <c r="F502" i="52"/>
  <c r="F501" i="52"/>
  <c r="F500" i="52"/>
  <c r="F499" i="52"/>
  <c r="F498" i="52"/>
  <c r="F497" i="52"/>
  <c r="F496" i="52"/>
  <c r="F495" i="52"/>
  <c r="F494" i="52"/>
  <c r="F493" i="52"/>
  <c r="F492" i="52"/>
  <c r="F491" i="52"/>
  <c r="F490" i="52"/>
  <c r="F489" i="52"/>
  <c r="F488" i="52"/>
  <c r="F487" i="52"/>
  <c r="F486" i="52"/>
  <c r="F485" i="52"/>
  <c r="F484" i="52"/>
  <c r="F483" i="52"/>
  <c r="F482" i="52"/>
  <c r="F481" i="52"/>
  <c r="F480" i="52"/>
  <c r="F479" i="52"/>
  <c r="F478" i="52"/>
  <c r="F477" i="52"/>
  <c r="F476" i="52"/>
  <c r="F475" i="52"/>
  <c r="F474" i="52"/>
  <c r="F473" i="52"/>
  <c r="F472" i="52"/>
  <c r="F471" i="52"/>
  <c r="F470" i="52"/>
  <c r="F469" i="52"/>
  <c r="F468" i="52"/>
  <c r="F467" i="52"/>
  <c r="F466" i="52"/>
  <c r="F465" i="52"/>
  <c r="F464" i="52"/>
  <c r="F463" i="52"/>
  <c r="F462" i="52"/>
  <c r="F461" i="52"/>
  <c r="F460" i="52"/>
  <c r="F459" i="52"/>
  <c r="F458" i="52"/>
  <c r="F457" i="52"/>
  <c r="F456" i="52"/>
  <c r="F455" i="52"/>
  <c r="F454" i="52"/>
  <c r="F453" i="52"/>
  <c r="F452" i="52"/>
  <c r="F451" i="52"/>
  <c r="F450" i="52"/>
  <c r="F449" i="52"/>
  <c r="F448" i="52"/>
  <c r="F447" i="52"/>
  <c r="F446" i="52"/>
  <c r="F445" i="52"/>
  <c r="F444" i="52"/>
  <c r="F443" i="52"/>
  <c r="F442" i="52"/>
  <c r="F441" i="52"/>
  <c r="F440" i="52"/>
  <c r="F439" i="52"/>
  <c r="F438" i="52"/>
  <c r="F437" i="52"/>
  <c r="F436" i="52"/>
  <c r="F435" i="52"/>
  <c r="F434" i="52"/>
  <c r="F433" i="52"/>
  <c r="F432" i="52"/>
  <c r="F431" i="52"/>
  <c r="F430" i="52"/>
  <c r="F429" i="52"/>
  <c r="F428" i="52"/>
  <c r="F427" i="52"/>
  <c r="F426" i="52"/>
  <c r="F425" i="52"/>
  <c r="F424" i="52"/>
  <c r="F423" i="52"/>
  <c r="F422" i="52"/>
  <c r="F421" i="52"/>
  <c r="F420" i="52"/>
  <c r="F419" i="52"/>
  <c r="F418" i="52"/>
  <c r="F417" i="52"/>
  <c r="F416" i="52"/>
  <c r="F415" i="52"/>
  <c r="F414" i="52"/>
  <c r="F413" i="52"/>
  <c r="F412" i="52"/>
  <c r="F411" i="52"/>
  <c r="F410" i="52"/>
  <c r="F409" i="52"/>
  <c r="F408" i="52"/>
  <c r="F407" i="52"/>
  <c r="F406" i="52"/>
  <c r="F405" i="52"/>
  <c r="F404" i="52"/>
  <c r="F403" i="52"/>
  <c r="F402" i="52"/>
  <c r="F401" i="52"/>
  <c r="F400" i="52"/>
  <c r="F399" i="52"/>
  <c r="F398" i="52"/>
  <c r="F397" i="52"/>
  <c r="F396" i="52"/>
  <c r="F395" i="52"/>
  <c r="F394" i="52"/>
  <c r="F393" i="52"/>
  <c r="F392" i="52"/>
  <c r="F391" i="52"/>
  <c r="F390" i="52"/>
  <c r="F389" i="52"/>
  <c r="F388" i="52"/>
  <c r="F387" i="52"/>
  <c r="F386" i="52"/>
  <c r="F385" i="52"/>
  <c r="F384" i="52"/>
  <c r="F383" i="52"/>
  <c r="F382" i="52"/>
  <c r="F381" i="52"/>
  <c r="F380" i="52"/>
  <c r="F379" i="52"/>
  <c r="F378" i="52"/>
  <c r="F377" i="52"/>
  <c r="F376" i="52"/>
  <c r="F375" i="52"/>
  <c r="F374" i="52"/>
  <c r="F373" i="52"/>
  <c r="F372" i="52"/>
  <c r="F371" i="52"/>
  <c r="F370" i="52"/>
  <c r="F369" i="52"/>
  <c r="F368" i="52"/>
  <c r="F367" i="52"/>
  <c r="F366" i="52"/>
  <c r="F365" i="52"/>
  <c r="F364" i="52"/>
  <c r="F363" i="52"/>
  <c r="F362" i="52"/>
  <c r="F361" i="52"/>
  <c r="F360" i="52"/>
  <c r="F359" i="52"/>
  <c r="F358" i="52"/>
  <c r="F357" i="52"/>
  <c r="F356" i="52"/>
  <c r="F355" i="52"/>
  <c r="F354" i="52"/>
  <c r="F353" i="52"/>
  <c r="F352" i="52"/>
  <c r="F351" i="52"/>
  <c r="F350" i="52"/>
  <c r="F349" i="52"/>
  <c r="F348" i="52"/>
  <c r="F347" i="52"/>
  <c r="F346" i="52"/>
  <c r="F345" i="52"/>
  <c r="F344" i="52"/>
  <c r="F343" i="52"/>
  <c r="F342" i="52"/>
  <c r="F341" i="52"/>
  <c r="F340" i="52"/>
  <c r="F339" i="52"/>
  <c r="F338" i="52"/>
  <c r="F337" i="52"/>
  <c r="F336" i="52"/>
  <c r="F335" i="52"/>
  <c r="F334" i="52"/>
  <c r="F333" i="52"/>
  <c r="F332" i="52"/>
  <c r="F331" i="52"/>
  <c r="F330" i="52"/>
  <c r="F329" i="52"/>
  <c r="F328" i="52"/>
  <c r="F327" i="52"/>
  <c r="F326" i="52"/>
  <c r="F325" i="52"/>
  <c r="F324" i="52"/>
  <c r="F323" i="52"/>
  <c r="F322" i="52"/>
  <c r="F321" i="52"/>
  <c r="F320" i="52"/>
  <c r="F319" i="52"/>
  <c r="F318" i="52"/>
  <c r="F317" i="52"/>
  <c r="F316" i="52"/>
  <c r="F315" i="52"/>
  <c r="F314" i="52"/>
  <c r="F313" i="52"/>
  <c r="F312" i="52"/>
  <c r="F311" i="52"/>
  <c r="F310" i="52"/>
  <c r="F309" i="52"/>
  <c r="F308" i="52"/>
  <c r="F307" i="52"/>
  <c r="F306" i="52"/>
  <c r="F305" i="52"/>
  <c r="F304" i="52"/>
  <c r="F303" i="52"/>
  <c r="F302" i="52"/>
  <c r="F301" i="52"/>
  <c r="F300" i="52"/>
  <c r="F299" i="52"/>
  <c r="F298" i="52"/>
  <c r="F297" i="52"/>
  <c r="F296" i="52"/>
  <c r="F295" i="52"/>
  <c r="F294" i="52"/>
  <c r="F293" i="52"/>
  <c r="F292" i="52"/>
  <c r="F291" i="52"/>
  <c r="F290" i="52"/>
  <c r="F289" i="52"/>
  <c r="F288" i="52"/>
  <c r="F287" i="52"/>
  <c r="F286" i="52"/>
  <c r="F285" i="52"/>
  <c r="F284" i="52"/>
  <c r="F283" i="52"/>
  <c r="F282" i="52"/>
  <c r="F281" i="52"/>
  <c r="F280" i="52"/>
  <c r="F279" i="52"/>
  <c r="F278" i="52"/>
  <c r="F277" i="52"/>
  <c r="F276" i="52"/>
  <c r="F275" i="52"/>
  <c r="F274" i="52"/>
  <c r="F273" i="52"/>
  <c r="F272" i="52"/>
  <c r="F271" i="52"/>
  <c r="F270" i="52"/>
  <c r="F269" i="52"/>
  <c r="F268" i="52"/>
  <c r="F267" i="52"/>
  <c r="F266" i="52"/>
  <c r="F265" i="52"/>
  <c r="F264" i="52"/>
  <c r="F263" i="52"/>
  <c r="F262" i="52"/>
  <c r="F261" i="52"/>
  <c r="F260" i="52"/>
  <c r="F259" i="52"/>
  <c r="F258" i="52"/>
  <c r="F257" i="52"/>
  <c r="F256" i="52"/>
  <c r="F255" i="52"/>
  <c r="F254" i="52"/>
  <c r="F253" i="52"/>
  <c r="F252" i="52"/>
  <c r="F251" i="52"/>
  <c r="F250" i="52"/>
  <c r="F249" i="52"/>
  <c r="F248" i="52"/>
  <c r="F247" i="52"/>
  <c r="F246" i="52"/>
  <c r="F245" i="52"/>
  <c r="F244" i="52"/>
  <c r="F243" i="52"/>
  <c r="F242" i="52"/>
  <c r="F241" i="52"/>
  <c r="F240" i="52"/>
  <c r="F239" i="52"/>
  <c r="F238" i="52"/>
  <c r="F237" i="52"/>
  <c r="F236" i="52"/>
  <c r="F235" i="52"/>
  <c r="F234" i="52"/>
  <c r="F233" i="52"/>
  <c r="F232" i="52"/>
  <c r="F231" i="52"/>
  <c r="F230" i="52"/>
  <c r="F229" i="52"/>
  <c r="F228" i="52"/>
  <c r="F227" i="52"/>
  <c r="F226" i="52"/>
  <c r="F225" i="52"/>
  <c r="F224" i="52"/>
  <c r="F223" i="52"/>
  <c r="F222" i="52"/>
  <c r="F221" i="52"/>
  <c r="F220" i="52"/>
  <c r="F219" i="52"/>
  <c r="F218" i="52"/>
  <c r="F217" i="52"/>
  <c r="F216" i="52"/>
  <c r="F215" i="52"/>
  <c r="F214" i="52"/>
  <c r="F213" i="52"/>
  <c r="F212" i="52"/>
  <c r="F211" i="52"/>
  <c r="F210" i="52"/>
  <c r="F209" i="52"/>
  <c r="F208" i="52"/>
  <c r="F207" i="52"/>
  <c r="F206" i="52"/>
  <c r="F205" i="52"/>
  <c r="F204" i="52"/>
  <c r="F203" i="52"/>
  <c r="F202" i="52"/>
  <c r="F201" i="52"/>
  <c r="F200" i="52"/>
  <c r="F199" i="52"/>
  <c r="F198" i="52"/>
  <c r="F197" i="52"/>
  <c r="F196" i="52"/>
  <c r="F195" i="52"/>
  <c r="F194" i="52"/>
  <c r="F193" i="52"/>
  <c r="F192" i="52"/>
  <c r="F191" i="52"/>
  <c r="F190" i="52"/>
  <c r="F189" i="52"/>
  <c r="F188" i="52"/>
  <c r="F187" i="52"/>
  <c r="F186" i="52"/>
  <c r="F185" i="52"/>
  <c r="F184" i="52"/>
  <c r="F183" i="52"/>
  <c r="F182" i="52"/>
  <c r="F181" i="52"/>
  <c r="F180" i="52"/>
  <c r="F179" i="52"/>
  <c r="F178" i="52"/>
  <c r="F177" i="52"/>
  <c r="F176" i="52"/>
  <c r="F175" i="52"/>
  <c r="F174" i="52"/>
  <c r="F173" i="52"/>
  <c r="F172" i="52"/>
  <c r="F171" i="52"/>
  <c r="F170" i="52"/>
  <c r="F169" i="52"/>
  <c r="F168" i="52"/>
  <c r="F167" i="52"/>
  <c r="F166" i="52"/>
  <c r="F165" i="52"/>
  <c r="F164" i="52"/>
  <c r="F163" i="52"/>
  <c r="F162" i="52"/>
  <c r="F161" i="52"/>
  <c r="F160" i="52"/>
  <c r="F159" i="52"/>
  <c r="F158" i="52"/>
  <c r="F157" i="52"/>
  <c r="F156" i="52"/>
  <c r="F155" i="52"/>
  <c r="F154" i="52"/>
  <c r="F153" i="52"/>
  <c r="F152" i="52"/>
  <c r="F151" i="52"/>
  <c r="F150" i="52"/>
  <c r="F149" i="52"/>
  <c r="F148" i="52"/>
  <c r="F147" i="52"/>
  <c r="F146" i="52"/>
  <c r="F145" i="52"/>
  <c r="F144" i="52"/>
  <c r="F143" i="52"/>
  <c r="F142" i="52"/>
  <c r="F141" i="52"/>
  <c r="F140" i="52"/>
  <c r="F139" i="52"/>
  <c r="F138" i="52"/>
  <c r="F137" i="52"/>
  <c r="F136" i="52"/>
  <c r="F135"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2" i="52"/>
  <c r="F101" i="52"/>
  <c r="F100" i="52"/>
  <c r="F99" i="52"/>
  <c r="F98" i="52"/>
  <c r="F97" i="52"/>
  <c r="F96" i="52"/>
  <c r="F95" i="52"/>
  <c r="F94" i="52"/>
  <c r="F93" i="52"/>
  <c r="F92" i="52"/>
  <c r="F91" i="52"/>
  <c r="F90" i="52"/>
  <c r="F89" i="52"/>
  <c r="F88" i="52"/>
  <c r="F87" i="52"/>
  <c r="F86" i="52"/>
  <c r="F85" i="52"/>
  <c r="F84" i="52"/>
  <c r="F83" i="52"/>
  <c r="F82" i="52"/>
  <c r="F81" i="52"/>
  <c r="F80" i="52"/>
  <c r="F79" i="52"/>
  <c r="F78" i="52"/>
  <c r="F77" i="52"/>
  <c r="F76" i="52"/>
  <c r="F75" i="52"/>
  <c r="F74" i="52"/>
  <c r="F73" i="52"/>
  <c r="F72" i="52"/>
  <c r="F71" i="52"/>
  <c r="F70" i="52"/>
  <c r="F69" i="52"/>
  <c r="F68" i="52"/>
  <c r="F67" i="52"/>
  <c r="F66" i="52"/>
  <c r="F65" i="52"/>
  <c r="F64" i="52"/>
  <c r="F63" i="52"/>
  <c r="F62" i="52"/>
  <c r="F61" i="52"/>
  <c r="F60" i="52"/>
  <c r="F59" i="52"/>
  <c r="F58" i="52"/>
  <c r="F57" i="52"/>
  <c r="F56" i="52"/>
  <c r="F55" i="52"/>
  <c r="F54" i="52"/>
  <c r="F53" i="52"/>
  <c r="F52" i="52"/>
  <c r="F51" i="52"/>
  <c r="F50" i="52"/>
  <c r="F49" i="52"/>
  <c r="F48" i="52"/>
  <c r="F47" i="52"/>
  <c r="F46" i="52"/>
  <c r="F45" i="52"/>
  <c r="F44" i="52"/>
  <c r="F43" i="52"/>
  <c r="F42" i="52"/>
  <c r="F41" i="52"/>
  <c r="F40" i="52"/>
  <c r="F39" i="52"/>
  <c r="F38" i="52"/>
  <c r="F37" i="52"/>
  <c r="F36" i="52"/>
  <c r="F35" i="52"/>
  <c r="F34" i="52"/>
  <c r="F33" i="52"/>
  <c r="F32" i="52"/>
  <c r="F31" i="52"/>
  <c r="F30" i="52"/>
  <c r="F29" i="52"/>
  <c r="F28" i="52"/>
  <c r="F27" i="52"/>
  <c r="F26" i="52"/>
  <c r="F25" i="52"/>
  <c r="F24" i="52"/>
  <c r="F23" i="52"/>
  <c r="F22" i="52"/>
  <c r="F21" i="52"/>
  <c r="F20" i="52"/>
  <c r="F19" i="52"/>
  <c r="F18" i="52"/>
  <c r="F17" i="52"/>
  <c r="F16" i="52"/>
  <c r="F15" i="52"/>
  <c r="F14" i="52"/>
  <c r="F13" i="52"/>
  <c r="F12" i="52"/>
  <c r="F11" i="52"/>
  <c r="F10" i="52"/>
  <c r="F9" i="52"/>
  <c r="F8" i="52"/>
  <c r="F7" i="52"/>
  <c r="F6" i="52"/>
  <c r="F5" i="52"/>
  <c r="F4" i="52"/>
  <c r="F1213" i="51"/>
  <c r="F1212" i="51"/>
  <c r="F1211" i="51"/>
  <c r="F1210" i="51"/>
  <c r="F1209" i="51"/>
  <c r="F1208" i="51"/>
  <c r="F1207" i="51"/>
  <c r="F1206" i="51"/>
  <c r="F1205" i="51"/>
  <c r="F1204" i="51"/>
  <c r="F1203" i="51"/>
  <c r="F1202" i="51"/>
  <c r="F1201" i="51"/>
  <c r="F1200" i="51"/>
  <c r="F1199" i="51"/>
  <c r="F1198" i="51"/>
  <c r="F1197" i="51"/>
  <c r="F1196" i="51"/>
  <c r="F1195" i="51"/>
  <c r="F1194" i="51"/>
  <c r="F1193" i="51"/>
  <c r="F1192" i="51"/>
  <c r="F1191" i="51"/>
  <c r="F1190" i="51"/>
  <c r="F1189" i="51"/>
  <c r="F1188" i="51"/>
  <c r="F1187" i="51"/>
  <c r="F1186" i="51"/>
  <c r="F1185" i="51"/>
  <c r="F1184" i="51"/>
  <c r="F1183" i="51"/>
  <c r="F1182" i="51"/>
  <c r="F1181" i="51"/>
  <c r="F1180" i="51"/>
  <c r="F1179" i="51"/>
  <c r="F1178" i="51"/>
  <c r="F1177" i="51"/>
  <c r="F1176" i="51"/>
  <c r="F1175" i="51"/>
  <c r="F1174" i="51"/>
  <c r="F1173" i="51"/>
  <c r="F1172" i="51"/>
  <c r="F1171" i="51"/>
  <c r="F1170" i="51"/>
  <c r="F1169" i="51"/>
  <c r="F1168" i="51"/>
  <c r="F1167" i="51"/>
  <c r="F1166" i="51"/>
  <c r="F1165" i="51"/>
  <c r="F1164" i="51"/>
  <c r="F1163" i="51"/>
  <c r="F1162" i="51"/>
  <c r="F1161" i="51"/>
  <c r="F1160" i="51"/>
  <c r="F1159" i="51"/>
  <c r="F1158" i="51"/>
  <c r="F1157" i="51"/>
  <c r="F1156" i="51"/>
  <c r="F1155" i="51"/>
  <c r="F1154" i="51"/>
  <c r="F1153" i="51"/>
  <c r="F1152" i="51"/>
  <c r="F1151" i="51"/>
  <c r="F1150" i="51"/>
  <c r="F1149" i="51"/>
  <c r="F1148" i="51"/>
  <c r="F1147" i="51"/>
  <c r="F1146" i="51"/>
  <c r="F1145" i="51"/>
  <c r="F1144" i="51"/>
  <c r="F1143" i="51"/>
  <c r="F1142" i="51"/>
  <c r="F1141" i="51"/>
  <c r="F1140" i="51"/>
  <c r="F1139" i="51"/>
  <c r="F1138" i="51"/>
  <c r="F1137" i="51"/>
  <c r="F1136" i="51"/>
  <c r="F1135" i="51"/>
  <c r="F1134" i="51"/>
  <c r="F1133" i="51"/>
  <c r="F1132" i="51"/>
  <c r="F1131" i="51"/>
  <c r="F1130" i="51"/>
  <c r="F1129" i="51"/>
  <c r="F1128" i="51"/>
  <c r="F1127" i="51"/>
  <c r="F1126" i="51"/>
  <c r="F1125" i="51"/>
  <c r="F1124" i="51"/>
  <c r="F1123" i="51"/>
  <c r="F1122" i="51"/>
  <c r="F1121" i="51"/>
  <c r="F1120" i="51"/>
  <c r="F1119" i="51"/>
  <c r="F1118" i="51"/>
  <c r="F1117" i="51"/>
  <c r="F1116" i="51"/>
  <c r="F1115" i="51"/>
  <c r="F1114" i="51"/>
  <c r="F1113" i="51"/>
  <c r="F1112" i="51"/>
  <c r="F1111" i="51"/>
  <c r="F1110" i="51"/>
  <c r="F1109" i="51"/>
  <c r="F1108" i="51"/>
  <c r="F1107" i="51"/>
  <c r="F1106" i="51"/>
  <c r="F1105" i="51"/>
  <c r="F1104" i="51"/>
  <c r="F1103" i="51"/>
  <c r="F1102" i="51"/>
  <c r="F1101" i="51"/>
  <c r="F1100" i="51"/>
  <c r="F1099" i="51"/>
  <c r="F1098" i="51"/>
  <c r="F1097" i="51"/>
  <c r="F1096" i="51"/>
  <c r="F1095" i="51"/>
  <c r="F1094" i="51"/>
  <c r="F1093" i="51"/>
  <c r="F1092" i="51"/>
  <c r="F1091" i="51"/>
  <c r="F1090" i="51"/>
  <c r="F1089" i="51"/>
  <c r="F1088" i="51"/>
  <c r="F1087" i="51"/>
  <c r="F1086" i="51"/>
  <c r="F1085" i="51"/>
  <c r="F1084" i="51"/>
  <c r="F1083" i="51"/>
  <c r="F1082" i="51"/>
  <c r="F1081" i="51"/>
  <c r="F1080" i="51"/>
  <c r="F1079" i="51"/>
  <c r="F1078" i="51"/>
  <c r="F1077" i="51"/>
  <c r="F1076" i="51"/>
  <c r="F1075" i="51"/>
  <c r="F1074" i="51"/>
  <c r="F1073" i="51"/>
  <c r="F1072" i="51"/>
  <c r="F1071" i="51"/>
  <c r="F1070" i="51"/>
  <c r="F1069" i="51"/>
  <c r="F1068" i="51"/>
  <c r="F1067" i="51"/>
  <c r="F1066" i="51"/>
  <c r="F1065" i="51"/>
  <c r="F1064" i="51"/>
  <c r="F1063" i="51"/>
  <c r="F1062" i="51"/>
  <c r="F1061" i="51"/>
  <c r="F1060" i="51"/>
  <c r="F1059" i="51"/>
  <c r="F1058" i="51"/>
  <c r="F1057" i="51"/>
  <c r="F1056" i="51"/>
  <c r="F1055" i="51"/>
  <c r="F1054" i="51"/>
  <c r="F1053" i="51"/>
  <c r="F1052" i="51"/>
  <c r="F1051" i="51"/>
  <c r="F1050" i="51"/>
  <c r="F1049" i="51"/>
  <c r="F1048" i="51"/>
  <c r="F1047" i="51"/>
  <c r="F1046" i="51"/>
  <c r="F1045" i="51"/>
  <c r="F1044" i="51"/>
  <c r="F1043" i="51"/>
  <c r="F1042" i="51"/>
  <c r="F1041" i="51"/>
  <c r="F1040" i="51"/>
  <c r="F1039" i="51"/>
  <c r="F1038" i="51"/>
  <c r="F1037" i="51"/>
  <c r="F1036" i="51"/>
  <c r="F1035" i="51"/>
  <c r="F1034" i="51"/>
  <c r="F1033" i="51"/>
  <c r="F1032" i="51"/>
  <c r="F1031" i="51"/>
  <c r="F1030" i="51"/>
  <c r="F1029" i="51"/>
  <c r="F1028" i="51"/>
  <c r="F1027" i="51"/>
  <c r="F1026" i="51"/>
  <c r="F1025" i="51"/>
  <c r="F1024" i="51"/>
  <c r="F1023" i="51"/>
  <c r="F1022" i="51"/>
  <c r="F1021" i="51"/>
  <c r="F1020" i="51"/>
  <c r="F1019" i="51"/>
  <c r="F1018" i="51"/>
  <c r="F1017" i="51"/>
  <c r="F1016" i="51"/>
  <c r="F1015" i="51"/>
  <c r="F1014" i="51"/>
  <c r="F1013" i="51"/>
  <c r="F1012" i="51"/>
  <c r="F1011" i="51"/>
  <c r="F1010" i="51"/>
  <c r="F1009" i="51"/>
  <c r="F1008" i="51"/>
  <c r="F1007" i="51"/>
  <c r="F1006" i="51"/>
  <c r="F1005" i="51"/>
  <c r="F1004" i="51"/>
  <c r="F1003" i="51"/>
  <c r="F1002" i="51"/>
  <c r="F1001" i="51"/>
  <c r="F1000" i="51"/>
  <c r="F999" i="51"/>
  <c r="F998" i="51"/>
  <c r="F997" i="51"/>
  <c r="F996" i="51"/>
  <c r="F995" i="51"/>
  <c r="F994" i="51"/>
  <c r="F993" i="51"/>
  <c r="F992" i="51"/>
  <c r="F991" i="51"/>
  <c r="F990" i="51"/>
  <c r="F989" i="51"/>
  <c r="F988" i="51"/>
  <c r="F987" i="51"/>
  <c r="F986" i="51"/>
  <c r="F985" i="51"/>
  <c r="F984" i="51"/>
  <c r="F983" i="51"/>
  <c r="F982" i="51"/>
  <c r="F981" i="51"/>
  <c r="F980" i="51"/>
  <c r="F979" i="51"/>
  <c r="F978" i="51"/>
  <c r="F977" i="51"/>
  <c r="F976" i="51"/>
  <c r="F975" i="51"/>
  <c r="F974" i="51"/>
  <c r="F973" i="51"/>
  <c r="F972" i="51"/>
  <c r="F971" i="51"/>
  <c r="F970" i="51"/>
  <c r="F969" i="51"/>
  <c r="F968" i="51"/>
  <c r="F967" i="51"/>
  <c r="F966" i="51"/>
  <c r="F965" i="51"/>
  <c r="F964" i="51"/>
  <c r="F963" i="51"/>
  <c r="F962" i="51"/>
  <c r="F961" i="51"/>
  <c r="F960" i="51"/>
  <c r="F959" i="51"/>
  <c r="F958" i="51"/>
  <c r="F957" i="51"/>
  <c r="F956" i="51"/>
  <c r="F955" i="51"/>
  <c r="F954" i="51"/>
  <c r="F953" i="51"/>
  <c r="F952" i="51"/>
  <c r="F951" i="51"/>
  <c r="F950" i="51"/>
  <c r="F949" i="51"/>
  <c r="F948" i="51"/>
  <c r="F947" i="51"/>
  <c r="F946" i="51"/>
  <c r="F945" i="51"/>
  <c r="F944" i="51"/>
  <c r="F943" i="51"/>
  <c r="F942" i="51"/>
  <c r="F941" i="51"/>
  <c r="F940" i="51"/>
  <c r="F939" i="51"/>
  <c r="F938" i="51"/>
  <c r="F937" i="51"/>
  <c r="F936" i="51"/>
  <c r="F935" i="51"/>
  <c r="F934" i="51"/>
  <c r="F933" i="51"/>
  <c r="F932" i="51"/>
  <c r="F931" i="51"/>
  <c r="F930" i="51"/>
  <c r="F929" i="51"/>
  <c r="F928" i="51"/>
  <c r="F927" i="51"/>
  <c r="F926" i="51"/>
  <c r="F925" i="51"/>
  <c r="F924" i="51"/>
  <c r="F923" i="51"/>
  <c r="F922" i="51"/>
  <c r="F921" i="51"/>
  <c r="F920" i="51"/>
  <c r="F919" i="51"/>
  <c r="F918" i="51"/>
  <c r="F917" i="51"/>
  <c r="F916" i="51"/>
  <c r="F915" i="51"/>
  <c r="F914" i="51"/>
  <c r="F913" i="51"/>
  <c r="F912" i="51"/>
  <c r="F911" i="51"/>
  <c r="F910" i="51"/>
  <c r="F909" i="51"/>
  <c r="F908" i="51"/>
  <c r="F907" i="51"/>
  <c r="F906" i="51"/>
  <c r="F905" i="51"/>
  <c r="F904" i="51"/>
  <c r="F903" i="51"/>
  <c r="F902" i="51"/>
  <c r="F901" i="51"/>
  <c r="F900" i="51"/>
  <c r="F899" i="51"/>
  <c r="F898" i="51"/>
  <c r="F897" i="51"/>
  <c r="F896" i="51"/>
  <c r="F895" i="51"/>
  <c r="F894" i="51"/>
  <c r="F893" i="51"/>
  <c r="F892" i="51"/>
  <c r="F891" i="51"/>
  <c r="F890" i="51"/>
  <c r="F889" i="51"/>
  <c r="F888" i="51"/>
  <c r="F887" i="51"/>
  <c r="F886" i="51"/>
  <c r="F885" i="51"/>
  <c r="F884" i="51"/>
  <c r="F883" i="51"/>
  <c r="F882" i="51"/>
  <c r="F881" i="51"/>
  <c r="F880" i="51"/>
  <c r="F879" i="51"/>
  <c r="F878" i="51"/>
  <c r="F877" i="51"/>
  <c r="F876" i="51"/>
  <c r="F875" i="51"/>
  <c r="F874" i="51"/>
  <c r="F873" i="51"/>
  <c r="F872" i="51"/>
  <c r="F871" i="51"/>
  <c r="F870" i="51"/>
  <c r="F869" i="51"/>
  <c r="F868" i="51"/>
  <c r="F867" i="51"/>
  <c r="F866" i="51"/>
  <c r="F865" i="51"/>
  <c r="F864" i="51"/>
  <c r="F863" i="51"/>
  <c r="F862" i="51"/>
  <c r="F861" i="51"/>
  <c r="F860" i="51"/>
  <c r="F859" i="51"/>
  <c r="F858" i="51"/>
  <c r="F857" i="51"/>
  <c r="F856" i="51"/>
  <c r="F855" i="51"/>
  <c r="F854" i="51"/>
  <c r="F853" i="51"/>
  <c r="F852" i="51"/>
  <c r="F851" i="51"/>
  <c r="F850" i="51"/>
  <c r="F849" i="51"/>
  <c r="F848" i="51"/>
  <c r="F847" i="51"/>
  <c r="F846" i="51"/>
  <c r="F845" i="51"/>
  <c r="F844" i="51"/>
  <c r="F843" i="51"/>
  <c r="F842" i="51"/>
  <c r="F841" i="51"/>
  <c r="F840" i="51"/>
  <c r="F839" i="51"/>
  <c r="F838" i="51"/>
  <c r="F837" i="51"/>
  <c r="F836" i="51"/>
  <c r="F835" i="51"/>
  <c r="F834" i="51"/>
  <c r="F833" i="51"/>
  <c r="F832" i="51"/>
  <c r="F831" i="51"/>
  <c r="F830" i="51"/>
  <c r="F829" i="51"/>
  <c r="F828" i="51"/>
  <c r="F827" i="51"/>
  <c r="F826" i="51"/>
  <c r="F825" i="51"/>
  <c r="F824" i="51"/>
  <c r="F823" i="51"/>
  <c r="F822" i="51"/>
  <c r="F821" i="51"/>
  <c r="F820" i="51"/>
  <c r="F819" i="51"/>
  <c r="F818" i="51"/>
  <c r="F817" i="51"/>
  <c r="F816" i="51"/>
  <c r="F815" i="51"/>
  <c r="F814" i="51"/>
  <c r="F813" i="51"/>
  <c r="F812" i="51"/>
  <c r="F811" i="51"/>
  <c r="F810" i="51"/>
  <c r="F809" i="51"/>
  <c r="F808" i="51"/>
  <c r="F807" i="51"/>
  <c r="F806" i="51"/>
  <c r="F805" i="51"/>
  <c r="F804" i="51"/>
  <c r="F803" i="51"/>
  <c r="F802" i="51"/>
  <c r="F801" i="51"/>
  <c r="F800" i="51"/>
  <c r="F799" i="51"/>
  <c r="F798" i="51"/>
  <c r="F797" i="51"/>
  <c r="F796" i="51"/>
  <c r="F795" i="51"/>
  <c r="F794" i="51"/>
  <c r="F793" i="51"/>
  <c r="F792" i="51"/>
  <c r="F791" i="51"/>
  <c r="F790" i="51"/>
  <c r="F789" i="51"/>
  <c r="F788" i="51"/>
  <c r="F787" i="51"/>
  <c r="F786" i="51"/>
  <c r="F785" i="51"/>
  <c r="F784" i="51"/>
  <c r="F783" i="51"/>
  <c r="F782" i="51"/>
  <c r="F781" i="51"/>
  <c r="F780" i="51"/>
  <c r="F779" i="51"/>
  <c r="F778" i="51"/>
  <c r="F777" i="51"/>
  <c r="F776" i="51"/>
  <c r="F775" i="51"/>
  <c r="F774" i="51"/>
  <c r="F773" i="51"/>
  <c r="F772" i="51"/>
  <c r="F771" i="51"/>
  <c r="F770" i="51"/>
  <c r="F769" i="51"/>
  <c r="F768" i="51"/>
  <c r="F767" i="51"/>
  <c r="F766" i="51"/>
  <c r="F765" i="51"/>
  <c r="F764" i="51"/>
  <c r="F763" i="51"/>
  <c r="F762" i="51"/>
  <c r="F761" i="51"/>
  <c r="F760" i="51"/>
  <c r="F759" i="51"/>
  <c r="F758" i="51"/>
  <c r="F757" i="51"/>
  <c r="F756" i="51"/>
  <c r="F755" i="51"/>
  <c r="F754" i="51"/>
  <c r="F753" i="51"/>
  <c r="F752" i="51"/>
  <c r="F751" i="51"/>
  <c r="F750" i="51"/>
  <c r="F749" i="51"/>
  <c r="F748" i="51"/>
  <c r="F747" i="51"/>
  <c r="F746" i="51"/>
  <c r="F745" i="51"/>
  <c r="F744" i="51"/>
  <c r="F743" i="51"/>
  <c r="F742" i="51"/>
  <c r="F741" i="51"/>
  <c r="F740" i="51"/>
  <c r="F739" i="51"/>
  <c r="F738" i="51"/>
  <c r="F737" i="51"/>
  <c r="F736" i="51"/>
  <c r="F735" i="51"/>
  <c r="F734" i="51"/>
  <c r="F733" i="51"/>
  <c r="F732" i="51"/>
  <c r="F731" i="51"/>
  <c r="F730" i="51"/>
  <c r="F729" i="51"/>
  <c r="F728" i="51"/>
  <c r="F727" i="51"/>
  <c r="F726" i="51"/>
  <c r="F725" i="51"/>
  <c r="F724" i="51"/>
  <c r="F723" i="51"/>
  <c r="F722" i="51"/>
  <c r="F721" i="51"/>
  <c r="F720" i="51"/>
  <c r="F719" i="51"/>
  <c r="F718" i="51"/>
  <c r="F717" i="51"/>
  <c r="F716" i="51"/>
  <c r="F715" i="51"/>
  <c r="F714" i="51"/>
  <c r="F713" i="51"/>
  <c r="F712" i="51"/>
  <c r="F711" i="51"/>
  <c r="F710" i="51"/>
  <c r="F709" i="51"/>
  <c r="F708" i="51"/>
  <c r="F707" i="51"/>
  <c r="F706" i="51"/>
  <c r="F705" i="51"/>
  <c r="F704" i="51"/>
  <c r="F703" i="51"/>
  <c r="F702" i="51"/>
  <c r="F701" i="51"/>
  <c r="F700" i="51"/>
  <c r="F699" i="51"/>
  <c r="F698" i="51"/>
  <c r="F697" i="51"/>
  <c r="F696" i="51"/>
  <c r="F695" i="51"/>
  <c r="F694" i="51"/>
  <c r="F693" i="51"/>
  <c r="F692" i="51"/>
  <c r="F691" i="51"/>
  <c r="F690" i="51"/>
  <c r="F689" i="51"/>
  <c r="F688" i="51"/>
  <c r="F687" i="51"/>
  <c r="F686" i="51"/>
  <c r="F685" i="51"/>
  <c r="F684" i="51"/>
  <c r="F683" i="51"/>
  <c r="F682" i="51"/>
  <c r="F681" i="51"/>
  <c r="F680" i="51"/>
  <c r="F679" i="51"/>
  <c r="F678" i="51"/>
  <c r="F677" i="51"/>
  <c r="F676" i="51"/>
  <c r="F675" i="51"/>
  <c r="F674" i="51"/>
  <c r="F673" i="51"/>
  <c r="F672" i="51"/>
  <c r="F671" i="51"/>
  <c r="F670" i="51"/>
  <c r="F669" i="51"/>
  <c r="F668" i="51"/>
  <c r="F667" i="51"/>
  <c r="F666" i="51"/>
  <c r="F665" i="51"/>
  <c r="F664" i="51"/>
  <c r="F663" i="51"/>
  <c r="F662" i="51"/>
  <c r="F661" i="51"/>
  <c r="F660" i="51"/>
  <c r="F659" i="51"/>
  <c r="F658" i="51"/>
  <c r="F657" i="51"/>
  <c r="F656" i="51"/>
  <c r="F655" i="51"/>
  <c r="F654" i="51"/>
  <c r="F653" i="51"/>
  <c r="F652" i="51"/>
  <c r="F651" i="51"/>
  <c r="F650" i="51"/>
  <c r="F649" i="51"/>
  <c r="F648" i="51"/>
  <c r="F647" i="51"/>
  <c r="F646" i="51"/>
  <c r="F645" i="51"/>
  <c r="F644" i="51"/>
  <c r="F643" i="51"/>
  <c r="F642" i="51"/>
  <c r="F641" i="51"/>
  <c r="F640" i="51"/>
  <c r="F639" i="51"/>
  <c r="F638" i="51"/>
  <c r="F637" i="51"/>
  <c r="F636" i="51"/>
  <c r="F635" i="51"/>
  <c r="F634" i="51"/>
  <c r="F633" i="51"/>
  <c r="F632" i="51"/>
  <c r="F631" i="51"/>
  <c r="F630" i="51"/>
  <c r="F629" i="51"/>
  <c r="F628" i="51"/>
  <c r="F627" i="51"/>
  <c r="F626" i="51"/>
  <c r="F625" i="51"/>
  <c r="F624" i="51"/>
  <c r="F623" i="51"/>
  <c r="F622" i="51"/>
  <c r="F621" i="51"/>
  <c r="F620" i="51"/>
  <c r="F619" i="51"/>
  <c r="F618" i="51"/>
  <c r="F617" i="51"/>
  <c r="F616" i="51"/>
  <c r="F615" i="51"/>
  <c r="F614" i="51"/>
  <c r="F613" i="51"/>
  <c r="F612" i="51"/>
  <c r="F611" i="51"/>
  <c r="F610" i="51"/>
  <c r="F609" i="51"/>
  <c r="F608" i="51"/>
  <c r="F607" i="51"/>
  <c r="F606" i="51"/>
  <c r="F605" i="51"/>
  <c r="F604" i="51"/>
  <c r="F603" i="51"/>
  <c r="F602" i="51"/>
  <c r="F601" i="51"/>
  <c r="F600" i="51"/>
  <c r="F599" i="51"/>
  <c r="F598" i="51"/>
  <c r="F597" i="51"/>
  <c r="F596" i="51"/>
  <c r="F595" i="51"/>
  <c r="F594" i="51"/>
  <c r="F593" i="51"/>
  <c r="F592" i="51"/>
  <c r="F591" i="51"/>
  <c r="F590" i="51"/>
  <c r="F589" i="51"/>
  <c r="F588" i="51"/>
  <c r="F587" i="51"/>
  <c r="F586" i="51"/>
  <c r="F585" i="51"/>
  <c r="F584" i="51"/>
  <c r="F583" i="51"/>
  <c r="F582" i="51"/>
  <c r="F581" i="51"/>
  <c r="F580" i="51"/>
  <c r="F579" i="51"/>
  <c r="F578" i="51"/>
  <c r="F577" i="51"/>
  <c r="F576" i="51"/>
  <c r="F575" i="51"/>
  <c r="F574" i="51"/>
  <c r="F573" i="51"/>
  <c r="F572" i="51"/>
  <c r="F571" i="51"/>
  <c r="F570" i="51"/>
  <c r="F569" i="51"/>
  <c r="F568" i="51"/>
  <c r="F567" i="51"/>
  <c r="F566" i="51"/>
  <c r="F565" i="51"/>
  <c r="F564" i="51"/>
  <c r="F563" i="51"/>
  <c r="F562" i="51"/>
  <c r="F561" i="51"/>
  <c r="F560" i="51"/>
  <c r="F559" i="51"/>
  <c r="F558" i="51"/>
  <c r="F557" i="51"/>
  <c r="F556" i="51"/>
  <c r="F555" i="51"/>
  <c r="F554" i="51"/>
  <c r="F553" i="51"/>
  <c r="F552" i="51"/>
  <c r="F551" i="51"/>
  <c r="F550" i="51"/>
  <c r="F549" i="51"/>
  <c r="F548" i="51"/>
  <c r="F547" i="51"/>
  <c r="F546" i="51"/>
  <c r="F545" i="51"/>
  <c r="F544" i="51"/>
  <c r="F543" i="51"/>
  <c r="F542" i="51"/>
  <c r="F541" i="51"/>
  <c r="F540" i="51"/>
  <c r="F539" i="51"/>
  <c r="F538" i="51"/>
  <c r="F537" i="51"/>
  <c r="F536" i="51"/>
  <c r="F535" i="51"/>
  <c r="F534" i="51"/>
  <c r="F533" i="51"/>
  <c r="F532" i="51"/>
  <c r="F531" i="51"/>
  <c r="F530" i="51"/>
  <c r="F529" i="51"/>
  <c r="F528" i="51"/>
  <c r="F527" i="51"/>
  <c r="F526" i="51"/>
  <c r="F525" i="51"/>
  <c r="F524" i="51"/>
  <c r="F523" i="51"/>
  <c r="F522" i="51"/>
  <c r="F521" i="51"/>
  <c r="F520" i="51"/>
  <c r="F519" i="51"/>
  <c r="F518" i="51"/>
  <c r="F517" i="51"/>
  <c r="F516" i="51"/>
  <c r="F515" i="51"/>
  <c r="F514" i="51"/>
  <c r="F513" i="51"/>
  <c r="F512" i="51"/>
  <c r="F511" i="51"/>
  <c r="F510" i="51"/>
  <c r="F509" i="51"/>
  <c r="F508" i="51"/>
  <c r="F507" i="51"/>
  <c r="F506" i="51"/>
  <c r="F505" i="51"/>
  <c r="F504" i="51"/>
  <c r="F503" i="51"/>
  <c r="F502" i="51"/>
  <c r="F501" i="51"/>
  <c r="F500" i="51"/>
  <c r="F499" i="51"/>
  <c r="F498" i="51"/>
  <c r="F497" i="51"/>
  <c r="F496" i="51"/>
  <c r="F495" i="51"/>
  <c r="F494" i="51"/>
  <c r="F493" i="51"/>
  <c r="F492" i="51"/>
  <c r="F491" i="51"/>
  <c r="F490" i="51"/>
  <c r="F489" i="51"/>
  <c r="F488" i="51"/>
  <c r="F487" i="51"/>
  <c r="F486" i="51"/>
  <c r="F485" i="51"/>
  <c r="F484" i="51"/>
  <c r="F483" i="51"/>
  <c r="F482" i="51"/>
  <c r="F481" i="51"/>
  <c r="F480" i="51"/>
  <c r="F479" i="51"/>
  <c r="F478" i="51"/>
  <c r="F477" i="51"/>
  <c r="F476" i="51"/>
  <c r="F475" i="51"/>
  <c r="F474" i="51"/>
  <c r="F473" i="51"/>
  <c r="F472" i="51"/>
  <c r="F471" i="51"/>
  <c r="F470" i="51"/>
  <c r="F469" i="51"/>
  <c r="F468" i="51"/>
  <c r="F467" i="51"/>
  <c r="F466" i="51"/>
  <c r="F465" i="51"/>
  <c r="F464" i="51"/>
  <c r="F463" i="51"/>
  <c r="F462" i="51"/>
  <c r="F461" i="51"/>
  <c r="F460" i="51"/>
  <c r="F459" i="51"/>
  <c r="F458" i="51"/>
  <c r="F457" i="51"/>
  <c r="F456" i="51"/>
  <c r="F455" i="51"/>
  <c r="F454" i="51"/>
  <c r="F453" i="51"/>
  <c r="F452" i="51"/>
  <c r="F451" i="51"/>
  <c r="F450" i="51"/>
  <c r="F449" i="51"/>
  <c r="F448" i="51"/>
  <c r="F447" i="51"/>
  <c r="F446" i="51"/>
  <c r="F445" i="51"/>
  <c r="F444" i="51"/>
  <c r="F443" i="51"/>
  <c r="F442" i="51"/>
  <c r="F441" i="51"/>
  <c r="F440" i="51"/>
  <c r="F439" i="51"/>
  <c r="F438" i="51"/>
  <c r="F437" i="51"/>
  <c r="F436" i="51"/>
  <c r="F435" i="51"/>
  <c r="F434" i="51"/>
  <c r="F433" i="51"/>
  <c r="F432" i="51"/>
  <c r="F431" i="51"/>
  <c r="F430" i="51"/>
  <c r="F429" i="51"/>
  <c r="F428" i="51"/>
  <c r="F427" i="51"/>
  <c r="F426" i="51"/>
  <c r="F425" i="51"/>
  <c r="F424" i="51"/>
  <c r="F423" i="51"/>
  <c r="F422" i="51"/>
  <c r="F421" i="51"/>
  <c r="F420" i="51"/>
  <c r="F419" i="51"/>
  <c r="F418" i="51"/>
  <c r="F417" i="51"/>
  <c r="F416" i="51"/>
  <c r="F415" i="51"/>
  <c r="F414" i="51"/>
  <c r="F413" i="51"/>
  <c r="F412" i="51"/>
  <c r="F411" i="51"/>
  <c r="F410" i="51"/>
  <c r="F409" i="51"/>
  <c r="F408" i="51"/>
  <c r="F407" i="51"/>
  <c r="F406" i="51"/>
  <c r="F405" i="51"/>
  <c r="F404" i="51"/>
  <c r="F403" i="51"/>
  <c r="F402" i="51"/>
  <c r="F401" i="51"/>
  <c r="F400" i="51"/>
  <c r="F399" i="51"/>
  <c r="F398" i="51"/>
  <c r="F397" i="51"/>
  <c r="F396" i="51"/>
  <c r="F395" i="51"/>
  <c r="F394" i="51"/>
  <c r="F393" i="51"/>
  <c r="F392" i="51"/>
  <c r="F391" i="51"/>
  <c r="F390" i="51"/>
  <c r="F389" i="51"/>
  <c r="F388" i="51"/>
  <c r="F387" i="51"/>
  <c r="F386" i="51"/>
  <c r="F385" i="51"/>
  <c r="F384" i="51"/>
  <c r="F383" i="51"/>
  <c r="F382" i="51"/>
  <c r="F381" i="51"/>
  <c r="F380" i="51"/>
  <c r="F379" i="51"/>
  <c r="F378" i="51"/>
  <c r="F377" i="51"/>
  <c r="F376" i="51"/>
  <c r="F375" i="51"/>
  <c r="F374" i="51"/>
  <c r="F373" i="51"/>
  <c r="F372" i="51"/>
  <c r="F371" i="51"/>
  <c r="F370" i="51"/>
  <c r="F369" i="51"/>
  <c r="F368" i="51"/>
  <c r="F367" i="51"/>
  <c r="F366" i="51"/>
  <c r="F365" i="51"/>
  <c r="F364" i="51"/>
  <c r="F363" i="51"/>
  <c r="F362" i="51"/>
  <c r="F361" i="51"/>
  <c r="F360" i="51"/>
  <c r="F359" i="51"/>
  <c r="F358" i="51"/>
  <c r="F357" i="51"/>
  <c r="F356" i="51"/>
  <c r="F355" i="51"/>
  <c r="F354" i="51"/>
  <c r="F353" i="51"/>
  <c r="F352" i="51"/>
  <c r="F351" i="51"/>
  <c r="F350" i="51"/>
  <c r="F349" i="51"/>
  <c r="F348" i="51"/>
  <c r="F347" i="51"/>
  <c r="F346" i="51"/>
  <c r="F345" i="51"/>
  <c r="F344" i="51"/>
  <c r="F343" i="51"/>
  <c r="F342" i="51"/>
  <c r="F341" i="51"/>
  <c r="F340" i="51"/>
  <c r="F339" i="51"/>
  <c r="F338" i="51"/>
  <c r="F337" i="51"/>
  <c r="F336" i="51"/>
  <c r="F335" i="51"/>
  <c r="F334" i="51"/>
  <c r="F333" i="51"/>
  <c r="F332" i="51"/>
  <c r="F331" i="51"/>
  <c r="F330" i="51"/>
  <c r="F329" i="51"/>
  <c r="F328" i="51"/>
  <c r="F327" i="51"/>
  <c r="F326" i="51"/>
  <c r="F325" i="51"/>
  <c r="F324" i="51"/>
  <c r="F323" i="51"/>
  <c r="F322" i="51"/>
  <c r="F321" i="51"/>
  <c r="F320" i="51"/>
  <c r="F319" i="51"/>
  <c r="F318" i="51"/>
  <c r="F317" i="51"/>
  <c r="F316" i="51"/>
  <c r="F315" i="51"/>
  <c r="F314" i="51"/>
  <c r="F313" i="51"/>
  <c r="F312" i="51"/>
  <c r="F311" i="51"/>
  <c r="F310" i="51"/>
  <c r="F309" i="51"/>
  <c r="F308" i="51"/>
  <c r="F307" i="51"/>
  <c r="F306" i="51"/>
  <c r="F305" i="51"/>
  <c r="F304" i="51"/>
  <c r="F303" i="51"/>
  <c r="F302" i="51"/>
  <c r="F301" i="51"/>
  <c r="F300" i="51"/>
  <c r="F299" i="51"/>
  <c r="F298" i="51"/>
  <c r="F297" i="51"/>
  <c r="F296" i="51"/>
  <c r="F295" i="51"/>
  <c r="F294" i="51"/>
  <c r="F293" i="51"/>
  <c r="F292" i="51"/>
  <c r="F291" i="51"/>
  <c r="F290" i="51"/>
  <c r="F289" i="51"/>
  <c r="F288" i="51"/>
  <c r="F287" i="51"/>
  <c r="F286" i="51"/>
  <c r="F285" i="51"/>
  <c r="F284" i="51"/>
  <c r="F283" i="51"/>
  <c r="F282" i="51"/>
  <c r="F281" i="51"/>
  <c r="F280" i="51"/>
  <c r="F279" i="51"/>
  <c r="F278" i="51"/>
  <c r="F277" i="51"/>
  <c r="F276" i="51"/>
  <c r="F275" i="51"/>
  <c r="F274" i="51"/>
  <c r="F273" i="51"/>
  <c r="F272" i="51"/>
  <c r="F271" i="51"/>
  <c r="F270" i="51"/>
  <c r="F269" i="51"/>
  <c r="F268" i="51"/>
  <c r="F267" i="51"/>
  <c r="F266" i="51"/>
  <c r="F265" i="51"/>
  <c r="F264" i="51"/>
  <c r="F263" i="51"/>
  <c r="F262" i="51"/>
  <c r="F261" i="51"/>
  <c r="F260" i="51"/>
  <c r="F259" i="51"/>
  <c r="F258" i="51"/>
  <c r="F257" i="51"/>
  <c r="F256" i="51"/>
  <c r="F255" i="51"/>
  <c r="F254" i="51"/>
  <c r="F253" i="51"/>
  <c r="F252" i="51"/>
  <c r="F251" i="51"/>
  <c r="F250" i="51"/>
  <c r="F249" i="51"/>
  <c r="F248" i="51"/>
  <c r="F247" i="51"/>
  <c r="F246" i="51"/>
  <c r="F245" i="51"/>
  <c r="F244" i="51"/>
  <c r="F243" i="51"/>
  <c r="F242" i="51"/>
  <c r="F241" i="51"/>
  <c r="F240" i="51"/>
  <c r="F239" i="51"/>
  <c r="F238" i="51"/>
  <c r="F237" i="51"/>
  <c r="F236" i="51"/>
  <c r="F235" i="51"/>
  <c r="F234" i="51"/>
  <c r="F233" i="51"/>
  <c r="F232" i="51"/>
  <c r="F231" i="51"/>
  <c r="F230" i="51"/>
  <c r="F229" i="51"/>
  <c r="F228" i="51"/>
  <c r="F227" i="51"/>
  <c r="F226" i="51"/>
  <c r="F225" i="51"/>
  <c r="F224" i="51"/>
  <c r="F223" i="51"/>
  <c r="F222" i="51"/>
  <c r="F221" i="51"/>
  <c r="F220" i="51"/>
  <c r="F219" i="51"/>
  <c r="F218" i="51"/>
  <c r="F217" i="51"/>
  <c r="F216" i="51"/>
  <c r="F215" i="51"/>
  <c r="F214" i="51"/>
  <c r="F213" i="51"/>
  <c r="F212" i="51"/>
  <c r="F211" i="51"/>
  <c r="F210" i="51"/>
  <c r="F209" i="51"/>
  <c r="F208" i="51"/>
  <c r="F207" i="51"/>
  <c r="F206" i="51"/>
  <c r="F205" i="51"/>
  <c r="F204" i="51"/>
  <c r="F203" i="51"/>
  <c r="F202" i="51"/>
  <c r="F201" i="51"/>
  <c r="F200" i="51"/>
  <c r="F199" i="51"/>
  <c r="F198" i="51"/>
  <c r="F197" i="51"/>
  <c r="F196" i="51"/>
  <c r="F195" i="51"/>
  <c r="F194" i="51"/>
  <c r="F193" i="51"/>
  <c r="F192" i="51"/>
  <c r="F191" i="51"/>
  <c r="F190" i="51"/>
  <c r="F189" i="51"/>
  <c r="F188" i="51"/>
  <c r="F187" i="51"/>
  <c r="F186" i="51"/>
  <c r="F185" i="51"/>
  <c r="F184" i="51"/>
  <c r="F183" i="51"/>
  <c r="F182" i="51"/>
  <c r="F181" i="51"/>
  <c r="F180" i="51"/>
  <c r="F179" i="51"/>
  <c r="F178" i="51"/>
  <c r="F177" i="51"/>
  <c r="F176" i="51"/>
  <c r="F175" i="51"/>
  <c r="F174" i="51"/>
  <c r="F173" i="51"/>
  <c r="F172" i="51"/>
  <c r="F171" i="51"/>
  <c r="F170" i="51"/>
  <c r="F169" i="51"/>
  <c r="F168" i="51"/>
  <c r="F167" i="51"/>
  <c r="F166" i="51"/>
  <c r="F165" i="51"/>
  <c r="F164" i="51"/>
  <c r="F163" i="51"/>
  <c r="F162" i="51"/>
  <c r="F161" i="51"/>
  <c r="F160" i="51"/>
  <c r="F159" i="51"/>
  <c r="F158" i="51"/>
  <c r="F157" i="51"/>
  <c r="F156" i="51"/>
  <c r="F155" i="51"/>
  <c r="F154" i="51"/>
  <c r="F153" i="51"/>
  <c r="F152" i="51"/>
  <c r="F151" i="51"/>
  <c r="F150" i="51"/>
  <c r="F149" i="51"/>
  <c r="F148" i="51"/>
  <c r="F147" i="51"/>
  <c r="F146" i="51"/>
  <c r="F145" i="51"/>
  <c r="F144" i="51"/>
  <c r="F143" i="51"/>
  <c r="F142" i="51"/>
  <c r="F141" i="51"/>
  <c r="F140" i="51"/>
  <c r="F139" i="51"/>
  <c r="F138" i="51"/>
  <c r="F137" i="51"/>
  <c r="F136" i="51"/>
  <c r="F135" i="51"/>
  <c r="F134" i="51"/>
  <c r="F133" i="51"/>
  <c r="F132" i="51"/>
  <c r="F131" i="51"/>
  <c r="F130" i="51"/>
  <c r="F129" i="51"/>
  <c r="F128" i="51"/>
  <c r="F127" i="51"/>
  <c r="F126" i="51"/>
  <c r="F125" i="51"/>
  <c r="F124" i="51"/>
  <c r="F123" i="51"/>
  <c r="F122" i="51"/>
  <c r="F121" i="51"/>
  <c r="F120" i="51"/>
  <c r="F119" i="51"/>
  <c r="F118" i="51"/>
  <c r="F117" i="51"/>
  <c r="F116" i="51"/>
  <c r="F115" i="51"/>
  <c r="F114" i="51"/>
  <c r="F113" i="51"/>
  <c r="F112" i="51"/>
  <c r="F111" i="51"/>
  <c r="F110" i="51"/>
  <c r="F109" i="51"/>
  <c r="F108" i="51"/>
  <c r="F107" i="51"/>
  <c r="F106" i="51"/>
  <c r="F105" i="51"/>
  <c r="F104" i="51"/>
  <c r="F103" i="51"/>
  <c r="F102" i="51"/>
  <c r="F101" i="51"/>
  <c r="F100" i="51"/>
  <c r="F99" i="51"/>
  <c r="F98" i="51"/>
  <c r="F97" i="51"/>
  <c r="F96" i="51"/>
  <c r="F95" i="51"/>
  <c r="F94" i="51"/>
  <c r="F93" i="51"/>
  <c r="F92" i="51"/>
  <c r="F91" i="51"/>
  <c r="F90" i="51"/>
  <c r="F89" i="51"/>
  <c r="F88" i="51"/>
  <c r="F87" i="51"/>
  <c r="F86" i="51"/>
  <c r="F85" i="51"/>
  <c r="F84" i="51"/>
  <c r="F83" i="51"/>
  <c r="F82" i="51"/>
  <c r="F81" i="51"/>
  <c r="F80" i="51"/>
  <c r="F79" i="51"/>
  <c r="F78" i="51"/>
  <c r="F77" i="51"/>
  <c r="F76" i="51"/>
  <c r="F75" i="51"/>
  <c r="F74" i="51"/>
  <c r="F73" i="51"/>
  <c r="F72" i="51"/>
  <c r="F71" i="51"/>
  <c r="F70" i="51"/>
  <c r="F69" i="51"/>
  <c r="F68" i="51"/>
  <c r="F67" i="51"/>
  <c r="F66" i="51"/>
  <c r="F65" i="51"/>
  <c r="F64" i="51"/>
  <c r="F63" i="51"/>
  <c r="F62" i="51"/>
  <c r="F61" i="51"/>
  <c r="F60" i="51"/>
  <c r="F59" i="51"/>
  <c r="F58" i="51"/>
  <c r="F57" i="51"/>
  <c r="F56" i="51"/>
  <c r="F55" i="51"/>
  <c r="F54" i="51"/>
  <c r="F53" i="51"/>
  <c r="F52" i="51"/>
  <c r="F51" i="51"/>
  <c r="F50" i="51"/>
  <c r="F49" i="51"/>
  <c r="F48" i="51"/>
  <c r="F47" i="51"/>
  <c r="F46" i="51"/>
  <c r="F45" i="51"/>
  <c r="F44" i="51"/>
  <c r="F43" i="51"/>
  <c r="F42" i="51"/>
  <c r="F41" i="51"/>
  <c r="F40" i="51"/>
  <c r="F39" i="51"/>
  <c r="F38" i="51"/>
  <c r="F37" i="51"/>
  <c r="F36" i="51"/>
  <c r="F35" i="51"/>
  <c r="F34" i="51"/>
  <c r="F33" i="51"/>
  <c r="F32" i="51"/>
  <c r="F31" i="51"/>
  <c r="F30" i="51"/>
  <c r="F29" i="51"/>
  <c r="F28" i="51"/>
  <c r="F27" i="51"/>
  <c r="F26" i="51"/>
  <c r="F25" i="51"/>
  <c r="F24" i="51"/>
  <c r="F23" i="51"/>
  <c r="F22" i="51"/>
  <c r="F21" i="51"/>
  <c r="F20" i="51"/>
  <c r="F19" i="51"/>
  <c r="F18" i="51"/>
  <c r="F17" i="51"/>
  <c r="F16" i="51"/>
  <c r="F15" i="51"/>
  <c r="F14" i="51"/>
  <c r="F13" i="51"/>
  <c r="F12" i="51"/>
  <c r="F11" i="51"/>
  <c r="F10" i="51"/>
  <c r="F9" i="51"/>
  <c r="F8" i="51"/>
  <c r="F7" i="51"/>
  <c r="F6" i="51"/>
  <c r="F5" i="51"/>
  <c r="F4" i="51"/>
  <c r="F784" i="52" l="1"/>
  <c r="G19" i="52" s="1"/>
  <c r="F1214" i="51"/>
  <c r="G70" i="51" s="1"/>
  <c r="G913" i="51" l="1"/>
  <c r="G988" i="51"/>
  <c r="G1124" i="51"/>
  <c r="G958" i="51"/>
  <c r="G1040" i="51"/>
  <c r="G1116" i="51"/>
  <c r="G950" i="51"/>
  <c r="G1026" i="51"/>
  <c r="G1102" i="51"/>
  <c r="G922" i="51"/>
  <c r="G673" i="51"/>
  <c r="G1182" i="51"/>
  <c r="G1092" i="51"/>
  <c r="G1009" i="51"/>
  <c r="G926" i="51"/>
  <c r="G1181" i="51"/>
  <c r="G1098" i="51"/>
  <c r="G1008" i="51"/>
  <c r="G925" i="51"/>
  <c r="G1174" i="51"/>
  <c r="G1084" i="51"/>
  <c r="G1001" i="51"/>
  <c r="G918" i="51"/>
  <c r="G1160" i="51"/>
  <c r="G1077" i="51"/>
  <c r="G994" i="51"/>
  <c r="G904" i="51"/>
  <c r="G1153" i="51"/>
  <c r="G1070" i="51"/>
  <c r="G980" i="51"/>
  <c r="G897" i="51"/>
  <c r="G1133" i="51"/>
  <c r="G1005" i="51"/>
  <c r="G1196" i="51"/>
  <c r="G1062" i="51"/>
  <c r="G934" i="51"/>
  <c r="G834" i="51"/>
  <c r="G933" i="51"/>
  <c r="G725" i="51"/>
  <c r="G850" i="51"/>
  <c r="G785" i="51"/>
  <c r="G698" i="51"/>
  <c r="G530" i="51"/>
  <c r="G609" i="51"/>
  <c r="G608" i="51"/>
  <c r="G623" i="51"/>
  <c r="G606" i="51"/>
  <c r="G637" i="51"/>
  <c r="G668" i="51"/>
  <c r="G341" i="51"/>
  <c r="G180" i="51"/>
  <c r="G28" i="51"/>
  <c r="G515" i="51"/>
  <c r="G96" i="51"/>
  <c r="G157" i="51"/>
  <c r="G143" i="51"/>
  <c r="G1057" i="51"/>
  <c r="G1169" i="51"/>
  <c r="G1168" i="51"/>
  <c r="G1078" i="51"/>
  <c r="G1064" i="51"/>
  <c r="G1140" i="51"/>
  <c r="G1114" i="51"/>
  <c r="G1190" i="51"/>
  <c r="G802" i="51"/>
  <c r="G1202" i="51"/>
  <c r="G682" i="51"/>
  <c r="G585" i="51"/>
  <c r="G599" i="51"/>
  <c r="G582" i="51"/>
  <c r="G613" i="51"/>
  <c r="G296" i="51"/>
  <c r="G84" i="51"/>
  <c r="G428" i="51"/>
  <c r="G104" i="51"/>
  <c r="G243" i="51"/>
  <c r="G23" i="51"/>
  <c r="G1156" i="51"/>
  <c r="G1073" i="51"/>
  <c r="G990" i="51"/>
  <c r="G900" i="51"/>
  <c r="G1162" i="51"/>
  <c r="G1072" i="51"/>
  <c r="G989" i="51"/>
  <c r="G906" i="51"/>
  <c r="G1148" i="51"/>
  <c r="G1065" i="51"/>
  <c r="G982" i="51"/>
  <c r="G892" i="51"/>
  <c r="G1141" i="51"/>
  <c r="G1058" i="51"/>
  <c r="G968" i="51"/>
  <c r="G885" i="51"/>
  <c r="G1134" i="51"/>
  <c r="G1044" i="51"/>
  <c r="G961" i="51"/>
  <c r="G1210" i="51"/>
  <c r="G1101" i="51"/>
  <c r="G960" i="51"/>
  <c r="G1177" i="51"/>
  <c r="G1030" i="51"/>
  <c r="G889" i="51"/>
  <c r="G789" i="51"/>
  <c r="G750" i="51"/>
  <c r="G946" i="51"/>
  <c r="G754" i="51"/>
  <c r="G1074" i="51"/>
  <c r="G658" i="51"/>
  <c r="G482" i="51"/>
  <c r="G545" i="51"/>
  <c r="G544" i="51"/>
  <c r="G559" i="51"/>
  <c r="G542" i="51"/>
  <c r="G573" i="51"/>
  <c r="G604" i="51"/>
  <c r="G144" i="51"/>
  <c r="G943" i="51"/>
  <c r="G707" i="51"/>
  <c r="G345" i="51"/>
  <c r="G337" i="51"/>
  <c r="G27" i="51"/>
  <c r="G912" i="51"/>
  <c r="G981" i="51"/>
  <c r="G974" i="51"/>
  <c r="G973" i="51"/>
  <c r="G921" i="51"/>
  <c r="G786" i="51"/>
  <c r="G644" i="51"/>
  <c r="G977" i="51"/>
  <c r="G976" i="51"/>
  <c r="G1052" i="51"/>
  <c r="G1128" i="51"/>
  <c r="G962" i="51"/>
  <c r="G1204" i="51"/>
  <c r="G1121" i="51"/>
  <c r="G1038" i="51"/>
  <c r="G948" i="51"/>
  <c r="G1197" i="51"/>
  <c r="G1088" i="51"/>
  <c r="G941" i="51"/>
  <c r="G1145" i="51"/>
  <c r="G1017" i="51"/>
  <c r="G877" i="51"/>
  <c r="G770" i="51"/>
  <c r="G726" i="51"/>
  <c r="G838" i="51"/>
  <c r="G713" i="51"/>
  <c r="G927" i="51"/>
  <c r="G634" i="51"/>
  <c r="G768" i="51"/>
  <c r="G521" i="51"/>
  <c r="G520" i="51"/>
  <c r="G535" i="51"/>
  <c r="G518" i="51"/>
  <c r="G549" i="51"/>
  <c r="G580" i="51"/>
  <c r="G48" i="51"/>
  <c r="G508" i="51"/>
  <c r="G683" i="51"/>
  <c r="G300" i="51"/>
  <c r="G164" i="51"/>
  <c r="G97" i="51"/>
  <c r="G996" i="51"/>
  <c r="G1002" i="51"/>
  <c r="G905" i="51"/>
  <c r="G898" i="51"/>
  <c r="G884" i="51"/>
  <c r="G1049" i="51"/>
  <c r="G801" i="51"/>
  <c r="G734" i="51"/>
  <c r="G501" i="51"/>
  <c r="G584" i="51"/>
  <c r="G304" i="51"/>
  <c r="G1150" i="51"/>
  <c r="G1060" i="51"/>
  <c r="G894" i="51"/>
  <c r="G1149" i="51"/>
  <c r="G1066" i="51"/>
  <c r="G893" i="51"/>
  <c r="G1142" i="51"/>
  <c r="G969" i="51"/>
  <c r="G886" i="51"/>
  <c r="G1045" i="51"/>
  <c r="G1137" i="51"/>
  <c r="G1054" i="51"/>
  <c r="G964" i="51"/>
  <c r="G881" i="51"/>
  <c r="G1136" i="51"/>
  <c r="G1053" i="51"/>
  <c r="G970" i="51"/>
  <c r="G1212" i="51"/>
  <c r="G1129" i="51"/>
  <c r="G1046" i="51"/>
  <c r="G956" i="51"/>
  <c r="G1205" i="51"/>
  <c r="G1122" i="51"/>
  <c r="G1032" i="51"/>
  <c r="G949" i="51"/>
  <c r="G1198" i="51"/>
  <c r="G1108" i="51"/>
  <c r="G1025" i="51"/>
  <c r="G942" i="51"/>
  <c r="G1184" i="51"/>
  <c r="G1056" i="51"/>
  <c r="G928" i="51"/>
  <c r="G1132" i="51"/>
  <c r="G1004" i="51"/>
  <c r="G1042" i="51"/>
  <c r="G721" i="51"/>
  <c r="G1048" i="51"/>
  <c r="G793" i="51"/>
  <c r="G1061" i="51"/>
  <c r="G888" i="51"/>
  <c r="G618" i="51"/>
  <c r="G689" i="51"/>
  <c r="G468" i="51"/>
  <c r="G474" i="51"/>
  <c r="G486" i="51"/>
  <c r="G461" i="51"/>
  <c r="G510" i="51"/>
  <c r="G540" i="51"/>
  <c r="G470" i="51"/>
  <c r="G365" i="51"/>
  <c r="G643" i="51"/>
  <c r="G92" i="51"/>
  <c r="G464" i="51"/>
  <c r="G77" i="51"/>
  <c r="G316" i="51"/>
  <c r="G71" i="51"/>
  <c r="G1086" i="51"/>
  <c r="G1161" i="51"/>
  <c r="G1213" i="51"/>
  <c r="G1206" i="51"/>
  <c r="G1192" i="51"/>
  <c r="G936" i="51"/>
  <c r="G1012" i="51"/>
  <c r="G1178" i="51"/>
  <c r="G1113" i="51"/>
  <c r="G965" i="51"/>
  <c r="G901" i="51"/>
  <c r="G809" i="51"/>
  <c r="G712" i="51"/>
  <c r="G765" i="51"/>
  <c r="G772" i="51"/>
  <c r="G478" i="51"/>
  <c r="G516" i="51"/>
  <c r="G320" i="51"/>
  <c r="G619" i="51"/>
  <c r="G1201" i="51"/>
  <c r="G1118" i="51"/>
  <c r="G1028" i="51"/>
  <c r="G945" i="51"/>
  <c r="G1200" i="51"/>
  <c r="G1117" i="51"/>
  <c r="G1034" i="51"/>
  <c r="G944" i="51"/>
  <c r="G1193" i="51"/>
  <c r="G1110" i="51"/>
  <c r="G1020" i="51"/>
  <c r="G937" i="51"/>
  <c r="G1186" i="51"/>
  <c r="G1096" i="51"/>
  <c r="G1013" i="51"/>
  <c r="G930" i="51"/>
  <c r="G1172" i="51"/>
  <c r="G1089" i="51"/>
  <c r="G1006" i="51"/>
  <c r="G916" i="51"/>
  <c r="G1165" i="51"/>
  <c r="G1024" i="51"/>
  <c r="G890" i="51"/>
  <c r="G1100" i="51"/>
  <c r="G966" i="51"/>
  <c r="G895" i="51"/>
  <c r="G1010" i="51"/>
  <c r="G826" i="51"/>
  <c r="G1170" i="51"/>
  <c r="G882" i="51"/>
  <c r="G777" i="51"/>
  <c r="G570" i="51"/>
  <c r="G649" i="51"/>
  <c r="G672" i="51"/>
  <c r="G687" i="51"/>
  <c r="G670" i="51"/>
  <c r="G701" i="51"/>
  <c r="G732" i="51"/>
  <c r="G465" i="51"/>
  <c r="G340" i="51"/>
  <c r="G216" i="51"/>
  <c r="G579" i="51"/>
  <c r="G467" i="51"/>
  <c r="G108" i="51"/>
  <c r="G327" i="51"/>
  <c r="G1085" i="51"/>
  <c r="G1154" i="51"/>
  <c r="G1041" i="51"/>
  <c r="G1130" i="51"/>
  <c r="G957" i="51"/>
  <c r="G1033" i="51"/>
  <c r="G1109" i="51"/>
  <c r="G1185" i="51"/>
  <c r="G929" i="51"/>
  <c r="G1050" i="51"/>
  <c r="G972" i="51"/>
  <c r="G1189" i="51"/>
  <c r="G742" i="51"/>
  <c r="G983" i="51"/>
  <c r="G594" i="51"/>
  <c r="G727" i="51"/>
  <c r="G417" i="51"/>
  <c r="G1188" i="51"/>
  <c r="G1105" i="51"/>
  <c r="G1022" i="51"/>
  <c r="G932" i="51"/>
  <c r="G1194" i="51"/>
  <c r="G1104" i="51"/>
  <c r="G1021" i="51"/>
  <c r="G938" i="51"/>
  <c r="G1180" i="51"/>
  <c r="G1097" i="51"/>
  <c r="G1014" i="51"/>
  <c r="G924" i="51"/>
  <c r="G1173" i="51"/>
  <c r="G1090" i="51"/>
  <c r="G1000" i="51"/>
  <c r="G917" i="51"/>
  <c r="G1166" i="51"/>
  <c r="G1076" i="51"/>
  <c r="G993" i="51"/>
  <c r="G910" i="51"/>
  <c r="G1146" i="51"/>
  <c r="G1018" i="51"/>
  <c r="G878" i="51"/>
  <c r="G1094" i="51"/>
  <c r="G940" i="51"/>
  <c r="G866" i="51"/>
  <c r="G987" i="51"/>
  <c r="G781" i="51"/>
  <c r="G984" i="51"/>
  <c r="G817" i="51"/>
  <c r="G722" i="51"/>
  <c r="G554" i="51"/>
  <c r="G625" i="51"/>
  <c r="G648" i="51"/>
  <c r="G663" i="51"/>
  <c r="G646" i="51"/>
  <c r="G677" i="51"/>
  <c r="G708" i="51"/>
  <c r="G424" i="51"/>
  <c r="G289" i="51"/>
  <c r="G120" i="51"/>
  <c r="G555" i="51"/>
  <c r="G325" i="51"/>
  <c r="G245" i="51"/>
  <c r="G231" i="51"/>
  <c r="G464" i="52"/>
  <c r="G637" i="52"/>
  <c r="G451" i="52"/>
  <c r="G591" i="52"/>
  <c r="G603" i="52"/>
  <c r="G711" i="52"/>
  <c r="G519" i="52"/>
  <c r="G779" i="52"/>
  <c r="G467" i="52"/>
  <c r="G588" i="52"/>
  <c r="G715" i="52"/>
  <c r="G523" i="52"/>
  <c r="G631" i="52"/>
  <c r="G426" i="52"/>
  <c r="G390" i="52"/>
  <c r="G362" i="52"/>
  <c r="G438" i="52"/>
  <c r="G414" i="52"/>
  <c r="G169" i="52"/>
  <c r="G739" i="52"/>
  <c r="G624" i="52"/>
  <c r="G528" i="52"/>
  <c r="G445" i="52"/>
  <c r="G668" i="52"/>
  <c r="G585" i="52"/>
  <c r="G495" i="52"/>
  <c r="G699" i="52"/>
  <c r="G597" i="52"/>
  <c r="G488" i="52"/>
  <c r="G692" i="52"/>
  <c r="G596" i="52"/>
  <c r="G513" i="52"/>
  <c r="G755" i="52"/>
  <c r="G640" i="52"/>
  <c r="G544" i="52"/>
  <c r="G461" i="52"/>
  <c r="G671" i="52"/>
  <c r="G575" i="52"/>
  <c r="G492" i="52"/>
  <c r="G696" i="52"/>
  <c r="G600" i="52"/>
  <c r="G517" i="52"/>
  <c r="G740" i="52"/>
  <c r="G625" i="52"/>
  <c r="G497" i="52"/>
  <c r="G418" i="52"/>
  <c r="G374" i="52"/>
  <c r="G320" i="52"/>
  <c r="G346" i="52"/>
  <c r="G430" i="52"/>
  <c r="G398" i="52"/>
  <c r="G262" i="52"/>
  <c r="G402" i="52"/>
  <c r="G270" i="52"/>
  <c r="G34" i="52"/>
  <c r="G225" i="52"/>
  <c r="G161" i="52"/>
  <c r="G97" i="52"/>
  <c r="G33" i="52"/>
  <c r="G56" i="52"/>
  <c r="G247" i="52"/>
  <c r="G183" i="52"/>
  <c r="G119" i="52"/>
  <c r="G55" i="52"/>
  <c r="G94" i="52"/>
  <c r="G30" i="52"/>
  <c r="G213" i="52"/>
  <c r="G149" i="52"/>
  <c r="G85" i="52"/>
  <c r="G21" i="52"/>
  <c r="G20" i="52"/>
  <c r="G195" i="52"/>
  <c r="G131" i="52"/>
  <c r="G67" i="52"/>
  <c r="G783" i="52"/>
  <c r="G700" i="52"/>
  <c r="G774" i="52"/>
  <c r="G541" i="52"/>
  <c r="G687" i="52"/>
  <c r="G508" i="52"/>
  <c r="G712" i="52"/>
  <c r="G501" i="52"/>
  <c r="G609" i="52"/>
  <c r="G653" i="52"/>
  <c r="G563" i="52"/>
  <c r="G684" i="52"/>
  <c r="G505" i="52"/>
  <c r="G613" i="52"/>
  <c r="G759" i="52"/>
  <c r="G516" i="52"/>
  <c r="G336" i="52"/>
  <c r="G286" i="52"/>
  <c r="G720" i="52"/>
  <c r="G611" i="52"/>
  <c r="G515" i="52"/>
  <c r="G782" i="52"/>
  <c r="G655" i="52"/>
  <c r="G572" i="52"/>
  <c r="G476" i="52"/>
  <c r="G680" i="52"/>
  <c r="G571" i="52"/>
  <c r="G475" i="52"/>
  <c r="G679" i="52"/>
  <c r="G583" i="52"/>
  <c r="G500" i="52"/>
  <c r="G736" i="52"/>
  <c r="G627" i="52"/>
  <c r="G531" i="52"/>
  <c r="G448" i="52"/>
  <c r="G652" i="52"/>
  <c r="G569" i="52"/>
  <c r="G479" i="52"/>
  <c r="G683" i="52"/>
  <c r="G587" i="52"/>
  <c r="G504" i="52"/>
  <c r="G727" i="52"/>
  <c r="G599" i="52"/>
  <c r="G484" i="52"/>
  <c r="G332" i="52"/>
  <c r="G358" i="52"/>
  <c r="G304" i="52"/>
  <c r="G330" i="52"/>
  <c r="G422" i="52"/>
  <c r="G382" i="52"/>
  <c r="G4" i="52"/>
  <c r="K5" i="52" s="1"/>
  <c r="G386" i="52"/>
  <c r="G98" i="52"/>
  <c r="G26" i="52"/>
  <c r="G217" i="52"/>
  <c r="G153" i="52"/>
  <c r="G89" i="52"/>
  <c r="G25" i="52"/>
  <c r="G48" i="52"/>
  <c r="G239" i="52"/>
  <c r="G175" i="52"/>
  <c r="G111" i="52"/>
  <c r="G47" i="52"/>
  <c r="G86" i="52"/>
  <c r="G22" i="52"/>
  <c r="G205" i="52"/>
  <c r="G141" i="52"/>
  <c r="G77" i="52"/>
  <c r="G13" i="52"/>
  <c r="G12" i="52"/>
  <c r="G187" i="52"/>
  <c r="G123" i="52"/>
  <c r="G59" i="52"/>
  <c r="G605" i="52"/>
  <c r="G509" i="52"/>
  <c r="G772" i="52"/>
  <c r="G463" i="52"/>
  <c r="G667" i="52"/>
  <c r="G552" i="52"/>
  <c r="G469" i="52"/>
  <c r="G660" i="52"/>
  <c r="G577" i="52"/>
  <c r="G487" i="52"/>
  <c r="G723" i="52"/>
  <c r="G621" i="52"/>
  <c r="G525" i="52"/>
  <c r="G778" i="52"/>
  <c r="G639" i="52"/>
  <c r="G556" i="52"/>
  <c r="G473" i="52"/>
  <c r="G664" i="52"/>
  <c r="G581" i="52"/>
  <c r="G491" i="52"/>
  <c r="G708" i="52"/>
  <c r="G593" i="52"/>
  <c r="G471" i="52"/>
  <c r="G316" i="52"/>
  <c r="G342" i="52"/>
  <c r="G288" i="52"/>
  <c r="G314" i="52"/>
  <c r="G340" i="52"/>
  <c r="G366" i="52"/>
  <c r="G328" i="52"/>
  <c r="G370" i="52"/>
  <c r="G90" i="52"/>
  <c r="G18" i="52"/>
  <c r="G209" i="52"/>
  <c r="G145" i="52"/>
  <c r="G81" i="52"/>
  <c r="G17" i="52"/>
  <c r="G40" i="52"/>
  <c r="G231" i="52"/>
  <c r="G167" i="52"/>
  <c r="G103" i="52"/>
  <c r="G39" i="52"/>
  <c r="G78" i="52"/>
  <c r="G14" i="52"/>
  <c r="G197" i="52"/>
  <c r="G133" i="52"/>
  <c r="G69" i="52"/>
  <c r="G5" i="52"/>
  <c r="G243" i="52"/>
  <c r="G179" i="52"/>
  <c r="G115" i="52"/>
  <c r="G51" i="52"/>
  <c r="G636" i="52"/>
  <c r="G512" i="52"/>
  <c r="G472" i="52"/>
  <c r="G465" i="52"/>
  <c r="G326" i="52"/>
  <c r="G250" i="52"/>
  <c r="G298" i="52"/>
  <c r="G324" i="52"/>
  <c r="G312" i="52"/>
  <c r="G354" i="52"/>
  <c r="G10" i="52"/>
  <c r="G201" i="52"/>
  <c r="G137" i="52"/>
  <c r="G73" i="52"/>
  <c r="G9" i="52"/>
  <c r="G32" i="52"/>
  <c r="G223" i="52"/>
  <c r="G159" i="52"/>
  <c r="G95" i="52"/>
  <c r="G31" i="52"/>
  <c r="G70" i="52"/>
  <c r="G6" i="52"/>
  <c r="G189" i="52"/>
  <c r="G125" i="52"/>
  <c r="G61" i="52"/>
  <c r="G68" i="52"/>
  <c r="G235" i="52"/>
  <c r="G171" i="52"/>
  <c r="G107" i="52"/>
  <c r="G43" i="52"/>
  <c r="G707" i="52"/>
  <c r="G559" i="52"/>
  <c r="G688" i="52"/>
  <c r="G496" i="52"/>
  <c r="G553" i="52"/>
  <c r="G648" i="52"/>
  <c r="G647" i="52"/>
  <c r="G468" i="52"/>
  <c r="G608" i="52"/>
  <c r="G767" i="52"/>
  <c r="G543" i="52"/>
  <c r="G460" i="52"/>
  <c r="G568" i="52"/>
  <c r="G676" i="52"/>
  <c r="G567" i="52"/>
  <c r="G300" i="52"/>
  <c r="G74" i="52"/>
  <c r="G675" i="52"/>
  <c r="G573" i="52"/>
  <c r="G483" i="52"/>
  <c r="G732" i="52"/>
  <c r="G623" i="52"/>
  <c r="G540" i="52"/>
  <c r="G781" i="52"/>
  <c r="G635" i="52"/>
  <c r="G533" i="52"/>
  <c r="G780" i="52"/>
  <c r="G641" i="52"/>
  <c r="G551" i="52"/>
  <c r="G455" i="52"/>
  <c r="G691" i="52"/>
  <c r="G595" i="52"/>
  <c r="G499" i="52"/>
  <c r="G735" i="52"/>
  <c r="G620" i="52"/>
  <c r="G537" i="52"/>
  <c r="G447" i="52"/>
  <c r="G645" i="52"/>
  <c r="G555" i="52"/>
  <c r="G459" i="52"/>
  <c r="G663" i="52"/>
  <c r="G548" i="52"/>
  <c r="G452" i="52"/>
  <c r="G284" i="52"/>
  <c r="G310" i="52"/>
  <c r="G410" i="52"/>
  <c r="G282" i="52"/>
  <c r="G308" i="52"/>
  <c r="G334" i="52"/>
  <c r="G296" i="52"/>
  <c r="G338" i="52"/>
  <c r="G66" i="52"/>
  <c r="G265" i="52"/>
  <c r="G193" i="52"/>
  <c r="G129" i="52"/>
  <c r="G65" i="52"/>
  <c r="G272" i="52"/>
  <c r="G24" i="52"/>
  <c r="G215" i="52"/>
  <c r="G151" i="52"/>
  <c r="G87" i="52"/>
  <c r="G23" i="52"/>
  <c r="G62" i="52"/>
  <c r="G245" i="52"/>
  <c r="G181" i="52"/>
  <c r="G117" i="52"/>
  <c r="G53" i="52"/>
  <c r="G60" i="52"/>
  <c r="G227" i="52"/>
  <c r="G163" i="52"/>
  <c r="G99" i="52"/>
  <c r="G35" i="52"/>
  <c r="G649" i="52"/>
  <c r="G579" i="52"/>
  <c r="G751" i="52"/>
  <c r="G457" i="52"/>
  <c r="G539" i="52"/>
  <c r="G456" i="52"/>
  <c r="G564" i="52"/>
  <c r="G704" i="52"/>
  <c r="G633" i="52"/>
  <c r="G651" i="52"/>
  <c r="G350" i="52"/>
  <c r="G656" i="52"/>
  <c r="G560" i="52"/>
  <c r="G477" i="52"/>
  <c r="G719" i="52"/>
  <c r="G617" i="52"/>
  <c r="G527" i="52"/>
  <c r="G763" i="52"/>
  <c r="G629" i="52"/>
  <c r="G520" i="52"/>
  <c r="G743" i="52"/>
  <c r="G628" i="52"/>
  <c r="G545" i="52"/>
  <c r="G449" i="52"/>
  <c r="G672" i="52"/>
  <c r="G589" i="52"/>
  <c r="G493" i="52"/>
  <c r="G716" i="52"/>
  <c r="G607" i="52"/>
  <c r="G524" i="52"/>
  <c r="G747" i="52"/>
  <c r="G632" i="52"/>
  <c r="G549" i="52"/>
  <c r="G453" i="52"/>
  <c r="G657" i="52"/>
  <c r="G535" i="52"/>
  <c r="G442" i="52"/>
  <c r="G274" i="52"/>
  <c r="G294" i="52"/>
  <c r="G394" i="52"/>
  <c r="G254" i="52"/>
  <c r="G292" i="52"/>
  <c r="G318" i="52"/>
  <c r="G280" i="52"/>
  <c r="G322" i="52"/>
  <c r="G58" i="52"/>
  <c r="G249" i="52"/>
  <c r="G185" i="52"/>
  <c r="G121" i="52"/>
  <c r="G57" i="52"/>
  <c r="G256" i="52"/>
  <c r="G16" i="52"/>
  <c r="G207" i="52"/>
  <c r="G143" i="52"/>
  <c r="G79" i="52"/>
  <c r="G15" i="52"/>
  <c r="G54" i="52"/>
  <c r="G237" i="52"/>
  <c r="G173" i="52"/>
  <c r="G109" i="52"/>
  <c r="G45" i="52"/>
  <c r="G52" i="52"/>
  <c r="G219" i="52"/>
  <c r="G155" i="52"/>
  <c r="G91" i="52"/>
  <c r="G27" i="52"/>
  <c r="G643" i="52"/>
  <c r="G547" i="52"/>
  <c r="G604" i="52"/>
  <c r="G521" i="52"/>
  <c r="G731" i="52"/>
  <c r="G616" i="52"/>
  <c r="G507" i="52"/>
  <c r="G724" i="52"/>
  <c r="G615" i="52"/>
  <c r="G532" i="52"/>
  <c r="G443" i="52"/>
  <c r="G659" i="52"/>
  <c r="G576" i="52"/>
  <c r="G480" i="52"/>
  <c r="G703" i="52"/>
  <c r="G601" i="52"/>
  <c r="G511" i="52"/>
  <c r="G728" i="52"/>
  <c r="G619" i="52"/>
  <c r="G536" i="52"/>
  <c r="G441" i="52"/>
  <c r="G644" i="52"/>
  <c r="G529" i="52"/>
  <c r="G434" i="52"/>
  <c r="G406" i="52"/>
  <c r="G278" i="52"/>
  <c r="G378" i="52"/>
  <c r="G446" i="52"/>
  <c r="G258" i="52"/>
  <c r="G302" i="52"/>
  <c r="G266" i="52"/>
  <c r="G306" i="52"/>
  <c r="G50" i="52"/>
  <c r="G241" i="52"/>
  <c r="G177" i="52"/>
  <c r="G113" i="52"/>
  <c r="G49" i="52"/>
  <c r="G72" i="52"/>
  <c r="G8" i="52"/>
  <c r="G199" i="52"/>
  <c r="G135" i="52"/>
  <c r="G71" i="52"/>
  <c r="G7" i="52"/>
  <c r="G46" i="52"/>
  <c r="G229" i="52"/>
  <c r="G165" i="52"/>
  <c r="G101" i="52"/>
  <c r="G37" i="52"/>
  <c r="G44" i="52"/>
  <c r="G211" i="52"/>
  <c r="G147" i="52"/>
  <c r="G83" i="52"/>
  <c r="G784" i="52"/>
  <c r="G770" i="52"/>
  <c r="G775" i="52"/>
  <c r="G769" i="52"/>
  <c r="G765" i="52"/>
  <c r="G761" i="52"/>
  <c r="G757" i="52"/>
  <c r="G753" i="52"/>
  <c r="G749" i="52"/>
  <c r="G745" i="52"/>
  <c r="G741" i="52"/>
  <c r="G737" i="52"/>
  <c r="G733" i="52"/>
  <c r="G729" i="52"/>
  <c r="G725" i="52"/>
  <c r="G721" i="52"/>
  <c r="G717" i="52"/>
  <c r="G713" i="52"/>
  <c r="G709" i="52"/>
  <c r="G705" i="52"/>
  <c r="G701" i="52"/>
  <c r="G697" i="52"/>
  <c r="G693" i="52"/>
  <c r="G689" i="52"/>
  <c r="G685" i="52"/>
  <c r="G681" i="52"/>
  <c r="G677" i="52"/>
  <c r="G673" i="52"/>
  <c r="G669" i="52"/>
  <c r="G665" i="52"/>
  <c r="G661" i="52"/>
  <c r="G565" i="52"/>
  <c r="G561" i="52"/>
  <c r="G557" i="52"/>
  <c r="G489" i="52"/>
  <c r="G485" i="52"/>
  <c r="G481" i="52"/>
  <c r="G768" i="52"/>
  <c r="G764" i="52"/>
  <c r="G760" i="52"/>
  <c r="G756" i="52"/>
  <c r="G752" i="52"/>
  <c r="G748" i="52"/>
  <c r="G744" i="52"/>
  <c r="G612" i="52"/>
  <c r="G592" i="52"/>
  <c r="G584" i="52"/>
  <c r="G580" i="52"/>
  <c r="G773" i="52"/>
  <c r="G695" i="52"/>
  <c r="G503" i="52"/>
  <c r="G777" i="52"/>
  <c r="G758" i="52"/>
  <c r="G726" i="52"/>
  <c r="G694" i="52"/>
  <c r="G662" i="52"/>
  <c r="G630" i="52"/>
  <c r="G598" i="52"/>
  <c r="G566" i="52"/>
  <c r="G534" i="52"/>
  <c r="G502" i="52"/>
  <c r="G470" i="52"/>
  <c r="G738" i="52"/>
  <c r="G706" i="52"/>
  <c r="G674" i="52"/>
  <c r="G642" i="52"/>
  <c r="G610" i="52"/>
  <c r="G578" i="52"/>
  <c r="G546" i="52"/>
  <c r="G514" i="52"/>
  <c r="G482" i="52"/>
  <c r="G450" i="52"/>
  <c r="G444" i="52"/>
  <c r="G439" i="52"/>
  <c r="G435" i="52"/>
  <c r="G431" i="52"/>
  <c r="G427" i="52"/>
  <c r="G423" i="52"/>
  <c r="G419" i="52"/>
  <c r="G771" i="52"/>
  <c r="G750" i="52"/>
  <c r="G718" i="52"/>
  <c r="G686" i="52"/>
  <c r="G654" i="52"/>
  <c r="G622" i="52"/>
  <c r="G590" i="52"/>
  <c r="G558" i="52"/>
  <c r="G526" i="52"/>
  <c r="G494" i="52"/>
  <c r="G462" i="52"/>
  <c r="G762" i="52"/>
  <c r="G730" i="52"/>
  <c r="G698" i="52"/>
  <c r="G666" i="52"/>
  <c r="G634" i="52"/>
  <c r="G602" i="52"/>
  <c r="G570" i="52"/>
  <c r="G538" i="52"/>
  <c r="G506" i="52"/>
  <c r="G474" i="52"/>
  <c r="G742" i="52"/>
  <c r="G710" i="52"/>
  <c r="G678" i="52"/>
  <c r="G646" i="52"/>
  <c r="G614" i="52"/>
  <c r="G582" i="52"/>
  <c r="G550" i="52"/>
  <c r="G518" i="52"/>
  <c r="G486" i="52"/>
  <c r="G454" i="52"/>
  <c r="G754" i="52"/>
  <c r="G722" i="52"/>
  <c r="G690" i="52"/>
  <c r="G658" i="52"/>
  <c r="G626" i="52"/>
  <c r="G594" i="52"/>
  <c r="G562" i="52"/>
  <c r="G530" i="52"/>
  <c r="G498" i="52"/>
  <c r="G466" i="52"/>
  <c r="G437" i="52"/>
  <c r="G433" i="52"/>
  <c r="G429" i="52"/>
  <c r="G425" i="52"/>
  <c r="G421" i="52"/>
  <c r="G417" i="52"/>
  <c r="G776" i="52"/>
  <c r="G766" i="52"/>
  <c r="G734" i="52"/>
  <c r="G702" i="52"/>
  <c r="G670" i="52"/>
  <c r="G638" i="52"/>
  <c r="G606" i="52"/>
  <c r="G574" i="52"/>
  <c r="G542" i="52"/>
  <c r="G510" i="52"/>
  <c r="G478" i="52"/>
  <c r="G746" i="52"/>
  <c r="G714" i="52"/>
  <c r="G682" i="52"/>
  <c r="G650" i="52"/>
  <c r="G618" i="52"/>
  <c r="G586" i="52"/>
  <c r="G554" i="52"/>
  <c r="G522" i="52"/>
  <c r="G490" i="52"/>
  <c r="G458" i="52"/>
  <c r="G440" i="52"/>
  <c r="G436" i="52"/>
  <c r="G432" i="52"/>
  <c r="G428" i="52"/>
  <c r="G424" i="52"/>
  <c r="G420" i="52"/>
  <c r="G416" i="52"/>
  <c r="G412" i="52"/>
  <c r="G408" i="52"/>
  <c r="G404" i="52"/>
  <c r="G400" i="52"/>
  <c r="G396" i="52"/>
  <c r="G392" i="52"/>
  <c r="G388" i="52"/>
  <c r="G384" i="52"/>
  <c r="G380" i="52"/>
  <c r="G376" i="52"/>
  <c r="G372" i="52"/>
  <c r="G368" i="52"/>
  <c r="G364" i="52"/>
  <c r="G360" i="52"/>
  <c r="G356" i="52"/>
  <c r="G352" i="52"/>
  <c r="G348" i="52"/>
  <c r="G344" i="52"/>
  <c r="G401" i="52"/>
  <c r="G385" i="52"/>
  <c r="G369" i="52"/>
  <c r="G353" i="52"/>
  <c r="G337" i="52"/>
  <c r="G321" i="52"/>
  <c r="G305" i="52"/>
  <c r="G289" i="52"/>
  <c r="G269" i="52"/>
  <c r="G260" i="52"/>
  <c r="G251" i="52"/>
  <c r="G411" i="52"/>
  <c r="G395" i="52"/>
  <c r="G379" i="52"/>
  <c r="G363" i="52"/>
  <c r="G347" i="52"/>
  <c r="G331" i="52"/>
  <c r="G315" i="52"/>
  <c r="G299" i="52"/>
  <c r="G283" i="52"/>
  <c r="G273" i="52"/>
  <c r="G264" i="52"/>
  <c r="G255" i="52"/>
  <c r="G246" i="52"/>
  <c r="G242" i="52"/>
  <c r="G238" i="52"/>
  <c r="G234" i="52"/>
  <c r="G230" i="52"/>
  <c r="G226" i="52"/>
  <c r="G222" i="52"/>
  <c r="G218" i="52"/>
  <c r="G214" i="52"/>
  <c r="G210" i="52"/>
  <c r="G206" i="52"/>
  <c r="G202" i="52"/>
  <c r="G198" i="52"/>
  <c r="G194" i="52"/>
  <c r="G190" i="52"/>
  <c r="G186" i="52"/>
  <c r="G182" i="52"/>
  <c r="G178" i="52"/>
  <c r="G174" i="52"/>
  <c r="G170" i="52"/>
  <c r="G166" i="52"/>
  <c r="G162" i="52"/>
  <c r="G158" i="52"/>
  <c r="G154" i="52"/>
  <c r="G150" i="52"/>
  <c r="G146" i="52"/>
  <c r="G142" i="52"/>
  <c r="G138" i="52"/>
  <c r="G134" i="52"/>
  <c r="G130" i="52"/>
  <c r="G126" i="52"/>
  <c r="G122" i="52"/>
  <c r="G118" i="52"/>
  <c r="G114" i="52"/>
  <c r="G110" i="52"/>
  <c r="G106" i="52"/>
  <c r="G82" i="52"/>
  <c r="G405" i="52"/>
  <c r="G389" i="52"/>
  <c r="G373" i="52"/>
  <c r="G357" i="52"/>
  <c r="G341" i="52"/>
  <c r="G325" i="52"/>
  <c r="G309" i="52"/>
  <c r="G293" i="52"/>
  <c r="G277" i="52"/>
  <c r="G268" i="52"/>
  <c r="G259" i="52"/>
  <c r="G415" i="52"/>
  <c r="G399" i="52"/>
  <c r="G383" i="52"/>
  <c r="G367" i="52"/>
  <c r="G351" i="52"/>
  <c r="G335" i="52"/>
  <c r="G319" i="52"/>
  <c r="G303" i="52"/>
  <c r="G287" i="52"/>
  <c r="G409" i="52"/>
  <c r="G393" i="52"/>
  <c r="G377" i="52"/>
  <c r="G361" i="52"/>
  <c r="G345" i="52"/>
  <c r="G329" i="52"/>
  <c r="G313" i="52"/>
  <c r="G297" i="52"/>
  <c r="G281" i="52"/>
  <c r="G276" i="52"/>
  <c r="G267" i="52"/>
  <c r="G253" i="52"/>
  <c r="G403" i="52"/>
  <c r="G387" i="52"/>
  <c r="G371" i="52"/>
  <c r="G355" i="52"/>
  <c r="G339" i="52"/>
  <c r="G323" i="52"/>
  <c r="G307" i="52"/>
  <c r="G291" i="52"/>
  <c r="G271" i="52"/>
  <c r="G257" i="52"/>
  <c r="G248" i="52"/>
  <c r="G244" i="52"/>
  <c r="G240" i="52"/>
  <c r="G236" i="52"/>
  <c r="G232" i="52"/>
  <c r="G228" i="52"/>
  <c r="G224" i="52"/>
  <c r="G220" i="52"/>
  <c r="G216" i="52"/>
  <c r="G212" i="52"/>
  <c r="G208" i="52"/>
  <c r="G204" i="52"/>
  <c r="G200" i="52"/>
  <c r="G196" i="52"/>
  <c r="G192" i="52"/>
  <c r="G188" i="52"/>
  <c r="G184" i="52"/>
  <c r="G180" i="52"/>
  <c r="G176" i="52"/>
  <c r="G172" i="52"/>
  <c r="G168" i="52"/>
  <c r="G164" i="52"/>
  <c r="G160" i="52"/>
  <c r="G156" i="52"/>
  <c r="G152" i="52"/>
  <c r="G148" i="52"/>
  <c r="G144" i="52"/>
  <c r="G140" i="52"/>
  <c r="G136" i="52"/>
  <c r="G132" i="52"/>
  <c r="G128" i="52"/>
  <c r="G124" i="52"/>
  <c r="G120" i="52"/>
  <c r="G116" i="52"/>
  <c r="G112" i="52"/>
  <c r="G108" i="52"/>
  <c r="G104" i="52"/>
  <c r="G100" i="52"/>
  <c r="G96" i="52"/>
  <c r="G92" i="52"/>
  <c r="G88" i="52"/>
  <c r="G84" i="52"/>
  <c r="G80" i="52"/>
  <c r="G76" i="52"/>
  <c r="G28" i="52"/>
  <c r="G413" i="52"/>
  <c r="G397" i="52"/>
  <c r="G381" i="52"/>
  <c r="G365" i="52"/>
  <c r="G349" i="52"/>
  <c r="G333" i="52"/>
  <c r="G317" i="52"/>
  <c r="G301" i="52"/>
  <c r="G285" i="52"/>
  <c r="G275" i="52"/>
  <c r="G261" i="52"/>
  <c r="G252" i="52"/>
  <c r="G407" i="52"/>
  <c r="G391" i="52"/>
  <c r="G375" i="52"/>
  <c r="G359" i="52"/>
  <c r="G343" i="52"/>
  <c r="G327" i="52"/>
  <c r="G311" i="52"/>
  <c r="G295" i="52"/>
  <c r="G279" i="52"/>
  <c r="G290" i="52"/>
  <c r="G42" i="52"/>
  <c r="G233" i="52"/>
  <c r="G105" i="52"/>
  <c r="G41" i="52"/>
  <c r="G64" i="52"/>
  <c r="G263" i="52"/>
  <c r="G191" i="52"/>
  <c r="G127" i="52"/>
  <c r="G63" i="52"/>
  <c r="G102" i="52"/>
  <c r="G38" i="52"/>
  <c r="G221" i="52"/>
  <c r="G157" i="52"/>
  <c r="G93" i="52"/>
  <c r="G29" i="52"/>
  <c r="G36" i="52"/>
  <c r="G203" i="52"/>
  <c r="G139" i="52"/>
  <c r="G75" i="52"/>
  <c r="G11" i="52"/>
  <c r="G737" i="51"/>
  <c r="G858" i="51"/>
  <c r="G709" i="51"/>
  <c r="G806" i="51"/>
  <c r="G1093" i="51"/>
  <c r="G773" i="51"/>
  <c r="G991" i="51"/>
  <c r="G798" i="51"/>
  <c r="G997" i="51"/>
  <c r="G790" i="51"/>
  <c r="G690" i="51"/>
  <c r="G626" i="51"/>
  <c r="G562" i="51"/>
  <c r="G488" i="51"/>
  <c r="G681" i="51"/>
  <c r="G617" i="51"/>
  <c r="G553" i="51"/>
  <c r="G481" i="51"/>
  <c r="G680" i="51"/>
  <c r="G616" i="51"/>
  <c r="G552" i="51"/>
  <c r="G480" i="51"/>
  <c r="G695" i="51"/>
  <c r="G631" i="51"/>
  <c r="G567" i="51"/>
  <c r="G492" i="51"/>
  <c r="G678" i="51"/>
  <c r="G614" i="51"/>
  <c r="G550" i="51"/>
  <c r="G472" i="51"/>
  <c r="G717" i="51"/>
  <c r="G645" i="51"/>
  <c r="G581" i="51"/>
  <c r="G517" i="51"/>
  <c r="G740" i="51"/>
  <c r="G676" i="51"/>
  <c r="G612" i="51"/>
  <c r="G548" i="51"/>
  <c r="G477" i="51"/>
  <c r="G360" i="51"/>
  <c r="G176" i="51"/>
  <c r="G8" i="51"/>
  <c r="G353" i="51"/>
  <c r="G212" i="51"/>
  <c r="G124" i="51"/>
  <c r="G384" i="51"/>
  <c r="G248" i="51"/>
  <c r="G220" i="51"/>
  <c r="G715" i="51"/>
  <c r="G651" i="51"/>
  <c r="G587" i="51"/>
  <c r="G523" i="51"/>
  <c r="G364" i="51"/>
  <c r="G188" i="51"/>
  <c r="G483" i="51"/>
  <c r="G344" i="51"/>
  <c r="G128" i="51"/>
  <c r="G136" i="51"/>
  <c r="G356" i="51"/>
  <c r="G196" i="51"/>
  <c r="G503" i="51"/>
  <c r="G329" i="51"/>
  <c r="G140" i="51"/>
  <c r="G253" i="51"/>
  <c r="G173" i="51"/>
  <c r="G275" i="51"/>
  <c r="G51" i="51"/>
  <c r="G225" i="51"/>
  <c r="G41" i="51"/>
  <c r="G103" i="51"/>
  <c r="G45" i="51"/>
  <c r="G239" i="51"/>
  <c r="G159" i="51"/>
  <c r="G47" i="51"/>
  <c r="G1082" i="51"/>
  <c r="G992" i="51"/>
  <c r="G909" i="51"/>
  <c r="G1164" i="51"/>
  <c r="G1081" i="51"/>
  <c r="G998" i="51"/>
  <c r="G908" i="51"/>
  <c r="G887" i="51"/>
  <c r="G757" i="51"/>
  <c r="G846" i="51"/>
  <c r="G710" i="51"/>
  <c r="G813" i="51"/>
  <c r="G1125" i="51"/>
  <c r="G774" i="51"/>
  <c r="G914" i="51"/>
  <c r="G741" i="51"/>
  <c r="G975" i="51"/>
  <c r="G766" i="51"/>
  <c r="G919" i="51"/>
  <c r="G758" i="51"/>
  <c r="G674" i="51"/>
  <c r="G610" i="51"/>
  <c r="G546" i="51"/>
  <c r="G469" i="51"/>
  <c r="G665" i="51"/>
  <c r="G601" i="51"/>
  <c r="G537" i="51"/>
  <c r="G736" i="51"/>
  <c r="G664" i="51"/>
  <c r="G600" i="51"/>
  <c r="G536" i="51"/>
  <c r="G1106" i="51"/>
  <c r="G679" i="51"/>
  <c r="G615" i="51"/>
  <c r="G551" i="51"/>
  <c r="G473" i="51"/>
  <c r="G662" i="51"/>
  <c r="G598" i="51"/>
  <c r="G534" i="51"/>
  <c r="G1176" i="51"/>
  <c r="G693" i="51"/>
  <c r="G629" i="51"/>
  <c r="G565" i="51"/>
  <c r="G497" i="51"/>
  <c r="G724" i="51"/>
  <c r="G660" i="51"/>
  <c r="G596" i="51"/>
  <c r="G532" i="51"/>
  <c r="G502" i="51"/>
  <c r="G328" i="51"/>
  <c r="G112" i="51"/>
  <c r="G462" i="51"/>
  <c r="G321" i="51"/>
  <c r="G148" i="51"/>
  <c r="G381" i="51"/>
  <c r="G352" i="51"/>
  <c r="G184" i="51"/>
  <c r="G413" i="51"/>
  <c r="G699" i="51"/>
  <c r="G635" i="51"/>
  <c r="G571" i="51"/>
  <c r="G499" i="51"/>
  <c r="G332" i="51"/>
  <c r="G60" i="51"/>
  <c r="G440" i="51"/>
  <c r="G312" i="51"/>
  <c r="G64" i="51"/>
  <c r="G40" i="51"/>
  <c r="G324" i="51"/>
  <c r="G132" i="51"/>
  <c r="G444" i="51"/>
  <c r="G297" i="51"/>
  <c r="G76" i="51"/>
  <c r="G237" i="51"/>
  <c r="G149" i="51"/>
  <c r="G211" i="51"/>
  <c r="G19" i="51"/>
  <c r="G73" i="51"/>
  <c r="G37" i="51"/>
  <c r="G31" i="51"/>
  <c r="G311" i="51"/>
  <c r="G223" i="51"/>
  <c r="G135" i="51"/>
  <c r="G94" i="51"/>
  <c r="G1152" i="51"/>
  <c r="G1069" i="51"/>
  <c r="G986" i="51"/>
  <c r="G896" i="51"/>
  <c r="G1158" i="51"/>
  <c r="G1068" i="51"/>
  <c r="G985" i="51"/>
  <c r="G902" i="51"/>
  <c r="G879" i="51"/>
  <c r="G738" i="51"/>
  <c r="G814" i="51"/>
  <c r="G1157" i="51"/>
  <c r="G794" i="51"/>
  <c r="G1016" i="51"/>
  <c r="G761" i="51"/>
  <c r="G891" i="51"/>
  <c r="G729" i="51"/>
  <c r="G952" i="51"/>
  <c r="G753" i="51"/>
  <c r="G911" i="51"/>
  <c r="G745" i="51"/>
  <c r="G666" i="51"/>
  <c r="G602" i="51"/>
  <c r="G538" i="51"/>
  <c r="G1029" i="51"/>
  <c r="G657" i="51"/>
  <c r="G593" i="51"/>
  <c r="G529" i="51"/>
  <c r="G728" i="51"/>
  <c r="G656" i="51"/>
  <c r="G592" i="51"/>
  <c r="G528" i="51"/>
  <c r="G797" i="51"/>
  <c r="G671" i="51"/>
  <c r="G607" i="51"/>
  <c r="G543" i="51"/>
  <c r="G874" i="51"/>
  <c r="G654" i="51"/>
  <c r="G590" i="51"/>
  <c r="G526" i="51"/>
  <c r="G842" i="51"/>
  <c r="G685" i="51"/>
  <c r="G621" i="51"/>
  <c r="G557" i="51"/>
  <c r="G484" i="51"/>
  <c r="G716" i="51"/>
  <c r="G652" i="51"/>
  <c r="G588" i="51"/>
  <c r="G524" i="51"/>
  <c r="G463" i="51"/>
  <c r="G309" i="51"/>
  <c r="G80" i="51"/>
  <c r="G436" i="51"/>
  <c r="G308" i="51"/>
  <c r="G116" i="51"/>
  <c r="G349" i="51"/>
  <c r="G333" i="51"/>
  <c r="G152" i="51"/>
  <c r="G336" i="51"/>
  <c r="G691" i="51"/>
  <c r="G627" i="51"/>
  <c r="G563" i="51"/>
  <c r="G476" i="51"/>
  <c r="G313" i="51"/>
  <c r="G4" i="51"/>
  <c r="K5" i="51" s="1"/>
  <c r="G421" i="51"/>
  <c r="G293" i="51"/>
  <c r="G32" i="51"/>
  <c r="G452" i="51"/>
  <c r="G305" i="51"/>
  <c r="G100" i="51"/>
  <c r="G412" i="51"/>
  <c r="G284" i="51"/>
  <c r="G44" i="51"/>
  <c r="G221" i="51"/>
  <c r="G109" i="51"/>
  <c r="G179" i="51"/>
  <c r="G74" i="51"/>
  <c r="G33" i="51"/>
  <c r="G265" i="51"/>
  <c r="G86" i="51"/>
  <c r="G303" i="51"/>
  <c r="G207" i="51"/>
  <c r="G127" i="51"/>
  <c r="G1214" i="51"/>
  <c r="G1207" i="51"/>
  <c r="G1175" i="51"/>
  <c r="G1143" i="51"/>
  <c r="G1111" i="51"/>
  <c r="G1079" i="51"/>
  <c r="G1047" i="51"/>
  <c r="G1015" i="51"/>
  <c r="G1187" i="51"/>
  <c r="G1155" i="51"/>
  <c r="G1123" i="51"/>
  <c r="G1091" i="51"/>
  <c r="G1059" i="51"/>
  <c r="G1027" i="51"/>
  <c r="G995" i="51"/>
  <c r="G963" i="51"/>
  <c r="G931" i="51"/>
  <c r="G899" i="51"/>
  <c r="G880" i="51"/>
  <c r="G875" i="51"/>
  <c r="G871" i="51"/>
  <c r="G867" i="51"/>
  <c r="G863" i="51"/>
  <c r="G859" i="51"/>
  <c r="G855" i="51"/>
  <c r="G851" i="51"/>
  <c r="G847" i="51"/>
  <c r="G843" i="51"/>
  <c r="G839" i="51"/>
  <c r="G835" i="51"/>
  <c r="G831" i="51"/>
  <c r="G827" i="51"/>
  <c r="G823" i="51"/>
  <c r="G819" i="51"/>
  <c r="G815" i="51"/>
  <c r="G811" i="51"/>
  <c r="G807" i="51"/>
  <c r="G803" i="51"/>
  <c r="G799" i="51"/>
  <c r="G795" i="51"/>
  <c r="G791" i="51"/>
  <c r="G787" i="51"/>
  <c r="G783" i="51"/>
  <c r="G779" i="51"/>
  <c r="G775" i="51"/>
  <c r="G771" i="51"/>
  <c r="G767" i="51"/>
  <c r="G763" i="51"/>
  <c r="G759" i="51"/>
  <c r="G755" i="51"/>
  <c r="G751" i="51"/>
  <c r="G747" i="51"/>
  <c r="G743" i="51"/>
  <c r="G739" i="51"/>
  <c r="G735" i="51"/>
  <c r="G1199" i="51"/>
  <c r="G1167" i="51"/>
  <c r="G1135" i="51"/>
  <c r="G1103" i="51"/>
  <c r="G1071" i="51"/>
  <c r="G1039" i="51"/>
  <c r="G1007" i="51"/>
  <c r="G1211" i="51"/>
  <c r="G1179" i="51"/>
  <c r="G1147" i="51"/>
  <c r="G1115" i="51"/>
  <c r="G1083" i="51"/>
  <c r="G1051" i="51"/>
  <c r="G1019" i="51"/>
  <c r="G1191" i="51"/>
  <c r="G1159" i="51"/>
  <c r="G1127" i="51"/>
  <c r="G1095" i="51"/>
  <c r="G1063" i="51"/>
  <c r="G1031" i="51"/>
  <c r="G999" i="51"/>
  <c r="G967" i="51"/>
  <c r="G935" i="51"/>
  <c r="G903" i="51"/>
  <c r="G1203" i="51"/>
  <c r="G1171" i="51"/>
  <c r="G1139" i="51"/>
  <c r="G1107" i="51"/>
  <c r="G1075" i="51"/>
  <c r="G1043" i="51"/>
  <c r="G1011" i="51"/>
  <c r="G979" i="51"/>
  <c r="G947" i="51"/>
  <c r="G915" i="51"/>
  <c r="G883" i="51"/>
  <c r="G873" i="51"/>
  <c r="G869" i="51"/>
  <c r="G865" i="51"/>
  <c r="G861" i="51"/>
  <c r="G857" i="51"/>
  <c r="G853" i="51"/>
  <c r="G849" i="51"/>
  <c r="G845" i="51"/>
  <c r="G841" i="51"/>
  <c r="G837" i="51"/>
  <c r="G833" i="51"/>
  <c r="G829" i="51"/>
  <c r="G825" i="51"/>
  <c r="G1183" i="51"/>
  <c r="G1151" i="51"/>
  <c r="G1119" i="51"/>
  <c r="G1087" i="51"/>
  <c r="G1055" i="51"/>
  <c r="G1023" i="51"/>
  <c r="G1003" i="51"/>
  <c r="G872" i="51"/>
  <c r="G840" i="51"/>
  <c r="G808" i="51"/>
  <c r="G776" i="51"/>
  <c r="G744" i="51"/>
  <c r="G971" i="51"/>
  <c r="G852" i="51"/>
  <c r="G820" i="51"/>
  <c r="G788" i="51"/>
  <c r="G720" i="51"/>
  <c r="G1195" i="51"/>
  <c r="G939" i="51"/>
  <c r="G864" i="51"/>
  <c r="G832" i="51"/>
  <c r="G800" i="51"/>
  <c r="G1163" i="51"/>
  <c r="G907" i="51"/>
  <c r="G876" i="51"/>
  <c r="G844" i="51"/>
  <c r="G812" i="51"/>
  <c r="G780" i="51"/>
  <c r="G1131" i="51"/>
  <c r="G856" i="51"/>
  <c r="G824" i="51"/>
  <c r="G792" i="51"/>
  <c r="G760" i="51"/>
  <c r="G1099" i="51"/>
  <c r="G868" i="51"/>
  <c r="G836" i="51"/>
  <c r="G804" i="51"/>
  <c r="G1035" i="51"/>
  <c r="G860" i="51"/>
  <c r="G828" i="51"/>
  <c r="G796" i="51"/>
  <c r="G784" i="51"/>
  <c r="G507" i="51"/>
  <c r="G475" i="51"/>
  <c r="G752" i="51"/>
  <c r="G487" i="51"/>
  <c r="G458" i="51"/>
  <c r="G454" i="51"/>
  <c r="G450" i="51"/>
  <c r="G446" i="51"/>
  <c r="G442" i="51"/>
  <c r="G438" i="51"/>
  <c r="G434" i="51"/>
  <c r="G430" i="51"/>
  <c r="G426" i="51"/>
  <c r="G422" i="51"/>
  <c r="G418" i="51"/>
  <c r="G414" i="51"/>
  <c r="G410" i="51"/>
  <c r="G406" i="51"/>
  <c r="G402" i="51"/>
  <c r="G398" i="51"/>
  <c r="G394" i="51"/>
  <c r="G390" i="51"/>
  <c r="G386" i="51"/>
  <c r="G382" i="51"/>
  <c r="G378" i="51"/>
  <c r="G374" i="51"/>
  <c r="G370" i="51"/>
  <c r="G366" i="51"/>
  <c r="G362" i="51"/>
  <c r="G358" i="51"/>
  <c r="G354" i="51"/>
  <c r="G350" i="51"/>
  <c r="G346" i="51"/>
  <c r="G342" i="51"/>
  <c r="G338" i="51"/>
  <c r="G334" i="51"/>
  <c r="G330" i="51"/>
  <c r="G326" i="51"/>
  <c r="G322" i="51"/>
  <c r="G318" i="51"/>
  <c r="G314" i="51"/>
  <c r="G310" i="51"/>
  <c r="G306" i="51"/>
  <c r="G302" i="51"/>
  <c r="G298" i="51"/>
  <c r="G294" i="51"/>
  <c r="G290" i="51"/>
  <c r="G286" i="51"/>
  <c r="G282" i="51"/>
  <c r="G278" i="51"/>
  <c r="G274" i="51"/>
  <c r="G270" i="51"/>
  <c r="G266" i="51"/>
  <c r="G262" i="51"/>
  <c r="G258" i="51"/>
  <c r="G254" i="51"/>
  <c r="G1067" i="51"/>
  <c r="G511" i="51"/>
  <c r="G479" i="51"/>
  <c r="G457" i="51"/>
  <c r="G453" i="51"/>
  <c r="G449" i="51"/>
  <c r="G445" i="51"/>
  <c r="G441" i="51"/>
  <c r="G437" i="51"/>
  <c r="G433" i="51"/>
  <c r="G429" i="51"/>
  <c r="G425" i="51"/>
  <c r="G491" i="51"/>
  <c r="G466" i="51"/>
  <c r="G471" i="51"/>
  <c r="G460" i="51"/>
  <c r="G456" i="51"/>
  <c r="G848" i="51"/>
  <c r="G443" i="51"/>
  <c r="G411" i="51"/>
  <c r="G379" i="51"/>
  <c r="G347" i="51"/>
  <c r="G315" i="51"/>
  <c r="G283" i="51"/>
  <c r="G259" i="51"/>
  <c r="G249" i="51"/>
  <c r="G235" i="51"/>
  <c r="G226" i="51"/>
  <c r="G217" i="51"/>
  <c r="G203" i="51"/>
  <c r="G194" i="51"/>
  <c r="G185" i="51"/>
  <c r="G171" i="51"/>
  <c r="G162" i="51"/>
  <c r="G153" i="51"/>
  <c r="G139" i="51"/>
  <c r="G130" i="51"/>
  <c r="G121" i="51"/>
  <c r="G107" i="51"/>
  <c r="G98" i="51"/>
  <c r="G89" i="51"/>
  <c r="G75" i="51"/>
  <c r="G66" i="51"/>
  <c r="G57" i="51"/>
  <c r="G43" i="51"/>
  <c r="G34" i="51"/>
  <c r="G25" i="51"/>
  <c r="G11" i="51"/>
  <c r="G451" i="51"/>
  <c r="G387" i="51"/>
  <c r="G250" i="51"/>
  <c r="G227" i="51"/>
  <c r="G209" i="51"/>
  <c r="G455" i="51"/>
  <c r="G423" i="51"/>
  <c r="G391" i="51"/>
  <c r="G359" i="51"/>
  <c r="G230" i="51"/>
  <c r="G198" i="51"/>
  <c r="G166" i="51"/>
  <c r="G134" i="51"/>
  <c r="G102" i="51"/>
  <c r="G61" i="51"/>
  <c r="G15" i="51"/>
  <c r="G6" i="51"/>
  <c r="G174" i="51"/>
  <c r="G291" i="51"/>
  <c r="G81" i="51"/>
  <c r="G17" i="51"/>
  <c r="G435" i="51"/>
  <c r="G403" i="51"/>
  <c r="G371" i="51"/>
  <c r="G339" i="51"/>
  <c r="G234" i="51"/>
  <c r="G202" i="51"/>
  <c r="G170" i="51"/>
  <c r="G138" i="51"/>
  <c r="G106" i="51"/>
  <c r="G142" i="51"/>
  <c r="G133" i="51"/>
  <c r="G119" i="51"/>
  <c r="G101" i="51"/>
  <c r="G87" i="51"/>
  <c r="G78" i="51"/>
  <c r="G69" i="51"/>
  <c r="G55" i="51"/>
  <c r="G195" i="51"/>
  <c r="G177" i="51"/>
  <c r="G145" i="51"/>
  <c r="G122" i="51"/>
  <c r="G99" i="51"/>
  <c r="G49" i="51"/>
  <c r="G447" i="51"/>
  <c r="G415" i="51"/>
  <c r="G383" i="51"/>
  <c r="G351" i="51"/>
  <c r="G319" i="51"/>
  <c r="G287" i="51"/>
  <c r="G257" i="51"/>
  <c r="G247" i="51"/>
  <c r="G238" i="51"/>
  <c r="G229" i="51"/>
  <c r="G215" i="51"/>
  <c r="G206" i="51"/>
  <c r="G197" i="51"/>
  <c r="G183" i="51"/>
  <c r="G165" i="51"/>
  <c r="G151" i="51"/>
  <c r="G110" i="51"/>
  <c r="G46" i="51"/>
  <c r="G323" i="51"/>
  <c r="G58" i="51"/>
  <c r="G35" i="51"/>
  <c r="G459" i="51"/>
  <c r="G427" i="51"/>
  <c r="G395" i="51"/>
  <c r="G363" i="51"/>
  <c r="G331" i="51"/>
  <c r="G299" i="51"/>
  <c r="G267" i="51"/>
  <c r="G251" i="51"/>
  <c r="G242" i="51"/>
  <c r="G233" i="51"/>
  <c r="G219" i="51"/>
  <c r="G210" i="51"/>
  <c r="G201" i="51"/>
  <c r="G187" i="51"/>
  <c r="G178" i="51"/>
  <c r="G169" i="51"/>
  <c r="G155" i="51"/>
  <c r="G146" i="51"/>
  <c r="G137" i="51"/>
  <c r="G123" i="51"/>
  <c r="G114" i="51"/>
  <c r="G105" i="51"/>
  <c r="G91" i="51"/>
  <c r="G82" i="51"/>
  <c r="G241" i="51"/>
  <c r="G163" i="51"/>
  <c r="G67" i="51"/>
  <c r="G816" i="51"/>
  <c r="G439" i="51"/>
  <c r="G407" i="51"/>
  <c r="G375" i="51"/>
  <c r="G343" i="51"/>
  <c r="G246" i="51"/>
  <c r="G214" i="51"/>
  <c r="G182" i="51"/>
  <c r="G150" i="51"/>
  <c r="G118" i="51"/>
  <c r="G419" i="51"/>
  <c r="G186" i="51"/>
  <c r="G113" i="51"/>
  <c r="G495" i="51"/>
  <c r="G431" i="51"/>
  <c r="G399" i="51"/>
  <c r="G367" i="51"/>
  <c r="G335" i="51"/>
  <c r="G222" i="51"/>
  <c r="G190" i="51"/>
  <c r="G158" i="51"/>
  <c r="G126" i="51"/>
  <c r="G39" i="51"/>
  <c r="G30" i="51"/>
  <c r="G21" i="51"/>
  <c r="G7" i="51"/>
  <c r="G355" i="51"/>
  <c r="G255" i="51"/>
  <c r="G218" i="51"/>
  <c r="G154" i="51"/>
  <c r="G131" i="51"/>
  <c r="G90" i="51"/>
  <c r="G26" i="51"/>
  <c r="G408" i="51"/>
  <c r="G280" i="51"/>
  <c r="G489" i="51"/>
  <c r="G420" i="51"/>
  <c r="G292" i="51"/>
  <c r="G68" i="51"/>
  <c r="G393" i="51"/>
  <c r="G260" i="51"/>
  <c r="G12" i="51"/>
  <c r="G213" i="51"/>
  <c r="G53" i="51"/>
  <c r="G147" i="51"/>
  <c r="G50" i="51"/>
  <c r="G9" i="51"/>
  <c r="G193" i="51"/>
  <c r="G62" i="51"/>
  <c r="G295" i="51"/>
  <c r="G199" i="51"/>
  <c r="G111" i="51"/>
  <c r="G54" i="51"/>
  <c r="G782" i="51"/>
  <c r="G978" i="51"/>
  <c r="G762" i="51"/>
  <c r="G923" i="51"/>
  <c r="G730" i="51"/>
  <c r="G818" i="51"/>
  <c r="G1208" i="51"/>
  <c r="G862" i="51"/>
  <c r="G718" i="51"/>
  <c r="G854" i="51"/>
  <c r="G746" i="51"/>
  <c r="G650" i="51"/>
  <c r="G586" i="51"/>
  <c r="G522" i="51"/>
  <c r="G705" i="51"/>
  <c r="G641" i="51"/>
  <c r="G577" i="51"/>
  <c r="G513" i="51"/>
  <c r="G704" i="51"/>
  <c r="G640" i="51"/>
  <c r="G576" i="51"/>
  <c r="G512" i="51"/>
  <c r="G719" i="51"/>
  <c r="G655" i="51"/>
  <c r="G591" i="51"/>
  <c r="G527" i="51"/>
  <c r="G702" i="51"/>
  <c r="G638" i="51"/>
  <c r="G574" i="51"/>
  <c r="G504" i="51"/>
  <c r="G764" i="51"/>
  <c r="G669" i="51"/>
  <c r="G605" i="51"/>
  <c r="G541" i="51"/>
  <c r="G920" i="51"/>
  <c r="G700" i="51"/>
  <c r="G636" i="51"/>
  <c r="G572" i="51"/>
  <c r="G509" i="51"/>
  <c r="G405" i="51"/>
  <c r="G277" i="51"/>
  <c r="G16" i="51"/>
  <c r="G404" i="51"/>
  <c r="G276" i="51"/>
  <c r="G52" i="51"/>
  <c r="G448" i="51"/>
  <c r="G301" i="51"/>
  <c r="G88" i="51"/>
  <c r="G232" i="51"/>
  <c r="G675" i="51"/>
  <c r="G611" i="51"/>
  <c r="G547" i="51"/>
  <c r="G409" i="51"/>
  <c r="G281" i="51"/>
  <c r="G432" i="51"/>
  <c r="G389" i="51"/>
  <c r="G224" i="51"/>
  <c r="G368" i="51"/>
  <c r="G401" i="51"/>
  <c r="G273" i="51"/>
  <c r="G36" i="51"/>
  <c r="G380" i="51"/>
  <c r="G236" i="51"/>
  <c r="G959" i="51"/>
  <c r="G205" i="51"/>
  <c r="G129" i="51"/>
  <c r="G115" i="51"/>
  <c r="G42" i="51"/>
  <c r="G117" i="51"/>
  <c r="G65" i="51"/>
  <c r="G38" i="51"/>
  <c r="G279" i="51"/>
  <c r="G191" i="51"/>
  <c r="G95" i="51"/>
  <c r="G22" i="51"/>
  <c r="G1120" i="51"/>
  <c r="G1037" i="51"/>
  <c r="G954" i="51"/>
  <c r="G1209" i="51"/>
  <c r="G1126" i="51"/>
  <c r="G1036" i="51"/>
  <c r="G953" i="51"/>
  <c r="G1112" i="51"/>
  <c r="G821" i="51"/>
  <c r="G1080" i="51"/>
  <c r="G769" i="51"/>
  <c r="G955" i="51"/>
  <c r="G749" i="51"/>
  <c r="G870" i="51"/>
  <c r="G714" i="51"/>
  <c r="G805" i="51"/>
  <c r="G1138" i="51"/>
  <c r="G830" i="51"/>
  <c r="G1144" i="51"/>
  <c r="G822" i="51"/>
  <c r="G706" i="51"/>
  <c r="G642" i="51"/>
  <c r="G578" i="51"/>
  <c r="G514" i="51"/>
  <c r="G697" i="51"/>
  <c r="G633" i="51"/>
  <c r="G569" i="51"/>
  <c r="G500" i="51"/>
  <c r="G696" i="51"/>
  <c r="G632" i="51"/>
  <c r="G568" i="51"/>
  <c r="G506" i="51"/>
  <c r="G711" i="51"/>
  <c r="G647" i="51"/>
  <c r="G583" i="51"/>
  <c r="G519" i="51"/>
  <c r="G694" i="51"/>
  <c r="G630" i="51"/>
  <c r="G566" i="51"/>
  <c r="G498" i="51"/>
  <c r="G756" i="51"/>
  <c r="G661" i="51"/>
  <c r="G597" i="51"/>
  <c r="G533" i="51"/>
  <c r="G810" i="51"/>
  <c r="G692" i="51"/>
  <c r="G628" i="51"/>
  <c r="G564" i="51"/>
  <c r="G496" i="51"/>
  <c r="G392" i="51"/>
  <c r="G240" i="51"/>
  <c r="G951" i="51"/>
  <c r="G385" i="51"/>
  <c r="G264" i="51"/>
  <c r="G20" i="51"/>
  <c r="G416" i="51"/>
  <c r="G288" i="51"/>
  <c r="G56" i="51"/>
  <c r="G731" i="51"/>
  <c r="G667" i="51"/>
  <c r="G603" i="51"/>
  <c r="G539" i="51"/>
  <c r="G396" i="51"/>
  <c r="G268" i="51"/>
  <c r="G168" i="51"/>
  <c r="G376" i="51"/>
  <c r="G192" i="51"/>
  <c r="G317" i="51"/>
  <c r="G388" i="51"/>
  <c r="G256" i="51"/>
  <c r="G285" i="51"/>
  <c r="G361" i="51"/>
  <c r="G204" i="51"/>
  <c r="G400" i="51"/>
  <c r="G189" i="51"/>
  <c r="G141" i="51"/>
  <c r="G83" i="51"/>
  <c r="G18" i="51"/>
  <c r="G13" i="51"/>
  <c r="G93" i="51"/>
  <c r="G14" i="51"/>
  <c r="G271" i="51"/>
  <c r="G175" i="51"/>
  <c r="G79" i="51"/>
  <c r="G125" i="51"/>
  <c r="G561" i="51"/>
  <c r="G494" i="51"/>
  <c r="G688" i="51"/>
  <c r="G624" i="51"/>
  <c r="G560" i="51"/>
  <c r="G493" i="51"/>
  <c r="G703" i="51"/>
  <c r="G639" i="51"/>
  <c r="G575" i="51"/>
  <c r="G505" i="51"/>
  <c r="G686" i="51"/>
  <c r="G622" i="51"/>
  <c r="G558" i="51"/>
  <c r="G485" i="51"/>
  <c r="G733" i="51"/>
  <c r="G653" i="51"/>
  <c r="G589" i="51"/>
  <c r="G525" i="51"/>
  <c r="G748" i="51"/>
  <c r="G684" i="51"/>
  <c r="G620" i="51"/>
  <c r="G556" i="51"/>
  <c r="G490" i="51"/>
  <c r="G373" i="51"/>
  <c r="G208" i="51"/>
  <c r="G272" i="51"/>
  <c r="G372" i="51"/>
  <c r="G244" i="51"/>
  <c r="G156" i="51"/>
  <c r="G397" i="51"/>
  <c r="G269" i="51"/>
  <c r="G24" i="51"/>
  <c r="G723" i="51"/>
  <c r="G659" i="51"/>
  <c r="G595" i="51"/>
  <c r="G531" i="51"/>
  <c r="G377" i="51"/>
  <c r="G252" i="51"/>
  <c r="G778" i="51"/>
  <c r="G357" i="51"/>
  <c r="G160" i="51"/>
  <c r="G200" i="51"/>
  <c r="G369" i="51"/>
  <c r="G228" i="51"/>
  <c r="G72" i="51"/>
  <c r="G348" i="51"/>
  <c r="G172" i="51"/>
  <c r="G261" i="51"/>
  <c r="G181" i="51"/>
  <c r="G307" i="51"/>
  <c r="G59" i="51"/>
  <c r="G10" i="51"/>
  <c r="G161" i="51"/>
  <c r="G29" i="51"/>
  <c r="G85" i="51"/>
  <c r="G263" i="51"/>
  <c r="G167" i="51"/>
  <c r="G63" i="51"/>
  <c r="G5" i="51"/>
  <c r="M26" i="160"/>
  <c r="E37" i="160"/>
  <c r="D37" i="160"/>
  <c r="C37" i="160"/>
  <c r="E36" i="160"/>
  <c r="E35" i="160" s="1"/>
  <c r="D36" i="160"/>
  <c r="C36" i="160"/>
  <c r="E34" i="160"/>
  <c r="H34" i="160" s="1"/>
  <c r="D34" i="160"/>
  <c r="G34" i="160" s="1"/>
  <c r="C34" i="160"/>
  <c r="F34" i="160" s="1"/>
  <c r="E32" i="160"/>
  <c r="D32" i="160"/>
  <c r="C32" i="160"/>
  <c r="E31" i="160"/>
  <c r="D31" i="160"/>
  <c r="C31" i="160"/>
  <c r="E29" i="160"/>
  <c r="H29" i="160" s="1"/>
  <c r="D29" i="160"/>
  <c r="G29" i="160" s="1"/>
  <c r="C29" i="160"/>
  <c r="F29" i="160" s="1"/>
  <c r="D79" i="30" s="1"/>
  <c r="E27" i="160"/>
  <c r="D27" i="160"/>
  <c r="C27" i="160"/>
  <c r="E26" i="160"/>
  <c r="D26" i="160"/>
  <c r="D25" i="160" s="1"/>
  <c r="D23" i="160" s="1"/>
  <c r="C26" i="160"/>
  <c r="C25" i="160" s="1"/>
  <c r="C23" i="160" s="1"/>
  <c r="E25" i="160"/>
  <c r="H24" i="160"/>
  <c r="E24" i="160"/>
  <c r="D24" i="160"/>
  <c r="G24" i="160" s="1"/>
  <c r="D8" i="30" s="1"/>
  <c r="C24" i="160"/>
  <c r="F24" i="160" s="1"/>
  <c r="A23" i="160"/>
  <c r="A24" i="160" s="1"/>
  <c r="A25" i="160" s="1"/>
  <c r="A26" i="160" s="1"/>
  <c r="A27" i="160" s="1"/>
  <c r="A28" i="160" s="1"/>
  <c r="A29" i="160" s="1"/>
  <c r="A30" i="160" s="1"/>
  <c r="A31" i="160" s="1"/>
  <c r="A32" i="160" s="1"/>
  <c r="A33" i="160" s="1"/>
  <c r="A34" i="160" s="1"/>
  <c r="A35" i="160" s="1"/>
  <c r="A36" i="160" s="1"/>
  <c r="A37" i="160" s="1"/>
  <c r="J22" i="160" s="1"/>
  <c r="J23" i="160" s="1"/>
  <c r="J24" i="160" s="1"/>
  <c r="J25" i="160" s="1"/>
  <c r="J26" i="160" s="1"/>
  <c r="J27" i="160" s="1"/>
  <c r="J28" i="160" s="1"/>
  <c r="D72" i="31"/>
  <c r="M22" i="160" l="1"/>
  <c r="M27" i="160" s="1"/>
  <c r="E33" i="160"/>
  <c r="E23" i="160"/>
  <c r="M25" i="160"/>
  <c r="M28" i="160" s="1"/>
  <c r="C33" i="160"/>
  <c r="C28" i="160"/>
  <c r="C22" i="160" s="1"/>
  <c r="C30" i="160"/>
  <c r="D30" i="160"/>
  <c r="D28" i="160" s="1"/>
  <c r="D22" i="160" s="1"/>
  <c r="E30" i="160"/>
  <c r="E28" i="160" s="1"/>
  <c r="M24" i="160"/>
  <c r="M23" i="160" s="1"/>
  <c r="C35" i="160"/>
  <c r="D35" i="160"/>
  <c r="D33" i="160" s="1"/>
  <c r="E87" i="30"/>
  <c r="D115" i="30"/>
  <c r="F115" i="30" s="1"/>
  <c r="D110" i="30"/>
  <c r="D106" i="30"/>
  <c r="D92" i="30"/>
  <c r="F92" i="30" s="1"/>
  <c r="D91" i="30"/>
  <c r="D87" i="30"/>
  <c r="D85" i="30"/>
  <c r="D57" i="30"/>
  <c r="F57" i="30" s="1"/>
  <c r="D52" i="30"/>
  <c r="D48" i="30"/>
  <c r="D97" i="30"/>
  <c r="F97" i="30" s="1"/>
  <c r="D96" i="30"/>
  <c r="F96" i="30" s="1"/>
  <c r="D95" i="30"/>
  <c r="F95" i="30" s="1"/>
  <c r="D94" i="30"/>
  <c r="F94" i="30" s="1"/>
  <c r="D82" i="30"/>
  <c r="F82" i="30" s="1"/>
  <c r="D75" i="30"/>
  <c r="F75" i="30" s="1"/>
  <c r="D74" i="30"/>
  <c r="D72" i="30"/>
  <c r="F72" i="30" s="1"/>
  <c r="D45" i="30"/>
  <c r="F45" i="30" s="1"/>
  <c r="D37" i="30"/>
  <c r="F37" i="30" s="1"/>
  <c r="D36" i="30"/>
  <c r="F36" i="30" s="1"/>
  <c r="D35" i="30"/>
  <c r="F35" i="30" s="1"/>
  <c r="D34" i="30"/>
  <c r="F34" i="30" s="1"/>
  <c r="D33" i="30"/>
  <c r="D32" i="30"/>
  <c r="F32" i="30" s="1"/>
  <c r="D31" i="30"/>
  <c r="D27" i="30"/>
  <c r="D25" i="30"/>
  <c r="D22" i="30"/>
  <c r="F22" i="30" s="1"/>
  <c r="D15" i="30"/>
  <c r="F15" i="30" s="1"/>
  <c r="D14" i="30"/>
  <c r="F14" i="30" s="1"/>
  <c r="D12" i="30"/>
  <c r="F12" i="30" s="1"/>
  <c r="A6" i="30"/>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A125" i="30" s="1"/>
  <c r="A126" i="30" s="1"/>
  <c r="F154" i="31"/>
  <c r="E47" i="31"/>
  <c r="A6" i="3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D154" i="31"/>
  <c r="D132" i="31"/>
  <c r="D138" i="31"/>
  <c r="D115" i="31"/>
  <c r="F115" i="31" s="1"/>
  <c r="D92" i="31"/>
  <c r="D98" i="31"/>
  <c r="A30" i="150"/>
  <c r="A31" i="150" s="1"/>
  <c r="A32" i="150" s="1"/>
  <c r="A24" i="150"/>
  <c r="A25" i="150" s="1"/>
  <c r="A7" i="113"/>
  <c r="A8" i="113" s="1"/>
  <c r="A9" i="113" s="1"/>
  <c r="A10" i="113" s="1"/>
  <c r="A11" i="113" s="1"/>
  <c r="A12" i="113" s="1"/>
  <c r="A13" i="113" s="1"/>
  <c r="A14" i="113" s="1"/>
  <c r="A15" i="113" s="1"/>
  <c r="A16" i="113" s="1"/>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6" i="59"/>
  <c r="A7" i="59" s="1"/>
  <c r="A8" i="59" s="1"/>
  <c r="A9" i="59" s="1"/>
  <c r="A10" i="59" s="1"/>
  <c r="A11" i="59" s="1"/>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7" i="58"/>
  <c r="A8" i="58"/>
  <c r="A9" i="58" s="1"/>
  <c r="A10" i="58" s="1"/>
  <c r="A11" i="58" s="1"/>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A13" i="112"/>
  <c r="A14" i="112" s="1"/>
  <c r="A15" i="112" s="1"/>
  <c r="A16" i="112" s="1"/>
  <c r="A17" i="112" s="1"/>
  <c r="A18" i="112" s="1"/>
  <c r="A19" i="112" s="1"/>
  <c r="A20" i="112" s="1"/>
  <c r="A21" i="112" s="1"/>
  <c r="A22" i="112" s="1"/>
  <c r="A23" i="112" s="1"/>
  <c r="A24" i="112" s="1"/>
  <c r="A25" i="112" s="1"/>
  <c r="A26" i="112" s="1"/>
  <c r="A27" i="112" s="1"/>
  <c r="A28" i="112" s="1"/>
  <c r="A29" i="112" s="1"/>
  <c r="A30" i="112" s="1"/>
  <c r="A31" i="112" s="1"/>
  <c r="A32" i="112" s="1"/>
  <c r="A33" i="112" s="1"/>
  <c r="A34" i="112" s="1"/>
  <c r="A35" i="112" s="1"/>
  <c r="A36" i="112" s="1"/>
  <c r="A37" i="112" s="1"/>
  <c r="A38" i="112" s="1"/>
  <c r="A39" i="112" s="1"/>
  <c r="A7" i="112"/>
  <c r="A8" i="112" s="1"/>
  <c r="A9" i="112" s="1"/>
  <c r="A10" i="112" s="1"/>
  <c r="A11" i="112" s="1"/>
  <c r="A12" i="112" s="1"/>
  <c r="L255" i="111"/>
  <c r="L254" i="111"/>
  <c r="L253" i="111"/>
  <c r="L252" i="111"/>
  <c r="L251" i="111"/>
  <c r="L250" i="111"/>
  <c r="L249" i="111"/>
  <c r="L248" i="111"/>
  <c r="L247" i="111"/>
  <c r="L246" i="111"/>
  <c r="L245" i="111"/>
  <c r="L242" i="111"/>
  <c r="L241" i="111"/>
  <c r="L240" i="111"/>
  <c r="L238" i="111"/>
  <c r="L237" i="111"/>
  <c r="L236" i="111"/>
  <c r="L234" i="111"/>
  <c r="L233" i="111"/>
  <c r="L232" i="111"/>
  <c r="L228" i="111"/>
  <c r="L227" i="111"/>
  <c r="L225" i="111"/>
  <c r="L224" i="111"/>
  <c r="L223" i="111"/>
  <c r="L222" i="111"/>
  <c r="L221" i="111"/>
  <c r="L219" i="111"/>
  <c r="L218" i="111"/>
  <c r="L217" i="111"/>
  <c r="L216" i="111"/>
  <c r="L213" i="111"/>
  <c r="L212" i="111"/>
  <c r="L211" i="111"/>
  <c r="L210" i="111"/>
  <c r="L209" i="111"/>
  <c r="L208" i="111"/>
  <c r="L206" i="111"/>
  <c r="L205" i="111"/>
  <c r="L204" i="111"/>
  <c r="L201" i="111"/>
  <c r="L200" i="111"/>
  <c r="L199" i="111"/>
  <c r="L198" i="111"/>
  <c r="L197" i="111"/>
  <c r="L196" i="111"/>
  <c r="L195" i="111"/>
  <c r="L193" i="111"/>
  <c r="L192" i="111"/>
  <c r="L191" i="111"/>
  <c r="L190" i="111"/>
  <c r="L189" i="111"/>
  <c r="L188" i="111"/>
  <c r="L186" i="111"/>
  <c r="L185" i="111"/>
  <c r="L184" i="111"/>
  <c r="L183" i="111"/>
  <c r="L182" i="111"/>
  <c r="L181" i="111"/>
  <c r="L180" i="111"/>
  <c r="L178" i="111"/>
  <c r="L177" i="111"/>
  <c r="L176" i="111"/>
  <c r="L175" i="111"/>
  <c r="L174" i="111"/>
  <c r="L173" i="111"/>
  <c r="L170" i="111"/>
  <c r="L169" i="111"/>
  <c r="L168" i="111"/>
  <c r="L167" i="111"/>
  <c r="L166" i="111"/>
  <c r="L164" i="111"/>
  <c r="L163" i="111"/>
  <c r="L162" i="111"/>
  <c r="L161" i="111"/>
  <c r="L160" i="111"/>
  <c r="L159" i="111"/>
  <c r="L158" i="111"/>
  <c r="L156" i="111"/>
  <c r="L155" i="111"/>
  <c r="L154" i="111"/>
  <c r="L152" i="111"/>
  <c r="L150" i="111"/>
  <c r="L149" i="111"/>
  <c r="L147" i="111"/>
  <c r="L146" i="111"/>
  <c r="L145" i="111"/>
  <c r="L144" i="111"/>
  <c r="L142" i="111"/>
  <c r="L140" i="111"/>
  <c r="L139" i="111"/>
  <c r="L138" i="111"/>
  <c r="L137" i="111"/>
  <c r="L136" i="111"/>
  <c r="L134" i="111"/>
  <c r="L133" i="111"/>
  <c r="L132" i="111"/>
  <c r="L131" i="111"/>
  <c r="L130" i="111"/>
  <c r="L129" i="111"/>
  <c r="L128" i="111"/>
  <c r="L126" i="111"/>
  <c r="L125" i="111"/>
  <c r="L124" i="111"/>
  <c r="L122" i="111"/>
  <c r="L120" i="111"/>
  <c r="L119" i="111"/>
  <c r="L117" i="111"/>
  <c r="L116" i="111"/>
  <c r="L115" i="111"/>
  <c r="L114" i="111"/>
  <c r="L112" i="111"/>
  <c r="L108" i="111"/>
  <c r="L107" i="111"/>
  <c r="L106" i="111"/>
  <c r="L105" i="111"/>
  <c r="L104" i="111"/>
  <c r="L103" i="111"/>
  <c r="L102" i="111"/>
  <c r="L101" i="111"/>
  <c r="L97" i="111"/>
  <c r="L96" i="111"/>
  <c r="L94" i="111"/>
  <c r="L93" i="111"/>
  <c r="L90" i="111"/>
  <c r="L89" i="111"/>
  <c r="L87" i="111"/>
  <c r="L86" i="111"/>
  <c r="L85" i="111"/>
  <c r="L84" i="111"/>
  <c r="L83" i="111"/>
  <c r="L80" i="111"/>
  <c r="L79" i="111"/>
  <c r="L78" i="111"/>
  <c r="L77" i="111"/>
  <c r="L76" i="111"/>
  <c r="L75" i="111"/>
  <c r="L74" i="111"/>
  <c r="L72" i="111"/>
  <c r="L71" i="111"/>
  <c r="L70" i="111"/>
  <c r="L69" i="111"/>
  <c r="L68" i="111"/>
  <c r="L67" i="111"/>
  <c r="L66" i="111"/>
  <c r="L63" i="111"/>
  <c r="L62" i="111"/>
  <c r="L61" i="111"/>
  <c r="L60" i="111"/>
  <c r="L59" i="111"/>
  <c r="L58" i="111"/>
  <c r="L57" i="111"/>
  <c r="L54" i="111"/>
  <c r="L53" i="111"/>
  <c r="L51" i="111"/>
  <c r="L50" i="111"/>
  <c r="L47" i="111"/>
  <c r="L46" i="111"/>
  <c r="L45" i="111"/>
  <c r="L43" i="111"/>
  <c r="L39" i="111"/>
  <c r="L38" i="111"/>
  <c r="L37" i="111"/>
  <c r="L36" i="111"/>
  <c r="L35" i="111"/>
  <c r="L33" i="111"/>
  <c r="L32" i="111"/>
  <c r="L31" i="111"/>
  <c r="L30" i="111"/>
  <c r="L29" i="111"/>
  <c r="L26" i="111"/>
  <c r="L25" i="111"/>
  <c r="L24" i="111"/>
  <c r="L23" i="111"/>
  <c r="L22" i="111"/>
  <c r="L21" i="111"/>
  <c r="L20" i="111"/>
  <c r="L19" i="111"/>
  <c r="L18" i="111"/>
  <c r="L17" i="111"/>
  <c r="L16" i="111"/>
  <c r="L15" i="111"/>
  <c r="L12" i="111"/>
  <c r="L10" i="111"/>
  <c r="L9" i="111"/>
  <c r="L7" i="111"/>
  <c r="K255" i="111"/>
  <c r="K254" i="111"/>
  <c r="K253" i="111"/>
  <c r="K252" i="111"/>
  <c r="K251" i="111"/>
  <c r="K250" i="111"/>
  <c r="K249" i="111"/>
  <c r="K248" i="111"/>
  <c r="K247" i="111"/>
  <c r="K246" i="111"/>
  <c r="K245" i="111"/>
  <c r="K242" i="111"/>
  <c r="K241" i="111"/>
  <c r="K240" i="111"/>
  <c r="K238" i="111"/>
  <c r="K237" i="111"/>
  <c r="K236" i="111"/>
  <c r="K234" i="111"/>
  <c r="K233" i="111"/>
  <c r="K232" i="111"/>
  <c r="K228" i="111"/>
  <c r="K227" i="111"/>
  <c r="K225" i="111"/>
  <c r="K224" i="111"/>
  <c r="K223" i="111"/>
  <c r="K222" i="111"/>
  <c r="K221" i="111"/>
  <c r="K219" i="111"/>
  <c r="K218" i="111"/>
  <c r="K217" i="111"/>
  <c r="K216" i="111"/>
  <c r="K213" i="111"/>
  <c r="K212" i="111"/>
  <c r="K211" i="111"/>
  <c r="K210" i="111"/>
  <c r="K209" i="111"/>
  <c r="K208" i="111"/>
  <c r="K206" i="111"/>
  <c r="K205" i="111"/>
  <c r="K204" i="111"/>
  <c r="K201" i="111"/>
  <c r="K200" i="111"/>
  <c r="K199" i="111"/>
  <c r="K198" i="111"/>
  <c r="K197" i="111"/>
  <c r="K196" i="111"/>
  <c r="K195" i="111"/>
  <c r="K193" i="111"/>
  <c r="K192" i="111"/>
  <c r="K191" i="111"/>
  <c r="K190" i="111"/>
  <c r="K189" i="111"/>
  <c r="K188" i="111"/>
  <c r="K186" i="111"/>
  <c r="K185" i="111"/>
  <c r="K184" i="111"/>
  <c r="K183" i="111"/>
  <c r="K182" i="111"/>
  <c r="K181" i="111"/>
  <c r="K180" i="111"/>
  <c r="K178" i="111"/>
  <c r="K177" i="111"/>
  <c r="K176" i="111"/>
  <c r="K175" i="111"/>
  <c r="K174" i="111"/>
  <c r="K173" i="111"/>
  <c r="K170" i="111"/>
  <c r="K169" i="111"/>
  <c r="K168" i="111"/>
  <c r="K167" i="111"/>
  <c r="K166" i="111"/>
  <c r="K164" i="111"/>
  <c r="K163" i="111"/>
  <c r="K162" i="111"/>
  <c r="K161" i="111"/>
  <c r="K160" i="111"/>
  <c r="K159" i="111"/>
  <c r="K158" i="111"/>
  <c r="K156" i="111"/>
  <c r="K155" i="111"/>
  <c r="K154" i="111"/>
  <c r="K152" i="111"/>
  <c r="K150" i="111"/>
  <c r="K149" i="111"/>
  <c r="K147" i="111"/>
  <c r="K146" i="111"/>
  <c r="K145" i="111"/>
  <c r="K144" i="111"/>
  <c r="K142" i="111"/>
  <c r="K140" i="111"/>
  <c r="K139" i="111"/>
  <c r="K138" i="111"/>
  <c r="K137" i="111"/>
  <c r="K136" i="111"/>
  <c r="K134" i="111"/>
  <c r="K133" i="111"/>
  <c r="K132" i="111"/>
  <c r="K131" i="111"/>
  <c r="K130" i="111"/>
  <c r="K129" i="111"/>
  <c r="K128" i="111"/>
  <c r="K126" i="111"/>
  <c r="K125" i="111"/>
  <c r="K124" i="111"/>
  <c r="K122" i="111"/>
  <c r="K120" i="111"/>
  <c r="K119" i="111"/>
  <c r="K117" i="111"/>
  <c r="K116" i="111"/>
  <c r="K115" i="111"/>
  <c r="K114" i="111"/>
  <c r="K112" i="111"/>
  <c r="K108" i="111"/>
  <c r="K107" i="111"/>
  <c r="K105" i="111"/>
  <c r="K104" i="111"/>
  <c r="K103" i="111"/>
  <c r="K102" i="111"/>
  <c r="K101" i="111"/>
  <c r="K97" i="111"/>
  <c r="K96" i="111"/>
  <c r="K94" i="111"/>
  <c r="K93" i="111"/>
  <c r="K90" i="111"/>
  <c r="K89" i="111"/>
  <c r="K87" i="111"/>
  <c r="K86" i="111"/>
  <c r="K85" i="111"/>
  <c r="K84" i="111"/>
  <c r="K83" i="111"/>
  <c r="K80" i="111"/>
  <c r="K79" i="111"/>
  <c r="K78" i="111"/>
  <c r="K77" i="111"/>
  <c r="K76" i="111"/>
  <c r="K75" i="111"/>
  <c r="K74" i="111"/>
  <c r="K72" i="111"/>
  <c r="K71" i="111"/>
  <c r="K70" i="111"/>
  <c r="K69" i="111"/>
  <c r="K68" i="111"/>
  <c r="K67" i="111"/>
  <c r="K66" i="111"/>
  <c r="K63" i="111"/>
  <c r="K62" i="111"/>
  <c r="K61" i="111"/>
  <c r="K60" i="111"/>
  <c r="K59" i="111"/>
  <c r="K58" i="111"/>
  <c r="K57" i="111"/>
  <c r="K54" i="111"/>
  <c r="K53" i="111"/>
  <c r="K51" i="111"/>
  <c r="K50" i="111"/>
  <c r="K47" i="111"/>
  <c r="K46" i="111"/>
  <c r="K45" i="111"/>
  <c r="K43" i="111"/>
  <c r="K39" i="111"/>
  <c r="K38" i="111"/>
  <c r="K37" i="111"/>
  <c r="K36" i="111"/>
  <c r="K35" i="111"/>
  <c r="K33" i="111"/>
  <c r="K32" i="111"/>
  <c r="K31" i="111"/>
  <c r="K30" i="111"/>
  <c r="K29" i="111"/>
  <c r="K26" i="111"/>
  <c r="K25" i="111"/>
  <c r="K24" i="111"/>
  <c r="K23" i="111"/>
  <c r="K22" i="111"/>
  <c r="K21" i="111"/>
  <c r="K20" i="111"/>
  <c r="K19" i="111"/>
  <c r="K18" i="111"/>
  <c r="K17" i="111"/>
  <c r="K16" i="111"/>
  <c r="K15" i="111"/>
  <c r="K12" i="111"/>
  <c r="K10" i="111"/>
  <c r="K9" i="111"/>
  <c r="K7" i="111"/>
  <c r="J256" i="111"/>
  <c r="L256" i="111" s="1"/>
  <c r="J239" i="111"/>
  <c r="L239" i="111" s="1"/>
  <c r="J235" i="111"/>
  <c r="L235" i="111" s="1"/>
  <c r="J231" i="111"/>
  <c r="L231" i="111" s="1"/>
  <c r="J226" i="111"/>
  <c r="L226" i="111" s="1"/>
  <c r="J220" i="111"/>
  <c r="L220" i="111" s="1"/>
  <c r="J215" i="111"/>
  <c r="L215" i="111" s="1"/>
  <c r="J207" i="111"/>
  <c r="J194" i="111"/>
  <c r="J187" i="111" s="1"/>
  <c r="J179" i="111"/>
  <c r="J172" i="111" s="1"/>
  <c r="L172" i="111" s="1"/>
  <c r="J165" i="111"/>
  <c r="L165" i="111" s="1"/>
  <c r="J157" i="111"/>
  <c r="L157" i="111" s="1"/>
  <c r="J153" i="111"/>
  <c r="J151" i="111" s="1"/>
  <c r="L151" i="111" s="1"/>
  <c r="J148" i="111"/>
  <c r="L148" i="111" s="1"/>
  <c r="J143" i="111"/>
  <c r="L143" i="111" s="1"/>
  <c r="J135" i="111"/>
  <c r="L135" i="111" s="1"/>
  <c r="J127" i="111"/>
  <c r="L127" i="111" s="1"/>
  <c r="J123" i="111"/>
  <c r="L123" i="111" s="1"/>
  <c r="J118" i="111"/>
  <c r="L118" i="111" s="1"/>
  <c r="J113" i="111"/>
  <c r="L113" i="111" s="1"/>
  <c r="J106" i="111"/>
  <c r="J100" i="111"/>
  <c r="L100" i="111" s="1"/>
  <c r="J95" i="111"/>
  <c r="J92" i="111"/>
  <c r="L92" i="111" s="1"/>
  <c r="J88" i="111"/>
  <c r="L88" i="111" s="1"/>
  <c r="J73" i="111"/>
  <c r="L73" i="111" s="1"/>
  <c r="J65" i="111"/>
  <c r="J56" i="111"/>
  <c r="L56" i="111" s="1"/>
  <c r="J52" i="111"/>
  <c r="L52" i="111" s="1"/>
  <c r="J49" i="111"/>
  <c r="L49" i="111" s="1"/>
  <c r="J44" i="111"/>
  <c r="L44" i="111" s="1"/>
  <c r="J42" i="111"/>
  <c r="J34" i="111"/>
  <c r="L34" i="111" s="1"/>
  <c r="J28" i="111"/>
  <c r="L28" i="111" s="1"/>
  <c r="J27" i="111"/>
  <c r="L27" i="111" s="1"/>
  <c r="J14" i="111"/>
  <c r="L14" i="111" s="1"/>
  <c r="J8" i="111"/>
  <c r="L8" i="111" s="1"/>
  <c r="I252" i="111"/>
  <c r="I205" i="111"/>
  <c r="I164" i="111"/>
  <c r="I117" i="111"/>
  <c r="I76" i="111"/>
  <c r="I30" i="111"/>
  <c r="H256" i="111"/>
  <c r="H257" i="111"/>
  <c r="I237" i="111" s="1"/>
  <c r="H239" i="111"/>
  <c r="H235" i="111"/>
  <c r="H231" i="111"/>
  <c r="H230" i="111" s="1"/>
  <c r="H243" i="111" s="1"/>
  <c r="I243" i="111" s="1"/>
  <c r="H226" i="111"/>
  <c r="H220" i="111"/>
  <c r="H215" i="111"/>
  <c r="H207" i="111"/>
  <c r="H203" i="111" s="1"/>
  <c r="I203" i="111" s="1"/>
  <c r="H194" i="111"/>
  <c r="H179" i="111"/>
  <c r="I179" i="111" s="1"/>
  <c r="H165" i="111"/>
  <c r="I165" i="111" s="1"/>
  <c r="H157" i="111"/>
  <c r="H153" i="111"/>
  <c r="H148" i="111"/>
  <c r="H143" i="111" s="1"/>
  <c r="H135" i="111"/>
  <c r="H127" i="111"/>
  <c r="H123" i="111"/>
  <c r="I123" i="111" s="1"/>
  <c r="H118" i="111"/>
  <c r="I118" i="111" s="1"/>
  <c r="H113" i="111"/>
  <c r="I113" i="111" s="1"/>
  <c r="H106" i="111"/>
  <c r="H100" i="111"/>
  <c r="I100" i="111" s="1"/>
  <c r="H95" i="111"/>
  <c r="H92" i="111"/>
  <c r="H91" i="111" s="1"/>
  <c r="I91" i="111" s="1"/>
  <c r="H88" i="111"/>
  <c r="H73" i="111"/>
  <c r="H65" i="111"/>
  <c r="H56" i="111"/>
  <c r="I56" i="111" s="1"/>
  <c r="H52" i="111"/>
  <c r="H49" i="111"/>
  <c r="I49" i="111" s="1"/>
  <c r="H44" i="111"/>
  <c r="H42" i="111" s="1"/>
  <c r="H34" i="111"/>
  <c r="I34" i="111" s="1"/>
  <c r="H28" i="111"/>
  <c r="H14" i="111"/>
  <c r="I14" i="111" s="1"/>
  <c r="H8" i="111"/>
  <c r="G255" i="111"/>
  <c r="G254" i="111"/>
  <c r="G253" i="111"/>
  <c r="G252" i="111"/>
  <c r="G251" i="111"/>
  <c r="G250" i="111"/>
  <c r="G249" i="111"/>
  <c r="G248" i="111"/>
  <c r="G247" i="111"/>
  <c r="G246" i="111"/>
  <c r="G245" i="111"/>
  <c r="G242" i="111"/>
  <c r="G241" i="111"/>
  <c r="G240" i="111"/>
  <c r="G238" i="111"/>
  <c r="G237" i="111"/>
  <c r="G236" i="111"/>
  <c r="D117" i="30" s="1"/>
  <c r="G234" i="111"/>
  <c r="G233" i="111"/>
  <c r="G232" i="111"/>
  <c r="D59" i="30" s="1"/>
  <c r="G228" i="111"/>
  <c r="G227" i="111"/>
  <c r="G225" i="111"/>
  <c r="D123" i="30" s="1"/>
  <c r="F123" i="30" s="1"/>
  <c r="G224" i="111"/>
  <c r="D65" i="30" s="1"/>
  <c r="G223" i="111"/>
  <c r="G222" i="111"/>
  <c r="G221" i="111"/>
  <c r="G219" i="111"/>
  <c r="G218" i="111"/>
  <c r="G217" i="111"/>
  <c r="D122" i="30" s="1"/>
  <c r="F122" i="30" s="1"/>
  <c r="G216" i="111"/>
  <c r="D64" i="30" s="1"/>
  <c r="F64" i="30" s="1"/>
  <c r="G213" i="111"/>
  <c r="G212" i="111"/>
  <c r="G211" i="111"/>
  <c r="G210" i="111"/>
  <c r="G209" i="111"/>
  <c r="D66" i="31" s="1"/>
  <c r="G208" i="111"/>
  <c r="G206" i="111"/>
  <c r="G205" i="111"/>
  <c r="G204" i="111"/>
  <c r="G201" i="111"/>
  <c r="G200" i="111"/>
  <c r="D112" i="30" s="1"/>
  <c r="F112" i="30" s="1"/>
  <c r="G199" i="111"/>
  <c r="D111" i="30" s="1"/>
  <c r="F111" i="30" s="1"/>
  <c r="G198" i="111"/>
  <c r="G197" i="111"/>
  <c r="D99" i="30" s="1"/>
  <c r="F99" i="30" s="1"/>
  <c r="G196" i="111"/>
  <c r="G195" i="111"/>
  <c r="D98" i="30" s="1"/>
  <c r="G193" i="111"/>
  <c r="G192" i="111"/>
  <c r="G191" i="111"/>
  <c r="G190" i="111"/>
  <c r="G189" i="111"/>
  <c r="G188" i="111"/>
  <c r="G186" i="111"/>
  <c r="G185" i="111"/>
  <c r="D54" i="30" s="1"/>
  <c r="F54" i="30" s="1"/>
  <c r="G184" i="111"/>
  <c r="D53" i="30" s="1"/>
  <c r="G183" i="111"/>
  <c r="G182" i="111"/>
  <c r="D39" i="30" s="1"/>
  <c r="F39" i="30" s="1"/>
  <c r="G181" i="111"/>
  <c r="G180" i="111"/>
  <c r="D38" i="30" s="1"/>
  <c r="G178" i="111"/>
  <c r="G177" i="111"/>
  <c r="G176" i="111"/>
  <c r="G175" i="111"/>
  <c r="G174" i="111"/>
  <c r="G173" i="111"/>
  <c r="G170" i="111"/>
  <c r="G169" i="111"/>
  <c r="G168" i="111"/>
  <c r="G167" i="111"/>
  <c r="G166" i="111"/>
  <c r="G164" i="111"/>
  <c r="D153" i="31" s="1"/>
  <c r="F153" i="31" s="1"/>
  <c r="G163" i="111"/>
  <c r="D152" i="31" s="1"/>
  <c r="G162" i="111"/>
  <c r="G161" i="111"/>
  <c r="G160" i="111"/>
  <c r="G159" i="111"/>
  <c r="G158" i="111"/>
  <c r="G156" i="111"/>
  <c r="G155" i="111"/>
  <c r="G154" i="111"/>
  <c r="G152" i="111"/>
  <c r="G150" i="111"/>
  <c r="G149" i="111"/>
  <c r="G147" i="111"/>
  <c r="G146" i="111"/>
  <c r="G145" i="111"/>
  <c r="G144" i="111"/>
  <c r="G142" i="111"/>
  <c r="G140" i="111"/>
  <c r="G139" i="111"/>
  <c r="G138" i="111"/>
  <c r="D104" i="31" s="1"/>
  <c r="G137" i="111"/>
  <c r="G136" i="111"/>
  <c r="G134" i="111"/>
  <c r="D114" i="31" s="1"/>
  <c r="G133" i="111"/>
  <c r="D113" i="31" s="1"/>
  <c r="G132" i="111"/>
  <c r="G131" i="111"/>
  <c r="G130" i="111"/>
  <c r="G129" i="111"/>
  <c r="G128" i="111"/>
  <c r="G126" i="111"/>
  <c r="G125" i="111"/>
  <c r="G124" i="111"/>
  <c r="G122" i="111"/>
  <c r="G120" i="111"/>
  <c r="G119" i="111"/>
  <c r="G117" i="111"/>
  <c r="G116" i="111"/>
  <c r="G115" i="111"/>
  <c r="G114" i="111"/>
  <c r="G112" i="111"/>
  <c r="G108" i="111"/>
  <c r="G107" i="111"/>
  <c r="G105" i="111"/>
  <c r="G104" i="111"/>
  <c r="G103" i="111"/>
  <c r="G102" i="111"/>
  <c r="G101" i="111"/>
  <c r="G97" i="111"/>
  <c r="G96" i="111"/>
  <c r="G94" i="111"/>
  <c r="G93" i="111"/>
  <c r="G90" i="111"/>
  <c r="G89" i="111"/>
  <c r="G87" i="111"/>
  <c r="G86" i="111"/>
  <c r="G85" i="111"/>
  <c r="G84" i="111"/>
  <c r="G83" i="111"/>
  <c r="G80" i="111"/>
  <c r="G79" i="111"/>
  <c r="D89" i="30" s="1"/>
  <c r="F89" i="30" s="1"/>
  <c r="G78" i="111"/>
  <c r="D88" i="30" s="1"/>
  <c r="F88" i="30" s="1"/>
  <c r="G77" i="111"/>
  <c r="G76" i="111"/>
  <c r="G75" i="111"/>
  <c r="D86" i="30" s="1"/>
  <c r="F86" i="30" s="1"/>
  <c r="G74" i="111"/>
  <c r="G72" i="111"/>
  <c r="G71" i="111"/>
  <c r="D29" i="30" s="1"/>
  <c r="F29" i="30" s="1"/>
  <c r="G70" i="111"/>
  <c r="D28" i="30" s="1"/>
  <c r="G69" i="111"/>
  <c r="G68" i="111"/>
  <c r="G67" i="111"/>
  <c r="D26" i="30" s="1"/>
  <c r="G66" i="111"/>
  <c r="G63" i="111"/>
  <c r="G62" i="111"/>
  <c r="G61" i="111"/>
  <c r="G60" i="111"/>
  <c r="G59" i="111"/>
  <c r="G58" i="111"/>
  <c r="D41" i="31" s="1"/>
  <c r="G57" i="111"/>
  <c r="G54" i="111"/>
  <c r="G53" i="111"/>
  <c r="G51" i="111"/>
  <c r="G50" i="111"/>
  <c r="G47" i="111"/>
  <c r="G46" i="111"/>
  <c r="G45" i="111"/>
  <c r="G43" i="111"/>
  <c r="G39" i="111"/>
  <c r="G38" i="111"/>
  <c r="D114" i="30" s="1"/>
  <c r="G37" i="111"/>
  <c r="D108" i="30" s="1"/>
  <c r="F108" i="30" s="1"/>
  <c r="G36" i="111"/>
  <c r="D107" i="30" s="1"/>
  <c r="F107" i="30" s="1"/>
  <c r="G35" i="111"/>
  <c r="G33" i="111"/>
  <c r="G32" i="111"/>
  <c r="D56" i="30" s="1"/>
  <c r="G31" i="111"/>
  <c r="D50" i="30" s="1"/>
  <c r="F50" i="30" s="1"/>
  <c r="G30" i="111"/>
  <c r="D49" i="30" s="1"/>
  <c r="F49" i="30" s="1"/>
  <c r="G29" i="111"/>
  <c r="G26" i="111"/>
  <c r="G25" i="111"/>
  <c r="D49" i="31" s="1"/>
  <c r="F49" i="31" s="1"/>
  <c r="G24" i="111"/>
  <c r="D48" i="31" s="1"/>
  <c r="F48" i="31" s="1"/>
  <c r="G23" i="111"/>
  <c r="D47" i="31" s="1"/>
  <c r="G22" i="111"/>
  <c r="G21" i="111"/>
  <c r="G20" i="111"/>
  <c r="G19" i="111"/>
  <c r="G18" i="111"/>
  <c r="D24" i="31" s="1"/>
  <c r="F24" i="31" s="1"/>
  <c r="G17" i="111"/>
  <c r="G16" i="111"/>
  <c r="G15" i="111"/>
  <c r="G12" i="111"/>
  <c r="G10" i="111"/>
  <c r="D77" i="30" s="1"/>
  <c r="G9" i="111"/>
  <c r="D17" i="30" s="1"/>
  <c r="G7" i="111"/>
  <c r="F256" i="111"/>
  <c r="F257" i="111" s="1"/>
  <c r="F239" i="111"/>
  <c r="F235" i="111"/>
  <c r="F231" i="111"/>
  <c r="F230" i="111" s="1"/>
  <c r="F243" i="111" s="1"/>
  <c r="F226" i="111"/>
  <c r="F220" i="111"/>
  <c r="F215" i="111"/>
  <c r="F214" i="111"/>
  <c r="F207" i="111"/>
  <c r="F203" i="111" s="1"/>
  <c r="F194" i="111"/>
  <c r="F187" i="111" s="1"/>
  <c r="F179" i="111"/>
  <c r="F172" i="111" s="1"/>
  <c r="F171" i="111" s="1"/>
  <c r="F165" i="111"/>
  <c r="F157" i="111"/>
  <c r="F153" i="111"/>
  <c r="F151" i="111" s="1"/>
  <c r="F148" i="111"/>
  <c r="F143" i="111"/>
  <c r="F135" i="111"/>
  <c r="F111" i="111" s="1"/>
  <c r="F127" i="111"/>
  <c r="F123" i="111"/>
  <c r="F121" i="111" s="1"/>
  <c r="F118" i="111"/>
  <c r="F113" i="111" s="1"/>
  <c r="F106" i="111"/>
  <c r="F100" i="111"/>
  <c r="F95" i="111"/>
  <c r="F92" i="111"/>
  <c r="F91" i="111" s="1"/>
  <c r="F88" i="111"/>
  <c r="F82" i="111" s="1"/>
  <c r="F73" i="111"/>
  <c r="F65" i="111"/>
  <c r="F64" i="111" s="1"/>
  <c r="F56" i="111"/>
  <c r="F52" i="111"/>
  <c r="F49" i="111"/>
  <c r="F44" i="111"/>
  <c r="F42" i="111" s="1"/>
  <c r="F41" i="111" s="1"/>
  <c r="F34" i="111"/>
  <c r="F28" i="111"/>
  <c r="F27" i="111" s="1"/>
  <c r="F14" i="111"/>
  <c r="F13" i="111" s="1"/>
  <c r="F8" i="111"/>
  <c r="F11" i="111"/>
  <c r="D215" i="111"/>
  <c r="D220" i="111"/>
  <c r="D194" i="111"/>
  <c r="D179" i="111"/>
  <c r="D106" i="111"/>
  <c r="D73" i="111"/>
  <c r="D65" i="111"/>
  <c r="D56" i="111"/>
  <c r="D52" i="111"/>
  <c r="D49" i="111"/>
  <c r="D44" i="111"/>
  <c r="D34" i="111"/>
  <c r="D28" i="111"/>
  <c r="K28" i="111" s="1"/>
  <c r="A7" i="111"/>
  <c r="A8" i="111" s="1"/>
  <c r="A9" i="111" s="1"/>
  <c r="A10" i="111" s="1"/>
  <c r="A11" i="111" s="1"/>
  <c r="A12" i="111" s="1"/>
  <c r="A13" i="111" s="1"/>
  <c r="A14" i="111" s="1"/>
  <c r="A15" i="111" s="1"/>
  <c r="A16" i="111" s="1"/>
  <c r="A17" i="111" s="1"/>
  <c r="A18" i="111" s="1"/>
  <c r="A19" i="111" s="1"/>
  <c r="A20" i="111" s="1"/>
  <c r="A21" i="111" s="1"/>
  <c r="A22" i="111" s="1"/>
  <c r="A23" i="111" s="1"/>
  <c r="A24" i="111" s="1"/>
  <c r="A25" i="111" s="1"/>
  <c r="A26" i="111" s="1"/>
  <c r="A27" i="111" s="1"/>
  <c r="A28" i="111" s="1"/>
  <c r="A29" i="111" s="1"/>
  <c r="A30" i="111" s="1"/>
  <c r="A31" i="111" s="1"/>
  <c r="A32" i="111" s="1"/>
  <c r="A33" i="111" s="1"/>
  <c r="A34" i="111" s="1"/>
  <c r="A35" i="111" s="1"/>
  <c r="A36" i="111" s="1"/>
  <c r="A37" i="111" s="1"/>
  <c r="A38" i="111" s="1"/>
  <c r="A39" i="111" s="1"/>
  <c r="A40" i="111" s="1"/>
  <c r="A41" i="111" s="1"/>
  <c r="A42" i="111" s="1"/>
  <c r="A43" i="111" s="1"/>
  <c r="A44" i="111" s="1"/>
  <c r="A45" i="111" s="1"/>
  <c r="A46" i="111" s="1"/>
  <c r="A47" i="111" s="1"/>
  <c r="A48" i="111" s="1"/>
  <c r="A49" i="111" s="1"/>
  <c r="A50" i="111" s="1"/>
  <c r="A51" i="111" s="1"/>
  <c r="A52" i="111" s="1"/>
  <c r="A53" i="111" s="1"/>
  <c r="A54" i="111" s="1"/>
  <c r="A55" i="111" s="1"/>
  <c r="A56" i="111" s="1"/>
  <c r="A57" i="111" s="1"/>
  <c r="A58" i="111" s="1"/>
  <c r="A59" i="111" s="1"/>
  <c r="A60" i="111" s="1"/>
  <c r="A61" i="111" s="1"/>
  <c r="A62" i="111" s="1"/>
  <c r="A63" i="111" s="1"/>
  <c r="A64" i="111" s="1"/>
  <c r="A65" i="111" s="1"/>
  <c r="A66" i="111" s="1"/>
  <c r="A67" i="111" s="1"/>
  <c r="A68" i="111" s="1"/>
  <c r="A69" i="111" s="1"/>
  <c r="A70" i="111" s="1"/>
  <c r="A71" i="111" s="1"/>
  <c r="A72" i="111" s="1"/>
  <c r="A73" i="111" s="1"/>
  <c r="A74" i="111" s="1"/>
  <c r="A75" i="111" s="1"/>
  <c r="A76" i="111" s="1"/>
  <c r="A77" i="111" s="1"/>
  <c r="A78" i="111" s="1"/>
  <c r="A79" i="111" s="1"/>
  <c r="A80" i="111" s="1"/>
  <c r="A81" i="111" s="1"/>
  <c r="A82" i="111" s="1"/>
  <c r="A83" i="111" s="1"/>
  <c r="A84" i="111" s="1"/>
  <c r="A85" i="111" s="1"/>
  <c r="A86" i="111" s="1"/>
  <c r="A87" i="111" s="1"/>
  <c r="A88" i="111" s="1"/>
  <c r="A89" i="111" s="1"/>
  <c r="A90" i="111" s="1"/>
  <c r="A91" i="111" s="1"/>
  <c r="A92" i="111" s="1"/>
  <c r="A93" i="111" s="1"/>
  <c r="A94" i="111" s="1"/>
  <c r="A95" i="111" s="1"/>
  <c r="A96" i="111" s="1"/>
  <c r="A97" i="111" s="1"/>
  <c r="A98" i="111" s="1"/>
  <c r="A99" i="111" s="1"/>
  <c r="A100" i="111" s="1"/>
  <c r="A101" i="111" s="1"/>
  <c r="A102" i="111" s="1"/>
  <c r="A103" i="111" s="1"/>
  <c r="A104" i="111" s="1"/>
  <c r="A105" i="111" s="1"/>
  <c r="A106" i="111" s="1"/>
  <c r="A107" i="111" s="1"/>
  <c r="A108" i="111" s="1"/>
  <c r="A109" i="111" s="1"/>
  <c r="A110" i="111" s="1"/>
  <c r="A111" i="111" s="1"/>
  <c r="A112" i="111" s="1"/>
  <c r="A113" i="111" s="1"/>
  <c r="A114" i="111" s="1"/>
  <c r="A115" i="111" s="1"/>
  <c r="A116" i="111" s="1"/>
  <c r="A117" i="111" s="1"/>
  <c r="A118" i="111" s="1"/>
  <c r="A119" i="111" s="1"/>
  <c r="A120" i="111" s="1"/>
  <c r="A121" i="111" s="1"/>
  <c r="A122" i="111" s="1"/>
  <c r="A123" i="111" s="1"/>
  <c r="A124" i="111" s="1"/>
  <c r="A125" i="111" s="1"/>
  <c r="A126" i="111" s="1"/>
  <c r="A127" i="111" s="1"/>
  <c r="A128" i="111" s="1"/>
  <c r="A129" i="111" s="1"/>
  <c r="A130" i="111" s="1"/>
  <c r="A131" i="111" s="1"/>
  <c r="A132" i="111" s="1"/>
  <c r="A133" i="111" s="1"/>
  <c r="A134" i="111" s="1"/>
  <c r="A135" i="111" s="1"/>
  <c r="A136" i="111" s="1"/>
  <c r="A137" i="111" s="1"/>
  <c r="A138" i="111" s="1"/>
  <c r="A139" i="111" s="1"/>
  <c r="A140" i="111" s="1"/>
  <c r="A141" i="111" s="1"/>
  <c r="A142" i="111" s="1"/>
  <c r="A143" i="111" s="1"/>
  <c r="A144" i="111" s="1"/>
  <c r="A145" i="111" s="1"/>
  <c r="A146" i="111" s="1"/>
  <c r="A147" i="111" s="1"/>
  <c r="A148" i="111" s="1"/>
  <c r="A149" i="111" s="1"/>
  <c r="A150" i="111" s="1"/>
  <c r="A151" i="111" s="1"/>
  <c r="A152" i="111" s="1"/>
  <c r="A153" i="111" s="1"/>
  <c r="A154" i="111" s="1"/>
  <c r="A155" i="111" s="1"/>
  <c r="A156" i="111" s="1"/>
  <c r="A157" i="111" s="1"/>
  <c r="A158" i="111" s="1"/>
  <c r="A159" i="111" s="1"/>
  <c r="A160" i="111" s="1"/>
  <c r="A161" i="111" s="1"/>
  <c r="A162" i="111" s="1"/>
  <c r="A163" i="111" s="1"/>
  <c r="A164" i="111" s="1"/>
  <c r="A165" i="111" s="1"/>
  <c r="A166" i="111" s="1"/>
  <c r="A167" i="111" s="1"/>
  <c r="A168" i="111" s="1"/>
  <c r="A169" i="111" s="1"/>
  <c r="A170" i="111" s="1"/>
  <c r="A171" i="111" s="1"/>
  <c r="A172" i="111" s="1"/>
  <c r="A173" i="111" s="1"/>
  <c r="A174" i="111" s="1"/>
  <c r="A175" i="111" s="1"/>
  <c r="A176" i="111" s="1"/>
  <c r="A177" i="111" s="1"/>
  <c r="A178" i="111" s="1"/>
  <c r="A179" i="111" s="1"/>
  <c r="A180" i="111" s="1"/>
  <c r="A181" i="111" s="1"/>
  <c r="A182" i="111" s="1"/>
  <c r="A183" i="111" s="1"/>
  <c r="A184" i="111" s="1"/>
  <c r="A185" i="111" s="1"/>
  <c r="A186" i="111" s="1"/>
  <c r="A187" i="111" s="1"/>
  <c r="A188" i="111" s="1"/>
  <c r="A189" i="111" s="1"/>
  <c r="A190" i="111" s="1"/>
  <c r="A191" i="111" s="1"/>
  <c r="A192" i="111" s="1"/>
  <c r="A193" i="111" s="1"/>
  <c r="A194" i="111" s="1"/>
  <c r="A195" i="111" s="1"/>
  <c r="A196" i="111" s="1"/>
  <c r="A197" i="111" s="1"/>
  <c r="A198" i="111" s="1"/>
  <c r="A199" i="111" s="1"/>
  <c r="A200" i="111" s="1"/>
  <c r="A201" i="111" s="1"/>
  <c r="A202" i="111" s="1"/>
  <c r="A203" i="111" s="1"/>
  <c r="A204" i="111" s="1"/>
  <c r="A205" i="111" s="1"/>
  <c r="A206" i="111" s="1"/>
  <c r="A207" i="111" s="1"/>
  <c r="A208" i="111" s="1"/>
  <c r="A209" i="111" s="1"/>
  <c r="A210" i="111" s="1"/>
  <c r="A211" i="111" s="1"/>
  <c r="A212" i="111" s="1"/>
  <c r="A213" i="111" s="1"/>
  <c r="A214" i="111" s="1"/>
  <c r="A215" i="111" s="1"/>
  <c r="A216" i="111" s="1"/>
  <c r="A217" i="111" s="1"/>
  <c r="A218" i="111" s="1"/>
  <c r="A219" i="111" s="1"/>
  <c r="A220" i="111" s="1"/>
  <c r="A221" i="111" s="1"/>
  <c r="A222" i="111" s="1"/>
  <c r="A223" i="111" s="1"/>
  <c r="A224" i="111" s="1"/>
  <c r="A225" i="111" s="1"/>
  <c r="A226" i="111" s="1"/>
  <c r="A227" i="111" s="1"/>
  <c r="A228" i="111" s="1"/>
  <c r="A229" i="111" s="1"/>
  <c r="A230" i="111" s="1"/>
  <c r="A231" i="111" s="1"/>
  <c r="A232" i="111" s="1"/>
  <c r="A233" i="111" s="1"/>
  <c r="A234" i="111" s="1"/>
  <c r="A235" i="111" s="1"/>
  <c r="A236" i="111" s="1"/>
  <c r="A237" i="111" s="1"/>
  <c r="A238" i="111" s="1"/>
  <c r="A239" i="111" s="1"/>
  <c r="A240" i="111" s="1"/>
  <c r="A241" i="111" s="1"/>
  <c r="A242" i="111" s="1"/>
  <c r="A243" i="111" s="1"/>
  <c r="A244" i="111" s="1"/>
  <c r="A245" i="111" s="1"/>
  <c r="A246" i="111" s="1"/>
  <c r="A247" i="111" s="1"/>
  <c r="A248" i="111" s="1"/>
  <c r="A249" i="111" s="1"/>
  <c r="A250" i="111" s="1"/>
  <c r="A251" i="111" s="1"/>
  <c r="A252" i="111" s="1"/>
  <c r="A253" i="111" s="1"/>
  <c r="A254" i="111" s="1"/>
  <c r="A255" i="111" s="1"/>
  <c r="A256" i="111" s="1"/>
  <c r="A257" i="111" s="1"/>
  <c r="D120" i="32"/>
  <c r="F119" i="32"/>
  <c r="F118" i="32"/>
  <c r="F117" i="32"/>
  <c r="F116" i="32"/>
  <c r="F115" i="32"/>
  <c r="F114" i="32"/>
  <c r="F113" i="32"/>
  <c r="F112" i="32"/>
  <c r="F111" i="32"/>
  <c r="F110" i="32"/>
  <c r="F109" i="32"/>
  <c r="F108" i="32"/>
  <c r="F107" i="32"/>
  <c r="F106" i="32"/>
  <c r="F105" i="32"/>
  <c r="F104" i="32"/>
  <c r="F103" i="32"/>
  <c r="F102" i="32"/>
  <c r="D11" i="31"/>
  <c r="D70" i="30"/>
  <c r="C18" i="39"/>
  <c r="E18" i="39" s="1"/>
  <c r="D19" i="30"/>
  <c r="C17" i="39"/>
  <c r="E17" i="39" s="1"/>
  <c r="E14" i="125"/>
  <c r="E13" i="125"/>
  <c r="F102" i="30" s="1"/>
  <c r="E12" i="125"/>
  <c r="E11" i="125"/>
  <c r="F42" i="30" s="1"/>
  <c r="E10" i="125"/>
  <c r="E9" i="125"/>
  <c r="E8" i="125"/>
  <c r="F61" i="31" s="1"/>
  <c r="E7" i="125"/>
  <c r="E6" i="125"/>
  <c r="F54" i="31" s="1"/>
  <c r="O37" i="120"/>
  <c r="O35" i="120"/>
  <c r="O34" i="120"/>
  <c r="O31" i="120"/>
  <c r="O26" i="120"/>
  <c r="O22" i="120"/>
  <c r="O21" i="120"/>
  <c r="O20" i="120"/>
  <c r="H2" i="159"/>
  <c r="F53" i="125"/>
  <c r="P63" i="110"/>
  <c r="P64" i="110" s="1"/>
  <c r="O72" i="110"/>
  <c r="R40" i="110"/>
  <c r="Q40" i="110"/>
  <c r="H56" i="110"/>
  <c r="E56" i="110"/>
  <c r="L56" i="110" s="1"/>
  <c r="F56" i="110"/>
  <c r="D141" i="31"/>
  <c r="F141" i="31" s="1"/>
  <c r="D142" i="31"/>
  <c r="F142" i="31" s="1"/>
  <c r="D143" i="31"/>
  <c r="F143" i="31"/>
  <c r="D140" i="31"/>
  <c r="F140" i="31" s="1"/>
  <c r="D139" i="31"/>
  <c r="F138" i="31"/>
  <c r="D137" i="31"/>
  <c r="D101" i="31"/>
  <c r="F101" i="31"/>
  <c r="D102" i="31"/>
  <c r="F102" i="31"/>
  <c r="D103" i="31"/>
  <c r="F103" i="31"/>
  <c r="D100" i="31"/>
  <c r="F100" i="31" s="1"/>
  <c r="D99" i="31"/>
  <c r="F98" i="31"/>
  <c r="D97" i="31"/>
  <c r="D73" i="31"/>
  <c r="F73" i="31"/>
  <c r="O25" i="110"/>
  <c r="O24" i="110"/>
  <c r="P42" i="110"/>
  <c r="X13" i="91"/>
  <c r="X15" i="91"/>
  <c r="W15" i="91"/>
  <c r="X14" i="91"/>
  <c r="W14" i="91"/>
  <c r="W13" i="91"/>
  <c r="X12" i="91"/>
  <c r="W12" i="91"/>
  <c r="X11" i="91"/>
  <c r="W11" i="91"/>
  <c r="X10" i="91"/>
  <c r="W10" i="91"/>
  <c r="X9" i="91"/>
  <c r="W9" i="91"/>
  <c r="X8" i="91"/>
  <c r="G17" i="145" s="1"/>
  <c r="W8" i="91"/>
  <c r="F18" i="145" s="1"/>
  <c r="X7" i="91"/>
  <c r="W7" i="91"/>
  <c r="X6" i="91"/>
  <c r="W6" i="91"/>
  <c r="F6" i="110"/>
  <c r="G8" i="145"/>
  <c r="I8" i="145" s="1"/>
  <c r="J8" i="145" s="1"/>
  <c r="E7" i="145"/>
  <c r="H7" i="145" s="1"/>
  <c r="J7" i="145" s="1"/>
  <c r="G7" i="145"/>
  <c r="I7" i="145" s="1"/>
  <c r="C15" i="39" s="1"/>
  <c r="E15" i="39" s="1"/>
  <c r="F8" i="145"/>
  <c r="F7" i="145"/>
  <c r="E8" i="145"/>
  <c r="H8" i="145"/>
  <c r="D135" i="31"/>
  <c r="D95" i="31"/>
  <c r="F72" i="31"/>
  <c r="F70" i="31" s="1"/>
  <c r="D33" i="31"/>
  <c r="F33" i="31"/>
  <c r="G6" i="59"/>
  <c r="G52" i="59"/>
  <c r="G50" i="59" s="1"/>
  <c r="G44" i="59"/>
  <c r="G42" i="59"/>
  <c r="G39" i="59"/>
  <c r="G31" i="59"/>
  <c r="G29" i="59" s="1"/>
  <c r="G21" i="59" s="1"/>
  <c r="G18" i="59" s="1"/>
  <c r="G37" i="59" s="1"/>
  <c r="G25" i="59"/>
  <c r="G22" i="59"/>
  <c r="G15" i="59"/>
  <c r="G13" i="59"/>
  <c r="G9" i="59"/>
  <c r="Y27" i="57"/>
  <c r="AC27" i="57" s="1"/>
  <c r="AL9" i="57"/>
  <c r="AL51" i="57"/>
  <c r="AL50" i="57"/>
  <c r="X50" i="57"/>
  <c r="W50" i="57"/>
  <c r="V50" i="57"/>
  <c r="U50" i="57"/>
  <c r="T50" i="57"/>
  <c r="S50" i="57"/>
  <c r="R50" i="57"/>
  <c r="Q50" i="57"/>
  <c r="P50" i="57"/>
  <c r="O50" i="57"/>
  <c r="N50" i="57"/>
  <c r="M50" i="57"/>
  <c r="L50" i="57"/>
  <c r="K50" i="57"/>
  <c r="J50" i="57"/>
  <c r="I50" i="57"/>
  <c r="H50" i="57"/>
  <c r="G50" i="57"/>
  <c r="F50" i="57"/>
  <c r="E50" i="57"/>
  <c r="AL49" i="57"/>
  <c r="Y49" i="57"/>
  <c r="AC49" i="57" s="1"/>
  <c r="AL48" i="57"/>
  <c r="Y48" i="57"/>
  <c r="AC48" i="57"/>
  <c r="AL47" i="57"/>
  <c r="Y47" i="57"/>
  <c r="AC47" i="57" s="1"/>
  <c r="AL46" i="57"/>
  <c r="AL45" i="57"/>
  <c r="V30" i="57"/>
  <c r="V36" i="57"/>
  <c r="V40" i="57"/>
  <c r="V43" i="57"/>
  <c r="O30" i="57"/>
  <c r="O36" i="57"/>
  <c r="O40" i="57"/>
  <c r="O43" i="57"/>
  <c r="O45" i="57" s="1"/>
  <c r="G30" i="57"/>
  <c r="G36" i="57"/>
  <c r="G40" i="57"/>
  <c r="G43" i="57"/>
  <c r="AL44" i="57"/>
  <c r="Y44" i="57"/>
  <c r="AC44" i="57" s="1"/>
  <c r="AL43" i="57"/>
  <c r="X43" i="57"/>
  <c r="W43" i="57"/>
  <c r="U43" i="57"/>
  <c r="T43" i="57"/>
  <c r="S43" i="57"/>
  <c r="R43" i="57"/>
  <c r="Q43" i="57"/>
  <c r="P43" i="57"/>
  <c r="N43" i="57"/>
  <c r="M43" i="57"/>
  <c r="L43" i="57"/>
  <c r="K43" i="57"/>
  <c r="J43" i="57"/>
  <c r="E43" i="57"/>
  <c r="Y43" i="57" s="1"/>
  <c r="AC43" i="57" s="1"/>
  <c r="F43" i="57"/>
  <c r="H43" i="57"/>
  <c r="I43" i="57"/>
  <c r="AL42" i="57"/>
  <c r="Y42" i="57"/>
  <c r="AC42" i="57"/>
  <c r="AL41" i="57"/>
  <c r="Y41" i="57"/>
  <c r="AC41" i="57" s="1"/>
  <c r="AL40" i="57"/>
  <c r="X40" i="57"/>
  <c r="W40" i="57"/>
  <c r="U40" i="57"/>
  <c r="T40" i="57"/>
  <c r="S40" i="57"/>
  <c r="S45" i="57" s="1"/>
  <c r="R40" i="57"/>
  <c r="Q40" i="57"/>
  <c r="P40" i="57"/>
  <c r="N40" i="57"/>
  <c r="M40" i="57"/>
  <c r="L40" i="57"/>
  <c r="K40" i="57"/>
  <c r="J40" i="57"/>
  <c r="J45" i="57" s="1"/>
  <c r="I40" i="57"/>
  <c r="I45" i="57" s="1"/>
  <c r="H40" i="57"/>
  <c r="F40" i="57"/>
  <c r="E40" i="57"/>
  <c r="AL39" i="57"/>
  <c r="Y39" i="57"/>
  <c r="AC39" i="57"/>
  <c r="AL38" i="57"/>
  <c r="Y38" i="57"/>
  <c r="AC38" i="57" s="1"/>
  <c r="AL37" i="57"/>
  <c r="Y37" i="57"/>
  <c r="AC37" i="57"/>
  <c r="AL36" i="57"/>
  <c r="X36" i="57"/>
  <c r="W36" i="57"/>
  <c r="U36" i="57"/>
  <c r="T36" i="57"/>
  <c r="S36" i="57"/>
  <c r="R36" i="57"/>
  <c r="Q36" i="57"/>
  <c r="P36" i="57"/>
  <c r="N36" i="57"/>
  <c r="M36" i="57"/>
  <c r="M45" i="57" s="1"/>
  <c r="L36" i="57"/>
  <c r="K36" i="57"/>
  <c r="J36" i="57"/>
  <c r="I36" i="57"/>
  <c r="H36" i="57"/>
  <c r="F36" i="57"/>
  <c r="E36" i="57"/>
  <c r="AL35" i="57"/>
  <c r="Y35" i="57"/>
  <c r="AC35" i="57" s="1"/>
  <c r="AL34" i="57"/>
  <c r="Y34" i="57"/>
  <c r="AC34" i="57" s="1"/>
  <c r="AL33" i="57"/>
  <c r="Y33" i="57"/>
  <c r="AC33" i="57" s="1"/>
  <c r="AL32" i="57"/>
  <c r="Y32" i="57"/>
  <c r="AC32" i="57"/>
  <c r="AL31" i="57"/>
  <c r="Y31" i="57"/>
  <c r="AC31" i="57" s="1"/>
  <c r="AL30" i="57"/>
  <c r="X30" i="57"/>
  <c r="W30" i="57"/>
  <c r="W45" i="57"/>
  <c r="U30" i="57"/>
  <c r="U45" i="57" s="1"/>
  <c r="T30" i="57"/>
  <c r="S30" i="57"/>
  <c r="R30" i="57"/>
  <c r="Q30" i="57"/>
  <c r="Q45" i="57" s="1"/>
  <c r="P30" i="57"/>
  <c r="P45" i="57" s="1"/>
  <c r="N30" i="57"/>
  <c r="M30" i="57"/>
  <c r="L30" i="57"/>
  <c r="K30" i="57"/>
  <c r="K45" i="57"/>
  <c r="J30" i="57"/>
  <c r="I30" i="57"/>
  <c r="H30" i="57"/>
  <c r="H45" i="57"/>
  <c r="F30" i="57"/>
  <c r="F45" i="57"/>
  <c r="E30" i="57"/>
  <c r="AL29" i="57"/>
  <c r="Y29" i="57"/>
  <c r="AC29" i="57" s="1"/>
  <c r="AL28" i="57"/>
  <c r="Y28" i="57"/>
  <c r="AC28" i="57"/>
  <c r="AL27" i="57"/>
  <c r="AL26" i="57"/>
  <c r="Y26" i="57"/>
  <c r="AC26" i="57"/>
  <c r="AL25" i="57"/>
  <c r="S10" i="57"/>
  <c r="S16" i="57"/>
  <c r="S20" i="57"/>
  <c r="S23" i="57"/>
  <c r="L10" i="57"/>
  <c r="L16" i="57"/>
  <c r="L25" i="57" s="1"/>
  <c r="L20" i="57"/>
  <c r="L23" i="57"/>
  <c r="AL24" i="57"/>
  <c r="Y24" i="57"/>
  <c r="AC24" i="57"/>
  <c r="AL23" i="57"/>
  <c r="X23" i="57"/>
  <c r="W23" i="57"/>
  <c r="V23" i="57"/>
  <c r="U23" i="57"/>
  <c r="T23" i="57"/>
  <c r="T25" i="57" s="1"/>
  <c r="R23" i="57"/>
  <c r="Q23" i="57"/>
  <c r="P23" i="57"/>
  <c r="O23" i="57"/>
  <c r="N23" i="57"/>
  <c r="M23" i="57"/>
  <c r="K23" i="57"/>
  <c r="J23" i="57"/>
  <c r="J25" i="57" s="1"/>
  <c r="I23" i="57"/>
  <c r="H23" i="57"/>
  <c r="G23" i="57"/>
  <c r="F23" i="57"/>
  <c r="E23" i="57"/>
  <c r="Y23" i="57" s="1"/>
  <c r="AC23" i="57" s="1"/>
  <c r="AL22" i="57"/>
  <c r="Y22" i="57"/>
  <c r="AC22" i="57"/>
  <c r="AL21" i="57"/>
  <c r="Y21" i="57"/>
  <c r="AC21" i="57" s="1"/>
  <c r="AL20" i="57"/>
  <c r="X20" i="57"/>
  <c r="W20" i="57"/>
  <c r="W25" i="57" s="1"/>
  <c r="W46" i="57" s="1"/>
  <c r="W51" i="57" s="1"/>
  <c r="V20" i="57"/>
  <c r="U20" i="57"/>
  <c r="T20" i="57"/>
  <c r="R20" i="57"/>
  <c r="Q20" i="57"/>
  <c r="P20" i="57"/>
  <c r="O20" i="57"/>
  <c r="O25" i="57" s="1"/>
  <c r="O46" i="57" s="1"/>
  <c r="O51" i="57" s="1"/>
  <c r="N20" i="57"/>
  <c r="M20" i="57"/>
  <c r="K20" i="57"/>
  <c r="J20" i="57"/>
  <c r="I20" i="57"/>
  <c r="H20" i="57"/>
  <c r="H25" i="57" s="1"/>
  <c r="G20" i="57"/>
  <c r="F20" i="57"/>
  <c r="E20" i="57"/>
  <c r="AL19" i="57"/>
  <c r="Y19" i="57"/>
  <c r="AC19" i="57"/>
  <c r="AL18" i="57"/>
  <c r="Y18" i="57"/>
  <c r="AC18" i="57" s="1"/>
  <c r="AL17" i="57"/>
  <c r="Y17" i="57"/>
  <c r="AC17" i="57" s="1"/>
  <c r="AL16" i="57"/>
  <c r="X16" i="57"/>
  <c r="W16" i="57"/>
  <c r="V16" i="57"/>
  <c r="V25" i="57" s="1"/>
  <c r="U16" i="57"/>
  <c r="T16" i="57"/>
  <c r="R16" i="57"/>
  <c r="Q16" i="57"/>
  <c r="P16" i="57"/>
  <c r="P25" i="57" s="1"/>
  <c r="O16" i="57"/>
  <c r="N16" i="57"/>
  <c r="M16" i="57"/>
  <c r="K16" i="57"/>
  <c r="J16" i="57"/>
  <c r="I16" i="57"/>
  <c r="H16" i="57"/>
  <c r="G16" i="57"/>
  <c r="Y16" i="57" s="1"/>
  <c r="AC16" i="57" s="1"/>
  <c r="F16" i="57"/>
  <c r="E16" i="57"/>
  <c r="AL15" i="57"/>
  <c r="Y15" i="57"/>
  <c r="AC15" i="57" s="1"/>
  <c r="AL14" i="57"/>
  <c r="Y14" i="57"/>
  <c r="AC14" i="57" s="1"/>
  <c r="AL13" i="57"/>
  <c r="Y13" i="57"/>
  <c r="AC13" i="57" s="1"/>
  <c r="AL12" i="57"/>
  <c r="Y12" i="57"/>
  <c r="AC12" i="57"/>
  <c r="AL11" i="57"/>
  <c r="Y11" i="57"/>
  <c r="AC11" i="57" s="1"/>
  <c r="AL10" i="57"/>
  <c r="X10" i="57"/>
  <c r="W10" i="57"/>
  <c r="V10" i="57"/>
  <c r="U10" i="57"/>
  <c r="U25" i="57" s="1"/>
  <c r="T10" i="57"/>
  <c r="R10" i="57"/>
  <c r="R25" i="57"/>
  <c r="Q10" i="57"/>
  <c r="Q25" i="57"/>
  <c r="Q46" i="57" s="1"/>
  <c r="Q51" i="57" s="1"/>
  <c r="P10" i="57"/>
  <c r="O10" i="57"/>
  <c r="N10" i="57"/>
  <c r="M10" i="57"/>
  <c r="M25" i="57" s="1"/>
  <c r="K10" i="57"/>
  <c r="K25" i="57" s="1"/>
  <c r="J10" i="57"/>
  <c r="I10" i="57"/>
  <c r="I25" i="57" s="1"/>
  <c r="I46" i="57" s="1"/>
  <c r="I51" i="57"/>
  <c r="H10" i="57"/>
  <c r="G10" i="57"/>
  <c r="F10" i="57"/>
  <c r="E10" i="57"/>
  <c r="Y10" i="57"/>
  <c r="AC10" i="57" s="1"/>
  <c r="Y9" i="57"/>
  <c r="AC9" i="57" s="1"/>
  <c r="AL8" i="57"/>
  <c r="Y8" i="57"/>
  <c r="AC8" i="57"/>
  <c r="AL7" i="57"/>
  <c r="Y7" i="57"/>
  <c r="AC7" i="57"/>
  <c r="AL6" i="57"/>
  <c r="Y6" i="57"/>
  <c r="AC6" i="57"/>
  <c r="P37" i="110"/>
  <c r="E17" i="110"/>
  <c r="Q100" i="110"/>
  <c r="R100" i="110" s="1"/>
  <c r="F100" i="110"/>
  <c r="E100" i="110"/>
  <c r="Q99" i="110"/>
  <c r="R99" i="110" s="1"/>
  <c r="F99" i="110"/>
  <c r="E99" i="110"/>
  <c r="G98" i="110"/>
  <c r="D98" i="110"/>
  <c r="C98" i="110"/>
  <c r="C104" i="110" s="1"/>
  <c r="E98" i="110"/>
  <c r="Q97" i="110"/>
  <c r="R97" i="110" s="1"/>
  <c r="F97" i="110"/>
  <c r="E97" i="110"/>
  <c r="L97" i="110"/>
  <c r="F96" i="110"/>
  <c r="E96" i="110"/>
  <c r="L96" i="110" s="1"/>
  <c r="Q95" i="110"/>
  <c r="R95" i="110" s="1"/>
  <c r="F95" i="110"/>
  <c r="E95" i="110"/>
  <c r="L95" i="110"/>
  <c r="M95" i="110" s="1"/>
  <c r="Q94" i="110"/>
  <c r="R94" i="110"/>
  <c r="F94" i="110"/>
  <c r="E94" i="110"/>
  <c r="L94" i="110" s="1"/>
  <c r="Q93" i="110"/>
  <c r="R93" i="110"/>
  <c r="F93" i="110"/>
  <c r="E93" i="110"/>
  <c r="L93" i="110"/>
  <c r="M93" i="110"/>
  <c r="Q92" i="110"/>
  <c r="R92" i="110" s="1"/>
  <c r="F92" i="110"/>
  <c r="E92" i="110"/>
  <c r="L92" i="110"/>
  <c r="Q91" i="110"/>
  <c r="R91" i="110" s="1"/>
  <c r="F91" i="110"/>
  <c r="E91" i="110"/>
  <c r="Q90" i="110"/>
  <c r="R90" i="110"/>
  <c r="F90" i="110"/>
  <c r="E90" i="110"/>
  <c r="L90" i="110" s="1"/>
  <c r="Q89" i="110"/>
  <c r="R89" i="110" s="1"/>
  <c r="F89" i="110"/>
  <c r="E89" i="110"/>
  <c r="L89" i="110"/>
  <c r="Q88" i="110"/>
  <c r="R88" i="110"/>
  <c r="F88" i="110"/>
  <c r="E88" i="110"/>
  <c r="L88" i="110" s="1"/>
  <c r="Q87" i="110"/>
  <c r="R87" i="110"/>
  <c r="G87" i="110"/>
  <c r="D87" i="110"/>
  <c r="C87" i="110"/>
  <c r="P86" i="110"/>
  <c r="O86" i="110"/>
  <c r="F86" i="110"/>
  <c r="E86" i="110"/>
  <c r="L86" i="110"/>
  <c r="M86" i="110"/>
  <c r="F85" i="110"/>
  <c r="E85" i="110"/>
  <c r="Q84" i="110"/>
  <c r="R84" i="110"/>
  <c r="F84" i="110"/>
  <c r="E84" i="110"/>
  <c r="Q83" i="110"/>
  <c r="R83" i="110"/>
  <c r="F83" i="110"/>
  <c r="E83" i="110"/>
  <c r="Q82" i="110"/>
  <c r="R82" i="110"/>
  <c r="F82" i="110"/>
  <c r="E82" i="110"/>
  <c r="P81" i="110"/>
  <c r="O81" i="110"/>
  <c r="G81" i="110"/>
  <c r="D81" i="110"/>
  <c r="C81" i="110"/>
  <c r="F81" i="110" s="1"/>
  <c r="L80" i="110"/>
  <c r="M80" i="110" s="1"/>
  <c r="F80" i="110"/>
  <c r="E80" i="110"/>
  <c r="R78" i="110"/>
  <c r="Q78" i="110"/>
  <c r="F79" i="110"/>
  <c r="E79" i="110"/>
  <c r="L79" i="110"/>
  <c r="Q77" i="110"/>
  <c r="R77" i="110" s="1"/>
  <c r="L78" i="110"/>
  <c r="M78" i="110" s="1"/>
  <c r="F78" i="110"/>
  <c r="E78" i="110"/>
  <c r="Q76" i="110"/>
  <c r="R76" i="110" s="1"/>
  <c r="F77" i="110"/>
  <c r="E77" i="110"/>
  <c r="H77" i="110" s="1"/>
  <c r="R75" i="110"/>
  <c r="Q75" i="110"/>
  <c r="F76" i="110"/>
  <c r="E76" i="110"/>
  <c r="L76" i="110" s="1"/>
  <c r="Q74" i="110"/>
  <c r="R74" i="110"/>
  <c r="L75" i="110"/>
  <c r="M75" i="110" s="1"/>
  <c r="F75" i="110"/>
  <c r="E75" i="110"/>
  <c r="Q73" i="110"/>
  <c r="R73" i="110"/>
  <c r="F74" i="110"/>
  <c r="E74" i="110"/>
  <c r="P72" i="110"/>
  <c r="G73" i="110"/>
  <c r="D73" i="110"/>
  <c r="C73" i="110"/>
  <c r="F72" i="110"/>
  <c r="E72" i="110"/>
  <c r="H72" i="110" s="1"/>
  <c r="Q70" i="110"/>
  <c r="R70" i="110" s="1"/>
  <c r="F71" i="110"/>
  <c r="E71" i="110"/>
  <c r="H71" i="110"/>
  <c r="Q69" i="110"/>
  <c r="R69" i="110"/>
  <c r="F70" i="110"/>
  <c r="E70" i="110"/>
  <c r="H70" i="110" s="1"/>
  <c r="Q68" i="110"/>
  <c r="R68" i="110" s="1"/>
  <c r="F69" i="110"/>
  <c r="E69" i="110"/>
  <c r="L69" i="110" s="1"/>
  <c r="H69" i="110"/>
  <c r="Q67" i="110"/>
  <c r="R67" i="110" s="1"/>
  <c r="F68" i="110"/>
  <c r="E68" i="110"/>
  <c r="L68" i="110"/>
  <c r="P66" i="110"/>
  <c r="O66" i="110"/>
  <c r="O96" i="110" s="1"/>
  <c r="F67" i="110"/>
  <c r="E67" i="110"/>
  <c r="L66" i="110"/>
  <c r="F66" i="110"/>
  <c r="E66" i="110"/>
  <c r="F65" i="110"/>
  <c r="E65" i="110"/>
  <c r="F64" i="110"/>
  <c r="E64" i="110"/>
  <c r="H64" i="110" s="1"/>
  <c r="G63" i="110"/>
  <c r="D63" i="110"/>
  <c r="C63" i="110"/>
  <c r="F63" i="110"/>
  <c r="Q61" i="110"/>
  <c r="R61" i="110" s="1"/>
  <c r="L62" i="110"/>
  <c r="M62" i="110" s="1"/>
  <c r="F62" i="110"/>
  <c r="E62" i="110"/>
  <c r="Q60" i="110"/>
  <c r="R60" i="110"/>
  <c r="F61" i="110"/>
  <c r="E61" i="110"/>
  <c r="L61" i="110"/>
  <c r="M61" i="110" s="1"/>
  <c r="P59" i="110"/>
  <c r="O59" i="110"/>
  <c r="F60" i="110"/>
  <c r="E60" i="110"/>
  <c r="L60" i="110"/>
  <c r="M60" i="110" s="1"/>
  <c r="F59" i="110"/>
  <c r="E59" i="110"/>
  <c r="Q57" i="110"/>
  <c r="R57" i="110" s="1"/>
  <c r="G58" i="110"/>
  <c r="D58" i="110"/>
  <c r="C58" i="110"/>
  <c r="F58" i="110" s="1"/>
  <c r="Q56" i="110"/>
  <c r="R56" i="110" s="1"/>
  <c r="F57" i="110"/>
  <c r="E57" i="110"/>
  <c r="L57" i="110"/>
  <c r="Q55" i="110"/>
  <c r="R55" i="110"/>
  <c r="F55" i="110"/>
  <c r="E55" i="110"/>
  <c r="Q54" i="110"/>
  <c r="R54" i="110" s="1"/>
  <c r="F54" i="110"/>
  <c r="E54" i="110"/>
  <c r="L54" i="110"/>
  <c r="M54" i="110"/>
  <c r="Q53" i="110"/>
  <c r="R53" i="110" s="1"/>
  <c r="F53" i="110"/>
  <c r="E53" i="110"/>
  <c r="L53" i="110"/>
  <c r="M53" i="110" s="1"/>
  <c r="Q52" i="110"/>
  <c r="R52" i="110"/>
  <c r="F52" i="110"/>
  <c r="E52" i="110"/>
  <c r="Q51" i="110"/>
  <c r="R51" i="110" s="1"/>
  <c r="F51" i="110"/>
  <c r="E51" i="110"/>
  <c r="L51" i="110"/>
  <c r="M51" i="110"/>
  <c r="Q50" i="110"/>
  <c r="R50" i="110" s="1"/>
  <c r="F50" i="110"/>
  <c r="E50" i="110"/>
  <c r="P49" i="110"/>
  <c r="O49" i="110"/>
  <c r="F49" i="110"/>
  <c r="E49" i="110"/>
  <c r="L49" i="110"/>
  <c r="R47" i="110"/>
  <c r="Q47" i="110"/>
  <c r="F47" i="110"/>
  <c r="E47" i="110"/>
  <c r="Q46" i="110"/>
  <c r="R46" i="110"/>
  <c r="F46" i="110"/>
  <c r="E46" i="110"/>
  <c r="Q45" i="110"/>
  <c r="R45" i="110" s="1"/>
  <c r="F45" i="110"/>
  <c r="E45" i="110"/>
  <c r="L45" i="110"/>
  <c r="P44" i="110"/>
  <c r="O44" i="110"/>
  <c r="F44" i="110"/>
  <c r="E44" i="110"/>
  <c r="L44" i="110" s="1"/>
  <c r="M44" i="110" s="1"/>
  <c r="Q43" i="110"/>
  <c r="R43" i="110"/>
  <c r="G43" i="110"/>
  <c r="F43" i="110"/>
  <c r="D43" i="110"/>
  <c r="C43" i="110"/>
  <c r="O42" i="110"/>
  <c r="F42" i="110"/>
  <c r="E42" i="110"/>
  <c r="F41" i="110"/>
  <c r="E41" i="110"/>
  <c r="H41" i="110" s="1"/>
  <c r="F40" i="110"/>
  <c r="E40" i="110"/>
  <c r="L40" i="110"/>
  <c r="Q39" i="110"/>
  <c r="R39" i="110"/>
  <c r="F39" i="110"/>
  <c r="E39" i="110"/>
  <c r="L39" i="110" s="1"/>
  <c r="Q38" i="110"/>
  <c r="R38" i="110" s="1"/>
  <c r="F38" i="110"/>
  <c r="E38" i="110"/>
  <c r="H38" i="110" s="1"/>
  <c r="L38" i="110"/>
  <c r="M38" i="110"/>
  <c r="O37" i="110"/>
  <c r="F37" i="110"/>
  <c r="E37" i="110"/>
  <c r="H37" i="110" s="1"/>
  <c r="Q36" i="110"/>
  <c r="R36" i="110" s="1"/>
  <c r="F36" i="110"/>
  <c r="E36" i="110"/>
  <c r="H36" i="110" s="1"/>
  <c r="Q35" i="110"/>
  <c r="R35" i="110" s="1"/>
  <c r="F35" i="110"/>
  <c r="E35" i="110"/>
  <c r="H35" i="110" s="1"/>
  <c r="F34" i="110"/>
  <c r="E34" i="110"/>
  <c r="L34" i="110"/>
  <c r="Q33" i="110"/>
  <c r="R33" i="110"/>
  <c r="G33" i="110"/>
  <c r="D33" i="110"/>
  <c r="C33" i="110"/>
  <c r="F33" i="110" s="1"/>
  <c r="Q32" i="110"/>
  <c r="R32" i="110"/>
  <c r="F32" i="110"/>
  <c r="E32" i="110"/>
  <c r="Q31" i="110"/>
  <c r="R31" i="110"/>
  <c r="F31" i="110"/>
  <c r="E31" i="110"/>
  <c r="L31" i="110"/>
  <c r="M31" i="110" s="1"/>
  <c r="Q30" i="110"/>
  <c r="R30" i="110" s="1"/>
  <c r="F30" i="110"/>
  <c r="E30" i="110"/>
  <c r="L30" i="110" s="1"/>
  <c r="Q29" i="110"/>
  <c r="R29" i="110"/>
  <c r="F29" i="110"/>
  <c r="E29" i="110"/>
  <c r="L29" i="110" s="1"/>
  <c r="Q28" i="110"/>
  <c r="R28" i="110"/>
  <c r="F28" i="110"/>
  <c r="E28" i="110"/>
  <c r="L28" i="110"/>
  <c r="Q27" i="110"/>
  <c r="R27" i="110"/>
  <c r="F27" i="110"/>
  <c r="E27" i="110"/>
  <c r="L27" i="110"/>
  <c r="Q26" i="110"/>
  <c r="R26" i="110" s="1"/>
  <c r="F26" i="110"/>
  <c r="E26" i="110"/>
  <c r="H26" i="110"/>
  <c r="P25" i="110"/>
  <c r="Q25" i="110" s="1"/>
  <c r="R25" i="110"/>
  <c r="F25" i="110"/>
  <c r="E25" i="110"/>
  <c r="P24" i="110"/>
  <c r="Q24" i="110"/>
  <c r="F24" i="110"/>
  <c r="E24" i="110"/>
  <c r="L24" i="110" s="1"/>
  <c r="M24" i="110" s="1"/>
  <c r="F23" i="110"/>
  <c r="E23" i="110"/>
  <c r="Q22" i="110"/>
  <c r="R22" i="110" s="1"/>
  <c r="G22" i="110"/>
  <c r="D22" i="110"/>
  <c r="C22" i="110"/>
  <c r="F22" i="110" s="1"/>
  <c r="Q21" i="110"/>
  <c r="R21" i="110" s="1"/>
  <c r="F21" i="110"/>
  <c r="E21" i="110"/>
  <c r="Q20" i="110"/>
  <c r="R20" i="110" s="1"/>
  <c r="F20" i="110"/>
  <c r="E20" i="110"/>
  <c r="Q19" i="110"/>
  <c r="R19" i="110"/>
  <c r="F19" i="110"/>
  <c r="E19" i="110"/>
  <c r="Q18" i="110"/>
  <c r="R18" i="110"/>
  <c r="F18" i="110"/>
  <c r="E18" i="110"/>
  <c r="H17" i="110"/>
  <c r="F17" i="110"/>
  <c r="Q16" i="110"/>
  <c r="R16" i="110" s="1"/>
  <c r="F16" i="110"/>
  <c r="E16" i="110"/>
  <c r="L16" i="110"/>
  <c r="A16" i="110"/>
  <c r="A17" i="110"/>
  <c r="A18" i="110" s="1"/>
  <c r="A19" i="110" s="1"/>
  <c r="A20" i="110" s="1"/>
  <c r="A21" i="110"/>
  <c r="A22" i="110" s="1"/>
  <c r="A23" i="110" s="1"/>
  <c r="A24" i="110" s="1"/>
  <c r="A25" i="110" s="1"/>
  <c r="A26" i="110" s="1"/>
  <c r="A27" i="110" s="1"/>
  <c r="A28" i="110" s="1"/>
  <c r="A29" i="110" s="1"/>
  <c r="A30" i="110" s="1"/>
  <c r="A31" i="110" s="1"/>
  <c r="A32" i="110" s="1"/>
  <c r="A33" i="110" s="1"/>
  <c r="A34" i="110" s="1"/>
  <c r="A35" i="110" s="1"/>
  <c r="A36" i="110" s="1"/>
  <c r="A37" i="110" s="1"/>
  <c r="A38" i="110" s="1"/>
  <c r="A39" i="110" s="1"/>
  <c r="A40" i="110" s="1"/>
  <c r="A41" i="110" s="1"/>
  <c r="A42" i="110" s="1"/>
  <c r="A43" i="110" s="1"/>
  <c r="A44" i="110" s="1"/>
  <c r="A45" i="110" s="1"/>
  <c r="A46" i="110" s="1"/>
  <c r="A47" i="110" s="1"/>
  <c r="A48" i="110" s="1"/>
  <c r="A49" i="110" s="1"/>
  <c r="A50" i="110" s="1"/>
  <c r="A51" i="110" s="1"/>
  <c r="A52" i="110" s="1"/>
  <c r="A53" i="110" s="1"/>
  <c r="A54" i="110" s="1"/>
  <c r="A55" i="110" s="1"/>
  <c r="A56" i="110" s="1"/>
  <c r="A57" i="110" s="1"/>
  <c r="A58" i="110" s="1"/>
  <c r="A59" i="110" s="1"/>
  <c r="A60" i="110" s="1"/>
  <c r="A61" i="110" s="1"/>
  <c r="A62" i="110" s="1"/>
  <c r="A63" i="110" s="1"/>
  <c r="A64" i="110" s="1"/>
  <c r="A65" i="110" s="1"/>
  <c r="A66" i="110" s="1"/>
  <c r="A67" i="110" s="1"/>
  <c r="A68" i="110" s="1"/>
  <c r="A69" i="110" s="1"/>
  <c r="A70" i="110" s="1"/>
  <c r="A71" i="110" s="1"/>
  <c r="A72" i="110" s="1"/>
  <c r="A73" i="110" s="1"/>
  <c r="A74" i="110" s="1"/>
  <c r="A75" i="110" s="1"/>
  <c r="A77" i="110" s="1"/>
  <c r="A78" i="110" s="1"/>
  <c r="A79" i="110" s="1"/>
  <c r="A80" i="110" s="1"/>
  <c r="A81" i="110" s="1"/>
  <c r="A82" i="110" s="1"/>
  <c r="A83" i="110" s="1"/>
  <c r="A84" i="110" s="1"/>
  <c r="A85" i="110" s="1"/>
  <c r="A86" i="110" s="1"/>
  <c r="A87" i="110" s="1"/>
  <c r="A88" i="110" s="1"/>
  <c r="A89" i="110" s="1"/>
  <c r="A90" i="110" s="1"/>
  <c r="A91" i="110" s="1"/>
  <c r="A92" i="110" s="1"/>
  <c r="A93" i="110" s="1"/>
  <c r="A94" i="110" s="1"/>
  <c r="A95" i="110" s="1"/>
  <c r="A96" i="110" s="1"/>
  <c r="A97" i="110" s="1"/>
  <c r="A98" i="110" s="1"/>
  <c r="A99" i="110" s="1"/>
  <c r="A100" i="110" s="1"/>
  <c r="A101" i="110" s="1"/>
  <c r="A102" i="110" s="1"/>
  <c r="A103" i="110" s="1"/>
  <c r="A104" i="110" s="1"/>
  <c r="Q15" i="110"/>
  <c r="R15" i="110"/>
  <c r="H15" i="110"/>
  <c r="C5" i="34" s="1"/>
  <c r="F5" i="34" s="1"/>
  <c r="F15" i="110"/>
  <c r="E15" i="110"/>
  <c r="Q14" i="110"/>
  <c r="R14" i="110" s="1"/>
  <c r="F14" i="110"/>
  <c r="E14" i="110"/>
  <c r="L14" i="110" s="1"/>
  <c r="H14" i="110"/>
  <c r="Q13" i="110"/>
  <c r="R13" i="110" s="1"/>
  <c r="F13" i="110"/>
  <c r="E13" i="110"/>
  <c r="L13" i="110"/>
  <c r="Q12" i="110"/>
  <c r="R12" i="110"/>
  <c r="F12" i="110"/>
  <c r="E12" i="110"/>
  <c r="L12" i="110" s="1"/>
  <c r="M12" i="110" s="1"/>
  <c r="R11" i="110"/>
  <c r="Q11" i="110"/>
  <c r="F11" i="110"/>
  <c r="E11" i="110"/>
  <c r="L11" i="110"/>
  <c r="Q10" i="110"/>
  <c r="R10" i="110"/>
  <c r="F10" i="110"/>
  <c r="E10" i="110"/>
  <c r="L10" i="110" s="1"/>
  <c r="M10" i="110" s="1"/>
  <c r="Q9" i="110"/>
  <c r="R9" i="110" s="1"/>
  <c r="G9" i="110"/>
  <c r="G7" i="110"/>
  <c r="F9" i="110"/>
  <c r="D9" i="110"/>
  <c r="E9" i="110" s="1"/>
  <c r="C9" i="110"/>
  <c r="Q8" i="110"/>
  <c r="R8" i="110" s="1"/>
  <c r="F8" i="110"/>
  <c r="E8" i="110"/>
  <c r="P7" i="110"/>
  <c r="O7" i="110"/>
  <c r="Q7" i="110" s="1"/>
  <c r="C7" i="110"/>
  <c r="F7" i="110" s="1"/>
  <c r="A7" i="110"/>
  <c r="A8" i="110" s="1"/>
  <c r="A9" i="110"/>
  <c r="A10" i="110"/>
  <c r="A11" i="110" s="1"/>
  <c r="A12" i="110"/>
  <c r="A13" i="110" s="1"/>
  <c r="A14" i="110" s="1"/>
  <c r="R6" i="110"/>
  <c r="Q6" i="110"/>
  <c r="E6" i="110"/>
  <c r="M6" i="110"/>
  <c r="L6" i="110"/>
  <c r="F6" i="104"/>
  <c r="K7" i="154"/>
  <c r="D61" i="152"/>
  <c r="D58" i="152"/>
  <c r="D57" i="152"/>
  <c r="D56" i="152"/>
  <c r="D55" i="152"/>
  <c r="D54" i="152"/>
  <c r="D45" i="152"/>
  <c r="D44" i="152"/>
  <c r="D43" i="152"/>
  <c r="D42" i="152"/>
  <c r="D41" i="152"/>
  <c r="D31" i="152"/>
  <c r="D30" i="152"/>
  <c r="D29" i="152"/>
  <c r="D28" i="152"/>
  <c r="D27" i="152"/>
  <c r="D18" i="152"/>
  <c r="D17" i="152"/>
  <c r="D16" i="152"/>
  <c r="D15" i="152"/>
  <c r="D14" i="152"/>
  <c r="K9" i="154"/>
  <c r="H9" i="154"/>
  <c r="K10" i="154"/>
  <c r="L10" i="154" s="1"/>
  <c r="C6" i="121"/>
  <c r="C6" i="120"/>
  <c r="N137" i="73"/>
  <c r="N144" i="73"/>
  <c r="E45" i="66"/>
  <c r="I38" i="58"/>
  <c r="H38" i="58"/>
  <c r="I32" i="58"/>
  <c r="I31" i="58" s="1"/>
  <c r="H32" i="58"/>
  <c r="H31" i="58" s="1"/>
  <c r="H22" i="58"/>
  <c r="I18" i="58"/>
  <c r="I17" i="58"/>
  <c r="H18" i="58"/>
  <c r="H17" i="58" s="1"/>
  <c r="H12" i="58"/>
  <c r="I8" i="58"/>
  <c r="I7" i="58" s="1"/>
  <c r="H8" i="58"/>
  <c r="E22" i="66"/>
  <c r="D20" i="66"/>
  <c r="W75" i="75"/>
  <c r="V75" i="75"/>
  <c r="U75" i="75"/>
  <c r="T75" i="75"/>
  <c r="R75" i="75"/>
  <c r="P75" i="75"/>
  <c r="F23" i="66"/>
  <c r="O75" i="75"/>
  <c r="E23" i="66"/>
  <c r="E24" i="66" s="1"/>
  <c r="N75" i="75"/>
  <c r="D23" i="66" s="1"/>
  <c r="M75" i="75"/>
  <c r="W64" i="75"/>
  <c r="V64" i="75"/>
  <c r="U64" i="75"/>
  <c r="T64" i="75"/>
  <c r="R64" i="75"/>
  <c r="P64" i="75"/>
  <c r="F20" i="66" s="1"/>
  <c r="O64" i="75"/>
  <c r="E20" i="66" s="1"/>
  <c r="N64" i="75"/>
  <c r="M64" i="75"/>
  <c r="N243" i="73"/>
  <c r="R75" i="73"/>
  <c r="P75" i="73"/>
  <c r="F22" i="66" s="1"/>
  <c r="F24" i="66" s="1"/>
  <c r="O75" i="73"/>
  <c r="N75" i="73"/>
  <c r="D22" i="66" s="1"/>
  <c r="D24" i="66" s="1"/>
  <c r="C45" i="66" s="1"/>
  <c r="R64" i="73"/>
  <c r="P64" i="73"/>
  <c r="F19" i="66" s="1"/>
  <c r="O64" i="73"/>
  <c r="E19" i="66" s="1"/>
  <c r="N64" i="73"/>
  <c r="D19" i="66" s="1"/>
  <c r="D172" i="111"/>
  <c r="C29" i="156"/>
  <c r="C28" i="156"/>
  <c r="C27" i="156"/>
  <c r="C26" i="156"/>
  <c r="C13" i="156"/>
  <c r="E12" i="156"/>
  <c r="E11" i="156"/>
  <c r="E10" i="156"/>
  <c r="E9" i="156"/>
  <c r="E8" i="156"/>
  <c r="E7" i="156"/>
  <c r="E6" i="156"/>
  <c r="D157" i="111"/>
  <c r="D165" i="111"/>
  <c r="A1" i="153"/>
  <c r="A1" i="152"/>
  <c r="AE16" i="142"/>
  <c r="G9" i="145"/>
  <c r="AD16" i="142"/>
  <c r="E9" i="145" s="1"/>
  <c r="I9" i="145" s="1"/>
  <c r="J9" i="145" s="1"/>
  <c r="X16" i="142"/>
  <c r="Y16" i="142"/>
  <c r="F9" i="145" s="1"/>
  <c r="H9" i="145" s="1"/>
  <c r="W16" i="142"/>
  <c r="D160" i="31"/>
  <c r="F160" i="31" s="1"/>
  <c r="D121" i="31"/>
  <c r="F121" i="31" s="1"/>
  <c r="E12" i="39"/>
  <c r="K21" i="154"/>
  <c r="H21" i="154"/>
  <c r="L21" i="154" s="1"/>
  <c r="K20" i="154"/>
  <c r="H20" i="154"/>
  <c r="K19" i="154"/>
  <c r="H19" i="154"/>
  <c r="K18" i="154"/>
  <c r="H18" i="154"/>
  <c r="L18" i="154" s="1"/>
  <c r="K17" i="154"/>
  <c r="H17" i="154"/>
  <c r="K16" i="154"/>
  <c r="L16" i="154"/>
  <c r="H16" i="154"/>
  <c r="K15" i="154"/>
  <c r="H15" i="154"/>
  <c r="I14" i="154"/>
  <c r="D14" i="154"/>
  <c r="D22" i="154"/>
  <c r="K13" i="154"/>
  <c r="H13" i="154"/>
  <c r="L13" i="154" s="1"/>
  <c r="K12" i="154"/>
  <c r="L12" i="154" s="1"/>
  <c r="H12" i="154"/>
  <c r="K11" i="154"/>
  <c r="H11" i="154"/>
  <c r="L11" i="154"/>
  <c r="H10" i="154"/>
  <c r="K8" i="154"/>
  <c r="H8" i="154"/>
  <c r="H7" i="154"/>
  <c r="I6" i="154"/>
  <c r="D6" i="154"/>
  <c r="H23" i="153"/>
  <c r="C62" i="152" s="1"/>
  <c r="E62" i="152" s="1"/>
  <c r="F124" i="35" s="1"/>
  <c r="H22" i="153"/>
  <c r="C61" i="152"/>
  <c r="H21" i="153"/>
  <c r="C60" i="152"/>
  <c r="G20" i="153"/>
  <c r="F20" i="153"/>
  <c r="H19" i="153"/>
  <c r="I19" i="153" s="1"/>
  <c r="E19" i="153"/>
  <c r="C53" i="152"/>
  <c r="H18" i="153"/>
  <c r="E18" i="153"/>
  <c r="G17" i="153"/>
  <c r="F17" i="153"/>
  <c r="F13" i="153" s="1"/>
  <c r="D17" i="153"/>
  <c r="C17" i="153"/>
  <c r="H16" i="153"/>
  <c r="I16" i="153" s="1"/>
  <c r="C40" i="152" s="1"/>
  <c r="E16" i="153"/>
  <c r="E14" i="153" s="1"/>
  <c r="H15" i="153"/>
  <c r="H14" i="153"/>
  <c r="E15" i="153"/>
  <c r="G14" i="153"/>
  <c r="G13" i="153" s="1"/>
  <c r="F14" i="153"/>
  <c r="D14" i="153"/>
  <c r="D13" i="153"/>
  <c r="C14" i="153"/>
  <c r="C13" i="153"/>
  <c r="H12" i="153"/>
  <c r="E12" i="153"/>
  <c r="H11" i="153"/>
  <c r="E11" i="153"/>
  <c r="G10" i="153"/>
  <c r="F10" i="153"/>
  <c r="F6" i="153" s="1"/>
  <c r="D10" i="153"/>
  <c r="C10" i="153"/>
  <c r="C6" i="153" s="1"/>
  <c r="H9" i="153"/>
  <c r="E9" i="153"/>
  <c r="I9" i="153"/>
  <c r="C13" i="152" s="1"/>
  <c r="H8" i="153"/>
  <c r="H7" i="153" s="1"/>
  <c r="E8" i="153"/>
  <c r="I8" i="153"/>
  <c r="G7" i="153"/>
  <c r="G6" i="153"/>
  <c r="F7" i="153"/>
  <c r="E7" i="153"/>
  <c r="D7" i="153"/>
  <c r="D6" i="153" s="1"/>
  <c r="D5" i="153" s="1"/>
  <c r="D24" i="153" s="1"/>
  <c r="C7" i="153"/>
  <c r="C124" i="35"/>
  <c r="B124" i="54" s="1"/>
  <c r="C123" i="35"/>
  <c r="B123" i="54" s="1"/>
  <c r="AF6" i="121"/>
  <c r="AE6" i="121"/>
  <c r="AD6" i="121"/>
  <c r="AC6" i="121"/>
  <c r="AB6" i="121"/>
  <c r="AB20" i="121" s="1"/>
  <c r="AA6" i="121"/>
  <c r="Z6" i="121"/>
  <c r="Y6" i="121"/>
  <c r="W6" i="121"/>
  <c r="V6" i="121"/>
  <c r="U6" i="121"/>
  <c r="T6" i="121"/>
  <c r="S6" i="121"/>
  <c r="R6" i="121"/>
  <c r="Q6" i="121"/>
  <c r="P6" i="121"/>
  <c r="O6" i="121"/>
  <c r="N6" i="121"/>
  <c r="M6" i="121"/>
  <c r="L6" i="121"/>
  <c r="K6" i="121"/>
  <c r="J6" i="121"/>
  <c r="I6" i="121"/>
  <c r="H6" i="121"/>
  <c r="D6" i="121"/>
  <c r="Z15" i="22"/>
  <c r="W15" i="22"/>
  <c r="T15" i="22"/>
  <c r="Q15" i="22"/>
  <c r="N15" i="22"/>
  <c r="K15" i="22"/>
  <c r="C55" i="35" s="1"/>
  <c r="H15" i="22"/>
  <c r="E15" i="22"/>
  <c r="Z14" i="22"/>
  <c r="W14" i="22"/>
  <c r="T14" i="22"/>
  <c r="Q14" i="22"/>
  <c r="N14" i="22"/>
  <c r="AA14" i="22" s="1"/>
  <c r="K14" i="22"/>
  <c r="C54" i="35" s="1"/>
  <c r="B54" i="54" s="1"/>
  <c r="H14" i="22"/>
  <c r="E14" i="22"/>
  <c r="Y8" i="22"/>
  <c r="X8" i="22"/>
  <c r="V8" i="22"/>
  <c r="U8" i="22"/>
  <c r="S8" i="22"/>
  <c r="R8" i="22"/>
  <c r="P8" i="22"/>
  <c r="O8" i="22"/>
  <c r="O22" i="22" s="1"/>
  <c r="M8" i="22"/>
  <c r="L8" i="22"/>
  <c r="J8" i="22"/>
  <c r="I8" i="22"/>
  <c r="G8" i="22"/>
  <c r="F8" i="22"/>
  <c r="D8" i="22"/>
  <c r="C8" i="22"/>
  <c r="U14" i="115"/>
  <c r="U13" i="115"/>
  <c r="T7" i="115"/>
  <c r="S7" i="115"/>
  <c r="R7" i="115"/>
  <c r="Q7" i="115"/>
  <c r="P7" i="115"/>
  <c r="O7" i="115"/>
  <c r="O21" i="115" s="1"/>
  <c r="N7" i="115"/>
  <c r="M7" i="115"/>
  <c r="M21" i="115" s="1"/>
  <c r="L7" i="115"/>
  <c r="K7" i="115"/>
  <c r="I7" i="115"/>
  <c r="H7" i="115"/>
  <c r="G7" i="115"/>
  <c r="F7" i="115"/>
  <c r="F21" i="115" s="1"/>
  <c r="D7" i="115"/>
  <c r="C7" i="115"/>
  <c r="C21" i="115" s="1"/>
  <c r="N14" i="18"/>
  <c r="K14" i="18"/>
  <c r="H14" i="18"/>
  <c r="E14" i="18"/>
  <c r="N13" i="18"/>
  <c r="K13" i="18"/>
  <c r="H13" i="18"/>
  <c r="E13" i="18"/>
  <c r="M7" i="18"/>
  <c r="L7" i="18"/>
  <c r="J7" i="18"/>
  <c r="K7" i="18" s="1"/>
  <c r="I7" i="18"/>
  <c r="G7" i="18"/>
  <c r="F7" i="18"/>
  <c r="D7" i="18"/>
  <c r="D21" i="18" s="1"/>
  <c r="C7" i="18"/>
  <c r="R7" i="106"/>
  <c r="M14" i="106"/>
  <c r="L14" i="106"/>
  <c r="K14" i="106"/>
  <c r="M13" i="106"/>
  <c r="L13" i="106"/>
  <c r="K13" i="106"/>
  <c r="I7" i="106"/>
  <c r="H7" i="106"/>
  <c r="G7" i="106"/>
  <c r="J7" i="106"/>
  <c r="E7" i="106"/>
  <c r="M7" i="106" s="1"/>
  <c r="D7" i="106"/>
  <c r="C7" i="106"/>
  <c r="F7" i="106" s="1"/>
  <c r="I6" i="12"/>
  <c r="H6" i="12"/>
  <c r="G6" i="12"/>
  <c r="J6" i="12"/>
  <c r="E6" i="12"/>
  <c r="D6" i="12"/>
  <c r="C6" i="12"/>
  <c r="F6" i="12" s="1"/>
  <c r="E21" i="39"/>
  <c r="D14" i="125"/>
  <c r="D13" i="125"/>
  <c r="D12" i="125"/>
  <c r="D11" i="125"/>
  <c r="D42" i="30" s="1"/>
  <c r="D10" i="125"/>
  <c r="D9" i="125"/>
  <c r="D8" i="125"/>
  <c r="D61" i="31" s="1"/>
  <c r="D7" i="125"/>
  <c r="D6" i="125"/>
  <c r="H8" i="146"/>
  <c r="D26" i="104"/>
  <c r="U6" i="149"/>
  <c r="T6" i="149"/>
  <c r="V6" i="149" s="1"/>
  <c r="A1" i="149"/>
  <c r="A12" i="66"/>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D21" i="44"/>
  <c r="D20" i="44"/>
  <c r="D19" i="44"/>
  <c r="D18" i="44"/>
  <c r="D17" i="44"/>
  <c r="AD35" i="120"/>
  <c r="AE35" i="120"/>
  <c r="AF35" i="120"/>
  <c r="H20" i="125"/>
  <c r="H21" i="125"/>
  <c r="H22" i="125"/>
  <c r="I22" i="125" s="1"/>
  <c r="J22" i="125" s="1"/>
  <c r="H23" i="125"/>
  <c r="H24" i="125"/>
  <c r="I24" i="125" s="1"/>
  <c r="J24" i="125" s="1"/>
  <c r="H25" i="125"/>
  <c r="H26" i="125"/>
  <c r="H27" i="125"/>
  <c r="H28" i="125"/>
  <c r="I28" i="125" s="1"/>
  <c r="J28" i="125" s="1"/>
  <c r="H29" i="125"/>
  <c r="H30" i="125"/>
  <c r="H31" i="125"/>
  <c r="H32" i="125"/>
  <c r="I32" i="125" s="1"/>
  <c r="H33" i="125"/>
  <c r="H34" i="125"/>
  <c r="H35" i="125"/>
  <c r="H36" i="125"/>
  <c r="H37" i="125"/>
  <c r="H38" i="125"/>
  <c r="I38" i="125" s="1"/>
  <c r="J38" i="125" s="1"/>
  <c r="H39" i="125"/>
  <c r="H40" i="125"/>
  <c r="I40" i="125" s="1"/>
  <c r="J40" i="125" s="1"/>
  <c r="H41" i="125"/>
  <c r="H42" i="125"/>
  <c r="H43" i="125"/>
  <c r="H44" i="125"/>
  <c r="I44" i="125" s="1"/>
  <c r="J44" i="125" s="1"/>
  <c r="H45" i="125"/>
  <c r="H46" i="125"/>
  <c r="H47" i="125"/>
  <c r="H48" i="125"/>
  <c r="I48" i="125" s="1"/>
  <c r="H49" i="125"/>
  <c r="H50" i="125"/>
  <c r="H51" i="125"/>
  <c r="H52" i="125"/>
  <c r="H53" i="125"/>
  <c r="I53" i="125" s="1"/>
  <c r="J53" i="125" s="1"/>
  <c r="H19" i="125"/>
  <c r="C29" i="144"/>
  <c r="C28" i="144"/>
  <c r="C27" i="144"/>
  <c r="C26" i="144"/>
  <c r="C13" i="144"/>
  <c r="C12" i="34"/>
  <c r="E12" i="144"/>
  <c r="E11" i="144"/>
  <c r="E10" i="144"/>
  <c r="E9" i="144"/>
  <c r="E8" i="144"/>
  <c r="E7" i="144"/>
  <c r="E6" i="144"/>
  <c r="D151" i="31"/>
  <c r="D112" i="31"/>
  <c r="D46" i="31"/>
  <c r="D45" i="31" s="1"/>
  <c r="D42" i="31"/>
  <c r="D40" i="31"/>
  <c r="D32" i="31"/>
  <c r="D31" i="31"/>
  <c r="D28" i="31"/>
  <c r="AA17" i="143"/>
  <c r="G11" i="145"/>
  <c r="Z17" i="143"/>
  <c r="E11" i="145" s="1"/>
  <c r="H11" i="145" s="1"/>
  <c r="U17" i="143"/>
  <c r="F11" i="145" s="1"/>
  <c r="T17" i="143"/>
  <c r="AA16" i="143"/>
  <c r="G10" i="145" s="1"/>
  <c r="I10" i="145" s="1"/>
  <c r="Z16" i="143"/>
  <c r="E10" i="145" s="1"/>
  <c r="U16" i="143"/>
  <c r="F10" i="145" s="1"/>
  <c r="H10" i="145" s="1"/>
  <c r="T16" i="143"/>
  <c r="C11" i="141"/>
  <c r="E10" i="141"/>
  <c r="E9" i="141"/>
  <c r="E11" i="141"/>
  <c r="F9" i="46"/>
  <c r="F8" i="46"/>
  <c r="F7" i="46"/>
  <c r="F11" i="46" s="1"/>
  <c r="F12" i="46" s="1"/>
  <c r="C122" i="35"/>
  <c r="F122" i="35"/>
  <c r="C121" i="35"/>
  <c r="B121" i="54"/>
  <c r="C120" i="35"/>
  <c r="B120" i="54"/>
  <c r="C119" i="35"/>
  <c r="F119" i="35"/>
  <c r="C118" i="35"/>
  <c r="P45" i="120"/>
  <c r="P44" i="120"/>
  <c r="P43" i="120"/>
  <c r="AC43" i="120" s="1"/>
  <c r="P42" i="120"/>
  <c r="P41" i="120"/>
  <c r="R41" i="120" s="1"/>
  <c r="P40" i="120"/>
  <c r="P39" i="120"/>
  <c r="P38" i="120"/>
  <c r="P36" i="120"/>
  <c r="P35" i="120"/>
  <c r="P34" i="120"/>
  <c r="P33" i="120"/>
  <c r="P32" i="120"/>
  <c r="R32" i="120" s="1"/>
  <c r="AE32" i="120" s="1"/>
  <c r="P31" i="120"/>
  <c r="P30" i="120"/>
  <c r="P29" i="120"/>
  <c r="P28" i="120"/>
  <c r="P27" i="120"/>
  <c r="P26" i="120"/>
  <c r="P25" i="120"/>
  <c r="P24" i="120"/>
  <c r="R24" i="120" s="1"/>
  <c r="P23" i="120"/>
  <c r="P22" i="120"/>
  <c r="P21" i="120"/>
  <c r="P20" i="120"/>
  <c r="P19" i="120"/>
  <c r="P18" i="120"/>
  <c r="R18" i="120" s="1"/>
  <c r="P17" i="120"/>
  <c r="R17" i="120"/>
  <c r="P16" i="120"/>
  <c r="P15" i="120"/>
  <c r="P14" i="120"/>
  <c r="P13" i="120"/>
  <c r="P12" i="120"/>
  <c r="P11" i="120"/>
  <c r="AC11" i="120" s="1"/>
  <c r="P10" i="120"/>
  <c r="P9" i="120"/>
  <c r="R9" i="120" s="1"/>
  <c r="P8" i="120"/>
  <c r="P7" i="120"/>
  <c r="U8" i="115"/>
  <c r="U9" i="115"/>
  <c r="U10" i="115"/>
  <c r="U11" i="115"/>
  <c r="U12" i="115"/>
  <c r="U16" i="115"/>
  <c r="U17" i="115"/>
  <c r="U18" i="115"/>
  <c r="U19" i="115"/>
  <c r="U20" i="115"/>
  <c r="M20" i="74"/>
  <c r="AF26" i="120"/>
  <c r="AD26" i="120"/>
  <c r="F149" i="31"/>
  <c r="F110" i="31"/>
  <c r="F58" i="31"/>
  <c r="A1" i="50"/>
  <c r="I16" i="50"/>
  <c r="J16" i="50"/>
  <c r="K16" i="50"/>
  <c r="F6" i="49"/>
  <c r="F7" i="49"/>
  <c r="F8" i="49"/>
  <c r="F9" i="49"/>
  <c r="F10" i="49"/>
  <c r="F11" i="49"/>
  <c r="F12" i="49"/>
  <c r="F13" i="49"/>
  <c r="F14" i="49"/>
  <c r="F15" i="49"/>
  <c r="F16" i="49"/>
  <c r="F17" i="49"/>
  <c r="F18" i="49"/>
  <c r="F19" i="49"/>
  <c r="F20" i="49"/>
  <c r="F21" i="49"/>
  <c r="F22" i="49"/>
  <c r="F23" i="49"/>
  <c r="D24" i="49"/>
  <c r="A1" i="47"/>
  <c r="A6" i="47"/>
  <c r="A7" i="47"/>
  <c r="A8" i="47"/>
  <c r="A9" i="47"/>
  <c r="A10" i="47" s="1"/>
  <c r="A11" i="47" s="1"/>
  <c r="A12" i="47" s="1"/>
  <c r="A13" i="47" s="1"/>
  <c r="A14" i="47" s="1"/>
  <c r="A15" i="47" s="1"/>
  <c r="A16" i="47" s="1"/>
  <c r="A17" i="47" s="1"/>
  <c r="A18" i="47" s="1"/>
  <c r="A19" i="47" s="1"/>
  <c r="A20" i="47" s="1"/>
  <c r="A21" i="47" s="1"/>
  <c r="A22" i="47" s="1"/>
  <c r="A23" i="47" s="1"/>
  <c r="A24" i="47" s="1"/>
  <c r="A25" i="47" s="1"/>
  <c r="A26" i="47" s="1"/>
  <c r="A27" i="47" s="1"/>
  <c r="A28" i="47" s="1"/>
  <c r="A29" i="47" s="1"/>
  <c r="A30" i="47" s="1"/>
  <c r="A31" i="47" s="1"/>
  <c r="A32" i="47" s="1"/>
  <c r="A33" i="47" s="1"/>
  <c r="A34" i="47" s="1"/>
  <c r="A35" i="47" s="1"/>
  <c r="A36" i="47" s="1"/>
  <c r="A37" i="47" s="1"/>
  <c r="A38" i="47" s="1"/>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A86" i="47" s="1"/>
  <c r="A87" i="47" s="1"/>
  <c r="A88" i="47" s="1"/>
  <c r="A89" i="47" s="1"/>
  <c r="A90" i="47" s="1"/>
  <c r="A91" i="47" s="1"/>
  <c r="A92" i="47" s="1"/>
  <c r="A93" i="47" s="1"/>
  <c r="A94" i="47" s="1"/>
  <c r="A95" i="47" s="1"/>
  <c r="A96" i="47" s="1"/>
  <c r="A97" i="47" s="1"/>
  <c r="A98" i="47" s="1"/>
  <c r="A99" i="47" s="1"/>
  <c r="A100" i="47" s="1"/>
  <c r="A101" i="47" s="1"/>
  <c r="A102" i="47" s="1"/>
  <c r="A103" i="47" s="1"/>
  <c r="A104" i="47" s="1"/>
  <c r="A105" i="47" s="1"/>
  <c r="A106" i="47" s="1"/>
  <c r="A107" i="47" s="1"/>
  <c r="A108" i="47" s="1"/>
  <c r="A109" i="47" s="1"/>
  <c r="A110" i="47" s="1"/>
  <c r="F8" i="47"/>
  <c r="C5" i="43" s="1"/>
  <c r="F5" i="43" s="1"/>
  <c r="F12" i="47"/>
  <c r="F16" i="47"/>
  <c r="C7" i="43" s="1"/>
  <c r="F21" i="47"/>
  <c r="C8" i="43"/>
  <c r="F8" i="43" s="1"/>
  <c r="F25" i="47"/>
  <c r="C9" i="43" s="1"/>
  <c r="F9" i="43" s="1"/>
  <c r="F29" i="47"/>
  <c r="F34" i="47"/>
  <c r="F38" i="47"/>
  <c r="F42" i="47"/>
  <c r="C13" i="43" s="1"/>
  <c r="F47" i="47"/>
  <c r="C14" i="43" s="1"/>
  <c r="F14" i="43" s="1"/>
  <c r="F51" i="47"/>
  <c r="C15" i="43" s="1"/>
  <c r="F55" i="47"/>
  <c r="F60" i="47"/>
  <c r="C17" i="43"/>
  <c r="F17" i="43" s="1"/>
  <c r="F64" i="47"/>
  <c r="C18" i="43" s="1"/>
  <c r="F18" i="43" s="1"/>
  <c r="F68" i="47"/>
  <c r="F73" i="47"/>
  <c r="C20" i="43"/>
  <c r="F77" i="47"/>
  <c r="C21" i="43" s="1"/>
  <c r="F81" i="47"/>
  <c r="F87" i="47"/>
  <c r="C26" i="43"/>
  <c r="F91" i="47"/>
  <c r="F95" i="47"/>
  <c r="F100" i="47"/>
  <c r="F104" i="47"/>
  <c r="C30" i="43" s="1"/>
  <c r="F108" i="47"/>
  <c r="C31" i="43" s="1"/>
  <c r="A1" i="46"/>
  <c r="A1" i="54"/>
  <c r="A1" i="43"/>
  <c r="E5" i="43"/>
  <c r="E6" i="43"/>
  <c r="E7" i="43"/>
  <c r="C11" i="43"/>
  <c r="F11" i="43" s="1"/>
  <c r="E11" i="43"/>
  <c r="E12" i="43"/>
  <c r="E13" i="43"/>
  <c r="E14" i="43"/>
  <c r="E15" i="43"/>
  <c r="E16" i="43"/>
  <c r="E20" i="43"/>
  <c r="E21" i="43"/>
  <c r="E22" i="43"/>
  <c r="E26" i="43"/>
  <c r="E27" i="43"/>
  <c r="C28" i="43"/>
  <c r="E28" i="43"/>
  <c r="E29" i="43"/>
  <c r="E30" i="43"/>
  <c r="E31" i="43"/>
  <c r="F19" i="125"/>
  <c r="I19" i="125"/>
  <c r="J19" i="125"/>
  <c r="F20" i="125"/>
  <c r="I20" i="125"/>
  <c r="J20" i="125" s="1"/>
  <c r="F21" i="125"/>
  <c r="F22" i="125"/>
  <c r="F23" i="125"/>
  <c r="I23" i="125" s="1"/>
  <c r="J23" i="125" s="1"/>
  <c r="F24" i="125"/>
  <c r="F25" i="125"/>
  <c r="I25" i="125"/>
  <c r="J25" i="125"/>
  <c r="F26" i="125"/>
  <c r="I26" i="125" s="1"/>
  <c r="J26" i="125" s="1"/>
  <c r="F27" i="125"/>
  <c r="I27" i="125"/>
  <c r="J27" i="125" s="1"/>
  <c r="F28" i="125"/>
  <c r="F29" i="125"/>
  <c r="F30" i="125"/>
  <c r="I30" i="125"/>
  <c r="J30" i="125" s="1"/>
  <c r="F31" i="125"/>
  <c r="I31" i="125" s="1"/>
  <c r="J31" i="125" s="1"/>
  <c r="F32" i="125"/>
  <c r="J32" i="125"/>
  <c r="F33" i="125"/>
  <c r="I33" i="125"/>
  <c r="J33" i="125" s="1"/>
  <c r="F34" i="125"/>
  <c r="I34" i="125" s="1"/>
  <c r="J34" i="125" s="1"/>
  <c r="F35" i="125"/>
  <c r="I35" i="125"/>
  <c r="J35" i="125"/>
  <c r="F36" i="125"/>
  <c r="I36" i="125"/>
  <c r="J36" i="125" s="1"/>
  <c r="F37" i="125"/>
  <c r="F38" i="125"/>
  <c r="F39" i="125"/>
  <c r="F40" i="125"/>
  <c r="F41" i="125"/>
  <c r="I41" i="125"/>
  <c r="J41" i="125"/>
  <c r="F42" i="125"/>
  <c r="I42" i="125" s="1"/>
  <c r="J42" i="125" s="1"/>
  <c r="F43" i="125"/>
  <c r="I43" i="125"/>
  <c r="J43" i="125" s="1"/>
  <c r="F44" i="125"/>
  <c r="F45" i="125"/>
  <c r="F46" i="125"/>
  <c r="I46" i="125"/>
  <c r="J46" i="125" s="1"/>
  <c r="F47" i="125"/>
  <c r="F48" i="125"/>
  <c r="J48" i="125"/>
  <c r="F49" i="125"/>
  <c r="I49" i="125"/>
  <c r="J49" i="125" s="1"/>
  <c r="F50" i="125"/>
  <c r="I50" i="125" s="1"/>
  <c r="J50" i="125" s="1"/>
  <c r="F51" i="125"/>
  <c r="I51" i="125"/>
  <c r="J51" i="125"/>
  <c r="F52" i="125"/>
  <c r="I52" i="125"/>
  <c r="J52" i="125" s="1"/>
  <c r="A1" i="104"/>
  <c r="D6" i="104"/>
  <c r="D11" i="104"/>
  <c r="D12" i="104"/>
  <c r="D14" i="104"/>
  <c r="D13" i="104"/>
  <c r="D15" i="104"/>
  <c r="D17" i="104" s="1"/>
  <c r="D16" i="104"/>
  <c r="D18" i="104"/>
  <c r="D19" i="104"/>
  <c r="D20" i="104"/>
  <c r="D21" i="104"/>
  <c r="A7" i="109"/>
  <c r="A8" i="109" s="1"/>
  <c r="A9" i="109" s="1"/>
  <c r="A10" i="109" s="1"/>
  <c r="A11" i="109" s="1"/>
  <c r="A12" i="109" s="1"/>
  <c r="A13" i="109" s="1"/>
  <c r="A14" i="109" s="1"/>
  <c r="A15" i="109" s="1"/>
  <c r="A16" i="109" s="1"/>
  <c r="A17" i="109" s="1"/>
  <c r="A18" i="109" s="1"/>
  <c r="A19" i="109" s="1"/>
  <c r="A20" i="109" s="1"/>
  <c r="A21" i="109" s="1"/>
  <c r="A22" i="109" s="1"/>
  <c r="A23" i="109" s="1"/>
  <c r="A24" i="109" s="1"/>
  <c r="A25" i="109" s="1"/>
  <c r="A26" i="109" s="1"/>
  <c r="A27" i="109" s="1"/>
  <c r="A28" i="109" s="1"/>
  <c r="A29" i="109" s="1"/>
  <c r="A30" i="109" s="1"/>
  <c r="A7" i="108"/>
  <c r="A8" i="108" s="1"/>
  <c r="A9" i="108" s="1"/>
  <c r="A10" i="108" s="1"/>
  <c r="A11" i="108" s="1"/>
  <c r="A12" i="108" s="1"/>
  <c r="A13" i="108" s="1"/>
  <c r="A14" i="108" s="1"/>
  <c r="A15" i="108" s="1"/>
  <c r="A16" i="108" s="1"/>
  <c r="A17" i="108" s="1"/>
  <c r="A18" i="108" s="1"/>
  <c r="A19" i="108" s="1"/>
  <c r="A20" i="108" s="1"/>
  <c r="A21" i="108" s="1"/>
  <c r="A22" i="108" s="1"/>
  <c r="A23" i="108" s="1"/>
  <c r="A24" i="108" s="1"/>
  <c r="A25" i="108" s="1"/>
  <c r="A26" i="108" s="1"/>
  <c r="A27" i="108" s="1"/>
  <c r="A28" i="108" s="1"/>
  <c r="A29" i="108" s="1"/>
  <c r="A30" i="108" s="1"/>
  <c r="C8" i="39"/>
  <c r="E8" i="39" s="1"/>
  <c r="C9" i="39"/>
  <c r="E9" i="39" s="1"/>
  <c r="A1" i="37"/>
  <c r="D4" i="37"/>
  <c r="D8" i="37"/>
  <c r="A1" i="36"/>
  <c r="C4" i="36"/>
  <c r="A1" i="35"/>
  <c r="C126" i="35"/>
  <c r="F126" i="35"/>
  <c r="C127" i="35"/>
  <c r="F127" i="35" s="1"/>
  <c r="C128" i="35"/>
  <c r="C129" i="35"/>
  <c r="F129" i="35"/>
  <c r="C130" i="35"/>
  <c r="B130" i="54"/>
  <c r="D141" i="35"/>
  <c r="D142" i="35"/>
  <c r="A1" i="34"/>
  <c r="J6" i="72"/>
  <c r="K6" i="72"/>
  <c r="K27" i="72" s="1"/>
  <c r="F119" i="30" s="1"/>
  <c r="L6" i="72"/>
  <c r="L27" i="72" s="1"/>
  <c r="F77" i="31" s="1"/>
  <c r="M6" i="72"/>
  <c r="N6" i="72"/>
  <c r="A7" i="72"/>
  <c r="A8" i="72" s="1"/>
  <c r="A9" i="72" s="1"/>
  <c r="A10" i="72" s="1"/>
  <c r="A11" i="72" s="1"/>
  <c r="A12" i="72" s="1"/>
  <c r="A13" i="72" s="1"/>
  <c r="A14" i="72" s="1"/>
  <c r="A15" i="72" s="1"/>
  <c r="A16" i="72" s="1"/>
  <c r="A17" i="72" s="1"/>
  <c r="A18" i="72" s="1"/>
  <c r="A19" i="72" s="1"/>
  <c r="A20" i="72" s="1"/>
  <c r="A21" i="72" s="1"/>
  <c r="A22" i="72" s="1"/>
  <c r="A23" i="72" s="1"/>
  <c r="A24" i="72" s="1"/>
  <c r="A25" i="72" s="1"/>
  <c r="J7" i="72"/>
  <c r="K7" i="72"/>
  <c r="L7" i="72"/>
  <c r="M7" i="72"/>
  <c r="M27" i="72" s="1"/>
  <c r="F117" i="31" s="1"/>
  <c r="N7" i="72"/>
  <c r="J8" i="72"/>
  <c r="K8" i="72"/>
  <c r="L8" i="72"/>
  <c r="M8" i="72"/>
  <c r="N8" i="72"/>
  <c r="J9" i="72"/>
  <c r="J27" i="72" s="1"/>
  <c r="F61" i="30" s="1"/>
  <c r="K9" i="72"/>
  <c r="L9" i="72"/>
  <c r="M9" i="72"/>
  <c r="N9" i="72"/>
  <c r="J10" i="72"/>
  <c r="K10" i="72"/>
  <c r="L10" i="72"/>
  <c r="M10" i="72"/>
  <c r="N10" i="72"/>
  <c r="J11" i="72"/>
  <c r="K11" i="72"/>
  <c r="L11" i="72"/>
  <c r="M11" i="72"/>
  <c r="N11" i="72"/>
  <c r="J12" i="72"/>
  <c r="K12" i="72"/>
  <c r="L12" i="72"/>
  <c r="M12" i="72"/>
  <c r="N12" i="72"/>
  <c r="J13" i="72"/>
  <c r="K13" i="72"/>
  <c r="L13" i="72"/>
  <c r="M13" i="72"/>
  <c r="N13" i="72"/>
  <c r="J14" i="72"/>
  <c r="K14" i="72"/>
  <c r="L14" i="72"/>
  <c r="M14" i="72"/>
  <c r="N14" i="72"/>
  <c r="J15" i="72"/>
  <c r="K15" i="72"/>
  <c r="L15" i="72"/>
  <c r="M15" i="72"/>
  <c r="N15" i="72"/>
  <c r="J16" i="72"/>
  <c r="K16" i="72"/>
  <c r="L16" i="72"/>
  <c r="M16" i="72"/>
  <c r="N16" i="72"/>
  <c r="J17" i="72"/>
  <c r="K17" i="72"/>
  <c r="L17" i="72"/>
  <c r="M17" i="72"/>
  <c r="N17" i="72"/>
  <c r="J18" i="72"/>
  <c r="K18" i="72"/>
  <c r="L18" i="72"/>
  <c r="M18" i="72"/>
  <c r="N18" i="72"/>
  <c r="J19" i="72"/>
  <c r="K19" i="72"/>
  <c r="L19" i="72"/>
  <c r="M19" i="72"/>
  <c r="N19" i="72"/>
  <c r="J20" i="72"/>
  <c r="K20" i="72"/>
  <c r="L20" i="72"/>
  <c r="M20" i="72"/>
  <c r="N20" i="72"/>
  <c r="J21" i="72"/>
  <c r="K21" i="72"/>
  <c r="L21" i="72"/>
  <c r="M21" i="72"/>
  <c r="N21" i="72"/>
  <c r="J22" i="72"/>
  <c r="K22" i="72"/>
  <c r="L22" i="72"/>
  <c r="M22" i="72"/>
  <c r="N22" i="72"/>
  <c r="J23" i="72"/>
  <c r="K23" i="72"/>
  <c r="L23" i="72"/>
  <c r="M23" i="72"/>
  <c r="N23" i="72"/>
  <c r="J24" i="72"/>
  <c r="K24" i="72"/>
  <c r="L24" i="72"/>
  <c r="M24" i="72"/>
  <c r="N24" i="72"/>
  <c r="J25" i="72"/>
  <c r="K25" i="72"/>
  <c r="L25" i="72"/>
  <c r="M25" i="72"/>
  <c r="N25" i="72"/>
  <c r="J26" i="72"/>
  <c r="K26" i="72"/>
  <c r="L26" i="72"/>
  <c r="M26" i="72"/>
  <c r="N26" i="72"/>
  <c r="A27" i="72"/>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D27" i="72"/>
  <c r="D61" i="30" s="1"/>
  <c r="E27" i="72"/>
  <c r="D119" i="30" s="1"/>
  <c r="F27" i="72"/>
  <c r="F50" i="72" s="1"/>
  <c r="G27" i="72"/>
  <c r="D117" i="31" s="1"/>
  <c r="H27" i="72"/>
  <c r="D156" i="31"/>
  <c r="J28" i="72"/>
  <c r="K28" i="72"/>
  <c r="L28" i="72"/>
  <c r="M28" i="72"/>
  <c r="N28" i="72"/>
  <c r="J29" i="72"/>
  <c r="K29" i="72"/>
  <c r="K49" i="72" s="1"/>
  <c r="F120" i="30" s="1"/>
  <c r="L29" i="72"/>
  <c r="L49" i="72" s="1"/>
  <c r="F78" i="31" s="1"/>
  <c r="M29" i="72"/>
  <c r="N29" i="72"/>
  <c r="J30" i="72"/>
  <c r="K30" i="72"/>
  <c r="L30" i="72"/>
  <c r="M30" i="72"/>
  <c r="M49" i="72" s="1"/>
  <c r="F118" i="31" s="1"/>
  <c r="N30" i="72"/>
  <c r="J31" i="72"/>
  <c r="J49" i="72" s="1"/>
  <c r="F62" i="30" s="1"/>
  <c r="K31" i="72"/>
  <c r="L31" i="72"/>
  <c r="M31" i="72"/>
  <c r="N31" i="72"/>
  <c r="J32" i="72"/>
  <c r="K32" i="72"/>
  <c r="L32" i="72"/>
  <c r="M32" i="72"/>
  <c r="N32" i="72"/>
  <c r="J33" i="72"/>
  <c r="K33" i="72"/>
  <c r="L33" i="72"/>
  <c r="M33" i="72"/>
  <c r="N33" i="72"/>
  <c r="J34" i="72"/>
  <c r="K34" i="72"/>
  <c r="L34" i="72"/>
  <c r="M34" i="72"/>
  <c r="N34" i="72"/>
  <c r="J35" i="72"/>
  <c r="K35" i="72"/>
  <c r="L35" i="72"/>
  <c r="M35" i="72"/>
  <c r="N35" i="72"/>
  <c r="N49" i="72" s="1"/>
  <c r="F157" i="31" s="1"/>
  <c r="J36" i="72"/>
  <c r="K36" i="72"/>
  <c r="L36" i="72"/>
  <c r="M36" i="72"/>
  <c r="N36" i="72"/>
  <c r="J37" i="72"/>
  <c r="K37" i="72"/>
  <c r="L37" i="72"/>
  <c r="M37" i="72"/>
  <c r="N37" i="72"/>
  <c r="J38" i="72"/>
  <c r="K38" i="72"/>
  <c r="L38" i="72"/>
  <c r="M38" i="72"/>
  <c r="N38" i="72"/>
  <c r="J39" i="72"/>
  <c r="K39" i="72"/>
  <c r="L39" i="72"/>
  <c r="M39" i="72"/>
  <c r="N39" i="72"/>
  <c r="J40" i="72"/>
  <c r="K40" i="72"/>
  <c r="L40" i="72"/>
  <c r="M40" i="72"/>
  <c r="N40" i="72"/>
  <c r="J41" i="72"/>
  <c r="K41" i="72"/>
  <c r="L41" i="72"/>
  <c r="M41" i="72"/>
  <c r="N41" i="72"/>
  <c r="J42" i="72"/>
  <c r="K42" i="72"/>
  <c r="L42" i="72"/>
  <c r="M42" i="72"/>
  <c r="N42" i="72"/>
  <c r="J43" i="72"/>
  <c r="K43" i="72"/>
  <c r="L43" i="72"/>
  <c r="M43" i="72"/>
  <c r="N43" i="72"/>
  <c r="J44" i="72"/>
  <c r="K44" i="72"/>
  <c r="L44" i="72"/>
  <c r="M44" i="72"/>
  <c r="N44" i="72"/>
  <c r="J45" i="72"/>
  <c r="K45" i="72"/>
  <c r="L45" i="72"/>
  <c r="M45" i="72"/>
  <c r="N45" i="72"/>
  <c r="J46" i="72"/>
  <c r="K46" i="72"/>
  <c r="L46" i="72"/>
  <c r="M46" i="72"/>
  <c r="N46" i="72"/>
  <c r="J47" i="72"/>
  <c r="K47" i="72"/>
  <c r="L47" i="72"/>
  <c r="M47" i="72"/>
  <c r="N47" i="72"/>
  <c r="J48" i="72"/>
  <c r="K48" i="72"/>
  <c r="L48" i="72"/>
  <c r="M48" i="72"/>
  <c r="N48" i="72"/>
  <c r="D49" i="72"/>
  <c r="D62" i="30" s="1"/>
  <c r="E49" i="72"/>
  <c r="D120" i="30" s="1"/>
  <c r="F49" i="72"/>
  <c r="G49" i="72"/>
  <c r="G50" i="72" s="1"/>
  <c r="H49" i="72"/>
  <c r="H50" i="72" s="1"/>
  <c r="G6" i="33"/>
  <c r="G27" i="33" s="1"/>
  <c r="F85" i="31" s="1"/>
  <c r="H6" i="33"/>
  <c r="H27" i="33" s="1"/>
  <c r="F125" i="31" s="1"/>
  <c r="A7" i="33"/>
  <c r="A8" i="33" s="1"/>
  <c r="A9" i="33" s="1"/>
  <c r="A10" i="33" s="1"/>
  <c r="A11" i="33" s="1"/>
  <c r="A12" i="33" s="1"/>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56" i="33" s="1"/>
  <c r="A57" i="33" s="1"/>
  <c r="A58" i="33" s="1"/>
  <c r="A59" i="33" s="1"/>
  <c r="A60" i="33" s="1"/>
  <c r="A61" i="33" s="1"/>
  <c r="A62" i="33" s="1"/>
  <c r="A63" i="33" s="1"/>
  <c r="A64" i="33" s="1"/>
  <c r="A65" i="33" s="1"/>
  <c r="A66" i="33" s="1"/>
  <c r="A67" i="33" s="1"/>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96" i="33" s="1"/>
  <c r="A97" i="33" s="1"/>
  <c r="A98" i="33" s="1"/>
  <c r="A99" i="33" s="1"/>
  <c r="A100" i="33" s="1"/>
  <c r="A101" i="33" s="1"/>
  <c r="A102" i="33" s="1"/>
  <c r="A103" i="33" s="1"/>
  <c r="A104" i="33" s="1"/>
  <c r="A105" i="33" s="1"/>
  <c r="A106" i="33" s="1"/>
  <c r="A107" i="33" s="1"/>
  <c r="A108" i="33" s="1"/>
  <c r="A109" i="33" s="1"/>
  <c r="A110" i="33" s="1"/>
  <c r="A111" i="33" s="1"/>
  <c r="A112" i="33" s="1"/>
  <c r="A113" i="33" s="1"/>
  <c r="A114" i="33" s="1"/>
  <c r="A115" i="33" s="1"/>
  <c r="G7" i="33"/>
  <c r="H7" i="33"/>
  <c r="G8" i="33"/>
  <c r="H8" i="33"/>
  <c r="G9" i="33"/>
  <c r="H9" i="33"/>
  <c r="G10" i="33"/>
  <c r="H10" i="33"/>
  <c r="G11" i="33"/>
  <c r="H11" i="33"/>
  <c r="G12" i="33"/>
  <c r="H12" i="33"/>
  <c r="G13" i="33"/>
  <c r="H13" i="33"/>
  <c r="G14" i="33"/>
  <c r="H14" i="33"/>
  <c r="G15" i="33"/>
  <c r="H15" i="33"/>
  <c r="G16" i="33"/>
  <c r="H16" i="33"/>
  <c r="G17" i="33"/>
  <c r="H17" i="33"/>
  <c r="G18" i="33"/>
  <c r="H18" i="33"/>
  <c r="G19" i="33"/>
  <c r="H19" i="33"/>
  <c r="G20" i="33"/>
  <c r="H20" i="33"/>
  <c r="G21" i="33"/>
  <c r="H21" i="33"/>
  <c r="G22" i="33"/>
  <c r="H22" i="33"/>
  <c r="G23" i="33"/>
  <c r="H23" i="33"/>
  <c r="G24" i="33"/>
  <c r="H24" i="33"/>
  <c r="G25" i="33"/>
  <c r="H25" i="33"/>
  <c r="G26" i="33"/>
  <c r="H26" i="33"/>
  <c r="D27" i="33"/>
  <c r="D85" i="31" s="1"/>
  <c r="C5" i="44" s="1"/>
  <c r="E27" i="33"/>
  <c r="D125" i="31" s="1"/>
  <c r="G28" i="33"/>
  <c r="G49" i="33" s="1"/>
  <c r="F86" i="31" s="1"/>
  <c r="H28" i="33"/>
  <c r="G29" i="33"/>
  <c r="H29" i="33"/>
  <c r="G30" i="33"/>
  <c r="H30" i="33"/>
  <c r="G31" i="33"/>
  <c r="H31" i="33"/>
  <c r="G32" i="33"/>
  <c r="H32" i="33"/>
  <c r="G33" i="33"/>
  <c r="H33" i="33"/>
  <c r="G34" i="33"/>
  <c r="H34" i="33"/>
  <c r="G35" i="33"/>
  <c r="H35" i="33"/>
  <c r="G36" i="33"/>
  <c r="H36" i="33"/>
  <c r="G37" i="33"/>
  <c r="H37" i="33"/>
  <c r="G38" i="33"/>
  <c r="H38" i="33"/>
  <c r="G39" i="33"/>
  <c r="H39" i="33"/>
  <c r="G40" i="33"/>
  <c r="H40" i="33"/>
  <c r="G41" i="33"/>
  <c r="H41" i="33"/>
  <c r="G42" i="33"/>
  <c r="H42" i="33"/>
  <c r="G43" i="33"/>
  <c r="H43" i="33"/>
  <c r="G44" i="33"/>
  <c r="H44" i="33"/>
  <c r="G45" i="33"/>
  <c r="H45" i="33"/>
  <c r="G46" i="33"/>
  <c r="H46" i="33"/>
  <c r="G47" i="33"/>
  <c r="H47" i="33"/>
  <c r="G48" i="33"/>
  <c r="H48" i="33"/>
  <c r="D49" i="33"/>
  <c r="H121" i="33" s="1"/>
  <c r="E49" i="33"/>
  <c r="H122" i="33" s="1"/>
  <c r="G50" i="33"/>
  <c r="H50" i="33"/>
  <c r="G51" i="33"/>
  <c r="G71" i="33" s="1"/>
  <c r="F87" i="31" s="1"/>
  <c r="H51" i="33"/>
  <c r="H71" i="33" s="1"/>
  <c r="F127" i="31" s="1"/>
  <c r="G52" i="33"/>
  <c r="H52" i="33"/>
  <c r="G53" i="33"/>
  <c r="H53" i="33"/>
  <c r="G54" i="33"/>
  <c r="H54" i="33"/>
  <c r="G55" i="33"/>
  <c r="H55" i="33"/>
  <c r="G56" i="33"/>
  <c r="H56" i="33"/>
  <c r="G57" i="33"/>
  <c r="H57" i="33"/>
  <c r="G58" i="33"/>
  <c r="H58" i="33"/>
  <c r="G59" i="33"/>
  <c r="H59" i="33"/>
  <c r="G60" i="33"/>
  <c r="H60" i="33"/>
  <c r="G61" i="33"/>
  <c r="H61" i="33"/>
  <c r="G62" i="33"/>
  <c r="H62" i="33"/>
  <c r="G63" i="33"/>
  <c r="H63" i="33"/>
  <c r="G64" i="33"/>
  <c r="H64" i="33"/>
  <c r="G65" i="33"/>
  <c r="H65" i="33"/>
  <c r="G66" i="33"/>
  <c r="H66" i="33"/>
  <c r="G67" i="33"/>
  <c r="H67" i="33"/>
  <c r="G68" i="33"/>
  <c r="H68" i="33"/>
  <c r="G69" i="33"/>
  <c r="H69" i="33"/>
  <c r="G70" i="33"/>
  <c r="H70" i="33"/>
  <c r="D71" i="33"/>
  <c r="D87" i="31" s="1"/>
  <c r="E71" i="33"/>
  <c r="D127" i="31" s="1"/>
  <c r="G72" i="33"/>
  <c r="G93" i="33" s="1"/>
  <c r="F89" i="31" s="1"/>
  <c r="F88" i="31" s="1"/>
  <c r="F84" i="31" s="1"/>
  <c r="H72" i="33"/>
  <c r="H93" i="33" s="1"/>
  <c r="F129" i="31" s="1"/>
  <c r="G73" i="33"/>
  <c r="H73" i="33"/>
  <c r="G74" i="33"/>
  <c r="H74" i="33"/>
  <c r="G75" i="33"/>
  <c r="H75" i="33"/>
  <c r="G76" i="33"/>
  <c r="H76" i="33"/>
  <c r="G77" i="33"/>
  <c r="H77" i="33"/>
  <c r="G78" i="33"/>
  <c r="H78" i="33"/>
  <c r="G79" i="33"/>
  <c r="H79" i="33"/>
  <c r="G80" i="33"/>
  <c r="H80" i="33"/>
  <c r="G81" i="33"/>
  <c r="H81" i="33"/>
  <c r="G82" i="33"/>
  <c r="H82" i="33"/>
  <c r="G83" i="33"/>
  <c r="H83" i="33"/>
  <c r="G84" i="33"/>
  <c r="H84" i="33"/>
  <c r="G85" i="33"/>
  <c r="H85" i="33"/>
  <c r="G86" i="33"/>
  <c r="H86" i="33"/>
  <c r="G87" i="33"/>
  <c r="H87" i="33"/>
  <c r="G88" i="33"/>
  <c r="H88" i="33"/>
  <c r="G89" i="33"/>
  <c r="H89" i="33"/>
  <c r="G90" i="33"/>
  <c r="H90" i="33"/>
  <c r="G91" i="33"/>
  <c r="H91" i="33"/>
  <c r="G92" i="33"/>
  <c r="H92" i="33"/>
  <c r="D93" i="33"/>
  <c r="D89" i="31" s="1"/>
  <c r="E93" i="33"/>
  <c r="G94" i="33"/>
  <c r="H94" i="33"/>
  <c r="G95" i="33"/>
  <c r="H95" i="33"/>
  <c r="G96" i="33"/>
  <c r="H96" i="33"/>
  <c r="G97" i="33"/>
  <c r="H97" i="33"/>
  <c r="G98" i="33"/>
  <c r="H98" i="33"/>
  <c r="G99" i="33"/>
  <c r="H99" i="33"/>
  <c r="G100" i="33"/>
  <c r="H100" i="33"/>
  <c r="G101" i="33"/>
  <c r="H101" i="33"/>
  <c r="G102" i="33"/>
  <c r="H102" i="33"/>
  <c r="G103" i="33"/>
  <c r="H103" i="33"/>
  <c r="G104" i="33"/>
  <c r="H104" i="33"/>
  <c r="G105" i="33"/>
  <c r="H105" i="33"/>
  <c r="G106" i="33"/>
  <c r="H106" i="33"/>
  <c r="G107" i="33"/>
  <c r="H107" i="33"/>
  <c r="G108" i="33"/>
  <c r="H108" i="33"/>
  <c r="G109" i="33"/>
  <c r="H109" i="33"/>
  <c r="G110" i="33"/>
  <c r="H110" i="33"/>
  <c r="G111" i="33"/>
  <c r="H111" i="33"/>
  <c r="G112" i="33"/>
  <c r="H112" i="33"/>
  <c r="G113" i="33"/>
  <c r="H113" i="33"/>
  <c r="G114" i="33"/>
  <c r="H114" i="33"/>
  <c r="D115" i="33"/>
  <c r="E115" i="33"/>
  <c r="F6" i="32"/>
  <c r="F24" i="32" s="1"/>
  <c r="F7" i="32"/>
  <c r="F8" i="32"/>
  <c r="F9" i="32"/>
  <c r="F10" i="32"/>
  <c r="F11" i="32"/>
  <c r="F12" i="32"/>
  <c r="F13" i="32"/>
  <c r="F14" i="32"/>
  <c r="F15" i="32"/>
  <c r="F16" i="32"/>
  <c r="F17" i="32"/>
  <c r="F18" i="32"/>
  <c r="F19" i="32"/>
  <c r="F20" i="32"/>
  <c r="F21" i="32"/>
  <c r="F22" i="32"/>
  <c r="F23" i="32"/>
  <c r="D24" i="32"/>
  <c r="F25" i="32"/>
  <c r="F26" i="32"/>
  <c r="F27" i="32"/>
  <c r="F43" i="32" s="1"/>
  <c r="F14" i="31" s="1"/>
  <c r="F28" i="32"/>
  <c r="F29" i="32"/>
  <c r="F30" i="32"/>
  <c r="F31" i="32"/>
  <c r="F32" i="32"/>
  <c r="F33" i="32"/>
  <c r="F34" i="32"/>
  <c r="F35" i="32"/>
  <c r="F36" i="32"/>
  <c r="F37" i="32"/>
  <c r="F38" i="32"/>
  <c r="F39" i="32"/>
  <c r="F40" i="32"/>
  <c r="F41" i="32"/>
  <c r="F42" i="32"/>
  <c r="D43" i="32"/>
  <c r="D14" i="31"/>
  <c r="F45" i="32"/>
  <c r="F46" i="32"/>
  <c r="F47" i="32"/>
  <c r="F48" i="32"/>
  <c r="F49" i="32"/>
  <c r="F50" i="32"/>
  <c r="F51" i="32"/>
  <c r="F52" i="32"/>
  <c r="F53" i="32"/>
  <c r="F54" i="32"/>
  <c r="F55" i="32"/>
  <c r="F56" i="32"/>
  <c r="F57" i="32"/>
  <c r="F58" i="32"/>
  <c r="F59" i="32"/>
  <c r="F60" i="32"/>
  <c r="F61" i="32"/>
  <c r="F62" i="32"/>
  <c r="D63" i="32"/>
  <c r="F126" i="32" s="1"/>
  <c r="F64" i="32"/>
  <c r="F65" i="32"/>
  <c r="F66" i="32"/>
  <c r="F67" i="32"/>
  <c r="F68" i="32"/>
  <c r="F69" i="32"/>
  <c r="F70" i="32"/>
  <c r="F71" i="32"/>
  <c r="F72" i="32"/>
  <c r="F73" i="32"/>
  <c r="F74" i="32"/>
  <c r="F75" i="32"/>
  <c r="F76" i="32"/>
  <c r="F77" i="32"/>
  <c r="F78" i="32"/>
  <c r="F79" i="32"/>
  <c r="F80" i="32"/>
  <c r="F81" i="32"/>
  <c r="D82" i="32"/>
  <c r="F125" i="32" s="1"/>
  <c r="D18" i="31"/>
  <c r="D17" i="31" s="1"/>
  <c r="F85" i="32"/>
  <c r="F86" i="32"/>
  <c r="F87" i="32"/>
  <c r="F88" i="32"/>
  <c r="F89" i="32"/>
  <c r="F90" i="32"/>
  <c r="F91" i="32"/>
  <c r="F92" i="32"/>
  <c r="F93" i="32"/>
  <c r="F94" i="32"/>
  <c r="F95" i="32"/>
  <c r="F96" i="32"/>
  <c r="F97" i="32"/>
  <c r="F98" i="32"/>
  <c r="F99" i="32"/>
  <c r="F100" i="32"/>
  <c r="D101" i="32"/>
  <c r="D15" i="31"/>
  <c r="F15" i="31" s="1"/>
  <c r="D19" i="31"/>
  <c r="F19" i="31"/>
  <c r="D20" i="31"/>
  <c r="F20" i="31"/>
  <c r="D54" i="31"/>
  <c r="D58" i="31"/>
  <c r="D110" i="31"/>
  <c r="D149" i="31"/>
  <c r="D162" i="31"/>
  <c r="D164" i="31"/>
  <c r="F165" i="31"/>
  <c r="F164" i="31" s="1"/>
  <c r="A1" i="121"/>
  <c r="C14" i="121"/>
  <c r="C20" i="121" s="1"/>
  <c r="D14" i="121"/>
  <c r="D20" i="121"/>
  <c r="H14" i="121"/>
  <c r="H20" i="121" s="1"/>
  <c r="I14" i="121"/>
  <c r="J14" i="121"/>
  <c r="J20" i="121"/>
  <c r="K14" i="121"/>
  <c r="L14" i="121"/>
  <c r="L20" i="121" s="1"/>
  <c r="M14" i="121"/>
  <c r="N14" i="121"/>
  <c r="N20" i="121" s="1"/>
  <c r="O14" i="121"/>
  <c r="O20" i="121"/>
  <c r="P14" i="121"/>
  <c r="P20" i="121" s="1"/>
  <c r="Q14" i="121"/>
  <c r="R14" i="121"/>
  <c r="R20" i="121"/>
  <c r="S14" i="121"/>
  <c r="S20" i="121"/>
  <c r="T14" i="121"/>
  <c r="T20" i="121" s="1"/>
  <c r="U14" i="121"/>
  <c r="V14" i="121"/>
  <c r="V20" i="121" s="1"/>
  <c r="W14" i="121"/>
  <c r="W20" i="121" s="1"/>
  <c r="Y14" i="121"/>
  <c r="Y20" i="121" s="1"/>
  <c r="Z14" i="121"/>
  <c r="AA14" i="121"/>
  <c r="AA20" i="121" s="1"/>
  <c r="AB14" i="121"/>
  <c r="AC14" i="121"/>
  <c r="AC20" i="121"/>
  <c r="AD14" i="121"/>
  <c r="AD20" i="121" s="1"/>
  <c r="AE14" i="121"/>
  <c r="AE20" i="121" s="1"/>
  <c r="AF14" i="121"/>
  <c r="AF20" i="121"/>
  <c r="A1" i="120"/>
  <c r="D6" i="120"/>
  <c r="H6" i="120"/>
  <c r="I6" i="120"/>
  <c r="J6" i="120"/>
  <c r="J46" i="120" s="1"/>
  <c r="K6" i="120"/>
  <c r="L6" i="120"/>
  <c r="M6" i="120"/>
  <c r="N6" i="120"/>
  <c r="T6" i="120"/>
  <c r="U6" i="120"/>
  <c r="V6" i="120"/>
  <c r="V46" i="120"/>
  <c r="W6" i="120"/>
  <c r="Y6" i="120"/>
  <c r="Z6" i="120"/>
  <c r="A7" i="120"/>
  <c r="A8" i="120"/>
  <c r="A9" i="120" s="1"/>
  <c r="A10" i="120" s="1"/>
  <c r="A11" i="120" s="1"/>
  <c r="A12" i="120" s="1"/>
  <c r="A13" i="120" s="1"/>
  <c r="A14" i="120" s="1"/>
  <c r="A15" i="120" s="1"/>
  <c r="A16" i="120" s="1"/>
  <c r="A17" i="120" s="1"/>
  <c r="A18" i="120" s="1"/>
  <c r="A19" i="120" s="1"/>
  <c r="A20" i="120" s="1"/>
  <c r="A21" i="120" s="1"/>
  <c r="A22" i="120" s="1"/>
  <c r="A23" i="120" s="1"/>
  <c r="A24" i="120" s="1"/>
  <c r="A25" i="120" s="1"/>
  <c r="A26" i="120" s="1"/>
  <c r="A27" i="120" s="1"/>
  <c r="A28" i="120" s="1"/>
  <c r="A29" i="120" s="1"/>
  <c r="A30" i="120" s="1"/>
  <c r="A31" i="120" s="1"/>
  <c r="A32" i="120" s="1"/>
  <c r="A33" i="120" s="1"/>
  <c r="A34" i="120" s="1"/>
  <c r="A35" i="120" s="1"/>
  <c r="A36" i="120" s="1"/>
  <c r="A37" i="120" s="1"/>
  <c r="A38" i="120" s="1"/>
  <c r="A39" i="120" s="1"/>
  <c r="A40" i="120" s="1"/>
  <c r="A41" i="120" s="1"/>
  <c r="A42" i="120" s="1"/>
  <c r="A43" i="120" s="1"/>
  <c r="A44" i="120" s="1"/>
  <c r="A45" i="120" s="1"/>
  <c r="A46" i="120" s="1"/>
  <c r="G7" i="120"/>
  <c r="O7" i="120" s="1"/>
  <c r="Q7" i="120"/>
  <c r="AD7" i="120" s="1"/>
  <c r="AA7" i="120"/>
  <c r="AB7" i="120"/>
  <c r="G8" i="120"/>
  <c r="O8" i="120" s="1"/>
  <c r="Q8" i="120" s="1"/>
  <c r="AD8" i="120" s="1"/>
  <c r="R8" i="120"/>
  <c r="AE8" i="120"/>
  <c r="AA8" i="120"/>
  <c r="AB8" i="120"/>
  <c r="AC8" i="120"/>
  <c r="G9" i="120"/>
  <c r="O9" i="120" s="1"/>
  <c r="Q9" i="120" s="1"/>
  <c r="AA9" i="120"/>
  <c r="AB9" i="120"/>
  <c r="AC9" i="120"/>
  <c r="G10" i="120"/>
  <c r="O10" i="120" s="1"/>
  <c r="Q10" i="120"/>
  <c r="R10" i="120"/>
  <c r="AE10" i="120"/>
  <c r="AA10" i="120"/>
  <c r="AB10" i="120"/>
  <c r="AC10" i="120"/>
  <c r="G11" i="120"/>
  <c r="O11" i="120" s="1"/>
  <c r="R11" i="120"/>
  <c r="AE11" i="120" s="1"/>
  <c r="AA11" i="120"/>
  <c r="AB11" i="120"/>
  <c r="G12" i="120"/>
  <c r="O12" i="120" s="1"/>
  <c r="Q12" i="120"/>
  <c r="R12" i="120"/>
  <c r="AA12" i="120"/>
  <c r="AB12" i="120"/>
  <c r="AC12" i="120"/>
  <c r="G13" i="120"/>
  <c r="O13" i="120" s="1"/>
  <c r="Q13" i="120" s="1"/>
  <c r="AD13" i="120"/>
  <c r="R13" i="120"/>
  <c r="AA13" i="120"/>
  <c r="AB13" i="120"/>
  <c r="AC13" i="120"/>
  <c r="G14" i="120"/>
  <c r="O14" i="120" s="1"/>
  <c r="Q14" i="120" s="1"/>
  <c r="S14" i="120"/>
  <c r="AF14" i="120" s="1"/>
  <c r="R14" i="120"/>
  <c r="AA14" i="120"/>
  <c r="AB14" i="120"/>
  <c r="AC14" i="120"/>
  <c r="G15" i="120"/>
  <c r="O15" i="120" s="1"/>
  <c r="Q15" i="120" s="1"/>
  <c r="S15" i="120" s="1"/>
  <c r="AF15" i="120" s="1"/>
  <c r="AA15" i="120"/>
  <c r="AB15" i="120"/>
  <c r="G16" i="120"/>
  <c r="O16" i="120" s="1"/>
  <c r="Q16" i="120" s="1"/>
  <c r="S16" i="120" s="1"/>
  <c r="R16" i="120"/>
  <c r="AA16" i="120"/>
  <c r="AE16" i="120" s="1"/>
  <c r="AB16" i="120"/>
  <c r="AC16" i="120"/>
  <c r="G17" i="120"/>
  <c r="O17" i="120" s="1"/>
  <c r="Q17" i="120" s="1"/>
  <c r="S17" i="120" s="1"/>
  <c r="AF17" i="120" s="1"/>
  <c r="AD17" i="120"/>
  <c r="AA17" i="120"/>
  <c r="AB17" i="120"/>
  <c r="AC17" i="120"/>
  <c r="G18" i="120"/>
  <c r="O18" i="120" s="1"/>
  <c r="Q18" i="120" s="1"/>
  <c r="AA18" i="120"/>
  <c r="AB18" i="120"/>
  <c r="AC18" i="120"/>
  <c r="G19" i="120"/>
  <c r="O19" i="120" s="1"/>
  <c r="Q19" i="120"/>
  <c r="R19" i="120"/>
  <c r="AE19" i="120" s="1"/>
  <c r="AA19" i="120"/>
  <c r="AB19" i="120"/>
  <c r="AC19" i="120"/>
  <c r="AC20" i="120"/>
  <c r="AE20" i="120"/>
  <c r="AC21" i="120"/>
  <c r="AE21" i="120"/>
  <c r="AC22" i="120"/>
  <c r="AE22" i="120"/>
  <c r="G23" i="120"/>
  <c r="O23" i="120" s="1"/>
  <c r="Q23" i="120"/>
  <c r="S23" i="120"/>
  <c r="AF23" i="120" s="1"/>
  <c r="AD23" i="120"/>
  <c r="R23" i="120"/>
  <c r="AE23" i="120" s="1"/>
  <c r="AA23" i="120"/>
  <c r="AB23" i="120"/>
  <c r="AC23" i="120"/>
  <c r="G24" i="120"/>
  <c r="O24" i="120" s="1"/>
  <c r="Q24" i="120" s="1"/>
  <c r="S24" i="120" s="1"/>
  <c r="AF24" i="120" s="1"/>
  <c r="AA24" i="120"/>
  <c r="AB24" i="120"/>
  <c r="AC24" i="120"/>
  <c r="G25" i="120"/>
  <c r="O25" i="120" s="1"/>
  <c r="Q25" i="120" s="1"/>
  <c r="S25" i="120" s="1"/>
  <c r="AD25" i="120"/>
  <c r="R25" i="120"/>
  <c r="AA25" i="120"/>
  <c r="AE25" i="120"/>
  <c r="AB25" i="120"/>
  <c r="AC25" i="120"/>
  <c r="AE26" i="120"/>
  <c r="G27" i="120"/>
  <c r="O27" i="120" s="1"/>
  <c r="Q27" i="120" s="1"/>
  <c r="AD27" i="120" s="1"/>
  <c r="R27" i="120"/>
  <c r="AA27" i="120"/>
  <c r="AB27" i="120"/>
  <c r="AC27" i="120"/>
  <c r="G28" i="120"/>
  <c r="O28" i="120" s="1"/>
  <c r="Q28" i="120" s="1"/>
  <c r="S28" i="120" s="1"/>
  <c r="AF28" i="120" s="1"/>
  <c r="R28" i="120"/>
  <c r="AA28" i="120"/>
  <c r="AB28" i="120"/>
  <c r="AC28" i="120"/>
  <c r="G29" i="120"/>
  <c r="O29" i="120" s="1"/>
  <c r="Q29" i="120" s="1"/>
  <c r="S29" i="120" s="1"/>
  <c r="AF29" i="120" s="1"/>
  <c r="R29" i="120"/>
  <c r="AA29" i="120"/>
  <c r="AB29" i="120"/>
  <c r="AC29" i="120"/>
  <c r="G30" i="120"/>
  <c r="O30" i="120" s="1"/>
  <c r="Q30" i="120" s="1"/>
  <c r="S30" i="120" s="1"/>
  <c r="R30" i="120"/>
  <c r="AA30" i="120"/>
  <c r="AB30" i="120"/>
  <c r="AC30" i="120"/>
  <c r="Q31" i="120"/>
  <c r="S31" i="120" s="1"/>
  <c r="R31" i="120"/>
  <c r="AA31" i="120"/>
  <c r="AB31" i="120"/>
  <c r="AC31" i="120"/>
  <c r="G32" i="120"/>
  <c r="O32" i="120" s="1"/>
  <c r="Q32" i="120"/>
  <c r="AD32" i="120" s="1"/>
  <c r="AA32" i="120"/>
  <c r="AB32" i="120"/>
  <c r="AC32" i="120"/>
  <c r="G33" i="120"/>
  <c r="O33" i="120" s="1"/>
  <c r="Q33" i="120"/>
  <c r="AD33" i="120" s="1"/>
  <c r="R33" i="120"/>
  <c r="AA33" i="120"/>
  <c r="AB33" i="120"/>
  <c r="AC33" i="120"/>
  <c r="R34" i="120"/>
  <c r="Q34" i="120"/>
  <c r="AA34" i="120"/>
  <c r="AB34" i="120"/>
  <c r="G36" i="120"/>
  <c r="O36" i="120" s="1"/>
  <c r="Q36" i="120"/>
  <c r="S36" i="120" s="1"/>
  <c r="AF36" i="120"/>
  <c r="R36" i="120"/>
  <c r="AE36" i="120" s="1"/>
  <c r="AA36" i="120"/>
  <c r="AB36" i="120"/>
  <c r="AC36" i="120"/>
  <c r="C37" i="120"/>
  <c r="D37" i="120"/>
  <c r="H37" i="120"/>
  <c r="H46" i="120"/>
  <c r="J37" i="120"/>
  <c r="K37" i="120"/>
  <c r="M37" i="120"/>
  <c r="M46" i="120"/>
  <c r="T37" i="120"/>
  <c r="T46" i="120"/>
  <c r="U37" i="120"/>
  <c r="U46" i="120" s="1"/>
  <c r="V37" i="120"/>
  <c r="Y37" i="120"/>
  <c r="Z37" i="120"/>
  <c r="G38" i="120"/>
  <c r="O38" i="120" s="1"/>
  <c r="AC38" i="120"/>
  <c r="R38" i="120"/>
  <c r="W38" i="120"/>
  <c r="AB38" i="120" s="1"/>
  <c r="AA38" i="120"/>
  <c r="G39" i="120"/>
  <c r="O39" i="120" s="1"/>
  <c r="W39" i="120"/>
  <c r="AB39" i="120"/>
  <c r="AA39" i="120"/>
  <c r="G40" i="120"/>
  <c r="O40" i="120" s="1"/>
  <c r="Q40" i="120" s="1"/>
  <c r="AD40" i="120" s="1"/>
  <c r="R40" i="120"/>
  <c r="W40" i="120"/>
  <c r="AB40" i="120" s="1"/>
  <c r="AA40" i="120"/>
  <c r="AC40" i="120"/>
  <c r="G41" i="120"/>
  <c r="O41" i="120" s="1"/>
  <c r="Q41" i="120" s="1"/>
  <c r="W41" i="120"/>
  <c r="AB41" i="120" s="1"/>
  <c r="AA41" i="120"/>
  <c r="AC41" i="120"/>
  <c r="G42" i="120"/>
  <c r="O42" i="120" s="1"/>
  <c r="Q42" i="120"/>
  <c r="AC42" i="120"/>
  <c r="R42" i="120"/>
  <c r="AE42" i="120" s="1"/>
  <c r="W42" i="120"/>
  <c r="AB42" i="120" s="1"/>
  <c r="AA42" i="120"/>
  <c r="G43" i="120"/>
  <c r="O43" i="120" s="1"/>
  <c r="Q43" i="120" s="1"/>
  <c r="AD43" i="120" s="1"/>
  <c r="W43" i="120"/>
  <c r="AA43" i="120"/>
  <c r="G44" i="120"/>
  <c r="O44" i="120" s="1"/>
  <c r="Q44" i="120" s="1"/>
  <c r="S44" i="120" s="1"/>
  <c r="R44" i="120"/>
  <c r="W44" i="120"/>
  <c r="AB44" i="120"/>
  <c r="AA44" i="120"/>
  <c r="AC44" i="120"/>
  <c r="G45" i="120"/>
  <c r="O45" i="120" s="1"/>
  <c r="Q45" i="120" s="1"/>
  <c r="AD45" i="120"/>
  <c r="R45" i="120"/>
  <c r="AA45" i="120"/>
  <c r="AB45" i="120"/>
  <c r="AC45" i="120"/>
  <c r="A1" i="22"/>
  <c r="U22" i="22"/>
  <c r="E9" i="22"/>
  <c r="H9" i="22"/>
  <c r="K9" i="22"/>
  <c r="C49" i="35" s="1"/>
  <c r="N9" i="22"/>
  <c r="Q9" i="22"/>
  <c r="T9" i="22"/>
  <c r="W9" i="22"/>
  <c r="Z9" i="22"/>
  <c r="E10" i="22"/>
  <c r="H10" i="22"/>
  <c r="K10" i="22"/>
  <c r="C50" i="35"/>
  <c r="N10" i="22"/>
  <c r="Q10" i="22"/>
  <c r="Q8" i="22"/>
  <c r="T10" i="22"/>
  <c r="W10" i="22"/>
  <c r="Z10" i="22"/>
  <c r="E11" i="22"/>
  <c r="H11" i="22"/>
  <c r="K11" i="22"/>
  <c r="C51" i="35"/>
  <c r="B51" i="54"/>
  <c r="N11" i="22"/>
  <c r="Q11" i="22"/>
  <c r="T11" i="22"/>
  <c r="W11" i="22"/>
  <c r="Z11" i="22"/>
  <c r="E12" i="22"/>
  <c r="H12" i="22"/>
  <c r="K12" i="22"/>
  <c r="N12" i="22"/>
  <c r="Q12" i="22"/>
  <c r="T12" i="22"/>
  <c r="W12" i="22"/>
  <c r="Z12" i="22"/>
  <c r="E13" i="22"/>
  <c r="H13" i="22"/>
  <c r="K13" i="22"/>
  <c r="C53" i="35" s="1"/>
  <c r="N13" i="22"/>
  <c r="Q13" i="22"/>
  <c r="T13" i="22"/>
  <c r="W13" i="22"/>
  <c r="Z13" i="22"/>
  <c r="C16" i="22"/>
  <c r="C22" i="22"/>
  <c r="D16" i="22"/>
  <c r="D22" i="22"/>
  <c r="F16" i="22"/>
  <c r="F22" i="22" s="1"/>
  <c r="G16" i="22"/>
  <c r="G22" i="22" s="1"/>
  <c r="I16" i="22"/>
  <c r="I22" i="22"/>
  <c r="J16" i="22"/>
  <c r="L16" i="22"/>
  <c r="M16" i="22"/>
  <c r="M22" i="22" s="1"/>
  <c r="O16" i="22"/>
  <c r="P16" i="22"/>
  <c r="P22" i="22"/>
  <c r="R16" i="22"/>
  <c r="S16" i="22"/>
  <c r="S22" i="22" s="1"/>
  <c r="U16" i="22"/>
  <c r="V16" i="22"/>
  <c r="V22" i="22" s="1"/>
  <c r="X16" i="22"/>
  <c r="Y16" i="22"/>
  <c r="Y22" i="22" s="1"/>
  <c r="E17" i="22"/>
  <c r="H17" i="22"/>
  <c r="K17" i="22"/>
  <c r="N17" i="22"/>
  <c r="Q17" i="22"/>
  <c r="T17" i="22"/>
  <c r="W17" i="22"/>
  <c r="Z17" i="22"/>
  <c r="E18" i="22"/>
  <c r="H18" i="22"/>
  <c r="K18" i="22"/>
  <c r="N18" i="22"/>
  <c r="Q18" i="22"/>
  <c r="T18" i="22"/>
  <c r="W18" i="22"/>
  <c r="Z18" i="22"/>
  <c r="E19" i="22"/>
  <c r="H19" i="22"/>
  <c r="K19" i="22"/>
  <c r="C59" i="35"/>
  <c r="N19" i="22"/>
  <c r="Q19" i="22"/>
  <c r="T19" i="22"/>
  <c r="W19" i="22"/>
  <c r="Z19" i="22"/>
  <c r="E20" i="22"/>
  <c r="H20" i="22"/>
  <c r="K20" i="22"/>
  <c r="C60" i="35" s="1"/>
  <c r="N20" i="22"/>
  <c r="Q20" i="22"/>
  <c r="T20" i="22"/>
  <c r="W20" i="22"/>
  <c r="Z20" i="22"/>
  <c r="E21" i="22"/>
  <c r="H21" i="22"/>
  <c r="K21" i="22"/>
  <c r="C61" i="35"/>
  <c r="B61" i="54"/>
  <c r="N21" i="22"/>
  <c r="Q21" i="22"/>
  <c r="T21" i="22"/>
  <c r="W21" i="22"/>
  <c r="Z21" i="22"/>
  <c r="A1" i="21"/>
  <c r="C8" i="21"/>
  <c r="D8" i="21"/>
  <c r="F8" i="21"/>
  <c r="G8" i="21"/>
  <c r="I8" i="21"/>
  <c r="J8" i="21"/>
  <c r="L8" i="21"/>
  <c r="M8" i="21"/>
  <c r="M48" i="21" s="1"/>
  <c r="O8" i="21"/>
  <c r="O48" i="21"/>
  <c r="P8" i="21"/>
  <c r="R8" i="21"/>
  <c r="S8" i="21"/>
  <c r="U8" i="21"/>
  <c r="V8" i="21"/>
  <c r="X8" i="21"/>
  <c r="Y8" i="21"/>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c r="A31" i="21" s="1"/>
  <c r="A32" i="21" s="1"/>
  <c r="A33" i="21" s="1"/>
  <c r="A34" i="21" s="1"/>
  <c r="A35" i="21" s="1"/>
  <c r="A36" i="21" s="1"/>
  <c r="A37" i="21" s="1"/>
  <c r="A38" i="21" s="1"/>
  <c r="A39" i="21" s="1"/>
  <c r="A40" i="21" s="1"/>
  <c r="A41" i="21" s="1"/>
  <c r="A42" i="21" s="1"/>
  <c r="A43" i="21" s="1"/>
  <c r="A44" i="21" s="1"/>
  <c r="A45" i="21" s="1"/>
  <c r="A46" i="21" s="1"/>
  <c r="A47" i="21" s="1"/>
  <c r="A48" i="21" s="1"/>
  <c r="E9" i="21"/>
  <c r="H9" i="21"/>
  <c r="K9" i="21"/>
  <c r="C8" i="35" s="1"/>
  <c r="B8" i="54"/>
  <c r="N9" i="21"/>
  <c r="Q9" i="21"/>
  <c r="T9" i="21"/>
  <c r="W9" i="21"/>
  <c r="Z9" i="21"/>
  <c r="E10" i="21"/>
  <c r="H10" i="21"/>
  <c r="K10" i="21"/>
  <c r="C9" i="35" s="1"/>
  <c r="F9" i="35" s="1"/>
  <c r="N10" i="21"/>
  <c r="Q10" i="21"/>
  <c r="T10" i="21"/>
  <c r="W10" i="21"/>
  <c r="Z10" i="21"/>
  <c r="E11" i="21"/>
  <c r="H11" i="21"/>
  <c r="K11" i="21"/>
  <c r="C10" i="35"/>
  <c r="F10" i="35" s="1"/>
  <c r="N11" i="21"/>
  <c r="Q11" i="21"/>
  <c r="T11" i="21"/>
  <c r="W11" i="21"/>
  <c r="Z11" i="21"/>
  <c r="E12" i="21"/>
  <c r="H12" i="21"/>
  <c r="K12" i="21"/>
  <c r="C11" i="35" s="1"/>
  <c r="B11" i="54" s="1"/>
  <c r="N12" i="21"/>
  <c r="Q12" i="21"/>
  <c r="T12" i="21"/>
  <c r="W12" i="21"/>
  <c r="Z12" i="21"/>
  <c r="E13" i="21"/>
  <c r="H13" i="21"/>
  <c r="K13" i="21"/>
  <c r="C12" i="35" s="1"/>
  <c r="B12" i="54" s="1"/>
  <c r="N13" i="21"/>
  <c r="Q13" i="21"/>
  <c r="T13" i="21"/>
  <c r="W13" i="21"/>
  <c r="Z13" i="21"/>
  <c r="E14" i="21"/>
  <c r="H14" i="21"/>
  <c r="K14" i="21"/>
  <c r="N14" i="21"/>
  <c r="Q14" i="21"/>
  <c r="T14" i="21"/>
  <c r="W14" i="21"/>
  <c r="Z14" i="21"/>
  <c r="E15" i="21"/>
  <c r="H15" i="21"/>
  <c r="K15" i="21"/>
  <c r="C14" i="35"/>
  <c r="B14" i="54" s="1"/>
  <c r="N15" i="21"/>
  <c r="Q15" i="21"/>
  <c r="T15" i="21"/>
  <c r="W15" i="21"/>
  <c r="Z15" i="21"/>
  <c r="E16" i="21"/>
  <c r="H16" i="21"/>
  <c r="K16" i="21"/>
  <c r="C15" i="35"/>
  <c r="B15" i="54" s="1"/>
  <c r="N16" i="21"/>
  <c r="Q16" i="21"/>
  <c r="T16" i="21"/>
  <c r="W16" i="21"/>
  <c r="Z16" i="21"/>
  <c r="E17" i="21"/>
  <c r="H17" i="21"/>
  <c r="K17" i="21"/>
  <c r="N17" i="21"/>
  <c r="Q17" i="21"/>
  <c r="T17" i="21"/>
  <c r="W17" i="21"/>
  <c r="Z17" i="21"/>
  <c r="E18" i="21"/>
  <c r="H18" i="21"/>
  <c r="K18" i="21"/>
  <c r="C17" i="35" s="1"/>
  <c r="F17" i="35" s="1"/>
  <c r="N18" i="21"/>
  <c r="Q18" i="21"/>
  <c r="AA18" i="21" s="1"/>
  <c r="T18" i="21"/>
  <c r="W18" i="21"/>
  <c r="Z18" i="21"/>
  <c r="E19" i="21"/>
  <c r="H19" i="21"/>
  <c r="K19" i="21"/>
  <c r="C18" i="35"/>
  <c r="B18" i="54"/>
  <c r="N19" i="21"/>
  <c r="Q19" i="21"/>
  <c r="T19" i="21"/>
  <c r="W19" i="21"/>
  <c r="Z19" i="21"/>
  <c r="E20" i="21"/>
  <c r="H20" i="21"/>
  <c r="K20" i="21"/>
  <c r="C19" i="35" s="1"/>
  <c r="B19" i="54" s="1"/>
  <c r="N20" i="21"/>
  <c r="Q20" i="21"/>
  <c r="T20" i="21"/>
  <c r="W20" i="21"/>
  <c r="Z20" i="21"/>
  <c r="E21" i="21"/>
  <c r="H21" i="21"/>
  <c r="K21" i="21"/>
  <c r="C20" i="35" s="1"/>
  <c r="B20" i="54" s="1"/>
  <c r="N21" i="21"/>
  <c r="Q21" i="21"/>
  <c r="T21" i="21"/>
  <c r="W21" i="21"/>
  <c r="AA21" i="21" s="1"/>
  <c r="Z21" i="21"/>
  <c r="E22" i="21"/>
  <c r="H22" i="21"/>
  <c r="K22" i="21"/>
  <c r="C21" i="35"/>
  <c r="B21" i="54" s="1"/>
  <c r="N22" i="21"/>
  <c r="Q22" i="21"/>
  <c r="T22" i="21"/>
  <c r="W22" i="21"/>
  <c r="Z22" i="21"/>
  <c r="E23" i="21"/>
  <c r="H23" i="21"/>
  <c r="K23" i="21"/>
  <c r="N23" i="21"/>
  <c r="Q23" i="21"/>
  <c r="T23" i="21"/>
  <c r="W23" i="21"/>
  <c r="Z23" i="21"/>
  <c r="E24" i="21"/>
  <c r="H24" i="21"/>
  <c r="K24" i="21"/>
  <c r="C23" i="35"/>
  <c r="N24" i="21"/>
  <c r="Q24" i="21"/>
  <c r="T24" i="21"/>
  <c r="W24" i="21"/>
  <c r="Z24" i="21"/>
  <c r="E25" i="21"/>
  <c r="H25" i="21"/>
  <c r="K25" i="21"/>
  <c r="C24" i="35"/>
  <c r="F24" i="35" s="1"/>
  <c r="N25" i="21"/>
  <c r="Q25" i="21"/>
  <c r="T25" i="21"/>
  <c r="W25" i="21"/>
  <c r="Z25" i="21"/>
  <c r="E26" i="21"/>
  <c r="H26" i="21"/>
  <c r="K26" i="21"/>
  <c r="N26" i="21"/>
  <c r="Q26" i="21"/>
  <c r="T26" i="21"/>
  <c r="W26" i="21"/>
  <c r="Z26" i="21"/>
  <c r="E27" i="21"/>
  <c r="H27" i="21"/>
  <c r="K27" i="21"/>
  <c r="C26" i="35"/>
  <c r="N27" i="21"/>
  <c r="Q27" i="21"/>
  <c r="T27" i="21"/>
  <c r="W27" i="21"/>
  <c r="Z27" i="21"/>
  <c r="E28" i="21"/>
  <c r="H28" i="21"/>
  <c r="K28" i="21"/>
  <c r="C27" i="35" s="1"/>
  <c r="N28" i="21"/>
  <c r="Q28" i="21"/>
  <c r="T28" i="21"/>
  <c r="W28" i="21"/>
  <c r="Z28" i="21"/>
  <c r="E29" i="21"/>
  <c r="H29" i="21"/>
  <c r="K29" i="21"/>
  <c r="C28" i="35" s="1"/>
  <c r="N29" i="21"/>
  <c r="Q29" i="21"/>
  <c r="T29" i="21"/>
  <c r="W29" i="21"/>
  <c r="Z29" i="21"/>
  <c r="E30" i="21"/>
  <c r="H30" i="21"/>
  <c r="K30" i="21"/>
  <c r="N30" i="21"/>
  <c r="Q30" i="21"/>
  <c r="T30" i="21"/>
  <c r="W30" i="21"/>
  <c r="Z30" i="21"/>
  <c r="E31" i="21"/>
  <c r="H31" i="21"/>
  <c r="K31" i="21"/>
  <c r="N31" i="21"/>
  <c r="Q31" i="21"/>
  <c r="T31" i="21"/>
  <c r="W31" i="21"/>
  <c r="Z31" i="21"/>
  <c r="E32" i="21"/>
  <c r="H32" i="21"/>
  <c r="K32" i="21"/>
  <c r="AA32" i="21" s="1"/>
  <c r="N32" i="21"/>
  <c r="Q32" i="21"/>
  <c r="T32" i="21"/>
  <c r="W32" i="21"/>
  <c r="Z32" i="21"/>
  <c r="E33" i="21"/>
  <c r="H33" i="21"/>
  <c r="K33" i="21"/>
  <c r="C32" i="35"/>
  <c r="F32" i="35" s="1"/>
  <c r="N33" i="21"/>
  <c r="Q33" i="21"/>
  <c r="T33" i="21"/>
  <c r="W33" i="21"/>
  <c r="AA33" i="21" s="1"/>
  <c r="Z33" i="21"/>
  <c r="E34" i="21"/>
  <c r="H34" i="21"/>
  <c r="K34" i="21"/>
  <c r="C33" i="35" s="1"/>
  <c r="F33" i="35" s="1"/>
  <c r="N34" i="21"/>
  <c r="Q34" i="21"/>
  <c r="T34" i="21"/>
  <c r="W34" i="21"/>
  <c r="Z34" i="21"/>
  <c r="E35" i="21"/>
  <c r="H35" i="21"/>
  <c r="K35" i="21"/>
  <c r="C34" i="35" s="1"/>
  <c r="F34" i="35"/>
  <c r="N35" i="21"/>
  <c r="Q35" i="21"/>
  <c r="T35" i="21"/>
  <c r="W35" i="21"/>
  <c r="Z35" i="21"/>
  <c r="E36" i="21"/>
  <c r="H36" i="21"/>
  <c r="K36" i="21"/>
  <c r="C35" i="35" s="1"/>
  <c r="F35" i="35" s="1"/>
  <c r="N36" i="21"/>
  <c r="Q36" i="21"/>
  <c r="T36" i="21"/>
  <c r="W36" i="21"/>
  <c r="Z36" i="21"/>
  <c r="E37" i="21"/>
  <c r="H37" i="21"/>
  <c r="K37" i="21"/>
  <c r="C36" i="35"/>
  <c r="B36" i="54" s="1"/>
  <c r="N37" i="21"/>
  <c r="Q37" i="21"/>
  <c r="T37" i="21"/>
  <c r="W37" i="21"/>
  <c r="Z37" i="21"/>
  <c r="E38" i="21"/>
  <c r="H38" i="21"/>
  <c r="K38" i="21"/>
  <c r="C37" i="35" s="1"/>
  <c r="B37" i="54" s="1"/>
  <c r="N38" i="21"/>
  <c r="Q38" i="21"/>
  <c r="T38" i="21"/>
  <c r="W38" i="21"/>
  <c r="Z38" i="21"/>
  <c r="C39" i="21"/>
  <c r="C48" i="21" s="1"/>
  <c r="D39" i="21"/>
  <c r="F39" i="21"/>
  <c r="F48" i="21"/>
  <c r="G39" i="21"/>
  <c r="G48" i="21" s="1"/>
  <c r="I39" i="21"/>
  <c r="J39" i="21"/>
  <c r="J48" i="21" s="1"/>
  <c r="L39" i="21"/>
  <c r="M39" i="21"/>
  <c r="O39" i="21"/>
  <c r="P39" i="21"/>
  <c r="R39" i="21"/>
  <c r="S39" i="21"/>
  <c r="U39" i="21"/>
  <c r="U48" i="21" s="1"/>
  <c r="V39" i="21"/>
  <c r="V48" i="21" s="1"/>
  <c r="X39" i="21"/>
  <c r="Y39" i="21"/>
  <c r="Y48" i="21" s="1"/>
  <c r="E40" i="21"/>
  <c r="H40" i="21"/>
  <c r="K40" i="21"/>
  <c r="C39" i="35"/>
  <c r="N40" i="21"/>
  <c r="Q40" i="21"/>
  <c r="Q39" i="21" s="1"/>
  <c r="T40" i="21"/>
  <c r="W40" i="21"/>
  <c r="Z40" i="21"/>
  <c r="E41" i="21"/>
  <c r="H41" i="21"/>
  <c r="K41" i="21"/>
  <c r="C40" i="35"/>
  <c r="F40" i="35" s="1"/>
  <c r="N41" i="21"/>
  <c r="Q41" i="21"/>
  <c r="T41" i="21"/>
  <c r="W41" i="21"/>
  <c r="Z41" i="21"/>
  <c r="E42" i="21"/>
  <c r="H42" i="21"/>
  <c r="K42" i="21"/>
  <c r="C41" i="35" s="1"/>
  <c r="N42" i="21"/>
  <c r="Q42" i="21"/>
  <c r="T42" i="21"/>
  <c r="W42" i="21"/>
  <c r="Z42" i="21"/>
  <c r="E43" i="21"/>
  <c r="H43" i="21"/>
  <c r="K43" i="21"/>
  <c r="C42" i="35" s="1"/>
  <c r="F42" i="35" s="1"/>
  <c r="N43" i="21"/>
  <c r="Q43" i="21"/>
  <c r="T43" i="21"/>
  <c r="W43" i="21"/>
  <c r="Z43" i="21"/>
  <c r="E44" i="21"/>
  <c r="H44" i="21"/>
  <c r="K44" i="21"/>
  <c r="C43" i="35" s="1"/>
  <c r="N44" i="21"/>
  <c r="Q44" i="21"/>
  <c r="T44" i="21"/>
  <c r="W44" i="21"/>
  <c r="Z44" i="21"/>
  <c r="E45" i="21"/>
  <c r="H45" i="21"/>
  <c r="K45" i="21"/>
  <c r="C44" i="35"/>
  <c r="B44" i="54"/>
  <c r="N45" i="21"/>
  <c r="Q45" i="21"/>
  <c r="T45" i="21"/>
  <c r="W45" i="21"/>
  <c r="Z45" i="21"/>
  <c r="E46" i="21"/>
  <c r="H46" i="21"/>
  <c r="K46" i="21"/>
  <c r="N46" i="21"/>
  <c r="Q46" i="21"/>
  <c r="T46" i="21"/>
  <c r="W46" i="21"/>
  <c r="Z46" i="21"/>
  <c r="E47" i="21"/>
  <c r="H47" i="21"/>
  <c r="K47" i="21"/>
  <c r="C46" i="35" s="1"/>
  <c r="B46" i="54" s="1"/>
  <c r="N47" i="21"/>
  <c r="Q47" i="21"/>
  <c r="T47" i="21"/>
  <c r="W47" i="21"/>
  <c r="Z47" i="21"/>
  <c r="L48" i="21"/>
  <c r="A1" i="115"/>
  <c r="U7" i="115"/>
  <c r="C15" i="115"/>
  <c r="D15" i="115"/>
  <c r="F15" i="115"/>
  <c r="G15" i="115"/>
  <c r="H15" i="115"/>
  <c r="I15" i="115"/>
  <c r="I21" i="115" s="1"/>
  <c r="K15" i="115"/>
  <c r="L15" i="115"/>
  <c r="M15" i="115"/>
  <c r="N15" i="115"/>
  <c r="O15" i="115"/>
  <c r="P15" i="115"/>
  <c r="Q15" i="115"/>
  <c r="Q21" i="115" s="1"/>
  <c r="R15" i="115"/>
  <c r="S15" i="115"/>
  <c r="T15" i="115"/>
  <c r="D21" i="115"/>
  <c r="G21" i="115"/>
  <c r="H21" i="115"/>
  <c r="K21" i="115"/>
  <c r="L21" i="115"/>
  <c r="N21" i="115"/>
  <c r="P21" i="115"/>
  <c r="R21" i="115"/>
  <c r="S21" i="115"/>
  <c r="T21" i="115"/>
  <c r="A1" i="114"/>
  <c r="C7" i="114"/>
  <c r="D7" i="114"/>
  <c r="F7" i="114"/>
  <c r="G7" i="114"/>
  <c r="G47" i="114" s="1"/>
  <c r="H7" i="114"/>
  <c r="I7" i="114"/>
  <c r="K7" i="114"/>
  <c r="L7" i="114"/>
  <c r="M7" i="114"/>
  <c r="N7" i="114"/>
  <c r="O7" i="114"/>
  <c r="O47" i="114" s="1"/>
  <c r="P7" i="114"/>
  <c r="Q7" i="114"/>
  <c r="Q47" i="114" s="1"/>
  <c r="R7" i="114"/>
  <c r="S7" i="114"/>
  <c r="T7" i="114"/>
  <c r="A8" i="114"/>
  <c r="A9" i="114"/>
  <c r="A10" i="114" s="1"/>
  <c r="A11" i="114" s="1"/>
  <c r="A12" i="114" s="1"/>
  <c r="A13" i="114" s="1"/>
  <c r="A14" i="114" s="1"/>
  <c r="A15" i="114" s="1"/>
  <c r="A16" i="114" s="1"/>
  <c r="A17" i="114"/>
  <c r="A18" i="114" s="1"/>
  <c r="A19" i="114" s="1"/>
  <c r="A20" i="114" s="1"/>
  <c r="A21" i="114" s="1"/>
  <c r="A22" i="114" s="1"/>
  <c r="A23" i="114" s="1"/>
  <c r="A24" i="114" s="1"/>
  <c r="A25" i="114" s="1"/>
  <c r="A26" i="114" s="1"/>
  <c r="A27" i="114" s="1"/>
  <c r="A28" i="114" s="1"/>
  <c r="A29" i="114" s="1"/>
  <c r="A30" i="114" s="1"/>
  <c r="A31" i="114" s="1"/>
  <c r="A32" i="114" s="1"/>
  <c r="A33" i="114" s="1"/>
  <c r="A34" i="114" s="1"/>
  <c r="A35" i="114" s="1"/>
  <c r="A36" i="114" s="1"/>
  <c r="A37" i="114" s="1"/>
  <c r="A38" i="114" s="1"/>
  <c r="A39" i="114" s="1"/>
  <c r="A40" i="114"/>
  <c r="A41" i="114" s="1"/>
  <c r="A42" i="114" s="1"/>
  <c r="A43" i="114" s="1"/>
  <c r="A44" i="114" s="1"/>
  <c r="A45" i="114" s="1"/>
  <c r="A46" i="114" s="1"/>
  <c r="A47" i="114" s="1"/>
  <c r="U8" i="114"/>
  <c r="U9" i="114"/>
  <c r="U10" i="114"/>
  <c r="U11" i="114"/>
  <c r="U12" i="114"/>
  <c r="U13" i="114"/>
  <c r="U14" i="114"/>
  <c r="U15" i="114"/>
  <c r="U16" i="114"/>
  <c r="U17" i="114"/>
  <c r="U18" i="114"/>
  <c r="U19" i="114"/>
  <c r="U20" i="114"/>
  <c r="U21" i="114"/>
  <c r="U22" i="114"/>
  <c r="U23" i="114"/>
  <c r="U24" i="114"/>
  <c r="U25" i="114"/>
  <c r="U26" i="114"/>
  <c r="U27" i="114"/>
  <c r="U28" i="114"/>
  <c r="U29" i="114"/>
  <c r="U30" i="114"/>
  <c r="U31" i="114"/>
  <c r="U32" i="114"/>
  <c r="U33" i="114"/>
  <c r="U34" i="114"/>
  <c r="U35" i="114"/>
  <c r="U36" i="114"/>
  <c r="U37" i="114"/>
  <c r="C38" i="114"/>
  <c r="D38" i="114"/>
  <c r="F38" i="114"/>
  <c r="F47" i="114" s="1"/>
  <c r="G38" i="114"/>
  <c r="H38" i="114"/>
  <c r="I38" i="114"/>
  <c r="K38" i="114"/>
  <c r="K47" i="114" s="1"/>
  <c r="L38" i="114"/>
  <c r="L47" i="114"/>
  <c r="M38" i="114"/>
  <c r="N38" i="114"/>
  <c r="N47" i="114" s="1"/>
  <c r="O38" i="114"/>
  <c r="P38" i="114"/>
  <c r="P47" i="114" s="1"/>
  <c r="Q38" i="114"/>
  <c r="R38" i="114"/>
  <c r="R47" i="114" s="1"/>
  <c r="S38" i="114"/>
  <c r="S47" i="114" s="1"/>
  <c r="T38" i="114"/>
  <c r="U39" i="114"/>
  <c r="U40" i="114"/>
  <c r="U41" i="114"/>
  <c r="U42" i="114"/>
  <c r="U43" i="114"/>
  <c r="U44" i="114"/>
  <c r="U45" i="114"/>
  <c r="U46" i="114"/>
  <c r="A1" i="18"/>
  <c r="E8" i="18"/>
  <c r="H8" i="18"/>
  <c r="K8" i="18"/>
  <c r="N8" i="18"/>
  <c r="E9" i="18"/>
  <c r="H9" i="18"/>
  <c r="K9" i="18"/>
  <c r="N9" i="18"/>
  <c r="E10" i="18"/>
  <c r="H10" i="18"/>
  <c r="K10" i="18"/>
  <c r="N10" i="18"/>
  <c r="E11" i="18"/>
  <c r="H11" i="18"/>
  <c r="K11" i="18"/>
  <c r="N11" i="18"/>
  <c r="E12" i="18"/>
  <c r="H12" i="18"/>
  <c r="K12" i="18"/>
  <c r="N12" i="18"/>
  <c r="C15" i="18"/>
  <c r="C21" i="18"/>
  <c r="D15" i="18"/>
  <c r="F15" i="18"/>
  <c r="G15" i="18"/>
  <c r="H15" i="18" s="1"/>
  <c r="C137" i="35" s="1"/>
  <c r="I15" i="18"/>
  <c r="K15" i="18" s="1"/>
  <c r="J15" i="18"/>
  <c r="J21" i="18" s="1"/>
  <c r="L15" i="18"/>
  <c r="M15" i="18"/>
  <c r="E16" i="18"/>
  <c r="H16" i="18"/>
  <c r="K16" i="18"/>
  <c r="N16" i="18"/>
  <c r="E17" i="18"/>
  <c r="H17" i="18"/>
  <c r="K17" i="18"/>
  <c r="N17" i="18"/>
  <c r="E18" i="18"/>
  <c r="H18" i="18"/>
  <c r="K18" i="18"/>
  <c r="N18" i="18"/>
  <c r="E19" i="18"/>
  <c r="H19" i="18"/>
  <c r="K19" i="18"/>
  <c r="N19" i="18"/>
  <c r="E20" i="18"/>
  <c r="H20" i="18"/>
  <c r="K20" i="18"/>
  <c r="N20" i="18"/>
  <c r="A1" i="17"/>
  <c r="C7" i="17"/>
  <c r="D7" i="17"/>
  <c r="F7" i="17"/>
  <c r="F47" i="17" s="1"/>
  <c r="G7" i="17"/>
  <c r="I7" i="17"/>
  <c r="J7" i="17"/>
  <c r="L7" i="17"/>
  <c r="M7" i="17"/>
  <c r="N7" i="17"/>
  <c r="A8" i="17"/>
  <c r="A9" i="17" s="1"/>
  <c r="A10" i="17"/>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E8" i="17"/>
  <c r="C77" i="35" s="1"/>
  <c r="F77" i="35" s="1"/>
  <c r="H8" i="17"/>
  <c r="K8" i="17"/>
  <c r="N8" i="17"/>
  <c r="E9" i="17"/>
  <c r="C78" i="35"/>
  <c r="F78" i="35"/>
  <c r="H9" i="17"/>
  <c r="K9" i="17"/>
  <c r="N9" i="17"/>
  <c r="E10" i="17"/>
  <c r="C79" i="35"/>
  <c r="F79" i="35" s="1"/>
  <c r="H10" i="17"/>
  <c r="K10" i="17"/>
  <c r="N10" i="17"/>
  <c r="E11" i="17"/>
  <c r="C80" i="35" s="1"/>
  <c r="B80" i="54" s="1"/>
  <c r="H11" i="17"/>
  <c r="K11" i="17"/>
  <c r="N11" i="17"/>
  <c r="E12" i="17"/>
  <c r="C81" i="35" s="1"/>
  <c r="H12" i="17"/>
  <c r="K12" i="17"/>
  <c r="N12" i="17"/>
  <c r="E13" i="17"/>
  <c r="C82" i="35" s="1"/>
  <c r="F82" i="35" s="1"/>
  <c r="H13" i="17"/>
  <c r="K13" i="17"/>
  <c r="N13" i="17"/>
  <c r="E14" i="17"/>
  <c r="C83" i="35" s="1"/>
  <c r="B83" i="54" s="1"/>
  <c r="H14" i="17"/>
  <c r="K14" i="17"/>
  <c r="N14" i="17"/>
  <c r="E15" i="17"/>
  <c r="C84" i="35"/>
  <c r="B84" i="54" s="1"/>
  <c r="H15" i="17"/>
  <c r="K15" i="17"/>
  <c r="N15" i="17"/>
  <c r="E16" i="17"/>
  <c r="C85" i="35"/>
  <c r="B85" i="54" s="1"/>
  <c r="H16" i="17"/>
  <c r="K16" i="17"/>
  <c r="N16" i="17"/>
  <c r="E17" i="17"/>
  <c r="C86" i="35" s="1"/>
  <c r="B86" i="54"/>
  <c r="H17" i="17"/>
  <c r="K17" i="17"/>
  <c r="N17" i="17"/>
  <c r="E18" i="17"/>
  <c r="C87" i="35" s="1"/>
  <c r="F87" i="35" s="1"/>
  <c r="H18" i="17"/>
  <c r="K18" i="17"/>
  <c r="N18" i="17"/>
  <c r="E19" i="17"/>
  <c r="C88" i="35"/>
  <c r="B88" i="54" s="1"/>
  <c r="H19" i="17"/>
  <c r="K19" i="17"/>
  <c r="N19" i="17"/>
  <c r="E20" i="17"/>
  <c r="C89" i="35"/>
  <c r="F89" i="35" s="1"/>
  <c r="H20" i="17"/>
  <c r="K20" i="17"/>
  <c r="N20" i="17"/>
  <c r="E21" i="17"/>
  <c r="C90" i="35" s="1"/>
  <c r="B90" i="54"/>
  <c r="H21" i="17"/>
  <c r="K21" i="17"/>
  <c r="N21" i="17"/>
  <c r="E22" i="17"/>
  <c r="C91" i="35" s="1"/>
  <c r="B91" i="54" s="1"/>
  <c r="H22" i="17"/>
  <c r="K22" i="17"/>
  <c r="N22" i="17"/>
  <c r="E23" i="17"/>
  <c r="C92" i="35"/>
  <c r="B92" i="54" s="1"/>
  <c r="H23" i="17"/>
  <c r="K23" i="17"/>
  <c r="N23" i="17"/>
  <c r="E24" i="17"/>
  <c r="C93" i="35" s="1"/>
  <c r="H24" i="17"/>
  <c r="K24" i="17"/>
  <c r="N24" i="17"/>
  <c r="E25" i="17"/>
  <c r="C94" i="35"/>
  <c r="F94" i="35" s="1"/>
  <c r="H25" i="17"/>
  <c r="K25" i="17"/>
  <c r="N25" i="17"/>
  <c r="E26" i="17"/>
  <c r="C95" i="35" s="1"/>
  <c r="B95" i="54" s="1"/>
  <c r="H26" i="17"/>
  <c r="K26" i="17"/>
  <c r="N26" i="17"/>
  <c r="E27" i="17"/>
  <c r="C96" i="35" s="1"/>
  <c r="B96" i="54" s="1"/>
  <c r="H27" i="17"/>
  <c r="K27" i="17"/>
  <c r="N27" i="17"/>
  <c r="E28" i="17"/>
  <c r="C97" i="35"/>
  <c r="B97" i="54" s="1"/>
  <c r="H28" i="17"/>
  <c r="K28" i="17"/>
  <c r="N28" i="17"/>
  <c r="E29" i="17"/>
  <c r="C98" i="35"/>
  <c r="F98" i="35" s="1"/>
  <c r="H29" i="17"/>
  <c r="K29" i="17"/>
  <c r="N29" i="17"/>
  <c r="E30" i="17"/>
  <c r="C99" i="35" s="1"/>
  <c r="B99" i="54" s="1"/>
  <c r="H30" i="17"/>
  <c r="K30" i="17"/>
  <c r="N30" i="17"/>
  <c r="E31" i="17"/>
  <c r="C100" i="35" s="1"/>
  <c r="H31" i="17"/>
  <c r="K31" i="17"/>
  <c r="N31" i="17"/>
  <c r="E32" i="17"/>
  <c r="C101" i="35" s="1"/>
  <c r="B101" i="54" s="1"/>
  <c r="H32" i="17"/>
  <c r="K32" i="17"/>
  <c r="N32" i="17"/>
  <c r="E33" i="17"/>
  <c r="C102" i="35"/>
  <c r="B102" i="54"/>
  <c r="H33" i="17"/>
  <c r="K33" i="17"/>
  <c r="N33" i="17"/>
  <c r="E34" i="17"/>
  <c r="C103" i="35"/>
  <c r="B103" i="54" s="1"/>
  <c r="H34" i="17"/>
  <c r="K34" i="17"/>
  <c r="N34" i="17"/>
  <c r="E35" i="17"/>
  <c r="C104" i="35" s="1"/>
  <c r="B104" i="54" s="1"/>
  <c r="H35" i="17"/>
  <c r="K35" i="17"/>
  <c r="N35" i="17"/>
  <c r="E36" i="17"/>
  <c r="C105" i="35" s="1"/>
  <c r="B105" i="54" s="1"/>
  <c r="H36" i="17"/>
  <c r="K36" i="17"/>
  <c r="N36" i="17"/>
  <c r="E37" i="17"/>
  <c r="C106" i="35"/>
  <c r="B106" i="54"/>
  <c r="H37" i="17"/>
  <c r="K37" i="17"/>
  <c r="N37" i="17"/>
  <c r="C38" i="17"/>
  <c r="D38" i="17"/>
  <c r="F38" i="17"/>
  <c r="G38" i="17"/>
  <c r="I38" i="17"/>
  <c r="J38" i="17"/>
  <c r="L38" i="17"/>
  <c r="M38" i="17"/>
  <c r="E39" i="17"/>
  <c r="C108" i="35"/>
  <c r="B108" i="54" s="1"/>
  <c r="H39" i="17"/>
  <c r="K39" i="17"/>
  <c r="N39" i="17"/>
  <c r="E40" i="17"/>
  <c r="C109" i="35"/>
  <c r="F109" i="35" s="1"/>
  <c r="H40" i="17"/>
  <c r="K40" i="17"/>
  <c r="N40" i="17"/>
  <c r="E41" i="17"/>
  <c r="C110" i="35" s="1"/>
  <c r="F110" i="35" s="1"/>
  <c r="H41" i="17"/>
  <c r="K41" i="17"/>
  <c r="N41" i="17"/>
  <c r="E42" i="17"/>
  <c r="C111" i="35" s="1"/>
  <c r="B111" i="54"/>
  <c r="H42" i="17"/>
  <c r="K42" i="17"/>
  <c r="N42" i="17"/>
  <c r="E43" i="17"/>
  <c r="C112" i="35"/>
  <c r="H43" i="17"/>
  <c r="K43" i="17"/>
  <c r="N43" i="17"/>
  <c r="E44" i="17"/>
  <c r="C113" i="35" s="1"/>
  <c r="F113" i="35"/>
  <c r="H44" i="17"/>
  <c r="K44" i="17"/>
  <c r="N44" i="17"/>
  <c r="E45" i="17"/>
  <c r="C114" i="35"/>
  <c r="B114" i="54"/>
  <c r="H45" i="17"/>
  <c r="K45" i="17"/>
  <c r="N45" i="17"/>
  <c r="E46" i="17"/>
  <c r="C115" i="35" s="1"/>
  <c r="F115" i="35" s="1"/>
  <c r="H46" i="17"/>
  <c r="K46" i="17"/>
  <c r="N46" i="17"/>
  <c r="A1" i="106"/>
  <c r="L7" i="106"/>
  <c r="F8" i="106"/>
  <c r="J8" i="106"/>
  <c r="K8" i="106"/>
  <c r="N8" i="106"/>
  <c r="L8" i="106"/>
  <c r="M8" i="106"/>
  <c r="R8" i="106"/>
  <c r="F9" i="106"/>
  <c r="J9" i="106"/>
  <c r="K9" i="106"/>
  <c r="N9" i="106"/>
  <c r="L9" i="106"/>
  <c r="M9" i="106"/>
  <c r="R9" i="106"/>
  <c r="F10" i="106"/>
  <c r="J10" i="106"/>
  <c r="K10" i="106"/>
  <c r="N10" i="106"/>
  <c r="L10" i="106"/>
  <c r="M10" i="106"/>
  <c r="R10" i="106"/>
  <c r="F11" i="106"/>
  <c r="J11" i="106"/>
  <c r="K11" i="106"/>
  <c r="N11" i="106" s="1"/>
  <c r="L11" i="106"/>
  <c r="M11" i="106"/>
  <c r="R11" i="106"/>
  <c r="F12" i="106"/>
  <c r="J12" i="106"/>
  <c r="K12" i="106"/>
  <c r="N12" i="106" s="1"/>
  <c r="L12" i="106"/>
  <c r="M12" i="106"/>
  <c r="R12" i="106"/>
  <c r="C15" i="106"/>
  <c r="F15" i="106" s="1"/>
  <c r="D15" i="106"/>
  <c r="E15" i="106"/>
  <c r="M15" i="106" s="1"/>
  <c r="G15" i="106"/>
  <c r="H15" i="106"/>
  <c r="I15" i="106"/>
  <c r="K15" i="106"/>
  <c r="N15" i="106" s="1"/>
  <c r="R15" i="106"/>
  <c r="F16" i="106"/>
  <c r="J16" i="106"/>
  <c r="K16" i="106"/>
  <c r="N16" i="106"/>
  <c r="L16" i="106"/>
  <c r="M16" i="106"/>
  <c r="R16" i="106"/>
  <c r="F17" i="106"/>
  <c r="J17" i="106"/>
  <c r="K17" i="106"/>
  <c r="N17" i="106" s="1"/>
  <c r="L17" i="106"/>
  <c r="M17" i="106"/>
  <c r="R17" i="106"/>
  <c r="F18" i="106"/>
  <c r="J18" i="106"/>
  <c r="K18" i="106"/>
  <c r="N18" i="106" s="1"/>
  <c r="L18" i="106"/>
  <c r="M18" i="106"/>
  <c r="R18" i="106"/>
  <c r="F19" i="106"/>
  <c r="J19" i="106"/>
  <c r="K19" i="106"/>
  <c r="N19" i="106" s="1"/>
  <c r="L19" i="106"/>
  <c r="M19" i="106"/>
  <c r="R19" i="106"/>
  <c r="F20" i="106"/>
  <c r="J20" i="106"/>
  <c r="K20" i="106"/>
  <c r="N20" i="106"/>
  <c r="L20" i="106"/>
  <c r="M20" i="106"/>
  <c r="R20" i="106"/>
  <c r="O21" i="106"/>
  <c r="R21" i="106"/>
  <c r="P21" i="106"/>
  <c r="Q21" i="106"/>
  <c r="A1" i="13"/>
  <c r="C7" i="13"/>
  <c r="F7" i="13" s="1"/>
  <c r="D7" i="13"/>
  <c r="E7" i="13"/>
  <c r="G7" i="13"/>
  <c r="H7" i="13"/>
  <c r="I7" i="13"/>
  <c r="R7" i="13"/>
  <c r="A8" i="13"/>
  <c r="F8" i="13"/>
  <c r="J8" i="13"/>
  <c r="K8" i="13"/>
  <c r="N8" i="13" s="1"/>
  <c r="L8" i="13"/>
  <c r="M8" i="13"/>
  <c r="R8" i="13"/>
  <c r="A9" i="13"/>
  <c r="F9" i="13"/>
  <c r="J9" i="13"/>
  <c r="K9" i="13"/>
  <c r="L9" i="13"/>
  <c r="M9" i="13"/>
  <c r="N9" i="13"/>
  <c r="R9" i="13"/>
  <c r="A10" i="13"/>
  <c r="A11" i="13"/>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F10" i="13"/>
  <c r="J10" i="13"/>
  <c r="K10" i="13"/>
  <c r="N10" i="13" s="1"/>
  <c r="L10" i="13"/>
  <c r="M10" i="13"/>
  <c r="R10" i="13"/>
  <c r="F11" i="13"/>
  <c r="J11" i="13"/>
  <c r="K11" i="13"/>
  <c r="N11" i="13" s="1"/>
  <c r="L11" i="13"/>
  <c r="M11" i="13"/>
  <c r="R11" i="13"/>
  <c r="F12" i="13"/>
  <c r="J12" i="13"/>
  <c r="K12" i="13"/>
  <c r="N12" i="13"/>
  <c r="L12" i="13"/>
  <c r="M12" i="13"/>
  <c r="R12" i="13"/>
  <c r="F13" i="13"/>
  <c r="J13" i="13"/>
  <c r="K13" i="13"/>
  <c r="N13" i="13"/>
  <c r="L13" i="13"/>
  <c r="M13" i="13"/>
  <c r="R13" i="13"/>
  <c r="F14" i="13"/>
  <c r="J14" i="13"/>
  <c r="K14" i="13"/>
  <c r="N14" i="13" s="1"/>
  <c r="L14" i="13"/>
  <c r="M14" i="13"/>
  <c r="M7" i="13" s="1"/>
  <c r="R14" i="13"/>
  <c r="F15" i="13"/>
  <c r="J15" i="13"/>
  <c r="K15" i="13"/>
  <c r="N15" i="13"/>
  <c r="L15" i="13"/>
  <c r="M15" i="13"/>
  <c r="R15" i="13"/>
  <c r="F16" i="13"/>
  <c r="J16" i="13"/>
  <c r="K16" i="13"/>
  <c r="N16" i="13" s="1"/>
  <c r="L16" i="13"/>
  <c r="M16" i="13"/>
  <c r="R16" i="13"/>
  <c r="F17" i="13"/>
  <c r="J17" i="13"/>
  <c r="K17" i="13"/>
  <c r="N17" i="13"/>
  <c r="L17" i="13"/>
  <c r="M17" i="13"/>
  <c r="R17" i="13"/>
  <c r="F18" i="13"/>
  <c r="J18" i="13"/>
  <c r="K18" i="13"/>
  <c r="N18" i="13" s="1"/>
  <c r="L18" i="13"/>
  <c r="M18" i="13"/>
  <c r="R18" i="13"/>
  <c r="F19" i="13"/>
  <c r="J19" i="13"/>
  <c r="K19" i="13"/>
  <c r="N19" i="13" s="1"/>
  <c r="L19" i="13"/>
  <c r="M19" i="13"/>
  <c r="R19" i="13"/>
  <c r="F20" i="13"/>
  <c r="J20" i="13"/>
  <c r="K20" i="13"/>
  <c r="N20" i="13" s="1"/>
  <c r="L20" i="13"/>
  <c r="M20" i="13"/>
  <c r="R20" i="13"/>
  <c r="F21" i="13"/>
  <c r="J21" i="13"/>
  <c r="K21" i="13"/>
  <c r="L21" i="13"/>
  <c r="M21" i="13"/>
  <c r="N21" i="13"/>
  <c r="R21" i="13"/>
  <c r="F22" i="13"/>
  <c r="J22" i="13"/>
  <c r="K22" i="13"/>
  <c r="L22" i="13"/>
  <c r="M22" i="13"/>
  <c r="N22" i="13"/>
  <c r="R22" i="13"/>
  <c r="F23" i="13"/>
  <c r="J23" i="13"/>
  <c r="K23" i="13"/>
  <c r="L23" i="13"/>
  <c r="M23" i="13"/>
  <c r="N23" i="13"/>
  <c r="R23" i="13"/>
  <c r="F24" i="13"/>
  <c r="J24" i="13"/>
  <c r="K24" i="13"/>
  <c r="N24" i="13" s="1"/>
  <c r="L24" i="13"/>
  <c r="M24" i="13"/>
  <c r="R24" i="13"/>
  <c r="F25" i="13"/>
  <c r="J25" i="13"/>
  <c r="K25" i="13"/>
  <c r="L25" i="13"/>
  <c r="M25" i="13"/>
  <c r="N25" i="13"/>
  <c r="R25" i="13"/>
  <c r="F26" i="13"/>
  <c r="J26" i="13"/>
  <c r="K26" i="13"/>
  <c r="N26" i="13" s="1"/>
  <c r="L26" i="13"/>
  <c r="M26" i="13"/>
  <c r="R26" i="13"/>
  <c r="F27" i="13"/>
  <c r="J27" i="13"/>
  <c r="K27" i="13"/>
  <c r="N27" i="13" s="1"/>
  <c r="L27" i="13"/>
  <c r="M27" i="13"/>
  <c r="R27" i="13"/>
  <c r="F28" i="13"/>
  <c r="J28" i="13"/>
  <c r="K28" i="13"/>
  <c r="N28" i="13" s="1"/>
  <c r="L28" i="13"/>
  <c r="M28" i="13"/>
  <c r="R28" i="13"/>
  <c r="F29" i="13"/>
  <c r="J29" i="13"/>
  <c r="K29" i="13"/>
  <c r="L29" i="13"/>
  <c r="M29" i="13"/>
  <c r="N29" i="13"/>
  <c r="R29" i="13"/>
  <c r="F30" i="13"/>
  <c r="J30" i="13"/>
  <c r="K30" i="13"/>
  <c r="L30" i="13"/>
  <c r="M30" i="13"/>
  <c r="N30" i="13"/>
  <c r="R30" i="13"/>
  <c r="F31" i="13"/>
  <c r="J31" i="13"/>
  <c r="K31" i="13"/>
  <c r="L31" i="13"/>
  <c r="M31" i="13"/>
  <c r="N31" i="13"/>
  <c r="R31" i="13"/>
  <c r="F32" i="13"/>
  <c r="J32" i="13"/>
  <c r="K32" i="13"/>
  <c r="N32" i="13" s="1"/>
  <c r="L32" i="13"/>
  <c r="M32" i="13"/>
  <c r="R32" i="13"/>
  <c r="F33" i="13"/>
  <c r="J33" i="13"/>
  <c r="K33" i="13"/>
  <c r="L33" i="13"/>
  <c r="M33" i="13"/>
  <c r="N33" i="13"/>
  <c r="R33" i="13"/>
  <c r="F34" i="13"/>
  <c r="J34" i="13"/>
  <c r="K34" i="13"/>
  <c r="N34" i="13" s="1"/>
  <c r="L34" i="13"/>
  <c r="M34" i="13"/>
  <c r="R34" i="13"/>
  <c r="F35" i="13"/>
  <c r="J35" i="13"/>
  <c r="K35" i="13"/>
  <c r="N35" i="13" s="1"/>
  <c r="L35" i="13"/>
  <c r="M35" i="13"/>
  <c r="R35" i="13"/>
  <c r="F36" i="13"/>
  <c r="J36" i="13"/>
  <c r="K36" i="13"/>
  <c r="N36" i="13"/>
  <c r="L36" i="13"/>
  <c r="M36" i="13"/>
  <c r="R36" i="13"/>
  <c r="F37" i="13"/>
  <c r="J37" i="13"/>
  <c r="K37" i="13"/>
  <c r="N37" i="13"/>
  <c r="L37" i="13"/>
  <c r="M37" i="13"/>
  <c r="R37" i="13"/>
  <c r="C38" i="13"/>
  <c r="C47" i="13" s="1"/>
  <c r="F47" i="13" s="1"/>
  <c r="D38" i="13"/>
  <c r="E38" i="13"/>
  <c r="G38" i="13"/>
  <c r="J38" i="13" s="1"/>
  <c r="H38" i="13"/>
  <c r="H47" i="13" s="1"/>
  <c r="I38" i="13"/>
  <c r="R38" i="13"/>
  <c r="F39" i="13"/>
  <c r="J39" i="13"/>
  <c r="K39" i="13"/>
  <c r="N39" i="13"/>
  <c r="L39" i="13"/>
  <c r="M39" i="13"/>
  <c r="R39" i="13"/>
  <c r="F40" i="13"/>
  <c r="J40" i="13"/>
  <c r="K40" i="13"/>
  <c r="N40" i="13"/>
  <c r="L40" i="13"/>
  <c r="M40" i="13"/>
  <c r="R40" i="13"/>
  <c r="F41" i="13"/>
  <c r="J41" i="13"/>
  <c r="K41" i="13"/>
  <c r="N41" i="13"/>
  <c r="L41" i="13"/>
  <c r="M41" i="13"/>
  <c r="R41" i="13"/>
  <c r="F42" i="13"/>
  <c r="J42" i="13"/>
  <c r="K42" i="13"/>
  <c r="N42" i="13" s="1"/>
  <c r="L42" i="13"/>
  <c r="M42" i="13"/>
  <c r="R42" i="13"/>
  <c r="F43" i="13"/>
  <c r="J43" i="13"/>
  <c r="K43" i="13"/>
  <c r="N43" i="13"/>
  <c r="L43" i="13"/>
  <c r="M43" i="13"/>
  <c r="R43" i="13"/>
  <c r="F44" i="13"/>
  <c r="J44" i="13"/>
  <c r="K44" i="13"/>
  <c r="N44" i="13" s="1"/>
  <c r="L44" i="13"/>
  <c r="M44" i="13"/>
  <c r="R44" i="13"/>
  <c r="F45" i="13"/>
  <c r="J45" i="13"/>
  <c r="K45" i="13"/>
  <c r="N45" i="13"/>
  <c r="L45" i="13"/>
  <c r="M45" i="13"/>
  <c r="R45" i="13"/>
  <c r="F46" i="13"/>
  <c r="J46" i="13"/>
  <c r="K46" i="13"/>
  <c r="N46" i="13" s="1"/>
  <c r="L46" i="13"/>
  <c r="M46" i="13"/>
  <c r="R46" i="13"/>
  <c r="O47" i="13"/>
  <c r="R47" i="13"/>
  <c r="P47" i="13"/>
  <c r="Q47" i="13"/>
  <c r="A1" i="12"/>
  <c r="F7" i="12"/>
  <c r="J7" i="12"/>
  <c r="F8" i="12"/>
  <c r="J8" i="12"/>
  <c r="F9" i="12"/>
  <c r="J9" i="12"/>
  <c r="F10" i="12"/>
  <c r="J10" i="12"/>
  <c r="F11" i="12"/>
  <c r="J11" i="12"/>
  <c r="C14" i="12"/>
  <c r="C20" i="12" s="1"/>
  <c r="D14" i="12"/>
  <c r="E14" i="12"/>
  <c r="E20" i="12" s="1"/>
  <c r="G14" i="12"/>
  <c r="J14" i="12"/>
  <c r="H14" i="12"/>
  <c r="I14" i="12"/>
  <c r="I20" i="12" s="1"/>
  <c r="F15" i="12"/>
  <c r="J15" i="12"/>
  <c r="F16" i="12"/>
  <c r="J16" i="12"/>
  <c r="F17" i="12"/>
  <c r="J17" i="12"/>
  <c r="F18" i="12"/>
  <c r="J18" i="12"/>
  <c r="F19" i="12"/>
  <c r="J19" i="12"/>
  <c r="D20" i="12"/>
  <c r="G20" i="12"/>
  <c r="J20" i="12"/>
  <c r="H20" i="12"/>
  <c r="A1" i="11"/>
  <c r="C6" i="11"/>
  <c r="F6" i="11"/>
  <c r="D6" i="11"/>
  <c r="D46" i="11" s="1"/>
  <c r="D47" i="11" s="1"/>
  <c r="E6" i="11"/>
  <c r="G6" i="11"/>
  <c r="J6" i="11" s="1"/>
  <c r="H6" i="11"/>
  <c r="I6" i="11"/>
  <c r="A7" i="11"/>
  <c r="A8" i="11"/>
  <c r="A9" i="1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F7" i="11"/>
  <c r="J7" i="11"/>
  <c r="F8" i="11"/>
  <c r="J8" i="11"/>
  <c r="F9" i="11"/>
  <c r="J9" i="11"/>
  <c r="F10" i="11"/>
  <c r="J10" i="11"/>
  <c r="F11" i="11"/>
  <c r="J11" i="11"/>
  <c r="F12" i="11"/>
  <c r="J12" i="11"/>
  <c r="F13" i="11"/>
  <c r="J13" i="11"/>
  <c r="F14" i="11"/>
  <c r="J14" i="11"/>
  <c r="F15" i="11"/>
  <c r="J15" i="11"/>
  <c r="F16" i="11"/>
  <c r="J16" i="11"/>
  <c r="F17" i="11"/>
  <c r="J17" i="11"/>
  <c r="F18" i="11"/>
  <c r="J18" i="11"/>
  <c r="F19" i="11"/>
  <c r="J19" i="11"/>
  <c r="F20" i="11"/>
  <c r="J20" i="11"/>
  <c r="F21" i="11"/>
  <c r="J21" i="11"/>
  <c r="F22" i="11"/>
  <c r="J22" i="11"/>
  <c r="F23" i="11"/>
  <c r="J23" i="11"/>
  <c r="F24" i="11"/>
  <c r="J24" i="11"/>
  <c r="F25" i="11"/>
  <c r="J25" i="11"/>
  <c r="F26" i="11"/>
  <c r="J26" i="11"/>
  <c r="F27" i="11"/>
  <c r="J27" i="11"/>
  <c r="F28" i="11"/>
  <c r="J28" i="11"/>
  <c r="F29" i="11"/>
  <c r="J29" i="11"/>
  <c r="F30" i="11"/>
  <c r="J30" i="11"/>
  <c r="F31" i="11"/>
  <c r="J31" i="11"/>
  <c r="F32" i="11"/>
  <c r="J32" i="11"/>
  <c r="F33" i="11"/>
  <c r="J33" i="11"/>
  <c r="F34" i="11"/>
  <c r="J34" i="11"/>
  <c r="F35" i="11"/>
  <c r="J35" i="11"/>
  <c r="F36" i="11"/>
  <c r="J36" i="11"/>
  <c r="C37" i="11"/>
  <c r="F37" i="11" s="1"/>
  <c r="D37" i="11"/>
  <c r="E37" i="11"/>
  <c r="E46" i="11"/>
  <c r="E47" i="11" s="1"/>
  <c r="G37" i="11"/>
  <c r="J37" i="11"/>
  <c r="H37" i="11"/>
  <c r="H46" i="11"/>
  <c r="H47" i="11" s="1"/>
  <c r="I37" i="11"/>
  <c r="F38" i="11"/>
  <c r="J38" i="11"/>
  <c r="F39" i="11"/>
  <c r="J39" i="11"/>
  <c r="F40" i="11"/>
  <c r="J40" i="11"/>
  <c r="F41" i="11"/>
  <c r="J41" i="11"/>
  <c r="F42" i="11"/>
  <c r="J42" i="11"/>
  <c r="F43" i="11"/>
  <c r="J43" i="11"/>
  <c r="F44" i="11"/>
  <c r="J44" i="11"/>
  <c r="F45" i="11"/>
  <c r="J45" i="11"/>
  <c r="A1" i="70"/>
  <c r="J30" i="70"/>
  <c r="K30" i="70"/>
  <c r="L30" i="70"/>
  <c r="M30" i="70"/>
  <c r="N30" i="70"/>
  <c r="O30" i="70"/>
  <c r="P30" i="70"/>
  <c r="Q30" i="70"/>
  <c r="R30" i="70"/>
  <c r="A1" i="69"/>
  <c r="A7" i="69"/>
  <c r="A8" i="69" s="1"/>
  <c r="A9" i="69" s="1"/>
  <c r="A10" i="69" s="1"/>
  <c r="A11" i="69" s="1"/>
  <c r="A12" i="69" s="1"/>
  <c r="A13" i="69" s="1"/>
  <c r="A14" i="69" s="1"/>
  <c r="A15" i="69" s="1"/>
  <c r="A16" i="69" s="1"/>
  <c r="A17" i="69" s="1"/>
  <c r="A18" i="69" s="1"/>
  <c r="A19" i="69" s="1"/>
  <c r="A20" i="69" s="1"/>
  <c r="A21" i="69" s="1"/>
  <c r="A22" i="69" s="1"/>
  <c r="A23" i="69" s="1"/>
  <c r="A24" i="69" s="1"/>
  <c r="A25" i="69" s="1"/>
  <c r="A26" i="69" s="1"/>
  <c r="A27" i="69" s="1"/>
  <c r="A28" i="69" s="1"/>
  <c r="A29" i="69" s="1"/>
  <c r="A30" i="69" s="1"/>
  <c r="J30" i="69"/>
  <c r="K30" i="69"/>
  <c r="L30" i="69"/>
  <c r="M30" i="69"/>
  <c r="N30" i="69"/>
  <c r="O30" i="69"/>
  <c r="P30" i="69"/>
  <c r="Q30" i="69"/>
  <c r="R30" i="69"/>
  <c r="A1" i="68"/>
  <c r="A1" i="67"/>
  <c r="A1" i="66"/>
  <c r="G7" i="66"/>
  <c r="A1" i="77"/>
  <c r="N18" i="77"/>
  <c r="G10" i="66"/>
  <c r="O18" i="77"/>
  <c r="H10" i="66"/>
  <c r="P18" i="77"/>
  <c r="I10" i="66"/>
  <c r="R18" i="77"/>
  <c r="N31" i="77"/>
  <c r="J10" i="66" s="1"/>
  <c r="O31" i="77"/>
  <c r="K10" i="66"/>
  <c r="P31" i="77"/>
  <c r="L10" i="66" s="1"/>
  <c r="R31" i="77"/>
  <c r="N42" i="77"/>
  <c r="G16" i="66"/>
  <c r="O42" i="77"/>
  <c r="H16" i="66"/>
  <c r="P42" i="77"/>
  <c r="I16" i="66" s="1"/>
  <c r="R42" i="77"/>
  <c r="N53" i="77"/>
  <c r="J16" i="66" s="1"/>
  <c r="O53" i="77"/>
  <c r="K16" i="66" s="1"/>
  <c r="P53" i="77"/>
  <c r="L16" i="66"/>
  <c r="R53" i="77"/>
  <c r="N64" i="77"/>
  <c r="D30" i="66"/>
  <c r="O64" i="77"/>
  <c r="E30" i="66"/>
  <c r="P64" i="77"/>
  <c r="F30" i="66"/>
  <c r="R64" i="77"/>
  <c r="N75" i="77"/>
  <c r="G30" i="66" s="1"/>
  <c r="O75" i="77"/>
  <c r="P75" i="77"/>
  <c r="I30" i="66" s="1"/>
  <c r="R75" i="77"/>
  <c r="N86" i="77"/>
  <c r="J30" i="66" s="1"/>
  <c r="O86" i="77"/>
  <c r="K30" i="66"/>
  <c r="P86" i="77"/>
  <c r="L30" i="66"/>
  <c r="R86" i="77"/>
  <c r="N93" i="77"/>
  <c r="D37" i="66"/>
  <c r="O93" i="77"/>
  <c r="E37" i="66" s="1"/>
  <c r="P93" i="77"/>
  <c r="F37" i="66" s="1"/>
  <c r="R93" i="77"/>
  <c r="N100" i="77"/>
  <c r="O100" i="77"/>
  <c r="H37" i="66"/>
  <c r="P100" i="77"/>
  <c r="I37" i="66" s="1"/>
  <c r="R100" i="77"/>
  <c r="N107" i="77"/>
  <c r="J37" i="66"/>
  <c r="O107" i="77"/>
  <c r="K37" i="66"/>
  <c r="P107" i="77"/>
  <c r="R107" i="77"/>
  <c r="N115" i="77"/>
  <c r="G9" i="67" s="1"/>
  <c r="O115" i="77"/>
  <c r="H9" i="67" s="1"/>
  <c r="P115" i="77"/>
  <c r="I9" i="67"/>
  <c r="R115" i="77"/>
  <c r="N122" i="77"/>
  <c r="O122" i="77"/>
  <c r="K9" i="67" s="1"/>
  <c r="P122" i="77"/>
  <c r="R122" i="77"/>
  <c r="N129" i="77"/>
  <c r="D14" i="67"/>
  <c r="O129" i="77"/>
  <c r="E14" i="67" s="1"/>
  <c r="P129" i="77"/>
  <c r="F14" i="67" s="1"/>
  <c r="R129" i="77"/>
  <c r="N136" i="77"/>
  <c r="G14" i="67"/>
  <c r="O136" i="77"/>
  <c r="H14" i="67" s="1"/>
  <c r="P136" i="77"/>
  <c r="I14" i="67"/>
  <c r="R136" i="77"/>
  <c r="N143" i="77"/>
  <c r="J14" i="67" s="1"/>
  <c r="O143" i="77"/>
  <c r="K14" i="67"/>
  <c r="P143" i="77"/>
  <c r="L14" i="67" s="1"/>
  <c r="R143" i="77"/>
  <c r="N150" i="77"/>
  <c r="D19" i="67"/>
  <c r="O150" i="77"/>
  <c r="E19" i="67"/>
  <c r="P150" i="77"/>
  <c r="F19" i="67"/>
  <c r="R150" i="77"/>
  <c r="N157" i="77"/>
  <c r="G19" i="67" s="1"/>
  <c r="O157" i="77"/>
  <c r="H19" i="67" s="1"/>
  <c r="P157" i="77"/>
  <c r="I19" i="67"/>
  <c r="R157" i="77"/>
  <c r="N164" i="77"/>
  <c r="J19" i="67"/>
  <c r="O164" i="77"/>
  <c r="K19" i="67"/>
  <c r="P164" i="77"/>
  <c r="L19" i="67"/>
  <c r="R164" i="77"/>
  <c r="N172" i="77"/>
  <c r="O172" i="77"/>
  <c r="P172" i="77"/>
  <c r="R172" i="77"/>
  <c r="N179" i="77"/>
  <c r="J8" i="68" s="1"/>
  <c r="O179" i="77"/>
  <c r="K8" i="68"/>
  <c r="P179" i="77"/>
  <c r="L8" i="68" s="1"/>
  <c r="R179" i="77"/>
  <c r="R222" i="77" s="1"/>
  <c r="N186" i="77"/>
  <c r="D12" i="68"/>
  <c r="O186" i="77"/>
  <c r="E12" i="68"/>
  <c r="P186" i="77"/>
  <c r="F12" i="68"/>
  <c r="R186" i="77"/>
  <c r="N193" i="77"/>
  <c r="G12" i="68" s="1"/>
  <c r="O193" i="77"/>
  <c r="H12" i="68" s="1"/>
  <c r="P193" i="77"/>
  <c r="I12" i="68"/>
  <c r="R193" i="77"/>
  <c r="N200" i="77"/>
  <c r="J12" i="68"/>
  <c r="O200" i="77"/>
  <c r="K12" i="68"/>
  <c r="P200" i="77"/>
  <c r="L12" i="68"/>
  <c r="R200" i="77"/>
  <c r="N207" i="77"/>
  <c r="D16" i="68" s="1"/>
  <c r="O207" i="77"/>
  <c r="E16" i="68" s="1"/>
  <c r="P207" i="77"/>
  <c r="F16" i="68" s="1"/>
  <c r="R207" i="77"/>
  <c r="N214" i="77"/>
  <c r="G16" i="68" s="1"/>
  <c r="G17" i="68" s="1"/>
  <c r="O214" i="77"/>
  <c r="H16" i="68"/>
  <c r="P214" i="77"/>
  <c r="I16" i="68"/>
  <c r="R214" i="77"/>
  <c r="N221" i="77"/>
  <c r="J16" i="68"/>
  <c r="J17" i="68" s="1"/>
  <c r="O221" i="77"/>
  <c r="K16" i="68" s="1"/>
  <c r="P221" i="77"/>
  <c r="L16" i="68" s="1"/>
  <c r="R221" i="77"/>
  <c r="A1" i="76"/>
  <c r="M18" i="76"/>
  <c r="N18" i="76"/>
  <c r="G9" i="66"/>
  <c r="O18" i="76"/>
  <c r="H9" i="66"/>
  <c r="P18" i="76"/>
  <c r="I9" i="66"/>
  <c r="R18" i="76"/>
  <c r="T18" i="76"/>
  <c r="U18" i="76"/>
  <c r="V18" i="76"/>
  <c r="W18" i="76"/>
  <c r="M31" i="76"/>
  <c r="N31" i="76"/>
  <c r="J9" i="66"/>
  <c r="O31" i="76"/>
  <c r="K9" i="66"/>
  <c r="P31" i="76"/>
  <c r="L9" i="66"/>
  <c r="R31" i="76"/>
  <c r="T31" i="76"/>
  <c r="U31" i="76"/>
  <c r="V31" i="76"/>
  <c r="W31" i="76"/>
  <c r="M42" i="76"/>
  <c r="N42" i="76"/>
  <c r="G15" i="66"/>
  <c r="O42" i="76"/>
  <c r="H15" i="66"/>
  <c r="P42" i="76"/>
  <c r="R42" i="76"/>
  <c r="T42" i="76"/>
  <c r="U42" i="76"/>
  <c r="V42" i="76"/>
  <c r="W42" i="76"/>
  <c r="M53" i="76"/>
  <c r="N53" i="76"/>
  <c r="J15" i="66" s="1"/>
  <c r="O53" i="76"/>
  <c r="K15" i="66" s="1"/>
  <c r="P53" i="76"/>
  <c r="L15" i="66"/>
  <c r="R53" i="76"/>
  <c r="T53" i="76"/>
  <c r="U53" i="76"/>
  <c r="V53" i="76"/>
  <c r="W53" i="76"/>
  <c r="M64" i="76"/>
  <c r="N64" i="76"/>
  <c r="D29" i="66"/>
  <c r="O64" i="76"/>
  <c r="E29" i="66" s="1"/>
  <c r="P64" i="76"/>
  <c r="F29" i="66" s="1"/>
  <c r="R64" i="76"/>
  <c r="T64" i="76"/>
  <c r="U64" i="76"/>
  <c r="V64" i="76"/>
  <c r="W64" i="76"/>
  <c r="M75" i="76"/>
  <c r="N75" i="76"/>
  <c r="G29" i="66" s="1"/>
  <c r="O75" i="76"/>
  <c r="H29" i="66" s="1"/>
  <c r="P75" i="76"/>
  <c r="I29" i="66"/>
  <c r="R75" i="76"/>
  <c r="T75" i="76"/>
  <c r="U75" i="76"/>
  <c r="V75" i="76"/>
  <c r="W75" i="76"/>
  <c r="M86" i="76"/>
  <c r="N86" i="76"/>
  <c r="J29" i="66"/>
  <c r="O86" i="76"/>
  <c r="K29" i="66" s="1"/>
  <c r="P86" i="76"/>
  <c r="L29" i="66" s="1"/>
  <c r="R86" i="76"/>
  <c r="T86" i="76"/>
  <c r="U86" i="76"/>
  <c r="V86" i="76"/>
  <c r="W86" i="76"/>
  <c r="M93" i="76"/>
  <c r="N93" i="76"/>
  <c r="D36" i="66" s="1"/>
  <c r="O93" i="76"/>
  <c r="E36" i="66" s="1"/>
  <c r="P93" i="76"/>
  <c r="F36" i="66"/>
  <c r="R93" i="76"/>
  <c r="T93" i="76"/>
  <c r="U93" i="76"/>
  <c r="V93" i="76"/>
  <c r="W93" i="76"/>
  <c r="M100" i="76"/>
  <c r="N100" i="76"/>
  <c r="G36" i="66"/>
  <c r="O100" i="76"/>
  <c r="H36" i="66" s="1"/>
  <c r="P100" i="76"/>
  <c r="I36" i="66" s="1"/>
  <c r="R100" i="76"/>
  <c r="T100" i="76"/>
  <c r="U100" i="76"/>
  <c r="V100" i="76"/>
  <c r="W100" i="76"/>
  <c r="M107" i="76"/>
  <c r="N107" i="76"/>
  <c r="O107" i="76"/>
  <c r="P107" i="76"/>
  <c r="L36" i="66" s="1"/>
  <c r="R107" i="76"/>
  <c r="T107" i="76"/>
  <c r="U107" i="76"/>
  <c r="V107" i="76"/>
  <c r="W107" i="76"/>
  <c r="M115" i="76"/>
  <c r="N115" i="76"/>
  <c r="O115" i="76"/>
  <c r="H7" i="68"/>
  <c r="P115" i="76"/>
  <c r="R115" i="76"/>
  <c r="T115" i="76"/>
  <c r="U115" i="76"/>
  <c r="V115" i="76"/>
  <c r="W115" i="76"/>
  <c r="M122" i="76"/>
  <c r="N122" i="76"/>
  <c r="O122" i="76"/>
  <c r="K7" i="68" s="1"/>
  <c r="P122" i="76"/>
  <c r="L7" i="68" s="1"/>
  <c r="R122" i="76"/>
  <c r="T122" i="76"/>
  <c r="U122" i="76"/>
  <c r="V122" i="76"/>
  <c r="W122" i="76"/>
  <c r="M129" i="76"/>
  <c r="N129" i="76"/>
  <c r="O129" i="76"/>
  <c r="E11" i="68"/>
  <c r="P129" i="76"/>
  <c r="F11" i="68" s="1"/>
  <c r="R129" i="76"/>
  <c r="T129" i="76"/>
  <c r="U129" i="76"/>
  <c r="V129" i="76"/>
  <c r="W129" i="76"/>
  <c r="M136" i="76"/>
  <c r="N136" i="76"/>
  <c r="G11" i="68" s="1"/>
  <c r="O136" i="76"/>
  <c r="H11" i="68" s="1"/>
  <c r="P136" i="76"/>
  <c r="I11" i="68" s="1"/>
  <c r="R136" i="76"/>
  <c r="T136" i="76"/>
  <c r="U136" i="76"/>
  <c r="V136" i="76"/>
  <c r="W136" i="76"/>
  <c r="M143" i="76"/>
  <c r="N143" i="76"/>
  <c r="J11" i="68" s="1"/>
  <c r="O143" i="76"/>
  <c r="K11" i="68"/>
  <c r="P143" i="76"/>
  <c r="L11" i="68" s="1"/>
  <c r="R143" i="76"/>
  <c r="T143" i="76"/>
  <c r="U143" i="76"/>
  <c r="V143" i="76"/>
  <c r="W143" i="76"/>
  <c r="M150" i="76"/>
  <c r="N150" i="76"/>
  <c r="D15" i="68" s="1"/>
  <c r="O150" i="76"/>
  <c r="E15" i="68" s="1"/>
  <c r="P150" i="76"/>
  <c r="R150" i="76"/>
  <c r="T150" i="76"/>
  <c r="U150" i="76"/>
  <c r="V150" i="76"/>
  <c r="W150" i="76"/>
  <c r="M157" i="76"/>
  <c r="N157" i="76"/>
  <c r="G15" i="68" s="1"/>
  <c r="O157" i="76"/>
  <c r="H15" i="68"/>
  <c r="P157" i="76"/>
  <c r="I15" i="68" s="1"/>
  <c r="R157" i="76"/>
  <c r="T157" i="76"/>
  <c r="U157" i="76"/>
  <c r="V157" i="76"/>
  <c r="W157" i="76"/>
  <c r="M164" i="76"/>
  <c r="N164" i="76"/>
  <c r="J15" i="68" s="1"/>
  <c r="O164" i="76"/>
  <c r="K15" i="68" s="1"/>
  <c r="P164" i="76"/>
  <c r="L15" i="68" s="1"/>
  <c r="R164" i="76"/>
  <c r="T164" i="76"/>
  <c r="U164" i="76"/>
  <c r="V164" i="76"/>
  <c r="W164" i="76"/>
  <c r="W165" i="76" s="1"/>
  <c r="A1" i="75"/>
  <c r="M18" i="75"/>
  <c r="N18" i="75"/>
  <c r="G8" i="66"/>
  <c r="O18" i="75"/>
  <c r="H8" i="66"/>
  <c r="P18" i="75"/>
  <c r="I8" i="66"/>
  <c r="R18" i="75"/>
  <c r="T18" i="75"/>
  <c r="U18" i="75"/>
  <c r="V18" i="75"/>
  <c r="W18" i="75"/>
  <c r="M31" i="75"/>
  <c r="N31" i="75"/>
  <c r="J8" i="66"/>
  <c r="O31" i="75"/>
  <c r="K8" i="66"/>
  <c r="P31" i="75"/>
  <c r="L8" i="66"/>
  <c r="R31" i="75"/>
  <c r="T31" i="75"/>
  <c r="U31" i="75"/>
  <c r="V31" i="75"/>
  <c r="W31" i="75"/>
  <c r="M42" i="75"/>
  <c r="N42" i="75"/>
  <c r="G14" i="66"/>
  <c r="O42" i="75"/>
  <c r="H14" i="66"/>
  <c r="P42" i="75"/>
  <c r="I14" i="66"/>
  <c r="R42" i="75"/>
  <c r="T42" i="75"/>
  <c r="U42" i="75"/>
  <c r="V42" i="75"/>
  <c r="W42" i="75"/>
  <c r="M53" i="75"/>
  <c r="N53" i="75"/>
  <c r="J14" i="66"/>
  <c r="O53" i="75"/>
  <c r="K14" i="66"/>
  <c r="P53" i="75"/>
  <c r="L14" i="66"/>
  <c r="R53" i="75"/>
  <c r="T53" i="75"/>
  <c r="U53" i="75"/>
  <c r="V53" i="75"/>
  <c r="W53" i="75"/>
  <c r="M86" i="75"/>
  <c r="N86" i="75"/>
  <c r="D28" i="66"/>
  <c r="O86" i="75"/>
  <c r="E28" i="66"/>
  <c r="P86" i="75"/>
  <c r="F28" i="66"/>
  <c r="R86" i="75"/>
  <c r="T86" i="75"/>
  <c r="U86" i="75"/>
  <c r="V86" i="75"/>
  <c r="W86" i="75"/>
  <c r="M97" i="75"/>
  <c r="N97" i="75"/>
  <c r="G28" i="66"/>
  <c r="O97" i="75"/>
  <c r="H28" i="66"/>
  <c r="P97" i="75"/>
  <c r="I28" i="66"/>
  <c r="R97" i="75"/>
  <c r="T97" i="75"/>
  <c r="U97" i="75"/>
  <c r="V97" i="75"/>
  <c r="W97" i="75"/>
  <c r="M108" i="75"/>
  <c r="N108" i="75"/>
  <c r="J28" i="66"/>
  <c r="O108" i="75"/>
  <c r="K28" i="66"/>
  <c r="P108" i="75"/>
  <c r="L28" i="66"/>
  <c r="R108" i="75"/>
  <c r="T108" i="75"/>
  <c r="U108" i="75"/>
  <c r="V108" i="75"/>
  <c r="W108" i="75"/>
  <c r="M115" i="75"/>
  <c r="N115" i="75"/>
  <c r="D35" i="66"/>
  <c r="O115" i="75"/>
  <c r="E35" i="66"/>
  <c r="P115" i="75"/>
  <c r="F35" i="66"/>
  <c r="R115" i="75"/>
  <c r="T115" i="75"/>
  <c r="U115" i="75"/>
  <c r="V115" i="75"/>
  <c r="W115" i="75"/>
  <c r="M122" i="75"/>
  <c r="N122" i="75"/>
  <c r="O122" i="75"/>
  <c r="P122" i="75"/>
  <c r="I35" i="66"/>
  <c r="R122" i="75"/>
  <c r="T122" i="75"/>
  <c r="U122" i="75"/>
  <c r="V122" i="75"/>
  <c r="W122" i="75"/>
  <c r="M129" i="75"/>
  <c r="N129" i="75"/>
  <c r="N130" i="75"/>
  <c r="O129" i="75"/>
  <c r="K35" i="66"/>
  <c r="P129" i="75"/>
  <c r="L35" i="66"/>
  <c r="R129" i="75"/>
  <c r="T129" i="75"/>
  <c r="U129" i="75"/>
  <c r="U130" i="75"/>
  <c r="V129" i="75"/>
  <c r="W129" i="75"/>
  <c r="M137" i="75"/>
  <c r="N137" i="75"/>
  <c r="G8" i="67" s="1"/>
  <c r="O137" i="75"/>
  <c r="H8" i="67" s="1"/>
  <c r="P137" i="75"/>
  <c r="I8" i="67" s="1"/>
  <c r="R137" i="75"/>
  <c r="T137" i="75"/>
  <c r="U137" i="75"/>
  <c r="V137" i="75"/>
  <c r="W137" i="75"/>
  <c r="M144" i="75"/>
  <c r="N144" i="75"/>
  <c r="J8" i="67" s="1"/>
  <c r="O144" i="75"/>
  <c r="K8" i="67" s="1"/>
  <c r="K10" i="67" s="1"/>
  <c r="P144" i="75"/>
  <c r="L8" i="67"/>
  <c r="R144" i="75"/>
  <c r="T144" i="75"/>
  <c r="U144" i="75"/>
  <c r="V144" i="75"/>
  <c r="W144" i="75"/>
  <c r="M151" i="75"/>
  <c r="M187" i="75" s="1"/>
  <c r="N151" i="75"/>
  <c r="D13" i="67"/>
  <c r="O151" i="75"/>
  <c r="E13" i="67"/>
  <c r="P151" i="75"/>
  <c r="F13" i="67"/>
  <c r="R151" i="75"/>
  <c r="T151" i="75"/>
  <c r="T187" i="75" s="1"/>
  <c r="U151" i="75"/>
  <c r="V151" i="75"/>
  <c r="W151" i="75"/>
  <c r="M158" i="75"/>
  <c r="N158" i="75"/>
  <c r="G13" i="67"/>
  <c r="O158" i="75"/>
  <c r="H13" i="67"/>
  <c r="P158" i="75"/>
  <c r="I13" i="67"/>
  <c r="R158" i="75"/>
  <c r="T158" i="75"/>
  <c r="U158" i="75"/>
  <c r="V158" i="75"/>
  <c r="W158" i="75"/>
  <c r="W187" i="75"/>
  <c r="M165" i="75"/>
  <c r="N165" i="75"/>
  <c r="J13" i="67" s="1"/>
  <c r="O165" i="75"/>
  <c r="K13" i="67" s="1"/>
  <c r="P165" i="75"/>
  <c r="L13" i="67" s="1"/>
  <c r="R165" i="75"/>
  <c r="T165" i="75"/>
  <c r="U165" i="75"/>
  <c r="U187" i="75" s="1"/>
  <c r="U188" i="75" s="1"/>
  <c r="V165" i="75"/>
  <c r="W165" i="75"/>
  <c r="M172" i="75"/>
  <c r="N172" i="75"/>
  <c r="D18" i="67" s="1"/>
  <c r="O172" i="75"/>
  <c r="E18" i="67" s="1"/>
  <c r="P172" i="75"/>
  <c r="F18" i="67" s="1"/>
  <c r="R172" i="75"/>
  <c r="T172" i="75"/>
  <c r="U172" i="75"/>
  <c r="V172" i="75"/>
  <c r="W172" i="75"/>
  <c r="M179" i="75"/>
  <c r="N179" i="75"/>
  <c r="G18" i="67"/>
  <c r="O179" i="75"/>
  <c r="H18" i="67"/>
  <c r="P179" i="75"/>
  <c r="I18" i="67"/>
  <c r="R179" i="75"/>
  <c r="T179" i="75"/>
  <c r="U179" i="75"/>
  <c r="V179" i="75"/>
  <c r="W179" i="75"/>
  <c r="M186" i="75"/>
  <c r="N186" i="75"/>
  <c r="J18" i="67"/>
  <c r="O186" i="75"/>
  <c r="K18" i="67" s="1"/>
  <c r="P186" i="75"/>
  <c r="L18" i="67"/>
  <c r="R186" i="75"/>
  <c r="T186" i="75"/>
  <c r="U186" i="75"/>
  <c r="V186" i="75"/>
  <c r="W186" i="75"/>
  <c r="A1" i="74"/>
  <c r="A7" i="74"/>
  <c r="A8" i="74"/>
  <c r="A9" i="74" s="1"/>
  <c r="A10" i="74"/>
  <c r="A11" i="74" s="1"/>
  <c r="A12" i="74" s="1"/>
  <c r="A13" i="74" s="1"/>
  <c r="A14" i="74" s="1"/>
  <c r="A15" i="74" s="1"/>
  <c r="A16" i="74" s="1"/>
  <c r="A17" i="74" s="1"/>
  <c r="A18" i="74" s="1"/>
  <c r="A19" i="74" s="1"/>
  <c r="A20" i="74" s="1"/>
  <c r="A21" i="74" s="1"/>
  <c r="A22" i="74"/>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91" i="74" s="1"/>
  <c r="A92" i="74" s="1"/>
  <c r="A93" i="74" s="1"/>
  <c r="A94" i="74" s="1"/>
  <c r="A95" i="74" s="1"/>
  <c r="A96" i="74" s="1"/>
  <c r="A97" i="74" s="1"/>
  <c r="A98" i="74" s="1"/>
  <c r="A99" i="74" s="1"/>
  <c r="A100" i="74" s="1"/>
  <c r="A101" i="74" s="1"/>
  <c r="A102" i="74" s="1"/>
  <c r="A103" i="74" s="1"/>
  <c r="A104" i="74" s="1"/>
  <c r="A105" i="74" s="1"/>
  <c r="A106" i="74" s="1"/>
  <c r="A107" i="74" s="1"/>
  <c r="A108" i="74" s="1"/>
  <c r="A109" i="74" s="1"/>
  <c r="A110" i="74" s="1"/>
  <c r="A111" i="74" s="1"/>
  <c r="A112" i="74" s="1"/>
  <c r="A113" i="74" s="1"/>
  <c r="A114" i="74" s="1"/>
  <c r="A115" i="74" s="1"/>
  <c r="A116" i="74" s="1"/>
  <c r="A117" i="74" s="1"/>
  <c r="A118" i="74" s="1"/>
  <c r="A119" i="74" s="1"/>
  <c r="A120" i="74" s="1"/>
  <c r="A121" i="74" s="1"/>
  <c r="A122" i="74" s="1"/>
  <c r="A123" i="74" s="1"/>
  <c r="A124" i="74" s="1"/>
  <c r="A125" i="74" s="1"/>
  <c r="A126" i="74" s="1"/>
  <c r="A127" i="74" s="1"/>
  <c r="A128" i="74" s="1"/>
  <c r="A129" i="74" s="1"/>
  <c r="A130" i="74" s="1"/>
  <c r="A131" i="74" s="1"/>
  <c r="A132" i="74" s="1"/>
  <c r="A133" i="74" s="1"/>
  <c r="A134" i="74" s="1"/>
  <c r="A135" i="74" s="1"/>
  <c r="A136" i="74" s="1"/>
  <c r="A137" i="74" s="1"/>
  <c r="A138" i="74" s="1"/>
  <c r="A139" i="74" s="1"/>
  <c r="A140" i="74" s="1"/>
  <c r="A141" i="74" s="1"/>
  <c r="A142" i="74" s="1"/>
  <c r="A143" i="74" s="1"/>
  <c r="A144" i="74" s="1"/>
  <c r="A145" i="74" s="1"/>
  <c r="A146" i="74" s="1"/>
  <c r="A147" i="74" s="1"/>
  <c r="A148" i="74" s="1"/>
  <c r="A149" i="74" s="1"/>
  <c r="A150" i="74" s="1"/>
  <c r="A151" i="74" s="1"/>
  <c r="A152" i="74" s="1"/>
  <c r="A153" i="74" s="1"/>
  <c r="A154" i="74" s="1"/>
  <c r="A155" i="74" s="1"/>
  <c r="A156" i="74" s="1"/>
  <c r="A157" i="74" s="1"/>
  <c r="A158" i="74" s="1"/>
  <c r="A159" i="74" s="1"/>
  <c r="A160" i="74" s="1"/>
  <c r="A161" i="74" s="1"/>
  <c r="A162" i="74" s="1"/>
  <c r="N20" i="74"/>
  <c r="I7" i="66" s="1"/>
  <c r="S20" i="74"/>
  <c r="M27" i="74"/>
  <c r="J7" i="66"/>
  <c r="N27" i="74"/>
  <c r="L7" i="66"/>
  <c r="S27" i="74"/>
  <c r="M38" i="74"/>
  <c r="G13" i="66" s="1"/>
  <c r="N38" i="74"/>
  <c r="I13" i="66" s="1"/>
  <c r="S38" i="74"/>
  <c r="M49" i="74"/>
  <c r="J13" i="66"/>
  <c r="J17" i="66" s="1"/>
  <c r="J18" i="66" s="1"/>
  <c r="N49" i="74"/>
  <c r="L13" i="66"/>
  <c r="S49" i="74"/>
  <c r="M60" i="74"/>
  <c r="D27" i="66" s="1"/>
  <c r="N60" i="74"/>
  <c r="F27" i="66"/>
  <c r="S60" i="74"/>
  <c r="S104" i="74" s="1"/>
  <c r="M71" i="74"/>
  <c r="G27" i="66"/>
  <c r="N71" i="74"/>
  <c r="I27" i="66" s="1"/>
  <c r="S71" i="74"/>
  <c r="M82" i="74"/>
  <c r="J27" i="66"/>
  <c r="N82" i="74"/>
  <c r="S82" i="74"/>
  <c r="M89" i="74"/>
  <c r="D34" i="66" s="1"/>
  <c r="N89" i="74"/>
  <c r="F34" i="66"/>
  <c r="S89" i="74"/>
  <c r="M96" i="74"/>
  <c r="N96" i="74"/>
  <c r="I34" i="66" s="1"/>
  <c r="S96" i="74"/>
  <c r="M103" i="74"/>
  <c r="J34" i="66"/>
  <c r="N103" i="74"/>
  <c r="L34" i="66"/>
  <c r="S103" i="74"/>
  <c r="M111" i="74"/>
  <c r="G7" i="67" s="1"/>
  <c r="N111" i="74"/>
  <c r="I7" i="67" s="1"/>
  <c r="S111" i="74"/>
  <c r="M118" i="74"/>
  <c r="J7" i="67"/>
  <c r="N118" i="74"/>
  <c r="L7" i="67"/>
  <c r="S118" i="74"/>
  <c r="M125" i="74"/>
  <c r="D12" i="67"/>
  <c r="N125" i="74"/>
  <c r="F12" i="67"/>
  <c r="S125" i="74"/>
  <c r="S161" i="74" s="1"/>
  <c r="S162" i="74" s="1"/>
  <c r="M132" i="74"/>
  <c r="N132" i="74"/>
  <c r="I12" i="67" s="1"/>
  <c r="S132" i="74"/>
  <c r="M139" i="74"/>
  <c r="J12" i="67"/>
  <c r="N139" i="74"/>
  <c r="S139" i="74"/>
  <c r="M146" i="74"/>
  <c r="D17" i="67"/>
  <c r="N146" i="74"/>
  <c r="F17" i="67" s="1"/>
  <c r="S146" i="74"/>
  <c r="M153" i="74"/>
  <c r="G17" i="67"/>
  <c r="N153" i="74"/>
  <c r="S153" i="74"/>
  <c r="M160" i="74"/>
  <c r="J17" i="67" s="1"/>
  <c r="J20" i="67" s="1"/>
  <c r="N160" i="74"/>
  <c r="L17" i="67"/>
  <c r="S160" i="74"/>
  <c r="A1" i="73"/>
  <c r="N18" i="73"/>
  <c r="G6" i="66"/>
  <c r="O18" i="73"/>
  <c r="H6" i="66" s="1"/>
  <c r="P18" i="73"/>
  <c r="I6" i="66"/>
  <c r="R18" i="73"/>
  <c r="N31" i="73"/>
  <c r="J6" i="66" s="1"/>
  <c r="J11" i="66" s="1"/>
  <c r="O31" i="73"/>
  <c r="K6" i="66" s="1"/>
  <c r="K11" i="66" s="1"/>
  <c r="P31" i="73"/>
  <c r="L6" i="66"/>
  <c r="R31" i="73"/>
  <c r="N42" i="73"/>
  <c r="G12" i="66"/>
  <c r="O42" i="73"/>
  <c r="H12" i="66" s="1"/>
  <c r="H17" i="66" s="1"/>
  <c r="P42" i="73"/>
  <c r="I12" i="66"/>
  <c r="R42" i="73"/>
  <c r="N53" i="73"/>
  <c r="J12" i="66"/>
  <c r="O53" i="73"/>
  <c r="K12" i="66" s="1"/>
  <c r="K17" i="66" s="1"/>
  <c r="K18" i="66" s="1"/>
  <c r="K39" i="66" s="1"/>
  <c r="P53" i="73"/>
  <c r="L12" i="66"/>
  <c r="R53" i="73"/>
  <c r="N86" i="73"/>
  <c r="D26" i="66" s="1"/>
  <c r="O86" i="73"/>
  <c r="E26" i="66" s="1"/>
  <c r="P86" i="73"/>
  <c r="F26" i="66"/>
  <c r="R86" i="73"/>
  <c r="N97" i="73"/>
  <c r="G26" i="66"/>
  <c r="G31" i="66" s="1"/>
  <c r="O97" i="73"/>
  <c r="H26" i="66"/>
  <c r="P97" i="73"/>
  <c r="I26" i="66"/>
  <c r="R97" i="73"/>
  <c r="N108" i="73"/>
  <c r="O108" i="73"/>
  <c r="K26" i="66" s="1"/>
  <c r="P108" i="73"/>
  <c r="L26" i="66" s="1"/>
  <c r="R108" i="73"/>
  <c r="N115" i="73"/>
  <c r="D33" i="66"/>
  <c r="O115" i="73"/>
  <c r="E33" i="66" s="1"/>
  <c r="E38" i="66" s="1"/>
  <c r="P115" i="73"/>
  <c r="F33" i="66" s="1"/>
  <c r="R115" i="73"/>
  <c r="N122" i="73"/>
  <c r="G33" i="66"/>
  <c r="O122" i="73"/>
  <c r="H33" i="66"/>
  <c r="P122" i="73"/>
  <c r="I33" i="66"/>
  <c r="R122" i="73"/>
  <c r="N129" i="73"/>
  <c r="O129" i="73"/>
  <c r="O130" i="73"/>
  <c r="P129" i="73"/>
  <c r="L33" i="66"/>
  <c r="R129" i="73"/>
  <c r="G6" i="67"/>
  <c r="O137" i="73"/>
  <c r="H6" i="67" s="1"/>
  <c r="H10" i="67" s="1"/>
  <c r="P137" i="73"/>
  <c r="R137" i="73"/>
  <c r="O144" i="73"/>
  <c r="K6" i="67"/>
  <c r="P144" i="73"/>
  <c r="L6" i="67" s="1"/>
  <c r="R144" i="73"/>
  <c r="R187" i="73" s="1"/>
  <c r="N151" i="73"/>
  <c r="D11" i="67" s="1"/>
  <c r="D15" i="67" s="1"/>
  <c r="O151" i="73"/>
  <c r="P151" i="73"/>
  <c r="F11" i="67" s="1"/>
  <c r="F15" i="67" s="1"/>
  <c r="R151" i="73"/>
  <c r="N158" i="73"/>
  <c r="G11" i="67"/>
  <c r="O158" i="73"/>
  <c r="H11" i="67"/>
  <c r="H15" i="67" s="1"/>
  <c r="P158" i="73"/>
  <c r="R158" i="73"/>
  <c r="N165" i="73"/>
  <c r="J11" i="67"/>
  <c r="O165" i="73"/>
  <c r="P165" i="73"/>
  <c r="L11" i="67" s="1"/>
  <c r="R165" i="73"/>
  <c r="N172" i="73"/>
  <c r="D16" i="67"/>
  <c r="O172" i="73"/>
  <c r="E16" i="67" s="1"/>
  <c r="P172" i="73"/>
  <c r="F16" i="67" s="1"/>
  <c r="F20" i="67" s="1"/>
  <c r="F21" i="67" s="1"/>
  <c r="R172" i="73"/>
  <c r="N179" i="73"/>
  <c r="G16" i="67"/>
  <c r="O179" i="73"/>
  <c r="H16" i="67"/>
  <c r="P179" i="73"/>
  <c r="I16" i="67" s="1"/>
  <c r="R179" i="73"/>
  <c r="N186" i="73"/>
  <c r="J16" i="67"/>
  <c r="O186" i="73"/>
  <c r="K16" i="67"/>
  <c r="P186" i="73"/>
  <c r="L16" i="67" s="1"/>
  <c r="L20" i="67" s="1"/>
  <c r="R186" i="73"/>
  <c r="N194" i="73"/>
  <c r="O194" i="73"/>
  <c r="P194" i="73"/>
  <c r="I6" i="68" s="1"/>
  <c r="R194" i="73"/>
  <c r="N201" i="73"/>
  <c r="J6" i="68" s="1"/>
  <c r="O201" i="73"/>
  <c r="K6" i="68" s="1"/>
  <c r="K9" i="68" s="1"/>
  <c r="P201" i="73"/>
  <c r="L6" i="68" s="1"/>
  <c r="L9" i="68" s="1"/>
  <c r="R201" i="73"/>
  <c r="N208" i="73"/>
  <c r="O208" i="73"/>
  <c r="E10" i="68" s="1"/>
  <c r="E13" i="68" s="1"/>
  <c r="E18" i="68" s="1"/>
  <c r="P208" i="73"/>
  <c r="F10" i="68" s="1"/>
  <c r="F13" i="68" s="1"/>
  <c r="R208" i="73"/>
  <c r="N215" i="73"/>
  <c r="G10" i="68" s="1"/>
  <c r="G13" i="68" s="1"/>
  <c r="O215" i="73"/>
  <c r="H10" i="68" s="1"/>
  <c r="P215" i="73"/>
  <c r="I10" i="68" s="1"/>
  <c r="I13" i="68" s="1"/>
  <c r="R215" i="73"/>
  <c r="N222" i="73"/>
  <c r="J10" i="68"/>
  <c r="J13" i="68"/>
  <c r="O222" i="73"/>
  <c r="P222" i="73"/>
  <c r="L10" i="68" s="1"/>
  <c r="R222" i="73"/>
  <c r="N229" i="73"/>
  <c r="D14" i="68" s="1"/>
  <c r="D17" i="68" s="1"/>
  <c r="O229" i="73"/>
  <c r="E14" i="68" s="1"/>
  <c r="E17" i="68" s="1"/>
  <c r="P229" i="73"/>
  <c r="F14" i="68"/>
  <c r="R229" i="73"/>
  <c r="N236" i="73"/>
  <c r="G14" i="68"/>
  <c r="O236" i="73"/>
  <c r="H14" i="68" s="1"/>
  <c r="H17" i="68" s="1"/>
  <c r="P236" i="73"/>
  <c r="I14" i="68" s="1"/>
  <c r="I17" i="68" s="1"/>
  <c r="R236" i="73"/>
  <c r="J14" i="68"/>
  <c r="O243" i="73"/>
  <c r="K14" i="68" s="1"/>
  <c r="K17" i="68" s="1"/>
  <c r="K18" i="68" s="1"/>
  <c r="P243" i="73"/>
  <c r="L14" i="68"/>
  <c r="L17" i="68"/>
  <c r="R243" i="73"/>
  <c r="A1" i="61"/>
  <c r="J6" i="61"/>
  <c r="D62" i="31" s="1"/>
  <c r="F62" i="31" s="1"/>
  <c r="P6" i="61"/>
  <c r="P25" i="61"/>
  <c r="Q6" i="61"/>
  <c r="R6" i="61"/>
  <c r="S6" i="61"/>
  <c r="J7" i="61"/>
  <c r="P7" i="61"/>
  <c r="T7" i="61"/>
  <c r="Q7" i="61"/>
  <c r="J8" i="61"/>
  <c r="T8" i="61"/>
  <c r="V8" i="61" s="1"/>
  <c r="J9" i="61"/>
  <c r="T9" i="61"/>
  <c r="V9" i="61" s="1"/>
  <c r="J10" i="61"/>
  <c r="T10" i="61"/>
  <c r="V10" i="61" s="1"/>
  <c r="F11" i="61"/>
  <c r="G11" i="61"/>
  <c r="V13" i="61"/>
  <c r="V14" i="61"/>
  <c r="V15" i="61"/>
  <c r="V16" i="61"/>
  <c r="V17" i="61"/>
  <c r="V18" i="61"/>
  <c r="V19" i="61"/>
  <c r="T20" i="61"/>
  <c r="T21" i="61"/>
  <c r="V21" i="61"/>
  <c r="T22" i="61"/>
  <c r="T23" i="61"/>
  <c r="V23" i="61"/>
  <c r="T24" i="61"/>
  <c r="V24" i="61" s="1"/>
  <c r="F25" i="61"/>
  <c r="J25" i="61" s="1"/>
  <c r="G25" i="61"/>
  <c r="Q25" i="61"/>
  <c r="T25" i="61" s="1"/>
  <c r="L34" i="113"/>
  <c r="L28" i="113" s="1"/>
  <c r="A7" i="81"/>
  <c r="A8" i="81" s="1"/>
  <c r="A9" i="81" s="1"/>
  <c r="A10" i="81" s="1"/>
  <c r="A11" i="81" s="1"/>
  <c r="A12" i="81" s="1"/>
  <c r="A13" i="81" s="1"/>
  <c r="A14" i="81" s="1"/>
  <c r="A15" i="81" s="1"/>
  <c r="A7" i="91"/>
  <c r="A8" i="91" s="1"/>
  <c r="A9" i="91" s="1"/>
  <c r="A10" i="91" s="1"/>
  <c r="A11" i="91" s="1"/>
  <c r="A12" i="91" s="1"/>
  <c r="A13" i="91" s="1"/>
  <c r="A14" i="91" s="1"/>
  <c r="A15" i="91" s="1"/>
  <c r="A1" i="57"/>
  <c r="A7" i="57"/>
  <c r="A8" i="57"/>
  <c r="A9" i="57"/>
  <c r="A10" i="57" s="1"/>
  <c r="A11" i="57" s="1"/>
  <c r="A12" i="57" s="1"/>
  <c r="A13" i="57" s="1"/>
  <c r="A14" i="57" s="1"/>
  <c r="A15" i="57" s="1"/>
  <c r="A16" i="57" s="1"/>
  <c r="A17" i="57"/>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G6" i="111"/>
  <c r="D6" i="31" s="1"/>
  <c r="F6" i="31" s="1"/>
  <c r="K6" i="111"/>
  <c r="L6" i="111"/>
  <c r="D8" i="111"/>
  <c r="D9" i="31"/>
  <c r="F9" i="31"/>
  <c r="D14" i="111"/>
  <c r="D22" i="31"/>
  <c r="F22" i="31" s="1"/>
  <c r="D23" i="31"/>
  <c r="F23" i="31" s="1"/>
  <c r="D25" i="31"/>
  <c r="F25" i="31" s="1"/>
  <c r="F47" i="31"/>
  <c r="D43" i="31"/>
  <c r="D44" i="31"/>
  <c r="F44" i="31" s="1"/>
  <c r="D88" i="111"/>
  <c r="D92" i="111"/>
  <c r="D95" i="111"/>
  <c r="D100" i="111"/>
  <c r="D109" i="111" s="1"/>
  <c r="D83" i="31"/>
  <c r="F83" i="31" s="1"/>
  <c r="D118" i="111"/>
  <c r="D113" i="111" s="1"/>
  <c r="D90" i="31"/>
  <c r="F90" i="31" s="1"/>
  <c r="D123" i="111"/>
  <c r="D127" i="111"/>
  <c r="D106" i="31"/>
  <c r="D107" i="31"/>
  <c r="F107" i="31" s="1"/>
  <c r="F113" i="31"/>
  <c r="D135" i="111"/>
  <c r="D123" i="31"/>
  <c r="F123" i="31"/>
  <c r="D148" i="111"/>
  <c r="D130" i="31"/>
  <c r="F130" i="31" s="1"/>
  <c r="D153" i="111"/>
  <c r="D145" i="31"/>
  <c r="F145" i="31" s="1"/>
  <c r="D146" i="31"/>
  <c r="F146" i="31" s="1"/>
  <c r="F144" i="31" s="1"/>
  <c r="D150" i="31"/>
  <c r="F150" i="31"/>
  <c r="F152" i="31"/>
  <c r="D71" i="31"/>
  <c r="F71" i="31" s="1"/>
  <c r="D207" i="111"/>
  <c r="D226" i="111"/>
  <c r="D214" i="111" s="1"/>
  <c r="D231" i="111"/>
  <c r="D235" i="111"/>
  <c r="D239" i="111"/>
  <c r="D75" i="31"/>
  <c r="F75" i="31" s="1"/>
  <c r="D256" i="111"/>
  <c r="D257" i="111" s="1"/>
  <c r="U23" i="61" s="1"/>
  <c r="A6" i="80"/>
  <c r="A7" i="80" s="1"/>
  <c r="A9" i="80"/>
  <c r="A10" i="80" s="1"/>
  <c r="A11" i="80" s="1"/>
  <c r="A12" i="80" s="1"/>
  <c r="A13" i="80" s="1"/>
  <c r="A14" i="80" s="1"/>
  <c r="A15" i="80" s="1"/>
  <c r="A16" i="80" s="1"/>
  <c r="A17" i="80" s="1"/>
  <c r="A18" i="80" s="1"/>
  <c r="A19" i="80" s="1"/>
  <c r="A20" i="80" s="1"/>
  <c r="A21" i="80" s="1"/>
  <c r="A22" i="80" s="1"/>
  <c r="A23" i="80" s="1"/>
  <c r="A24" i="80" s="1"/>
  <c r="A25" i="80" s="1"/>
  <c r="A26" i="80" s="1"/>
  <c r="A27" i="80" s="1"/>
  <c r="A28" i="80" s="1"/>
  <c r="A29" i="80" s="1"/>
  <c r="A30" i="80" s="1"/>
  <c r="A31" i="80" s="1"/>
  <c r="A32" i="80" s="1"/>
  <c r="A33" i="80" s="1"/>
  <c r="A34" i="80" s="1"/>
  <c r="A35" i="80" s="1"/>
  <c r="A36" i="80" s="1"/>
  <c r="A37" i="80" s="1"/>
  <c r="A38" i="80" s="1"/>
  <c r="A39" i="80" s="1"/>
  <c r="A40" i="80" s="1"/>
  <c r="A41" i="80" s="1"/>
  <c r="A42" i="80" s="1"/>
  <c r="A43" i="80" s="1"/>
  <c r="A44" i="80" s="1"/>
  <c r="A45" i="80" s="1"/>
  <c r="A46" i="80" s="1"/>
  <c r="A47" i="80" s="1"/>
  <c r="A48" i="80" s="1"/>
  <c r="A49" i="80" s="1"/>
  <c r="A50" i="80" s="1"/>
  <c r="A51" i="80" s="1"/>
  <c r="A52" i="80" s="1"/>
  <c r="A53" i="80" s="1"/>
  <c r="A54" i="80" s="1"/>
  <c r="A55" i="80" s="1"/>
  <c r="A56" i="80" s="1"/>
  <c r="A57" i="80" s="1"/>
  <c r="A58" i="80" s="1"/>
  <c r="A59" i="80" s="1"/>
  <c r="A60" i="80" s="1"/>
  <c r="A61" i="80" s="1"/>
  <c r="A62" i="80" s="1"/>
  <c r="A63" i="80" s="1"/>
  <c r="A64" i="80" s="1"/>
  <c r="A65" i="80" s="1"/>
  <c r="A66" i="80" s="1"/>
  <c r="A67" i="80" s="1"/>
  <c r="A68" i="80" s="1"/>
  <c r="A69" i="80" s="1"/>
  <c r="A70" i="80" s="1"/>
  <c r="A71" i="80" s="1"/>
  <c r="A72" i="80" s="1"/>
  <c r="A73" i="80" s="1"/>
  <c r="A74" i="80" s="1"/>
  <c r="A75" i="80" s="1"/>
  <c r="A76" i="80" s="1"/>
  <c r="A77" i="80" s="1"/>
  <c r="A78" i="80" s="1"/>
  <c r="A79" i="80" s="1"/>
  <c r="A80" i="80" s="1"/>
  <c r="A81" i="80" s="1"/>
  <c r="A82" i="80" s="1"/>
  <c r="A83" i="80" s="1"/>
  <c r="A84" i="80" s="1"/>
  <c r="A85" i="80" s="1"/>
  <c r="A86" i="80" s="1"/>
  <c r="A87" i="80" s="1"/>
  <c r="A88" i="80" s="1"/>
  <c r="A89" i="80" s="1"/>
  <c r="A90" i="80" s="1"/>
  <c r="A91" i="80" s="1"/>
  <c r="A92" i="80" s="1"/>
  <c r="A93" i="80" s="1"/>
  <c r="A94" i="80" s="1"/>
  <c r="A95" i="80" s="1"/>
  <c r="A96" i="80" s="1"/>
  <c r="A97" i="80" s="1"/>
  <c r="A98" i="80" s="1"/>
  <c r="A99" i="80" s="1"/>
  <c r="A100" i="80" s="1"/>
  <c r="A101" i="80" s="1"/>
  <c r="A102" i="80" s="1"/>
  <c r="A103" i="80" s="1"/>
  <c r="A104" i="80" s="1"/>
  <c r="A105" i="80" s="1"/>
  <c r="A106" i="80" s="1"/>
  <c r="A107" i="80" s="1"/>
  <c r="A108" i="80" s="1"/>
  <c r="A109" i="80" s="1"/>
  <c r="A110" i="80" s="1"/>
  <c r="A111" i="80" s="1"/>
  <c r="A112" i="80" s="1"/>
  <c r="A113" i="80" s="1"/>
  <c r="A114" i="80" s="1"/>
  <c r="A115" i="80" s="1"/>
  <c r="A116" i="80" s="1"/>
  <c r="A117" i="80" s="1"/>
  <c r="A118" i="80" s="1"/>
  <c r="A119" i="80" s="1"/>
  <c r="A120" i="80" s="1"/>
  <c r="A121" i="80" s="1"/>
  <c r="A122" i="80" s="1"/>
  <c r="A123" i="80" s="1"/>
  <c r="A124" i="80" s="1"/>
  <c r="A125" i="80" s="1"/>
  <c r="A126" i="80" s="1"/>
  <c r="A127" i="80" s="1"/>
  <c r="A128" i="80" s="1"/>
  <c r="A129" i="80" s="1"/>
  <c r="A130" i="80" s="1"/>
  <c r="A131" i="80" s="1"/>
  <c r="A132" i="80" s="1"/>
  <c r="A133" i="80" s="1"/>
  <c r="A134" i="80" s="1"/>
  <c r="A135" i="80" s="1"/>
  <c r="A136" i="80" s="1"/>
  <c r="A137" i="80" s="1"/>
  <c r="A138" i="80" s="1"/>
  <c r="A139" i="80" s="1"/>
  <c r="A140" i="80" s="1"/>
  <c r="A141" i="80" s="1"/>
  <c r="A142" i="80" s="1"/>
  <c r="A143" i="80" s="1"/>
  <c r="A144" i="80" s="1"/>
  <c r="A145" i="80" s="1"/>
  <c r="A146" i="80" s="1"/>
  <c r="F84" i="35"/>
  <c r="F112" i="35"/>
  <c r="B112" i="54"/>
  <c r="B43" i="54"/>
  <c r="F43" i="35"/>
  <c r="F11" i="35"/>
  <c r="B39" i="54"/>
  <c r="F39" i="35"/>
  <c r="F28" i="43"/>
  <c r="B100" i="54"/>
  <c r="F100" i="35"/>
  <c r="B126" i="54"/>
  <c r="F120" i="35"/>
  <c r="F96" i="35"/>
  <c r="B77" i="54"/>
  <c r="B42" i="54"/>
  <c r="F103" i="35"/>
  <c r="F91" i="35"/>
  <c r="B40" i="54"/>
  <c r="B32" i="54"/>
  <c r="F44" i="35"/>
  <c r="F20" i="35"/>
  <c r="F12" i="35"/>
  <c r="F121" i="35"/>
  <c r="F105" i="35"/>
  <c r="F97" i="35"/>
  <c r="F46" i="35"/>
  <c r="F37" i="35"/>
  <c r="B17" i="54"/>
  <c r="B33" i="54"/>
  <c r="B9" i="54"/>
  <c r="R43" i="120"/>
  <c r="AE43" i="120" s="1"/>
  <c r="R39" i="120"/>
  <c r="AE39" i="120" s="1"/>
  <c r="AD36" i="120"/>
  <c r="AD30" i="120"/>
  <c r="AD29" i="120"/>
  <c r="AD28" i="120"/>
  <c r="AC34" i="120"/>
  <c r="AC7" i="120"/>
  <c r="R7" i="120"/>
  <c r="AE7" i="120" s="1"/>
  <c r="S18" i="120"/>
  <c r="AF18" i="120" s="1"/>
  <c r="AD18" i="120"/>
  <c r="AD14" i="120"/>
  <c r="S10" i="120"/>
  <c r="AF10" i="120" s="1"/>
  <c r="D111" i="31"/>
  <c r="F111" i="31"/>
  <c r="S33" i="120"/>
  <c r="AF33" i="120" s="1"/>
  <c r="AF16" i="120"/>
  <c r="AD16" i="120"/>
  <c r="S12" i="120"/>
  <c r="AF12" i="120" s="1"/>
  <c r="AD12" i="120"/>
  <c r="AA9" i="21"/>
  <c r="AD44" i="120"/>
  <c r="C7" i="39"/>
  <c r="E7" i="39"/>
  <c r="Q11" i="61"/>
  <c r="Q26" i="61" s="1"/>
  <c r="D50" i="72"/>
  <c r="F20" i="43"/>
  <c r="F15" i="43"/>
  <c r="AE34" i="120"/>
  <c r="S45" i="120"/>
  <c r="AF45" i="120" s="1"/>
  <c r="S19" i="120"/>
  <c r="AF19" i="120" s="1"/>
  <c r="AD19" i="120"/>
  <c r="G26" i="61"/>
  <c r="P244" i="73"/>
  <c r="H21" i="106"/>
  <c r="C21" i="106"/>
  <c r="K7" i="106"/>
  <c r="N7" i="106" s="1"/>
  <c r="K7" i="17"/>
  <c r="J47" i="17"/>
  <c r="AA43" i="21"/>
  <c r="AA42" i="21"/>
  <c r="AA41" i="21"/>
  <c r="AA40" i="21"/>
  <c r="T39" i="21"/>
  <c r="N39" i="21"/>
  <c r="AA36" i="21"/>
  <c r="AA29" i="21"/>
  <c r="AA20" i="21"/>
  <c r="AA15" i="21"/>
  <c r="AA13" i="21"/>
  <c r="AA10" i="21"/>
  <c r="Z16" i="22"/>
  <c r="H16" i="22"/>
  <c r="AE40" i="120"/>
  <c r="S32" i="120"/>
  <c r="AF32" i="120"/>
  <c r="AE17" i="120"/>
  <c r="AD15" i="120"/>
  <c r="S13" i="120"/>
  <c r="AF13" i="120" s="1"/>
  <c r="AE12" i="120"/>
  <c r="Q11" i="120"/>
  <c r="AE9" i="120"/>
  <c r="D16" i="31"/>
  <c r="D78" i="31"/>
  <c r="M21" i="18"/>
  <c r="I21" i="18"/>
  <c r="K21" i="18" s="1"/>
  <c r="G21" i="18"/>
  <c r="AA38" i="21"/>
  <c r="AA37" i="21"/>
  <c r="AA12" i="21"/>
  <c r="Q38" i="120"/>
  <c r="AD38" i="120" s="1"/>
  <c r="F82" i="47"/>
  <c r="C22" i="43"/>
  <c r="F22" i="43" s="1"/>
  <c r="F56" i="47"/>
  <c r="C16" i="43"/>
  <c r="F16" i="43" s="1"/>
  <c r="F30" i="47"/>
  <c r="C10" i="43"/>
  <c r="F10" i="43" s="1"/>
  <c r="F24" i="49"/>
  <c r="F30" i="43"/>
  <c r="F13" i="43"/>
  <c r="F7" i="43"/>
  <c r="F69" i="47"/>
  <c r="C19" i="43"/>
  <c r="F19" i="43" s="1"/>
  <c r="G12" i="61"/>
  <c r="G27" i="61"/>
  <c r="J27" i="61" s="1"/>
  <c r="K38" i="17"/>
  <c r="E38" i="17"/>
  <c r="C25" i="35"/>
  <c r="X22" i="22"/>
  <c r="R22" i="22"/>
  <c r="L22" i="22"/>
  <c r="AD9" i="120"/>
  <c r="S9" i="120"/>
  <c r="AF9" i="120" s="1"/>
  <c r="O6" i="120"/>
  <c r="O46" i="120"/>
  <c r="Q46" i="120" s="1"/>
  <c r="S8" i="120"/>
  <c r="AF8" i="120" s="1"/>
  <c r="E50" i="72"/>
  <c r="S38" i="120"/>
  <c r="AF38" i="120" s="1"/>
  <c r="G6" i="68"/>
  <c r="I8" i="68"/>
  <c r="F93" i="35"/>
  <c r="B93" i="54"/>
  <c r="S34" i="120"/>
  <c r="AF34" i="120"/>
  <c r="AD34" i="120"/>
  <c r="K10" i="68"/>
  <c r="K13" i="68" s="1"/>
  <c r="H35" i="66"/>
  <c r="H38" i="66"/>
  <c r="H13" i="68"/>
  <c r="I7" i="68"/>
  <c r="K38" i="13"/>
  <c r="N38" i="13" s="1"/>
  <c r="K39" i="21"/>
  <c r="C16" i="35"/>
  <c r="F16" i="35"/>
  <c r="AA17" i="21"/>
  <c r="C47" i="17"/>
  <c r="E7" i="17"/>
  <c r="J9" i="67"/>
  <c r="N165" i="77"/>
  <c r="J7" i="13"/>
  <c r="G47" i="13"/>
  <c r="F106" i="35"/>
  <c r="F83" i="35"/>
  <c r="G47" i="17"/>
  <c r="H47" i="17" s="1"/>
  <c r="C58" i="35"/>
  <c r="F58" i="35"/>
  <c r="AB43" i="120"/>
  <c r="W37" i="120"/>
  <c r="W46" i="120"/>
  <c r="P165" i="77"/>
  <c r="L9" i="67"/>
  <c r="B81" i="54"/>
  <c r="F81" i="35"/>
  <c r="D46" i="120"/>
  <c r="U20" i="121"/>
  <c r="M20" i="121"/>
  <c r="V7" i="61"/>
  <c r="L12" i="67"/>
  <c r="G7" i="68"/>
  <c r="G8" i="68"/>
  <c r="N108" i="77"/>
  <c r="G37" i="66"/>
  <c r="R244" i="73"/>
  <c r="V187" i="75"/>
  <c r="O165" i="76"/>
  <c r="T108" i="76"/>
  <c r="N108" i="76"/>
  <c r="J36" i="66"/>
  <c r="R165" i="77"/>
  <c r="M38" i="13"/>
  <c r="L47" i="17"/>
  <c r="N38" i="17"/>
  <c r="U38" i="114"/>
  <c r="AA47" i="21"/>
  <c r="E39" i="21"/>
  <c r="E48" i="21" s="1"/>
  <c r="AD31" i="120"/>
  <c r="AB6" i="120"/>
  <c r="J33" i="66"/>
  <c r="E47" i="13"/>
  <c r="H38" i="17"/>
  <c r="C134" i="35"/>
  <c r="H7" i="17"/>
  <c r="C133" i="35" s="1"/>
  <c r="M47" i="114"/>
  <c r="AA11" i="21"/>
  <c r="K46" i="120"/>
  <c r="C6" i="43"/>
  <c r="F6" i="43" s="1"/>
  <c r="F17" i="47"/>
  <c r="Z8" i="21"/>
  <c r="AE33" i="120"/>
  <c r="AE27" i="120"/>
  <c r="P37" i="120"/>
  <c r="AC39" i="120"/>
  <c r="AA24" i="21"/>
  <c r="AA19" i="21"/>
  <c r="AA16" i="21"/>
  <c r="J22" i="22"/>
  <c r="AE45" i="120"/>
  <c r="AE44" i="120"/>
  <c r="Z20" i="121"/>
  <c r="I20" i="121"/>
  <c r="AE18" i="120"/>
  <c r="R15" i="120"/>
  <c r="AE15" i="120" s="1"/>
  <c r="AC15" i="120"/>
  <c r="D28" i="104"/>
  <c r="C20" i="39" s="1"/>
  <c r="E20" i="39" s="1"/>
  <c r="J47" i="13"/>
  <c r="K47" i="13"/>
  <c r="K48" i="13" s="1"/>
  <c r="F41" i="35"/>
  <c r="B41" i="54"/>
  <c r="B16" i="54"/>
  <c r="N47" i="13"/>
  <c r="C15" i="36"/>
  <c r="F14" i="35"/>
  <c r="B109" i="54"/>
  <c r="B107" i="54" s="1"/>
  <c r="B34" i="54"/>
  <c r="F21" i="35"/>
  <c r="F80" i="35"/>
  <c r="F101" i="35"/>
  <c r="B98" i="54"/>
  <c r="F8" i="35"/>
  <c r="F114" i="35"/>
  <c r="B78" i="54"/>
  <c r="F36" i="35"/>
  <c r="B10" i="54"/>
  <c r="F90" i="35"/>
  <c r="F19" i="35"/>
  <c r="B89" i="54"/>
  <c r="B87" i="54"/>
  <c r="F85" i="35"/>
  <c r="B82" i="54"/>
  <c r="B79" i="54"/>
  <c r="F18" i="35"/>
  <c r="F95" i="35"/>
  <c r="C76" i="35"/>
  <c r="C75" i="35"/>
  <c r="F88" i="35"/>
  <c r="C107" i="35"/>
  <c r="F86" i="35"/>
  <c r="B110" i="54"/>
  <c r="B24" i="54"/>
  <c r="F92" i="35"/>
  <c r="F15" i="35"/>
  <c r="B115" i="54"/>
  <c r="B113" i="54"/>
  <c r="F102" i="35"/>
  <c r="F99" i="35"/>
  <c r="F111" i="35"/>
  <c r="B35" i="54"/>
  <c r="F108" i="35"/>
  <c r="B118" i="54"/>
  <c r="F104" i="35"/>
  <c r="B122" i="54"/>
  <c r="B94" i="54"/>
  <c r="F130" i="35"/>
  <c r="F60" i="35"/>
  <c r="B60" i="54"/>
  <c r="F50" i="35"/>
  <c r="B50" i="54"/>
  <c r="F53" i="35"/>
  <c r="B53" i="54"/>
  <c r="Q16" i="22"/>
  <c r="Q22" i="22" s="1"/>
  <c r="AA9" i="22"/>
  <c r="F51" i="35"/>
  <c r="AA11" i="22"/>
  <c r="B49" i="54"/>
  <c r="F49" i="35"/>
  <c r="B59" i="54"/>
  <c r="F59" i="35"/>
  <c r="N16" i="22"/>
  <c r="AA18" i="22"/>
  <c r="E16" i="22"/>
  <c r="B58" i="54"/>
  <c r="W16" i="22"/>
  <c r="C68" i="35"/>
  <c r="C57" i="35"/>
  <c r="K16" i="22"/>
  <c r="AA13" i="22"/>
  <c r="AA10" i="22"/>
  <c r="F61" i="35"/>
  <c r="AA20" i="22"/>
  <c r="T16" i="22"/>
  <c r="AA17" i="22"/>
  <c r="B127" i="54"/>
  <c r="B129" i="54"/>
  <c r="C125" i="35"/>
  <c r="B119" i="54"/>
  <c r="B117" i="54"/>
  <c r="F20" i="12"/>
  <c r="C6" i="37"/>
  <c r="F6" i="37" s="1"/>
  <c r="F25" i="35"/>
  <c r="B25" i="54"/>
  <c r="D11" i="68"/>
  <c r="K36" i="66"/>
  <c r="O108" i="76"/>
  <c r="O166" i="76" s="1"/>
  <c r="V20" i="61"/>
  <c r="I11" i="67"/>
  <c r="M161" i="74"/>
  <c r="G12" i="67"/>
  <c r="C29" i="35"/>
  <c r="F29" i="35"/>
  <c r="AA30" i="21"/>
  <c r="K8" i="21"/>
  <c r="K48" i="21" s="1"/>
  <c r="AA27" i="21"/>
  <c r="E8" i="21"/>
  <c r="H8" i="21"/>
  <c r="B23" i="54"/>
  <c r="F23" i="35"/>
  <c r="AA19" i="22"/>
  <c r="Q39" i="120"/>
  <c r="S39" i="120" s="1"/>
  <c r="AF39" i="120" s="1"/>
  <c r="S27" i="120"/>
  <c r="AF27" i="120" s="1"/>
  <c r="S7" i="120"/>
  <c r="AF7" i="120"/>
  <c r="D10" i="68"/>
  <c r="D13" i="68" s="1"/>
  <c r="O187" i="75"/>
  <c r="O188" i="75" s="1"/>
  <c r="R187" i="75"/>
  <c r="G35" i="66"/>
  <c r="U21" i="115"/>
  <c r="U15" i="115"/>
  <c r="AA45" i="21"/>
  <c r="AA34" i="21"/>
  <c r="F21" i="106"/>
  <c r="E11" i="67"/>
  <c r="E15" i="67"/>
  <c r="L21" i="18"/>
  <c r="N21" i="18" s="1"/>
  <c r="N15" i="18"/>
  <c r="F12" i="61"/>
  <c r="F26" i="61"/>
  <c r="J26" i="61" s="1"/>
  <c r="J11" i="61"/>
  <c r="P11" i="61"/>
  <c r="T11" i="61" s="1"/>
  <c r="V11" i="61" s="1"/>
  <c r="R108" i="76"/>
  <c r="W108" i="76"/>
  <c r="W166" i="76"/>
  <c r="O165" i="77"/>
  <c r="L7" i="13"/>
  <c r="C30" i="35"/>
  <c r="B30" i="54" s="1"/>
  <c r="AA31" i="21"/>
  <c r="C13" i="35"/>
  <c r="B13" i="54"/>
  <c r="AA14" i="21"/>
  <c r="T6" i="61"/>
  <c r="H20" i="67"/>
  <c r="I15" i="66"/>
  <c r="P108" i="76"/>
  <c r="C45" i="35"/>
  <c r="B45" i="54"/>
  <c r="AA46" i="21"/>
  <c r="G32" i="66"/>
  <c r="V165" i="76"/>
  <c r="T165" i="76"/>
  <c r="T166" i="76" s="1"/>
  <c r="L38" i="13"/>
  <c r="I47" i="13"/>
  <c r="L15" i="106"/>
  <c r="D21" i="106"/>
  <c r="L21" i="106" s="1"/>
  <c r="M108" i="76"/>
  <c r="R108" i="77"/>
  <c r="Z39" i="21"/>
  <c r="Z48" i="21"/>
  <c r="C12" i="43"/>
  <c r="F12" i="43" s="1"/>
  <c r="F43" i="47"/>
  <c r="F83" i="47" s="1"/>
  <c r="P187" i="75"/>
  <c r="E21" i="18"/>
  <c r="T8" i="21"/>
  <c r="T48" i="21"/>
  <c r="W8" i="22"/>
  <c r="W22" i="22" s="1"/>
  <c r="G46" i="11"/>
  <c r="G47" i="11" s="1"/>
  <c r="I21" i="106"/>
  <c r="U7" i="114"/>
  <c r="U47" i="114"/>
  <c r="X48" i="21"/>
  <c r="Q8" i="21"/>
  <c r="Q48" i="21" s="1"/>
  <c r="H8" i="22"/>
  <c r="H22" i="22" s="1"/>
  <c r="AA37" i="120"/>
  <c r="C46" i="120"/>
  <c r="AE30" i="120"/>
  <c r="AE24" i="120"/>
  <c r="AA6" i="120"/>
  <c r="F96" i="47"/>
  <c r="C27" i="43"/>
  <c r="F27" i="43" s="1"/>
  <c r="E15" i="18"/>
  <c r="T47" i="114"/>
  <c r="I47" i="114"/>
  <c r="AA35" i="21"/>
  <c r="AA22" i="21"/>
  <c r="I48" i="21"/>
  <c r="AA21" i="22"/>
  <c r="K22" i="22"/>
  <c r="AE38" i="120"/>
  <c r="Z46" i="120"/>
  <c r="AB46" i="120"/>
  <c r="C19" i="39" s="1"/>
  <c r="E19" i="39"/>
  <c r="AE31" i="120"/>
  <c r="AE28" i="120"/>
  <c r="Z8" i="22"/>
  <c r="Z22" i="22" s="1"/>
  <c r="N8" i="22"/>
  <c r="N22" i="22" s="1"/>
  <c r="E8" i="22"/>
  <c r="E22" i="22" s="1"/>
  <c r="E13" i="144"/>
  <c r="T8" i="22"/>
  <c r="T22" i="22" s="1"/>
  <c r="K8" i="22"/>
  <c r="F21" i="43"/>
  <c r="C5" i="153"/>
  <c r="C24" i="153"/>
  <c r="C54" i="152"/>
  <c r="E54" i="152" s="1"/>
  <c r="E53" i="152" s="1"/>
  <c r="C57" i="152"/>
  <c r="E57" i="152"/>
  <c r="C55" i="152"/>
  <c r="E55" i="152"/>
  <c r="C58" i="152"/>
  <c r="E58" i="152"/>
  <c r="C56" i="152"/>
  <c r="E56" i="152" s="1"/>
  <c r="F55" i="35"/>
  <c r="B55" i="54"/>
  <c r="C7" i="152"/>
  <c r="C6" i="152"/>
  <c r="I7" i="153"/>
  <c r="E60" i="152"/>
  <c r="C59" i="152"/>
  <c r="C42" i="152"/>
  <c r="E42" i="152" s="1"/>
  <c r="C44" i="152"/>
  <c r="E44" i="152" s="1"/>
  <c r="E40" i="152" s="1"/>
  <c r="C41" i="152"/>
  <c r="E41" i="152"/>
  <c r="C45" i="152"/>
  <c r="E45" i="152"/>
  <c r="C43" i="152"/>
  <c r="E43" i="152" s="1"/>
  <c r="C15" i="152"/>
  <c r="E15" i="152" s="1"/>
  <c r="C16" i="152"/>
  <c r="E16" i="152"/>
  <c r="C17" i="152"/>
  <c r="E17" i="152"/>
  <c r="C14" i="152"/>
  <c r="E14" i="152" s="1"/>
  <c r="C18" i="152"/>
  <c r="E18" i="152" s="1"/>
  <c r="F54" i="35"/>
  <c r="L15" i="154"/>
  <c r="I15" i="153"/>
  <c r="C34" i="152" s="1"/>
  <c r="H20" i="153"/>
  <c r="C12" i="152"/>
  <c r="E12" i="152"/>
  <c r="F27" i="61"/>
  <c r="J12" i="61"/>
  <c r="P12" i="61"/>
  <c r="AD39" i="120"/>
  <c r="C67" i="35"/>
  <c r="P26" i="61"/>
  <c r="T26" i="61"/>
  <c r="V26" i="61" s="1"/>
  <c r="B29" i="54"/>
  <c r="V6" i="61"/>
  <c r="F30" i="35"/>
  <c r="Q37" i="120"/>
  <c r="S37" i="120"/>
  <c r="AF37" i="120" s="1"/>
  <c r="P27" i="61"/>
  <c r="E11" i="36"/>
  <c r="F11" i="36"/>
  <c r="E8" i="36"/>
  <c r="F8" i="36" s="1"/>
  <c r="E5" i="36"/>
  <c r="F5" i="36" s="1"/>
  <c r="E4" i="36"/>
  <c r="F4" i="36"/>
  <c r="E10" i="36"/>
  <c r="F10" i="36"/>
  <c r="E7" i="36"/>
  <c r="F7" i="36" s="1"/>
  <c r="F76" i="35"/>
  <c r="F75" i="35" s="1"/>
  <c r="F57" i="35"/>
  <c r="C56" i="35"/>
  <c r="B57" i="54"/>
  <c r="AD37" i="120"/>
  <c r="B67" i="54"/>
  <c r="F133" i="35"/>
  <c r="B133" i="54"/>
  <c r="C35" i="152"/>
  <c r="E35" i="152" s="1"/>
  <c r="AB37" i="120"/>
  <c r="J6" i="67"/>
  <c r="J10" i="67"/>
  <c r="N187" i="73"/>
  <c r="C23" i="43"/>
  <c r="I14" i="153"/>
  <c r="AC6" i="120"/>
  <c r="M47" i="13"/>
  <c r="M48" i="13" s="1"/>
  <c r="G9" i="68"/>
  <c r="F13" i="35"/>
  <c r="K33" i="66"/>
  <c r="K38" i="66"/>
  <c r="C11" i="152"/>
  <c r="E11" i="152"/>
  <c r="C10" i="152"/>
  <c r="E10" i="152" s="1"/>
  <c r="C8" i="152"/>
  <c r="E8" i="152" s="1"/>
  <c r="AC37" i="120"/>
  <c r="R37" i="120"/>
  <c r="AE37" i="120"/>
  <c r="Q12" i="61"/>
  <c r="H8" i="68"/>
  <c r="O222" i="77"/>
  <c r="S11" i="120"/>
  <c r="AF11" i="120" s="1"/>
  <c r="AD11" i="120"/>
  <c r="R165" i="76"/>
  <c r="R166" i="76"/>
  <c r="L13" i="68"/>
  <c r="C47" i="114"/>
  <c r="U165" i="76"/>
  <c r="K7" i="13"/>
  <c r="N7" i="13"/>
  <c r="J15" i="106"/>
  <c r="G21" i="106"/>
  <c r="J21" i="106"/>
  <c r="D47" i="114"/>
  <c r="F14" i="12"/>
  <c r="AA28" i="21"/>
  <c r="AA44" i="21"/>
  <c r="AA39" i="21"/>
  <c r="AA26" i="21"/>
  <c r="R48" i="21"/>
  <c r="P48" i="21"/>
  <c r="AE14" i="120"/>
  <c r="D129" i="31"/>
  <c r="AE29" i="120"/>
  <c r="C29" i="43"/>
  <c r="F29" i="43" s="1"/>
  <c r="F109" i="47"/>
  <c r="F110" i="47" s="1"/>
  <c r="Y46" i="120"/>
  <c r="AA46" i="120"/>
  <c r="AE46" i="120" s="1"/>
  <c r="F31" i="43"/>
  <c r="G5" i="153"/>
  <c r="G24" i="153"/>
  <c r="E61" i="152"/>
  <c r="E59" i="152"/>
  <c r="E10" i="153"/>
  <c r="E6" i="153" s="1"/>
  <c r="E5" i="153" s="1"/>
  <c r="E24" i="153" s="1"/>
  <c r="I11" i="153"/>
  <c r="L20" i="154"/>
  <c r="AA15" i="22"/>
  <c r="L17" i="154"/>
  <c r="K14" i="154"/>
  <c r="Q27" i="61"/>
  <c r="T27" i="61"/>
  <c r="V27" i="61" s="1"/>
  <c r="T12" i="61"/>
  <c r="V12" i="61" s="1"/>
  <c r="B56" i="54"/>
  <c r="B47" i="54" s="1"/>
  <c r="D151" i="111"/>
  <c r="I17" i="66"/>
  <c r="D31" i="66"/>
  <c r="H11" i="66"/>
  <c r="H18" i="66" s="1"/>
  <c r="I11" i="66"/>
  <c r="F31" i="66"/>
  <c r="E31" i="66"/>
  <c r="I38" i="66"/>
  <c r="K31" i="66"/>
  <c r="K32" i="66"/>
  <c r="I31" i="66"/>
  <c r="I32" i="66" s="1"/>
  <c r="L17" i="66"/>
  <c r="L18" i="66" s="1"/>
  <c r="L11" i="66"/>
  <c r="I15" i="67"/>
  <c r="J15" i="67"/>
  <c r="K20" i="67"/>
  <c r="G11" i="66"/>
  <c r="G17" i="66"/>
  <c r="G20" i="67"/>
  <c r="F38" i="66"/>
  <c r="D20" i="67"/>
  <c r="D21" i="67"/>
  <c r="L15" i="67"/>
  <c r="G18" i="68"/>
  <c r="L18" i="68"/>
  <c r="D18" i="68"/>
  <c r="H21" i="67"/>
  <c r="D21" i="66"/>
  <c r="B45" i="66"/>
  <c r="D45" i="66" s="1"/>
  <c r="D25" i="66"/>
  <c r="D32" i="66" s="1"/>
  <c r="O130" i="75"/>
  <c r="F9" i="36"/>
  <c r="I18" i="66"/>
  <c r="I39" i="66" s="1"/>
  <c r="K21" i="106"/>
  <c r="N21" i="106" s="1"/>
  <c r="B38" i="54"/>
  <c r="C66" i="35"/>
  <c r="F67" i="35"/>
  <c r="F66" i="35"/>
  <c r="F68" i="35"/>
  <c r="B68" i="54"/>
  <c r="F45" i="35"/>
  <c r="F38" i="35" s="1"/>
  <c r="C38" i="35"/>
  <c r="C9" i="152"/>
  <c r="E9" i="152" s="1"/>
  <c r="L10" i="67"/>
  <c r="L21" i="67"/>
  <c r="G10" i="67"/>
  <c r="R130" i="73"/>
  <c r="R245" i="73"/>
  <c r="I9" i="68"/>
  <c r="I18" i="68"/>
  <c r="G15" i="67"/>
  <c r="N244" i="73"/>
  <c r="P130" i="73"/>
  <c r="R130" i="75"/>
  <c r="R188" i="75" s="1"/>
  <c r="E21" i="106"/>
  <c r="M21" i="106"/>
  <c r="AF44" i="120"/>
  <c r="AE41" i="120"/>
  <c r="P130" i="75"/>
  <c r="P188" i="75" s="1"/>
  <c r="AA23" i="21"/>
  <c r="C22" i="35"/>
  <c r="B22" i="54" s="1"/>
  <c r="W130" i="75"/>
  <c r="W188" i="75"/>
  <c r="C46" i="11"/>
  <c r="C47" i="11" s="1"/>
  <c r="AA12" i="22"/>
  <c r="AA8" i="22"/>
  <c r="V130" i="75"/>
  <c r="V188" i="75"/>
  <c r="J35" i="66"/>
  <c r="J38" i="66"/>
  <c r="P222" i="77"/>
  <c r="F38" i="13"/>
  <c r="H39" i="21"/>
  <c r="H48" i="21"/>
  <c r="T130" i="75"/>
  <c r="T188" i="75" s="1"/>
  <c r="M130" i="75"/>
  <c r="M188" i="75" s="1"/>
  <c r="F118" i="35"/>
  <c r="C117" i="35"/>
  <c r="C116" i="35"/>
  <c r="C74" i="35"/>
  <c r="P6" i="120"/>
  <c r="P46" i="120"/>
  <c r="M47" i="17"/>
  <c r="N47" i="17"/>
  <c r="C31" i="35"/>
  <c r="C52" i="35"/>
  <c r="F52" i="35" s="1"/>
  <c r="N7" i="18"/>
  <c r="L7" i="154"/>
  <c r="E17" i="153"/>
  <c r="E13" i="153"/>
  <c r="I18" i="153"/>
  <c r="I17" i="153" s="1"/>
  <c r="H6" i="154"/>
  <c r="C47" i="152"/>
  <c r="C49" i="152" s="1"/>
  <c r="E49" i="152" s="1"/>
  <c r="B52" i="54"/>
  <c r="C7" i="35"/>
  <c r="C6" i="35" s="1"/>
  <c r="F31" i="35"/>
  <c r="B31" i="54"/>
  <c r="AC46" i="120"/>
  <c r="R46" i="120"/>
  <c r="C6" i="39" s="1"/>
  <c r="E6" i="39" s="1"/>
  <c r="F46" i="11"/>
  <c r="C7" i="46"/>
  <c r="D7" i="46"/>
  <c r="C5" i="37"/>
  <c r="C4" i="37" s="1"/>
  <c r="B66" i="54"/>
  <c r="F5" i="37"/>
  <c r="F4" i="37" s="1"/>
  <c r="C50" i="152"/>
  <c r="E50" i="152" s="1"/>
  <c r="C48" i="152"/>
  <c r="E48" i="152" s="1"/>
  <c r="B48" i="54"/>
  <c r="F107" i="35"/>
  <c r="K46" i="57"/>
  <c r="K51" i="57" s="1"/>
  <c r="M46" i="57"/>
  <c r="M51" i="57"/>
  <c r="E25" i="57"/>
  <c r="Y30" i="57"/>
  <c r="AC30" i="57" s="1"/>
  <c r="M76" i="110"/>
  <c r="M83" i="110"/>
  <c r="L83" i="110"/>
  <c r="H83" i="110"/>
  <c r="L65" i="110"/>
  <c r="M65" i="110" s="1"/>
  <c r="H65" i="110"/>
  <c r="C9" i="34" s="1"/>
  <c r="F9" i="34" s="1"/>
  <c r="L42" i="110"/>
  <c r="M42" i="110" s="1"/>
  <c r="H42" i="110"/>
  <c r="F73" i="110"/>
  <c r="E73" i="110"/>
  <c r="L73" i="110" s="1"/>
  <c r="M73" i="110" s="1"/>
  <c r="R24" i="110"/>
  <c r="M84" i="110"/>
  <c r="L84" i="110"/>
  <c r="H84" i="110"/>
  <c r="Q59" i="110"/>
  <c r="R59" i="110" s="1"/>
  <c r="L67" i="110"/>
  <c r="M67" i="110"/>
  <c r="H67" i="110"/>
  <c r="L82" i="110"/>
  <c r="M82" i="110" s="1"/>
  <c r="H82" i="110"/>
  <c r="R7" i="110"/>
  <c r="L85" i="110"/>
  <c r="M85" i="110" s="1"/>
  <c r="H85" i="110"/>
  <c r="F87" i="110"/>
  <c r="E87" i="110"/>
  <c r="H44" i="110"/>
  <c r="H61" i="110"/>
  <c r="H62" i="110"/>
  <c r="H74" i="110"/>
  <c r="H75" i="110"/>
  <c r="H76" i="110"/>
  <c r="H78" i="110"/>
  <c r="H79" i="110"/>
  <c r="H80" i="110"/>
  <c r="M89" i="110"/>
  <c r="M90" i="110"/>
  <c r="M92" i="110"/>
  <c r="H97" i="110"/>
  <c r="H6" i="110"/>
  <c r="H10" i="110"/>
  <c r="D46" i="30" s="1"/>
  <c r="F46" i="30" s="1"/>
  <c r="H11" i="110"/>
  <c r="D104" i="30" s="1"/>
  <c r="F104" i="30" s="1"/>
  <c r="H12" i="110"/>
  <c r="C8" i="34"/>
  <c r="F8" i="34" s="1"/>
  <c r="H13" i="110"/>
  <c r="C4" i="34" s="1"/>
  <c r="L15" i="110"/>
  <c r="M15" i="110" s="1"/>
  <c r="L17" i="110"/>
  <c r="M17" i="110" s="1"/>
  <c r="Q44" i="110"/>
  <c r="R44" i="110"/>
  <c r="H60" i="110"/>
  <c r="E81" i="110"/>
  <c r="Q81" i="110"/>
  <c r="R81" i="110" s="1"/>
  <c r="H89" i="110"/>
  <c r="H90" i="110"/>
  <c r="H91" i="110"/>
  <c r="H92" i="110"/>
  <c r="H93" i="110"/>
  <c r="H94" i="110"/>
  <c r="H95" i="110"/>
  <c r="H81" i="110"/>
  <c r="P96" i="110"/>
  <c r="Q66" i="110"/>
  <c r="R66" i="110"/>
  <c r="Q49" i="110"/>
  <c r="R49" i="110"/>
  <c r="M56" i="110"/>
  <c r="L26" i="110"/>
  <c r="M26" i="110"/>
  <c r="M66" i="110"/>
  <c r="H46" i="110"/>
  <c r="H51" i="110"/>
  <c r="L41" i="110"/>
  <c r="M41" i="110"/>
  <c r="H45" i="110"/>
  <c r="H50" i="110"/>
  <c r="H52" i="110"/>
  <c r="H31" i="110"/>
  <c r="P101" i="110"/>
  <c r="P104" i="110" s="1"/>
  <c r="Q96" i="110"/>
  <c r="R96" i="110" s="1"/>
  <c r="H98" i="110"/>
  <c r="L98" i="110"/>
  <c r="M98" i="110"/>
  <c r="L9" i="110"/>
  <c r="M9" i="110" s="1"/>
  <c r="H9" i="110"/>
  <c r="Q42" i="110"/>
  <c r="R42" i="110" s="1"/>
  <c r="L81" i="110"/>
  <c r="M81" i="110" s="1"/>
  <c r="M96" i="110"/>
  <c r="M88" i="110"/>
  <c r="H8" i="110"/>
  <c r="C6" i="34" s="1"/>
  <c r="F6" i="34" s="1"/>
  <c r="M13" i="110"/>
  <c r="E33" i="110"/>
  <c r="H33" i="110" s="1"/>
  <c r="H47" i="110"/>
  <c r="L77" i="110"/>
  <c r="M97" i="110"/>
  <c r="F98" i="110"/>
  <c r="Q72" i="110"/>
  <c r="R72" i="110" s="1"/>
  <c r="F104" i="110"/>
  <c r="D7" i="110"/>
  <c r="L8" i="110"/>
  <c r="M8" i="110" s="1"/>
  <c r="H30" i="110"/>
  <c r="L37" i="110"/>
  <c r="M37" i="110"/>
  <c r="M39" i="110"/>
  <c r="E63" i="110"/>
  <c r="L72" i="110"/>
  <c r="M72" i="110"/>
  <c r="M79" i="110"/>
  <c r="H86" i="110"/>
  <c r="M77" i="110"/>
  <c r="H66" i="110"/>
  <c r="H96" i="110"/>
  <c r="H88" i="110"/>
  <c r="M29" i="110"/>
  <c r="H24" i="110"/>
  <c r="H23" i="110"/>
  <c r="M34" i="110"/>
  <c r="L36" i="110"/>
  <c r="M36" i="110" s="1"/>
  <c r="H53" i="110"/>
  <c r="L18" i="110"/>
  <c r="M18" i="110" s="1"/>
  <c r="L23" i="110"/>
  <c r="M23" i="110" s="1"/>
  <c r="H29" i="110"/>
  <c r="L55" i="110"/>
  <c r="M55" i="110" s="1"/>
  <c r="M68" i="110"/>
  <c r="H21" i="110"/>
  <c r="H25" i="110"/>
  <c r="H28" i="110"/>
  <c r="H68" i="110"/>
  <c r="L64" i="110"/>
  <c r="M64" i="110" s="1"/>
  <c r="H59" i="110"/>
  <c r="H49" i="110"/>
  <c r="H20" i="110"/>
  <c r="L21" i="110"/>
  <c r="M21" i="110"/>
  <c r="L25" i="110"/>
  <c r="M25" i="110" s="1"/>
  <c r="H27" i="110"/>
  <c r="H40" i="110"/>
  <c r="H57" i="110"/>
  <c r="L59" i="110"/>
  <c r="M59" i="110" s="1"/>
  <c r="L71" i="110"/>
  <c r="M71" i="110"/>
  <c r="M49" i="110"/>
  <c r="H16" i="110"/>
  <c r="H19" i="110"/>
  <c r="C11" i="34"/>
  <c r="F11" i="34" s="1"/>
  <c r="L20" i="110"/>
  <c r="M20" i="110"/>
  <c r="M30" i="110"/>
  <c r="H34" i="110"/>
  <c r="H39" i="110"/>
  <c r="M40" i="110"/>
  <c r="M45" i="110"/>
  <c r="H55" i="110"/>
  <c r="M57" i="110"/>
  <c r="M69" i="110"/>
  <c r="L70" i="110"/>
  <c r="M70" i="110" s="1"/>
  <c r="H73" i="110"/>
  <c r="H18" i="110"/>
  <c r="H54" i="110"/>
  <c r="M16" i="110"/>
  <c r="M28" i="110"/>
  <c r="M27" i="110"/>
  <c r="C10" i="34"/>
  <c r="F10" i="34" s="1"/>
  <c r="E7" i="110"/>
  <c r="L7" i="110" s="1"/>
  <c r="L63" i="110"/>
  <c r="M63" i="110"/>
  <c r="H63" i="110"/>
  <c r="E15" i="125"/>
  <c r="S43" i="120"/>
  <c r="AF43" i="120" s="1"/>
  <c r="S42" i="120"/>
  <c r="AF42" i="120"/>
  <c r="AD24" i="120"/>
  <c r="S40" i="120"/>
  <c r="AF40" i="120"/>
  <c r="AD10" i="120"/>
  <c r="AD6" i="120" s="1"/>
  <c r="AD46" i="120"/>
  <c r="S46" i="120"/>
  <c r="AF46" i="120"/>
  <c r="S6" i="120"/>
  <c r="AF6" i="120" s="1"/>
  <c r="D13" i="30"/>
  <c r="D11" i="30" s="1"/>
  <c r="H41" i="58"/>
  <c r="I28" i="58"/>
  <c r="I41" i="58"/>
  <c r="I42" i="58" s="1"/>
  <c r="H17" i="145"/>
  <c r="E21" i="145"/>
  <c r="E17" i="145"/>
  <c r="F19" i="145"/>
  <c r="D48" i="111"/>
  <c r="D230" i="111"/>
  <c r="D243" i="111"/>
  <c r="D65" i="31"/>
  <c r="F65" i="31" s="1"/>
  <c r="D67" i="31"/>
  <c r="F67" i="31" s="1"/>
  <c r="I6" i="111"/>
  <c r="D68" i="31"/>
  <c r="F68" i="31" s="1"/>
  <c r="Y14" i="91"/>
  <c r="Y7" i="91"/>
  <c r="Y12" i="91"/>
  <c r="U19" i="61"/>
  <c r="U24" i="61"/>
  <c r="AD6" i="81"/>
  <c r="U6" i="61"/>
  <c r="D203" i="111"/>
  <c r="D229" i="111" s="1"/>
  <c r="D121" i="111"/>
  <c r="D91" i="111"/>
  <c r="D187" i="111"/>
  <c r="D11" i="111"/>
  <c r="D30" i="31"/>
  <c r="F106" i="31"/>
  <c r="F105" i="31" s="1"/>
  <c r="F63" i="32"/>
  <c r="F16" i="31" s="1"/>
  <c r="H49" i="33"/>
  <c r="F126" i="31" s="1"/>
  <c r="H115" i="33"/>
  <c r="F134" i="31" s="1"/>
  <c r="D136" i="31"/>
  <c r="D171" i="111"/>
  <c r="F13" i="48"/>
  <c r="K5" i="159"/>
  <c r="I5" i="159"/>
  <c r="J5" i="159"/>
  <c r="H5" i="159"/>
  <c r="G13" i="46" l="1"/>
  <c r="E71" i="35" s="1"/>
  <c r="B19" i="46"/>
  <c r="C20" i="46" s="1"/>
  <c r="E140" i="35" s="1"/>
  <c r="H31" i="160"/>
  <c r="G32" i="160"/>
  <c r="F26" i="160"/>
  <c r="H36" i="160"/>
  <c r="H32" i="160"/>
  <c r="H27" i="160"/>
  <c r="G27" i="160"/>
  <c r="G25" i="160" s="1"/>
  <c r="H37" i="160"/>
  <c r="F36" i="160"/>
  <c r="F32" i="160"/>
  <c r="F30" i="160" s="1"/>
  <c r="F28" i="160" s="1"/>
  <c r="F31" i="160"/>
  <c r="F27" i="160"/>
  <c r="H26" i="160"/>
  <c r="H25" i="160" s="1"/>
  <c r="H23" i="160" s="1"/>
  <c r="G26" i="160"/>
  <c r="F37" i="160"/>
  <c r="F35" i="160" s="1"/>
  <c r="G37" i="160"/>
  <c r="G36" i="160"/>
  <c r="G31" i="160"/>
  <c r="E22" i="160"/>
  <c r="F13" i="31"/>
  <c r="F12" i="31" s="1"/>
  <c r="F10" i="31" s="1"/>
  <c r="F116" i="31"/>
  <c r="F60" i="30"/>
  <c r="F120" i="32"/>
  <c r="F127" i="32"/>
  <c r="H125" i="33"/>
  <c r="D77" i="31"/>
  <c r="D76" i="31" s="1"/>
  <c r="F21" i="31"/>
  <c r="D144" i="31"/>
  <c r="D118" i="31"/>
  <c r="D116" i="31" s="1"/>
  <c r="D157" i="31"/>
  <c r="D155" i="31" s="1"/>
  <c r="F101" i="32"/>
  <c r="F37" i="31" s="1"/>
  <c r="D73" i="30"/>
  <c r="D126" i="31"/>
  <c r="N27" i="72"/>
  <c r="F156" i="31" s="1"/>
  <c r="F155" i="31" s="1"/>
  <c r="G115" i="33"/>
  <c r="F94" i="31" s="1"/>
  <c r="F43" i="31"/>
  <c r="D39" i="31"/>
  <c r="F87" i="30"/>
  <c r="J10" i="145"/>
  <c r="G47" i="59"/>
  <c r="H126" i="33"/>
  <c r="I11" i="145"/>
  <c r="J11" i="145" s="1"/>
  <c r="J12" i="145" s="1"/>
  <c r="C14" i="39" s="1"/>
  <c r="E14" i="39" s="1"/>
  <c r="G55" i="59"/>
  <c r="G56" i="59" s="1"/>
  <c r="H12" i="145"/>
  <c r="H20" i="145"/>
  <c r="J20" i="145" s="1"/>
  <c r="F22" i="145"/>
  <c r="F17" i="145"/>
  <c r="E19" i="145"/>
  <c r="E20" i="145"/>
  <c r="I20" i="145"/>
  <c r="F21" i="145"/>
  <c r="E22" i="145"/>
  <c r="G21" i="145"/>
  <c r="F104" i="31"/>
  <c r="D96" i="31"/>
  <c r="D64" i="31"/>
  <c r="D63" i="31" s="1"/>
  <c r="F66" i="31"/>
  <c r="L187" i="111"/>
  <c r="J171" i="111"/>
  <c r="L171" i="111" s="1"/>
  <c r="U7" i="61"/>
  <c r="D88" i="31"/>
  <c r="Y9" i="91"/>
  <c r="U11" i="61"/>
  <c r="D105" i="31"/>
  <c r="C10" i="44" s="1"/>
  <c r="U14" i="61"/>
  <c r="Y8" i="91"/>
  <c r="U26" i="61"/>
  <c r="Y15" i="91"/>
  <c r="D128" i="31"/>
  <c r="F109" i="111"/>
  <c r="D79" i="31"/>
  <c r="H27" i="111"/>
  <c r="H121" i="111"/>
  <c r="H172" i="111"/>
  <c r="I172" i="111" s="1"/>
  <c r="I21" i="111"/>
  <c r="I62" i="111"/>
  <c r="I108" i="111"/>
  <c r="I158" i="111"/>
  <c r="I204" i="111"/>
  <c r="I246" i="111"/>
  <c r="L194" i="111"/>
  <c r="U9" i="61"/>
  <c r="U8" i="61"/>
  <c r="F128" i="31"/>
  <c r="F124" i="31" s="1"/>
  <c r="U21" i="61"/>
  <c r="Y10" i="91"/>
  <c r="U17" i="61"/>
  <c r="U12" i="61"/>
  <c r="F38" i="30"/>
  <c r="D30" i="30"/>
  <c r="D24" i="30" s="1"/>
  <c r="L179" i="111"/>
  <c r="D70" i="31"/>
  <c r="U27" i="61"/>
  <c r="U18" i="61"/>
  <c r="U15" i="61"/>
  <c r="Y11" i="91"/>
  <c r="K34" i="111"/>
  <c r="I95" i="111"/>
  <c r="I127" i="111"/>
  <c r="I235" i="111"/>
  <c r="I36" i="111"/>
  <c r="I77" i="111"/>
  <c r="I206" i="111"/>
  <c r="I254" i="111"/>
  <c r="F114" i="31"/>
  <c r="H109" i="111"/>
  <c r="I109" i="111" s="1"/>
  <c r="I135" i="111"/>
  <c r="I37" i="111"/>
  <c r="I78" i="111"/>
  <c r="I124" i="111"/>
  <c r="I213" i="111"/>
  <c r="J48" i="111"/>
  <c r="L48" i="111" s="1"/>
  <c r="I44" i="111"/>
  <c r="I85" i="111"/>
  <c r="I126" i="111"/>
  <c r="I181" i="111"/>
  <c r="I222" i="111"/>
  <c r="I106" i="111"/>
  <c r="I53" i="111"/>
  <c r="I94" i="111"/>
  <c r="I140" i="111"/>
  <c r="I182" i="111"/>
  <c r="I228" i="111"/>
  <c r="J13" i="111"/>
  <c r="L13" i="111" s="1"/>
  <c r="J109" i="111"/>
  <c r="L109" i="111" s="1"/>
  <c r="J214" i="111"/>
  <c r="L214" i="111" s="1"/>
  <c r="J257" i="111"/>
  <c r="L257" i="111" s="1"/>
  <c r="F141" i="111"/>
  <c r="F110" i="111" s="1"/>
  <c r="F202" i="111" s="1"/>
  <c r="G34" i="111"/>
  <c r="D66" i="30"/>
  <c r="F66" i="30" s="1"/>
  <c r="F98" i="30"/>
  <c r="D90" i="30"/>
  <c r="D84" i="30" s="1"/>
  <c r="I220" i="111"/>
  <c r="I12" i="111"/>
  <c r="I54" i="111"/>
  <c r="I142" i="111"/>
  <c r="I188" i="111"/>
  <c r="I236" i="111"/>
  <c r="U22" i="61"/>
  <c r="D21" i="31"/>
  <c r="U20" i="61"/>
  <c r="U13" i="61"/>
  <c r="Y6" i="91"/>
  <c r="U10" i="61"/>
  <c r="U16" i="61"/>
  <c r="F48" i="111"/>
  <c r="G48" i="111" s="1"/>
  <c r="I73" i="111"/>
  <c r="I226" i="111"/>
  <c r="I60" i="111"/>
  <c r="I101" i="111"/>
  <c r="I149" i="111"/>
  <c r="I190" i="111"/>
  <c r="I245" i="111"/>
  <c r="G30" i="160"/>
  <c r="G28" i="160" s="1"/>
  <c r="D35" i="31"/>
  <c r="F7" i="48"/>
  <c r="F76" i="31"/>
  <c r="F8" i="48"/>
  <c r="F118" i="30"/>
  <c r="G11" i="111"/>
  <c r="E11" i="111"/>
  <c r="K109" i="111"/>
  <c r="G109" i="111"/>
  <c r="E109" i="111"/>
  <c r="F64" i="31"/>
  <c r="F63" i="31" s="1"/>
  <c r="E229" i="111"/>
  <c r="G151" i="111"/>
  <c r="E151" i="111"/>
  <c r="V25" i="61"/>
  <c r="U25" i="61"/>
  <c r="H6" i="68"/>
  <c r="H9" i="68" s="1"/>
  <c r="H18" i="68" s="1"/>
  <c r="O244" i="73"/>
  <c r="F14" i="48"/>
  <c r="E171" i="111"/>
  <c r="G171" i="111"/>
  <c r="D125" i="30" s="1"/>
  <c r="F125" i="30" s="1"/>
  <c r="B14" i="29" s="1"/>
  <c r="K121" i="111"/>
  <c r="G121" i="111"/>
  <c r="E121" i="111"/>
  <c r="D39" i="66"/>
  <c r="D134" i="31"/>
  <c r="D133" i="31" s="1"/>
  <c r="D131" i="31" s="1"/>
  <c r="C16" i="39"/>
  <c r="E16" i="39" s="1"/>
  <c r="K91" i="111"/>
  <c r="E91" i="111"/>
  <c r="G91" i="111"/>
  <c r="L87" i="110"/>
  <c r="M87" i="110"/>
  <c r="H87" i="110"/>
  <c r="G18" i="66"/>
  <c r="E7" i="152"/>
  <c r="E6" i="152" s="1"/>
  <c r="E13" i="152"/>
  <c r="I6" i="67"/>
  <c r="I10" i="67" s="1"/>
  <c r="P187" i="73"/>
  <c r="P245" i="73" s="1"/>
  <c r="J26" i="66"/>
  <c r="J31" i="66" s="1"/>
  <c r="J32" i="66" s="1"/>
  <c r="N130" i="73"/>
  <c r="N245" i="73" s="1"/>
  <c r="J21" i="67"/>
  <c r="J39" i="66"/>
  <c r="K203" i="111"/>
  <c r="E203" i="111"/>
  <c r="G203" i="111"/>
  <c r="E48" i="111"/>
  <c r="F6" i="36"/>
  <c r="I13" i="153"/>
  <c r="G214" i="111"/>
  <c r="E214" i="111"/>
  <c r="C20" i="152"/>
  <c r="C38" i="152"/>
  <c r="E38" i="152" s="1"/>
  <c r="C37" i="152"/>
  <c r="E37" i="152" s="1"/>
  <c r="C39" i="152"/>
  <c r="E39" i="152" s="1"/>
  <c r="E34" i="152" s="1"/>
  <c r="E33" i="152" s="1"/>
  <c r="C33" i="152"/>
  <c r="C36" i="152"/>
  <c r="E36" i="152" s="1"/>
  <c r="K243" i="111"/>
  <c r="E243" i="111"/>
  <c r="G243" i="111"/>
  <c r="C13" i="34"/>
  <c r="F4" i="34"/>
  <c r="F134" i="35"/>
  <c r="F132" i="35" s="1"/>
  <c r="B134" i="54"/>
  <c r="F7" i="34"/>
  <c r="G21" i="67"/>
  <c r="K127" i="111"/>
  <c r="E127" i="111"/>
  <c r="G127" i="111"/>
  <c r="C7" i="34"/>
  <c r="F22" i="35"/>
  <c r="R6" i="120"/>
  <c r="C32" i="43"/>
  <c r="AD7" i="81"/>
  <c r="AD15" i="81"/>
  <c r="AD8" i="81"/>
  <c r="AD9" i="81"/>
  <c r="AD10" i="81"/>
  <c r="AD11" i="81"/>
  <c r="AD13" i="81"/>
  <c r="G257" i="111"/>
  <c r="AD12" i="81"/>
  <c r="K257" i="111"/>
  <c r="AD14" i="81"/>
  <c r="E251" i="111"/>
  <c r="E227" i="111"/>
  <c r="E219" i="111"/>
  <c r="E211" i="111"/>
  <c r="E195" i="111"/>
  <c r="E163" i="111"/>
  <c r="E155" i="111"/>
  <c r="E147" i="111"/>
  <c r="E139" i="111"/>
  <c r="E131" i="111"/>
  <c r="E115" i="111"/>
  <c r="E107" i="111"/>
  <c r="E83" i="111"/>
  <c r="E75" i="111"/>
  <c r="E67" i="111"/>
  <c r="E59" i="111"/>
  <c r="E51" i="111"/>
  <c r="E43" i="111"/>
  <c r="E35" i="111"/>
  <c r="E19" i="111"/>
  <c r="E250" i="111"/>
  <c r="E242" i="111"/>
  <c r="E234" i="111"/>
  <c r="E218" i="111"/>
  <c r="E210" i="111"/>
  <c r="E194" i="111"/>
  <c r="E186" i="111"/>
  <c r="E257" i="111"/>
  <c r="E249" i="111"/>
  <c r="E241" i="111"/>
  <c r="E233" i="111"/>
  <c r="E225" i="111"/>
  <c r="E217" i="111"/>
  <c r="E209" i="111"/>
  <c r="E201" i="111"/>
  <c r="E193" i="111"/>
  <c r="E185" i="111"/>
  <c r="E177" i="111"/>
  <c r="E169" i="111"/>
  <c r="E161" i="111"/>
  <c r="E255" i="111"/>
  <c r="E247" i="111"/>
  <c r="E223" i="111"/>
  <c r="E199" i="111"/>
  <c r="E191" i="111"/>
  <c r="E183" i="111"/>
  <c r="E175" i="111"/>
  <c r="E167" i="111"/>
  <c r="E159" i="111"/>
  <c r="E119" i="111"/>
  <c r="E103" i="111"/>
  <c r="E87" i="111"/>
  <c r="E79" i="111"/>
  <c r="E71" i="111"/>
  <c r="E63" i="111"/>
  <c r="E47" i="111"/>
  <c r="E39" i="111"/>
  <c r="E31" i="111"/>
  <c r="E23" i="111"/>
  <c r="E15" i="111"/>
  <c r="E7" i="111"/>
  <c r="E245" i="111"/>
  <c r="E213" i="111"/>
  <c r="E197" i="111"/>
  <c r="E181" i="111"/>
  <c r="E168" i="111"/>
  <c r="E156" i="111"/>
  <c r="E144" i="111"/>
  <c r="E133" i="111"/>
  <c r="E122" i="111"/>
  <c r="E112" i="111"/>
  <c r="E101" i="111"/>
  <c r="E90" i="111"/>
  <c r="E80" i="111"/>
  <c r="E69" i="111"/>
  <c r="E58" i="111"/>
  <c r="E37" i="111"/>
  <c r="E26" i="111"/>
  <c r="E16" i="111"/>
  <c r="E228" i="111"/>
  <c r="E212" i="111"/>
  <c r="E196" i="111"/>
  <c r="E180" i="111"/>
  <c r="E166" i="111"/>
  <c r="E154" i="111"/>
  <c r="E142" i="111"/>
  <c r="E132" i="111"/>
  <c r="E89" i="111"/>
  <c r="E78" i="111"/>
  <c r="E68" i="111"/>
  <c r="E57" i="111"/>
  <c r="E46" i="111"/>
  <c r="E36" i="111"/>
  <c r="E25" i="111"/>
  <c r="E240" i="111"/>
  <c r="E224" i="111"/>
  <c r="E208" i="111"/>
  <c r="E192" i="111"/>
  <c r="E178" i="111"/>
  <c r="E152" i="111"/>
  <c r="E130" i="111"/>
  <c r="E120" i="111"/>
  <c r="E77" i="111"/>
  <c r="E66" i="111"/>
  <c r="E56" i="111"/>
  <c r="E45" i="111"/>
  <c r="E34" i="111"/>
  <c r="E24" i="111"/>
  <c r="E254" i="111"/>
  <c r="E238" i="111"/>
  <c r="E222" i="111"/>
  <c r="E206" i="111"/>
  <c r="E190" i="111"/>
  <c r="E176" i="111"/>
  <c r="E164" i="111"/>
  <c r="E150" i="111"/>
  <c r="E140" i="111"/>
  <c r="E129" i="111"/>
  <c r="E108" i="111"/>
  <c r="E97" i="111"/>
  <c r="E86" i="111"/>
  <c r="E76" i="111"/>
  <c r="E54" i="111"/>
  <c r="E33" i="111"/>
  <c r="E22" i="111"/>
  <c r="E12" i="111"/>
  <c r="E253" i="111"/>
  <c r="E237" i="111"/>
  <c r="E221" i="111"/>
  <c r="E205" i="111"/>
  <c r="E189" i="111"/>
  <c r="E174" i="111"/>
  <c r="E162" i="111"/>
  <c r="E149" i="111"/>
  <c r="E138" i="111"/>
  <c r="E128" i="111"/>
  <c r="E117" i="111"/>
  <c r="E106" i="111"/>
  <c r="E96" i="111"/>
  <c r="E85" i="111"/>
  <c r="E74" i="111"/>
  <c r="E53" i="111"/>
  <c r="E32" i="111"/>
  <c r="E21" i="111"/>
  <c r="E10" i="111"/>
  <c r="E252" i="111"/>
  <c r="E236" i="111"/>
  <c r="E204" i="111"/>
  <c r="E188" i="111"/>
  <c r="E173" i="111"/>
  <c r="E160" i="111"/>
  <c r="E137" i="111"/>
  <c r="E126" i="111"/>
  <c r="E116" i="111"/>
  <c r="E105" i="111"/>
  <c r="E94" i="111"/>
  <c r="E84" i="111"/>
  <c r="E73" i="111"/>
  <c r="E62" i="111"/>
  <c r="E52" i="111"/>
  <c r="E30" i="111"/>
  <c r="E20" i="111"/>
  <c r="E9" i="111"/>
  <c r="E248" i="111"/>
  <c r="E232" i="111"/>
  <c r="E216" i="111"/>
  <c r="E200" i="111"/>
  <c r="E184" i="111"/>
  <c r="E158" i="111"/>
  <c r="E146" i="111"/>
  <c r="E136" i="111"/>
  <c r="E125" i="111"/>
  <c r="E114" i="111"/>
  <c r="E104" i="111"/>
  <c r="E93" i="111"/>
  <c r="E72" i="111"/>
  <c r="E61" i="111"/>
  <c r="E50" i="111"/>
  <c r="E29" i="111"/>
  <c r="E18" i="111"/>
  <c r="E246" i="111"/>
  <c r="E198" i="111"/>
  <c r="E182" i="111"/>
  <c r="E170" i="111"/>
  <c r="E145" i="111"/>
  <c r="E134" i="111"/>
  <c r="E124" i="111"/>
  <c r="E102" i="111"/>
  <c r="E70" i="111"/>
  <c r="E60" i="111"/>
  <c r="E49" i="111"/>
  <c r="E38" i="111"/>
  <c r="E28" i="111"/>
  <c r="E17" i="111"/>
  <c r="E6" i="111"/>
  <c r="Y13" i="91"/>
  <c r="G148" i="111"/>
  <c r="K148" i="111"/>
  <c r="E148" i="111"/>
  <c r="D143" i="111"/>
  <c r="E20" i="67"/>
  <c r="E21" i="67" s="1"/>
  <c r="H7" i="110"/>
  <c r="C52" i="152"/>
  <c r="E52" i="152" s="1"/>
  <c r="I17" i="67"/>
  <c r="I20" i="67" s="1"/>
  <c r="I21" i="67" s="1"/>
  <c r="N161" i="74"/>
  <c r="N162" i="74" s="1"/>
  <c r="L27" i="66"/>
  <c r="L31" i="66" s="1"/>
  <c r="L32" i="66" s="1"/>
  <c r="L39" i="66" s="1"/>
  <c r="N104" i="74"/>
  <c r="B137" i="54"/>
  <c r="F137" i="35"/>
  <c r="F28" i="35"/>
  <c r="B28" i="54"/>
  <c r="B27" i="54"/>
  <c r="F27" i="35"/>
  <c r="F26" i="35"/>
  <c r="B26" i="54"/>
  <c r="AA25" i="21"/>
  <c r="AA8" i="21" s="1"/>
  <c r="AA48" i="21" s="1"/>
  <c r="N8" i="21"/>
  <c r="N48" i="21" s="1"/>
  <c r="E187" i="111"/>
  <c r="G187" i="111"/>
  <c r="G230" i="111"/>
  <c r="K230" i="111"/>
  <c r="E230" i="111"/>
  <c r="M7" i="110"/>
  <c r="L33" i="110"/>
  <c r="M33" i="110" s="1"/>
  <c r="AA16" i="22"/>
  <c r="AA22" i="22" s="1"/>
  <c r="F23" i="43"/>
  <c r="K113" i="111"/>
  <c r="G113" i="111"/>
  <c r="D111" i="111"/>
  <c r="E113" i="111"/>
  <c r="D38" i="66"/>
  <c r="H30" i="66"/>
  <c r="H31" i="66" s="1"/>
  <c r="H32" i="66" s="1"/>
  <c r="H39" i="66" s="1"/>
  <c r="O108" i="77"/>
  <c r="O223" i="77" s="1"/>
  <c r="C46" i="152"/>
  <c r="C51" i="152"/>
  <c r="E51" i="152" s="1"/>
  <c r="E47" i="152" s="1"/>
  <c r="E46" i="152" s="1"/>
  <c r="C25" i="43"/>
  <c r="R223" i="77"/>
  <c r="G34" i="66"/>
  <c r="G38" i="66" s="1"/>
  <c r="M104" i="74"/>
  <c r="M162" i="74" s="1"/>
  <c r="L37" i="66"/>
  <c r="L38" i="66" s="1"/>
  <c r="P108" i="77"/>
  <c r="P223" i="77" s="1"/>
  <c r="G231" i="111"/>
  <c r="K231" i="111"/>
  <c r="E231" i="111"/>
  <c r="G45" i="66"/>
  <c r="D29" i="31" s="1"/>
  <c r="D27" i="31" s="1"/>
  <c r="G100" i="111"/>
  <c r="K100" i="111"/>
  <c r="E100" i="111"/>
  <c r="V22" i="61"/>
  <c r="K11" i="67"/>
  <c r="K15" i="67" s="1"/>
  <c r="K21" i="67" s="1"/>
  <c r="O187" i="73"/>
  <c r="O245" i="73" s="1"/>
  <c r="N222" i="77"/>
  <c r="N223" i="77" s="1"/>
  <c r="F56" i="35"/>
  <c r="C132" i="35"/>
  <c r="F15" i="68"/>
  <c r="F17" i="68" s="1"/>
  <c r="F18" i="68" s="1"/>
  <c r="P165" i="76"/>
  <c r="P166" i="76" s="1"/>
  <c r="J7" i="68"/>
  <c r="J9" i="68" s="1"/>
  <c r="J18" i="68" s="1"/>
  <c r="D168" i="31" s="1"/>
  <c r="N165" i="76"/>
  <c r="N166" i="76" s="1"/>
  <c r="J46" i="11"/>
  <c r="G226" i="111"/>
  <c r="K226" i="111"/>
  <c r="E226" i="111"/>
  <c r="K123" i="111"/>
  <c r="G123" i="111"/>
  <c r="E123" i="111"/>
  <c r="K95" i="111"/>
  <c r="G95" i="111"/>
  <c r="E95" i="111"/>
  <c r="M165" i="76"/>
  <c r="M166" i="76" s="1"/>
  <c r="G207" i="111"/>
  <c r="K207" i="111"/>
  <c r="E207" i="111"/>
  <c r="G92" i="111"/>
  <c r="K92" i="111"/>
  <c r="E92" i="111"/>
  <c r="K8" i="111"/>
  <c r="G8" i="111"/>
  <c r="E8" i="111"/>
  <c r="L46" i="110"/>
  <c r="M46" i="110" s="1"/>
  <c r="G256" i="111"/>
  <c r="K256" i="111"/>
  <c r="E256" i="111"/>
  <c r="K135" i="111"/>
  <c r="E135" i="111"/>
  <c r="G135" i="111"/>
  <c r="D120" i="31" s="1"/>
  <c r="K88" i="111"/>
  <c r="G88" i="111"/>
  <c r="E88" i="111"/>
  <c r="D82" i="111"/>
  <c r="G153" i="111"/>
  <c r="K153" i="111"/>
  <c r="E153" i="111"/>
  <c r="F48" i="35"/>
  <c r="F47" i="35" s="1"/>
  <c r="B76" i="54"/>
  <c r="B75" i="54" s="1"/>
  <c r="G118" i="111"/>
  <c r="K118" i="111"/>
  <c r="E118" i="111"/>
  <c r="V108" i="76"/>
  <c r="V166" i="76" s="1"/>
  <c r="G239" i="111"/>
  <c r="K239" i="111"/>
  <c r="E239" i="111"/>
  <c r="N187" i="75"/>
  <c r="N188" i="75" s="1"/>
  <c r="U108" i="76"/>
  <c r="U166" i="76" s="1"/>
  <c r="AD41" i="120"/>
  <c r="S41" i="120"/>
  <c r="AF41" i="120" s="1"/>
  <c r="K235" i="111"/>
  <c r="E235" i="111"/>
  <c r="G235" i="111"/>
  <c r="K14" i="111"/>
  <c r="E14" i="111"/>
  <c r="G14" i="111"/>
  <c r="H47" i="114"/>
  <c r="I45" i="125"/>
  <c r="J45" i="125" s="1"/>
  <c r="K20" i="121"/>
  <c r="O63" i="110"/>
  <c r="I46" i="11"/>
  <c r="I47" i="11" s="1"/>
  <c r="D48" i="21"/>
  <c r="AF25" i="120"/>
  <c r="AE13" i="120"/>
  <c r="AE6" i="120" s="1"/>
  <c r="E7" i="18"/>
  <c r="L19" i="154"/>
  <c r="L14" i="154" s="1"/>
  <c r="F14" i="36" s="1"/>
  <c r="I47" i="17"/>
  <c r="K47" i="17" s="1"/>
  <c r="AF30" i="120"/>
  <c r="Q6" i="120"/>
  <c r="D22" i="104"/>
  <c r="D23" i="104" s="1"/>
  <c r="I39" i="125"/>
  <c r="J39" i="125" s="1"/>
  <c r="I29" i="125"/>
  <c r="J29" i="125" s="1"/>
  <c r="H10" i="153"/>
  <c r="H6" i="153" s="1"/>
  <c r="I12" i="153"/>
  <c r="C26" i="152" s="1"/>
  <c r="D47" i="13"/>
  <c r="L47" i="13" s="1"/>
  <c r="L48" i="13" s="1"/>
  <c r="C48" i="35"/>
  <c r="C47" i="35" s="1"/>
  <c r="C5" i="35" s="1"/>
  <c r="F82" i="32"/>
  <c r="F18" i="31" s="1"/>
  <c r="F17" i="31" s="1"/>
  <c r="F8" i="31" s="1"/>
  <c r="F21" i="18"/>
  <c r="H21" i="18" s="1"/>
  <c r="H7" i="18"/>
  <c r="C136" i="35" s="1"/>
  <c r="K6" i="154"/>
  <c r="K22" i="154" s="1"/>
  <c r="M32" i="110"/>
  <c r="L32" i="110"/>
  <c r="H32" i="110"/>
  <c r="D104" i="110"/>
  <c r="L74" i="110"/>
  <c r="M74" i="110" s="1"/>
  <c r="S48" i="21"/>
  <c r="F128" i="35"/>
  <c r="F125" i="35" s="1"/>
  <c r="B128" i="54"/>
  <c r="E21" i="66"/>
  <c r="E25" i="66" s="1"/>
  <c r="E32" i="66" s="1"/>
  <c r="E39" i="66" s="1"/>
  <c r="L50" i="110"/>
  <c r="M50" i="110"/>
  <c r="E104" i="110"/>
  <c r="G18" i="145"/>
  <c r="G20" i="145"/>
  <c r="I17" i="145"/>
  <c r="J17" i="145" s="1"/>
  <c r="J23" i="145" s="1"/>
  <c r="C22" i="39" s="1"/>
  <c r="E22" i="39" s="1"/>
  <c r="G22" i="145"/>
  <c r="F20" i="145"/>
  <c r="E18" i="145"/>
  <c r="D47" i="17"/>
  <c r="E47" i="17" s="1"/>
  <c r="AD42" i="120"/>
  <c r="AF31" i="120"/>
  <c r="I47" i="125"/>
  <c r="J47" i="125" s="1"/>
  <c r="F5" i="153"/>
  <c r="F24" i="153" s="1"/>
  <c r="R45" i="57"/>
  <c r="R46" i="57" s="1"/>
  <c r="R51" i="57" s="1"/>
  <c r="D60" i="30"/>
  <c r="Q20" i="121"/>
  <c r="E13" i="156"/>
  <c r="F12" i="34" s="1"/>
  <c r="L45" i="57"/>
  <c r="L46" i="57" s="1"/>
  <c r="L51" i="57" s="1"/>
  <c r="Y36" i="57"/>
  <c r="AC36" i="57" s="1"/>
  <c r="W39" i="21"/>
  <c r="H123" i="33"/>
  <c r="F21" i="66"/>
  <c r="F25" i="66" s="1"/>
  <c r="F32" i="66" s="1"/>
  <c r="F39" i="66" s="1"/>
  <c r="L9" i="154"/>
  <c r="E22" i="110"/>
  <c r="L52" i="110"/>
  <c r="M52" i="110" s="1"/>
  <c r="E58" i="110"/>
  <c r="Y50" i="57"/>
  <c r="AC50" i="57" s="1"/>
  <c r="Q37" i="110"/>
  <c r="R37" i="110" s="1"/>
  <c r="M11" i="110"/>
  <c r="M14" i="110"/>
  <c r="G104" i="110"/>
  <c r="O98" i="110" s="1"/>
  <c r="L91" i="110"/>
  <c r="M91" i="110" s="1"/>
  <c r="D94" i="31"/>
  <c r="D93" i="31" s="1"/>
  <c r="D91" i="31" s="1"/>
  <c r="H124" i="33"/>
  <c r="H120" i="33"/>
  <c r="F26" i="43"/>
  <c r="K172" i="111"/>
  <c r="G172" i="111"/>
  <c r="E172" i="111"/>
  <c r="L47" i="110"/>
  <c r="M47" i="110"/>
  <c r="L99" i="110"/>
  <c r="M99" i="110" s="1"/>
  <c r="H99" i="110"/>
  <c r="G25" i="57"/>
  <c r="G46" i="57" s="1"/>
  <c r="G51" i="57" s="1"/>
  <c r="V46" i="57"/>
  <c r="V51" i="57" s="1"/>
  <c r="H17" i="153"/>
  <c r="H13" i="153" s="1"/>
  <c r="H14" i="154"/>
  <c r="H22" i="154" s="1"/>
  <c r="G165" i="111"/>
  <c r="D159" i="31" s="1"/>
  <c r="E165" i="111"/>
  <c r="K165" i="111"/>
  <c r="H7" i="58"/>
  <c r="H28" i="58" s="1"/>
  <c r="H42" i="58" s="1"/>
  <c r="N25" i="57"/>
  <c r="N46" i="57" s="1"/>
  <c r="N51" i="57" s="1"/>
  <c r="J46" i="57"/>
  <c r="J51" i="57" s="1"/>
  <c r="Y40" i="57"/>
  <c r="AC40" i="57" s="1"/>
  <c r="G45" i="57"/>
  <c r="D37" i="31"/>
  <c r="D86" i="31"/>
  <c r="I37" i="125"/>
  <c r="J37" i="125" s="1"/>
  <c r="I21" i="125"/>
  <c r="J21" i="125" s="1"/>
  <c r="D15" i="125"/>
  <c r="L8" i="154"/>
  <c r="L6" i="154" s="1"/>
  <c r="G157" i="111"/>
  <c r="K157" i="111"/>
  <c r="E157" i="111"/>
  <c r="D10" i="30"/>
  <c r="F10" i="30" s="1"/>
  <c r="L19" i="110"/>
  <c r="M19" i="110"/>
  <c r="L35" i="110"/>
  <c r="M35" i="110" s="1"/>
  <c r="U46" i="57"/>
  <c r="U51" i="57" s="1"/>
  <c r="F25" i="57"/>
  <c r="X25" i="57"/>
  <c r="X46" i="57" s="1"/>
  <c r="X51" i="57" s="1"/>
  <c r="S25" i="57"/>
  <c r="S46" i="57" s="1"/>
  <c r="S51" i="57" s="1"/>
  <c r="T45" i="57"/>
  <c r="T46" i="57" s="1"/>
  <c r="T51" i="57" s="1"/>
  <c r="V45" i="57"/>
  <c r="W8" i="21"/>
  <c r="C64" i="35" s="1"/>
  <c r="F124" i="32"/>
  <c r="D13" i="31"/>
  <c r="D12" i="31" s="1"/>
  <c r="D10" i="31" s="1"/>
  <c r="D118" i="30"/>
  <c r="E43" i="110"/>
  <c r="Q86" i="110"/>
  <c r="R86" i="110" s="1"/>
  <c r="H100" i="110"/>
  <c r="L100" i="110"/>
  <c r="M100" i="110"/>
  <c r="P46" i="57"/>
  <c r="P51" i="57" s="1"/>
  <c r="Y20" i="57"/>
  <c r="AC20" i="57" s="1"/>
  <c r="E220" i="111"/>
  <c r="E45" i="57"/>
  <c r="N45" i="57"/>
  <c r="X45" i="57"/>
  <c r="D102" i="30"/>
  <c r="M94" i="110"/>
  <c r="H46" i="57"/>
  <c r="H51" i="57" s="1"/>
  <c r="G19" i="145"/>
  <c r="G44" i="111"/>
  <c r="K44" i="111"/>
  <c r="J41" i="111"/>
  <c r="L42" i="111"/>
  <c r="K49" i="111"/>
  <c r="G49" i="111"/>
  <c r="F55" i="111"/>
  <c r="F26" i="30"/>
  <c r="I143" i="111"/>
  <c r="K56" i="111"/>
  <c r="G56" i="111"/>
  <c r="F229" i="111"/>
  <c r="G229" i="111" s="1"/>
  <c r="D27" i="111"/>
  <c r="K65" i="111"/>
  <c r="D64" i="111"/>
  <c r="G65" i="111"/>
  <c r="K179" i="111"/>
  <c r="E179" i="111"/>
  <c r="G179" i="111"/>
  <c r="E44" i="111"/>
  <c r="E65" i="111"/>
  <c r="F40" i="111"/>
  <c r="F28" i="30"/>
  <c r="K73" i="111"/>
  <c r="G73" i="111"/>
  <c r="K220" i="111"/>
  <c r="G220" i="111"/>
  <c r="G28" i="111"/>
  <c r="J64" i="111"/>
  <c r="L64" i="111" s="1"/>
  <c r="L65" i="111"/>
  <c r="D42" i="111"/>
  <c r="G215" i="111"/>
  <c r="K215" i="111"/>
  <c r="E215" i="111"/>
  <c r="F98" i="111"/>
  <c r="F99" i="111" s="1"/>
  <c r="F77" i="30"/>
  <c r="G52" i="111"/>
  <c r="K106" i="111"/>
  <c r="H64" i="111"/>
  <c r="I64" i="111" s="1"/>
  <c r="I194" i="111"/>
  <c r="I231" i="111"/>
  <c r="I20" i="111"/>
  <c r="I38" i="111"/>
  <c r="I61" i="111"/>
  <c r="I84" i="111"/>
  <c r="I102" i="111"/>
  <c r="I125" i="111"/>
  <c r="I148" i="111"/>
  <c r="I166" i="111"/>
  <c r="I189" i="111"/>
  <c r="I212" i="111"/>
  <c r="I230" i="111"/>
  <c r="I253" i="111"/>
  <c r="D63" i="30"/>
  <c r="D58" i="30" s="1"/>
  <c r="F65" i="30"/>
  <c r="F63" i="30" s="1"/>
  <c r="I153" i="111"/>
  <c r="I207" i="111"/>
  <c r="I239" i="111"/>
  <c r="I22" i="111"/>
  <c r="I45" i="111"/>
  <c r="I68" i="111"/>
  <c r="I86" i="111"/>
  <c r="I132" i="111"/>
  <c r="I150" i="111"/>
  <c r="I173" i="111"/>
  <c r="I196" i="111"/>
  <c r="J121" i="111"/>
  <c r="F114" i="30"/>
  <c r="F113" i="30" s="1"/>
  <c r="D113" i="30"/>
  <c r="F117" i="30"/>
  <c r="I42" i="111"/>
  <c r="H41" i="111"/>
  <c r="H214" i="111"/>
  <c r="I251" i="111"/>
  <c r="I227" i="111"/>
  <c r="I219" i="111"/>
  <c r="I211" i="111"/>
  <c r="I195" i="111"/>
  <c r="I163" i="111"/>
  <c r="I155" i="111"/>
  <c r="I147" i="111"/>
  <c r="I139" i="111"/>
  <c r="I131" i="111"/>
  <c r="I115" i="111"/>
  <c r="I107" i="111"/>
  <c r="I83" i="111"/>
  <c r="I75" i="111"/>
  <c r="I67" i="111"/>
  <c r="I59" i="111"/>
  <c r="I51" i="111"/>
  <c r="I43" i="111"/>
  <c r="I35" i="111"/>
  <c r="I19" i="111"/>
  <c r="I250" i="111"/>
  <c r="I242" i="111"/>
  <c r="I234" i="111"/>
  <c r="I218" i="111"/>
  <c r="I210" i="111"/>
  <c r="I186" i="111"/>
  <c r="I178" i="111"/>
  <c r="I170" i="111"/>
  <c r="I162" i="111"/>
  <c r="I154" i="111"/>
  <c r="I146" i="111"/>
  <c r="I138" i="111"/>
  <c r="I130" i="111"/>
  <c r="I122" i="111"/>
  <c r="I114" i="111"/>
  <c r="I90" i="111"/>
  <c r="I74" i="111"/>
  <c r="I66" i="111"/>
  <c r="I58" i="111"/>
  <c r="I50" i="111"/>
  <c r="I26" i="111"/>
  <c r="I18" i="111"/>
  <c r="I10" i="111"/>
  <c r="I257" i="111"/>
  <c r="I249" i="111"/>
  <c r="I241" i="111"/>
  <c r="I233" i="111"/>
  <c r="I225" i="111"/>
  <c r="I217" i="111"/>
  <c r="I209" i="111"/>
  <c r="I201" i="111"/>
  <c r="I193" i="111"/>
  <c r="I185" i="111"/>
  <c r="I177" i="111"/>
  <c r="I169" i="111"/>
  <c r="I161" i="111"/>
  <c r="I145" i="111"/>
  <c r="I137" i="111"/>
  <c r="I129" i="111"/>
  <c r="I105" i="111"/>
  <c r="I97" i="111"/>
  <c r="I89" i="111"/>
  <c r="I57" i="111"/>
  <c r="I33" i="111"/>
  <c r="I25" i="111"/>
  <c r="I17" i="111"/>
  <c r="I9" i="111"/>
  <c r="I248" i="111"/>
  <c r="I240" i="111"/>
  <c r="I232" i="111"/>
  <c r="I224" i="111"/>
  <c r="I216" i="111"/>
  <c r="I208" i="111"/>
  <c r="I200" i="111"/>
  <c r="I192" i="111"/>
  <c r="I184" i="111"/>
  <c r="I176" i="111"/>
  <c r="I168" i="111"/>
  <c r="I160" i="111"/>
  <c r="I152" i="111"/>
  <c r="I144" i="111"/>
  <c r="I136" i="111"/>
  <c r="I128" i="111"/>
  <c r="I120" i="111"/>
  <c r="I112" i="111"/>
  <c r="I104" i="111"/>
  <c r="I96" i="111"/>
  <c r="I80" i="111"/>
  <c r="I72" i="111"/>
  <c r="I32" i="111"/>
  <c r="I24" i="111"/>
  <c r="I16" i="111"/>
  <c r="I255" i="111"/>
  <c r="I247" i="111"/>
  <c r="I223" i="111"/>
  <c r="I199" i="111"/>
  <c r="I191" i="111"/>
  <c r="I183" i="111"/>
  <c r="I175" i="111"/>
  <c r="I167" i="111"/>
  <c r="I159" i="111"/>
  <c r="I119" i="111"/>
  <c r="I103" i="111"/>
  <c r="I87" i="111"/>
  <c r="I79" i="111"/>
  <c r="I71" i="111"/>
  <c r="I63" i="111"/>
  <c r="I47" i="111"/>
  <c r="I39" i="111"/>
  <c r="I31" i="111"/>
  <c r="I23" i="111"/>
  <c r="I15" i="111"/>
  <c r="I7" i="111"/>
  <c r="I28" i="111"/>
  <c r="I46" i="111"/>
  <c r="I69" i="111"/>
  <c r="I92" i="111"/>
  <c r="I133" i="111"/>
  <c r="I156" i="111"/>
  <c r="I174" i="111"/>
  <c r="I197" i="111"/>
  <c r="I238" i="111"/>
  <c r="G194" i="111"/>
  <c r="K194" i="111"/>
  <c r="F17" i="30"/>
  <c r="D124" i="30"/>
  <c r="F124" i="30" s="1"/>
  <c r="F121" i="30" s="1"/>
  <c r="H48" i="111"/>
  <c r="I48" i="111" s="1"/>
  <c r="I88" i="111"/>
  <c r="I121" i="111"/>
  <c r="I215" i="111"/>
  <c r="I256" i="111"/>
  <c r="I29" i="111"/>
  <c r="I52" i="111"/>
  <c r="I70" i="111"/>
  <c r="I93" i="111"/>
  <c r="I116" i="111"/>
  <c r="I134" i="111"/>
  <c r="I157" i="111"/>
  <c r="I180" i="111"/>
  <c r="I198" i="111"/>
  <c r="I221" i="111"/>
  <c r="L95" i="111"/>
  <c r="J91" i="111"/>
  <c r="L91" i="111" s="1"/>
  <c r="K52" i="111"/>
  <c r="F56" i="30"/>
  <c r="F55" i="30" s="1"/>
  <c r="D55" i="30"/>
  <c r="G106" i="111"/>
  <c r="H11" i="111"/>
  <c r="I8" i="111"/>
  <c r="J203" i="111"/>
  <c r="L207" i="111"/>
  <c r="L153" i="111"/>
  <c r="H82" i="111"/>
  <c r="H111" i="111"/>
  <c r="D109" i="30"/>
  <c r="H55" i="111"/>
  <c r="I55" i="111" s="1"/>
  <c r="H187" i="111"/>
  <c r="I187" i="111" s="1"/>
  <c r="J82" i="111"/>
  <c r="J141" i="111"/>
  <c r="L141" i="111" s="1"/>
  <c r="D51" i="30"/>
  <c r="D47" i="30" s="1"/>
  <c r="F53" i="30"/>
  <c r="H151" i="111"/>
  <c r="I151" i="111" s="1"/>
  <c r="I65" i="111"/>
  <c r="F13" i="30"/>
  <c r="F11" i="30" s="1"/>
  <c r="F59" i="30"/>
  <c r="D44" i="30"/>
  <c r="J230" i="111"/>
  <c r="D103" i="30"/>
  <c r="F103" i="30" s="1"/>
  <c r="J11" i="111"/>
  <c r="D105" i="30"/>
  <c r="F74" i="30"/>
  <c r="F73" i="30" s="1"/>
  <c r="H6" i="159"/>
  <c r="I6" i="159"/>
  <c r="J6" i="159"/>
  <c r="K6" i="159"/>
  <c r="D121" i="30" l="1"/>
  <c r="D124" i="31"/>
  <c r="F74" i="31"/>
  <c r="F69" i="31" s="1"/>
  <c r="I27" i="111"/>
  <c r="H13" i="111"/>
  <c r="I13" i="111" s="1"/>
  <c r="D74" i="31"/>
  <c r="D69" i="31" s="1"/>
  <c r="F79" i="31"/>
  <c r="G23" i="160"/>
  <c r="G22" i="160" s="1"/>
  <c r="D9" i="30"/>
  <c r="D7" i="30" s="1"/>
  <c r="F33" i="160"/>
  <c r="F131" i="32"/>
  <c r="D116" i="30"/>
  <c r="H35" i="160"/>
  <c r="H33" i="160" s="1"/>
  <c r="F25" i="160"/>
  <c r="F23" i="160" s="1"/>
  <c r="F22" i="160" s="1"/>
  <c r="G35" i="160"/>
  <c r="G33" i="160" s="1"/>
  <c r="H30" i="160"/>
  <c r="H28" i="160" s="1"/>
  <c r="H22" i="160" s="1"/>
  <c r="E32" i="152"/>
  <c r="I214" i="111"/>
  <c r="H229" i="111"/>
  <c r="L22" i="154"/>
  <c r="F13" i="36"/>
  <c r="F12" i="36" s="1"/>
  <c r="F15" i="36" s="1"/>
  <c r="B22" i="29" s="1"/>
  <c r="D81" i="30"/>
  <c r="L22" i="110"/>
  <c r="M22" i="110"/>
  <c r="H22" i="110"/>
  <c r="O103" i="110"/>
  <c r="O64" i="110"/>
  <c r="Q63" i="110"/>
  <c r="R63" i="110" s="1"/>
  <c r="D119" i="31"/>
  <c r="F120" i="31"/>
  <c r="F119" i="31" s="1"/>
  <c r="F13" i="34"/>
  <c r="B19" i="29" s="1"/>
  <c r="K214" i="111"/>
  <c r="B7" i="54"/>
  <c r="B6" i="54" s="1"/>
  <c r="B5" i="54" s="1"/>
  <c r="F11" i="48"/>
  <c r="F10" i="48"/>
  <c r="O101" i="110"/>
  <c r="Q98" i="110"/>
  <c r="R98" i="110"/>
  <c r="K48" i="111"/>
  <c r="B64" i="54"/>
  <c r="F64" i="35"/>
  <c r="L230" i="111"/>
  <c r="J243" i="111"/>
  <c r="L243" i="111" s="1"/>
  <c r="I111" i="111"/>
  <c r="K42" i="111"/>
  <c r="G42" i="111"/>
  <c r="E42" i="111"/>
  <c r="D41" i="111"/>
  <c r="C30" i="152"/>
  <c r="E30" i="152" s="1"/>
  <c r="C28" i="152"/>
  <c r="E28" i="152" s="1"/>
  <c r="C27" i="152"/>
  <c r="E27" i="152" s="1"/>
  <c r="C29" i="152"/>
  <c r="E29" i="152" s="1"/>
  <c r="C31" i="152"/>
  <c r="E31" i="152" s="1"/>
  <c r="K187" i="111"/>
  <c r="I10" i="153"/>
  <c r="I6" i="153" s="1"/>
  <c r="I5" i="153" s="1"/>
  <c r="I24" i="153" s="1"/>
  <c r="L11" i="111"/>
  <c r="I11" i="111"/>
  <c r="I41" i="111"/>
  <c r="H40" i="111"/>
  <c r="F32" i="43"/>
  <c r="F41" i="31"/>
  <c r="J55" i="111"/>
  <c r="L55" i="111" s="1"/>
  <c r="I82" i="111"/>
  <c r="H98" i="111"/>
  <c r="F116" i="30"/>
  <c r="H141" i="111"/>
  <c r="I141" i="111" s="1"/>
  <c r="J40" i="111"/>
  <c r="L41" i="111"/>
  <c r="D84" i="31"/>
  <c r="C6" i="44"/>
  <c r="B125" i="54"/>
  <c r="B116" i="54" s="1"/>
  <c r="H5" i="153"/>
  <c r="H24" i="153" s="1"/>
  <c r="F7" i="35"/>
  <c r="F6" i="35" s="1"/>
  <c r="F5" i="35" s="1"/>
  <c r="C23" i="152"/>
  <c r="E23" i="152" s="1"/>
  <c r="C21" i="152"/>
  <c r="E21" i="152" s="1"/>
  <c r="C19" i="152"/>
  <c r="C5" i="152" s="1"/>
  <c r="C22" i="152"/>
  <c r="E22" i="152" s="1"/>
  <c r="C24" i="152"/>
  <c r="E24" i="152" s="1"/>
  <c r="C25" i="152"/>
  <c r="E25" i="152" s="1"/>
  <c r="C8" i="44"/>
  <c r="K151" i="111"/>
  <c r="K82" i="111"/>
  <c r="G82" i="111"/>
  <c r="E82" i="111"/>
  <c r="D98" i="111"/>
  <c r="B132" i="54"/>
  <c r="D8" i="31"/>
  <c r="C4" i="44"/>
  <c r="F44" i="30"/>
  <c r="F43" i="30" s="1"/>
  <c r="D43" i="30"/>
  <c r="F81" i="111"/>
  <c r="F244" i="111" s="1"/>
  <c r="K64" i="111"/>
  <c r="G64" i="111"/>
  <c r="D55" i="111"/>
  <c r="E64" i="111"/>
  <c r="Y45" i="57"/>
  <c r="AC45" i="57" s="1"/>
  <c r="E46" i="57"/>
  <c r="H43" i="110"/>
  <c r="L43" i="110"/>
  <c r="M43" i="110" s="1"/>
  <c r="F58" i="30"/>
  <c r="J98" i="111"/>
  <c r="L82" i="111"/>
  <c r="H171" i="111"/>
  <c r="D158" i="31"/>
  <c r="F159" i="31"/>
  <c r="F158" i="31" s="1"/>
  <c r="L58" i="110"/>
  <c r="M58" i="110"/>
  <c r="H58" i="110"/>
  <c r="H104" i="110" s="1"/>
  <c r="C7" i="37" s="1"/>
  <c r="C65" i="35"/>
  <c r="W48" i="21"/>
  <c r="C135" i="35"/>
  <c r="C131" i="35" s="1"/>
  <c r="C73" i="35" s="1"/>
  <c r="F136" i="35"/>
  <c r="F135" i="35" s="1"/>
  <c r="B136" i="54"/>
  <c r="K111" i="111"/>
  <c r="G111" i="111"/>
  <c r="E111" i="111"/>
  <c r="F131" i="35"/>
  <c r="K11" i="111"/>
  <c r="L104" i="110"/>
  <c r="M104" i="110" s="1"/>
  <c r="L203" i="111"/>
  <c r="J229" i="111"/>
  <c r="L229" i="111" s="1"/>
  <c r="J111" i="111"/>
  <c r="L121" i="111"/>
  <c r="K27" i="111"/>
  <c r="E27" i="111"/>
  <c r="G27" i="111"/>
  <c r="D13" i="111"/>
  <c r="F46" i="57"/>
  <c r="F51" i="57" s="1"/>
  <c r="Y25" i="57"/>
  <c r="AC25" i="57" s="1"/>
  <c r="H6" i="104"/>
  <c r="J6" i="104" s="1"/>
  <c r="B74" i="54"/>
  <c r="G143" i="111"/>
  <c r="K143" i="111"/>
  <c r="E143" i="111"/>
  <c r="D141" i="111"/>
  <c r="D110" i="111" s="1"/>
  <c r="C32" i="152"/>
  <c r="G39" i="66"/>
  <c r="D167" i="31" s="1"/>
  <c r="D22" i="48"/>
  <c r="E22" i="48" s="1"/>
  <c r="E132" i="31" s="1"/>
  <c r="F132" i="31" s="1"/>
  <c r="D26" i="48"/>
  <c r="E26" i="48" s="1"/>
  <c r="E139" i="31" s="1"/>
  <c r="F139" i="31" s="1"/>
  <c r="D25" i="48"/>
  <c r="E25" i="48" s="1"/>
  <c r="D23" i="48"/>
  <c r="E23" i="48" s="1"/>
  <c r="E135" i="31" s="1"/>
  <c r="F135" i="31" s="1"/>
  <c r="F133" i="31" s="1"/>
  <c r="D17" i="48"/>
  <c r="E17" i="48" s="1"/>
  <c r="E95" i="31" s="1"/>
  <c r="F95" i="31" s="1"/>
  <c r="F93" i="31" s="1"/>
  <c r="D19" i="48"/>
  <c r="E19" i="48" s="1"/>
  <c r="D20" i="48"/>
  <c r="E20" i="48" s="1"/>
  <c r="E99" i="31" s="1"/>
  <c r="F99" i="31" s="1"/>
  <c r="D16" i="48"/>
  <c r="E16" i="48" s="1"/>
  <c r="E92" i="31" s="1"/>
  <c r="F92" i="31" s="1"/>
  <c r="D11" i="48"/>
  <c r="E11" i="48" s="1"/>
  <c r="D10" i="48"/>
  <c r="E10" i="48" s="1"/>
  <c r="D14" i="48"/>
  <c r="E14" i="48" s="1"/>
  <c r="D13" i="48"/>
  <c r="E13" i="48" s="1"/>
  <c r="D8" i="48"/>
  <c r="E8" i="48" s="1"/>
  <c r="D7" i="48"/>
  <c r="E7" i="48" s="1"/>
  <c r="D38" i="31" l="1"/>
  <c r="D36" i="31" s="1"/>
  <c r="D34" i="31" s="1"/>
  <c r="D26" i="31" s="1"/>
  <c r="C7" i="44" s="1"/>
  <c r="C141" i="35"/>
  <c r="C140" i="35"/>
  <c r="F140" i="35" s="1"/>
  <c r="K141" i="111"/>
  <c r="E141" i="111"/>
  <c r="G141" i="111"/>
  <c r="K98" i="111"/>
  <c r="E98" i="111"/>
  <c r="G98" i="111"/>
  <c r="D99" i="111"/>
  <c r="Q103" i="110"/>
  <c r="R103" i="110" s="1"/>
  <c r="K13" i="111"/>
  <c r="G13" i="111"/>
  <c r="E13" i="111"/>
  <c r="K110" i="111"/>
  <c r="E110" i="111"/>
  <c r="G110" i="111"/>
  <c r="D202" i="111"/>
  <c r="F65" i="35"/>
  <c r="B65" i="54"/>
  <c r="C4" i="152"/>
  <c r="C63" i="152" s="1"/>
  <c r="H110" i="111"/>
  <c r="I229" i="111"/>
  <c r="K229" i="111"/>
  <c r="I98" i="111"/>
  <c r="H99" i="111"/>
  <c r="I99" i="111" s="1"/>
  <c r="R64" i="110"/>
  <c r="Q64" i="110"/>
  <c r="F7" i="37"/>
  <c r="F8" i="37" s="1"/>
  <c r="B23" i="29" s="1"/>
  <c r="C8" i="37"/>
  <c r="I171" i="111"/>
  <c r="K171" i="111"/>
  <c r="Y46" i="57"/>
  <c r="AC46" i="57" s="1"/>
  <c r="E51" i="57"/>
  <c r="Y51" i="57" s="1"/>
  <c r="AC51" i="57" s="1"/>
  <c r="E20" i="152"/>
  <c r="E19" i="152" s="1"/>
  <c r="E5" i="152" s="1"/>
  <c r="E4" i="152" s="1"/>
  <c r="E26" i="152"/>
  <c r="B63" i="54"/>
  <c r="B62" i="54" s="1"/>
  <c r="B69" i="54" s="1"/>
  <c r="L98" i="111"/>
  <c r="J99" i="111"/>
  <c r="L99" i="111" s="1"/>
  <c r="L40" i="111"/>
  <c r="J81" i="111"/>
  <c r="I40" i="111"/>
  <c r="H81" i="111"/>
  <c r="D71" i="30"/>
  <c r="D69" i="30" s="1"/>
  <c r="B135" i="54"/>
  <c r="K55" i="111"/>
  <c r="G55" i="111"/>
  <c r="E55" i="111"/>
  <c r="B131" i="54"/>
  <c r="B138" i="54" s="1"/>
  <c r="C136" i="54" s="1"/>
  <c r="K41" i="111"/>
  <c r="G41" i="111"/>
  <c r="E41" i="111"/>
  <c r="D40" i="111"/>
  <c r="C63" i="35"/>
  <c r="C62" i="35" s="1"/>
  <c r="C4" i="35" s="1"/>
  <c r="Q101" i="110"/>
  <c r="R101" i="110" s="1"/>
  <c r="C4" i="39"/>
  <c r="O104" i="110"/>
  <c r="C10" i="39"/>
  <c r="E10" i="39" s="1"/>
  <c r="E13" i="104"/>
  <c r="F13" i="104" s="1"/>
  <c r="D60" i="31" s="1"/>
  <c r="E20" i="104"/>
  <c r="F20" i="104" s="1"/>
  <c r="E15" i="104"/>
  <c r="F15" i="104" s="1"/>
  <c r="E16" i="104"/>
  <c r="F16" i="104" s="1"/>
  <c r="D148" i="31" s="1"/>
  <c r="E19" i="104"/>
  <c r="F19" i="104" s="1"/>
  <c r="E12" i="104"/>
  <c r="F12" i="104" s="1"/>
  <c r="D57" i="31" s="1"/>
  <c r="E11" i="104"/>
  <c r="F11" i="104" s="1"/>
  <c r="E18" i="104"/>
  <c r="F18" i="104" s="1"/>
  <c r="E21" i="104"/>
  <c r="F21" i="104" s="1"/>
  <c r="E23" i="104"/>
  <c r="F23" i="104" s="1"/>
  <c r="L111" i="111"/>
  <c r="J110" i="111"/>
  <c r="F63" i="35"/>
  <c r="F62" i="35" s="1"/>
  <c r="F4" i="35" s="1"/>
  <c r="C69" i="35" s="1"/>
  <c r="F69" i="35" s="1"/>
  <c r="C70" i="35" s="1"/>
  <c r="F81" i="30"/>
  <c r="F80" i="30" s="1"/>
  <c r="D80" i="30"/>
  <c r="E137" i="31"/>
  <c r="F137" i="31" s="1"/>
  <c r="F136" i="31" s="1"/>
  <c r="E151" i="31"/>
  <c r="F151" i="31" s="1"/>
  <c r="F131" i="31"/>
  <c r="E97" i="31"/>
  <c r="F97" i="31" s="1"/>
  <c r="F96" i="31" s="1"/>
  <c r="E112" i="31"/>
  <c r="F112" i="31" s="1"/>
  <c r="F91" i="31"/>
  <c r="G7" i="48"/>
  <c r="I7" i="48"/>
  <c r="H7" i="48"/>
  <c r="E31" i="30"/>
  <c r="F31" i="30" s="1"/>
  <c r="E52" i="30"/>
  <c r="F52" i="30" s="1"/>
  <c r="F51" i="30" s="1"/>
  <c r="E110" i="30"/>
  <c r="F110" i="30" s="1"/>
  <c r="F109" i="30" s="1"/>
  <c r="E91" i="30"/>
  <c r="F91" i="30" s="1"/>
  <c r="G13" i="48"/>
  <c r="H13" i="48"/>
  <c r="I13" i="48"/>
  <c r="I14" i="48"/>
  <c r="H14" i="48"/>
  <c r="G14" i="48"/>
  <c r="E33" i="30"/>
  <c r="F33" i="30" s="1"/>
  <c r="E93" i="30"/>
  <c r="F93" i="30" s="1"/>
  <c r="H10" i="48"/>
  <c r="G10" i="48"/>
  <c r="I10" i="48"/>
  <c r="G11" i="48"/>
  <c r="H11" i="48"/>
  <c r="I11" i="48"/>
  <c r="I8" i="48"/>
  <c r="H8" i="48"/>
  <c r="G8" i="48"/>
  <c r="F30" i="30" l="1"/>
  <c r="F90" i="30"/>
  <c r="D7" i="31"/>
  <c r="F38" i="31"/>
  <c r="F36" i="31" s="1"/>
  <c r="F34" i="31" s="1"/>
  <c r="D21" i="30"/>
  <c r="D101" i="30"/>
  <c r="F101" i="30" s="1"/>
  <c r="F100" i="30" s="1"/>
  <c r="D136" i="54"/>
  <c r="D135" i="54" s="1"/>
  <c r="C135" i="54"/>
  <c r="F22" i="104"/>
  <c r="D41" i="30"/>
  <c r="I110" i="111"/>
  <c r="H202" i="111"/>
  <c r="I202" i="111" s="1"/>
  <c r="D59" i="31"/>
  <c r="F60" i="31"/>
  <c r="F59" i="31" s="1"/>
  <c r="K40" i="111"/>
  <c r="G40" i="111"/>
  <c r="E40" i="111"/>
  <c r="D83" i="30"/>
  <c r="F83" i="30" s="1"/>
  <c r="F78" i="30" s="1"/>
  <c r="D53" i="31"/>
  <c r="F14" i="104"/>
  <c r="F71" i="30"/>
  <c r="D68" i="30"/>
  <c r="D81" i="111"/>
  <c r="D56" i="31"/>
  <c r="F57" i="31"/>
  <c r="F56" i="31" s="1"/>
  <c r="Q104" i="110"/>
  <c r="R104" i="110" s="1"/>
  <c r="C65" i="54"/>
  <c r="D65" i="54" s="1"/>
  <c r="C106" i="54"/>
  <c r="D106" i="54" s="1"/>
  <c r="C83" i="54"/>
  <c r="D83" i="54" s="1"/>
  <c r="C105" i="54"/>
  <c r="D105" i="54" s="1"/>
  <c r="C97" i="54"/>
  <c r="D97" i="54" s="1"/>
  <c r="C108" i="54"/>
  <c r="C127" i="54"/>
  <c r="D127" i="54" s="1"/>
  <c r="C103" i="54"/>
  <c r="D103" i="54" s="1"/>
  <c r="C82" i="54"/>
  <c r="D82" i="54" s="1"/>
  <c r="C113" i="54"/>
  <c r="D113" i="54" s="1"/>
  <c r="C121" i="54"/>
  <c r="D121" i="54" s="1"/>
  <c r="C93" i="54"/>
  <c r="D93" i="54" s="1"/>
  <c r="C94" i="54"/>
  <c r="D94" i="54" s="1"/>
  <c r="C110" i="54"/>
  <c r="D110" i="54" s="1"/>
  <c r="C124" i="54"/>
  <c r="D124" i="54" s="1"/>
  <c r="C88" i="54"/>
  <c r="D88" i="54" s="1"/>
  <c r="C87" i="54"/>
  <c r="D87" i="54" s="1"/>
  <c r="C86" i="54"/>
  <c r="D86" i="54" s="1"/>
  <c r="C114" i="54"/>
  <c r="D114" i="54" s="1"/>
  <c r="C85" i="54"/>
  <c r="D85" i="54" s="1"/>
  <c r="C89" i="54"/>
  <c r="D89" i="54" s="1"/>
  <c r="C104" i="54"/>
  <c r="D104" i="54" s="1"/>
  <c r="C100" i="54"/>
  <c r="D100" i="54" s="1"/>
  <c r="C109" i="54"/>
  <c r="D109" i="54" s="1"/>
  <c r="C122" i="54"/>
  <c r="D122" i="54" s="1"/>
  <c r="C120" i="54"/>
  <c r="D120" i="54" s="1"/>
  <c r="C90" i="54"/>
  <c r="D90" i="54" s="1"/>
  <c r="C129" i="54"/>
  <c r="D129" i="54" s="1"/>
  <c r="C96" i="54"/>
  <c r="D96" i="54" s="1"/>
  <c r="C98" i="54"/>
  <c r="D98" i="54" s="1"/>
  <c r="C81" i="54"/>
  <c r="D81" i="54" s="1"/>
  <c r="C91" i="54"/>
  <c r="D91" i="54" s="1"/>
  <c r="C101" i="54"/>
  <c r="D101" i="54" s="1"/>
  <c r="C123" i="54"/>
  <c r="D123" i="54" s="1"/>
  <c r="C115" i="54"/>
  <c r="D115" i="54" s="1"/>
  <c r="C80" i="54"/>
  <c r="D80" i="54" s="1"/>
  <c r="C118" i="54"/>
  <c r="C84" i="54"/>
  <c r="D84" i="54" s="1"/>
  <c r="C126" i="54"/>
  <c r="C79" i="54"/>
  <c r="D79" i="54" s="1"/>
  <c r="C111" i="54"/>
  <c r="D111" i="54" s="1"/>
  <c r="C95" i="54"/>
  <c r="D95" i="54" s="1"/>
  <c r="C92" i="54"/>
  <c r="D92" i="54" s="1"/>
  <c r="C77" i="54"/>
  <c r="C119" i="54"/>
  <c r="D119" i="54" s="1"/>
  <c r="C102" i="54"/>
  <c r="D102" i="54" s="1"/>
  <c r="C133" i="54"/>
  <c r="C78" i="54"/>
  <c r="D78" i="54" s="1"/>
  <c r="C130" i="54"/>
  <c r="D130" i="54" s="1"/>
  <c r="C99" i="54"/>
  <c r="D99" i="54" s="1"/>
  <c r="C112" i="54"/>
  <c r="D112" i="54" s="1"/>
  <c r="C134" i="54"/>
  <c r="D134" i="54" s="1"/>
  <c r="C128" i="54"/>
  <c r="D128" i="54" s="1"/>
  <c r="C137" i="54"/>
  <c r="D137" i="54" s="1"/>
  <c r="C42" i="54"/>
  <c r="D42" i="54" s="1"/>
  <c r="C46" i="54"/>
  <c r="D46" i="54" s="1"/>
  <c r="C40" i="54"/>
  <c r="D40" i="54" s="1"/>
  <c r="C54" i="54"/>
  <c r="D54" i="54" s="1"/>
  <c r="C41" i="54"/>
  <c r="D41" i="54" s="1"/>
  <c r="C53" i="54"/>
  <c r="D53" i="54" s="1"/>
  <c r="C61" i="54"/>
  <c r="D61" i="54" s="1"/>
  <c r="C67" i="54"/>
  <c r="C14" i="54"/>
  <c r="D14" i="54" s="1"/>
  <c r="C68" i="54"/>
  <c r="D68" i="54" s="1"/>
  <c r="C36" i="54"/>
  <c r="D36" i="54" s="1"/>
  <c r="C9" i="54"/>
  <c r="D9" i="54" s="1"/>
  <c r="C57" i="54"/>
  <c r="C49" i="54"/>
  <c r="C34" i="54"/>
  <c r="D34" i="54" s="1"/>
  <c r="C51" i="54"/>
  <c r="D51" i="54" s="1"/>
  <c r="C17" i="54"/>
  <c r="D17" i="54" s="1"/>
  <c r="C10" i="54"/>
  <c r="D10" i="54" s="1"/>
  <c r="C44" i="54"/>
  <c r="D44" i="54" s="1"/>
  <c r="C12" i="54"/>
  <c r="D12" i="54" s="1"/>
  <c r="C24" i="54"/>
  <c r="D24" i="54" s="1"/>
  <c r="C60" i="54"/>
  <c r="D60" i="54" s="1"/>
  <c r="C33" i="54"/>
  <c r="D33" i="54" s="1"/>
  <c r="C21" i="54"/>
  <c r="D21" i="54" s="1"/>
  <c r="C37" i="54"/>
  <c r="D37" i="54" s="1"/>
  <c r="C29" i="54"/>
  <c r="D29" i="54" s="1"/>
  <c r="C19" i="54"/>
  <c r="D19" i="54" s="1"/>
  <c r="C43" i="54"/>
  <c r="D43" i="54" s="1"/>
  <c r="C18" i="54"/>
  <c r="D18" i="54" s="1"/>
  <c r="C55" i="54"/>
  <c r="D55" i="54" s="1"/>
  <c r="C50" i="54"/>
  <c r="D50" i="54" s="1"/>
  <c r="C39" i="54"/>
  <c r="C20" i="54"/>
  <c r="D20" i="54" s="1"/>
  <c r="C8" i="54"/>
  <c r="C16" i="54"/>
  <c r="D16" i="54" s="1"/>
  <c r="C23" i="54"/>
  <c r="D23" i="54" s="1"/>
  <c r="C59" i="54"/>
  <c r="D59" i="54" s="1"/>
  <c r="C35" i="54"/>
  <c r="D35" i="54" s="1"/>
  <c r="C32" i="54"/>
  <c r="D32" i="54" s="1"/>
  <c r="C45" i="54"/>
  <c r="D45" i="54" s="1"/>
  <c r="C11" i="54"/>
  <c r="D11" i="54" s="1"/>
  <c r="C13" i="54"/>
  <c r="D13" i="54" s="1"/>
  <c r="C15" i="54"/>
  <c r="D15" i="54" s="1"/>
  <c r="C58" i="54"/>
  <c r="D58" i="54" s="1"/>
  <c r="C31" i="54"/>
  <c r="D31" i="54" s="1"/>
  <c r="C25" i="54"/>
  <c r="D25" i="54" s="1"/>
  <c r="C52" i="54"/>
  <c r="D52" i="54" s="1"/>
  <c r="C22" i="54"/>
  <c r="D22" i="54" s="1"/>
  <c r="C30" i="54"/>
  <c r="D30" i="54" s="1"/>
  <c r="C27" i="54"/>
  <c r="D27" i="54" s="1"/>
  <c r="C28" i="54"/>
  <c r="D28" i="54" s="1"/>
  <c r="C26" i="54"/>
  <c r="D26" i="54" s="1"/>
  <c r="F123" i="35"/>
  <c r="F117" i="35" s="1"/>
  <c r="F116" i="35" s="1"/>
  <c r="F74" i="35" s="1"/>
  <c r="F73" i="35" s="1"/>
  <c r="C138" i="35" s="1"/>
  <c r="F138" i="35" s="1"/>
  <c r="C139" i="35" s="1"/>
  <c r="E63" i="152"/>
  <c r="E4" i="39"/>
  <c r="I81" i="111"/>
  <c r="H244" i="111"/>
  <c r="I244" i="111" s="1"/>
  <c r="L110" i="111"/>
  <c r="J202" i="111"/>
  <c r="L202" i="111" s="1"/>
  <c r="F148" i="31"/>
  <c r="F147" i="31" s="1"/>
  <c r="D147" i="31"/>
  <c r="D122" i="31" s="1"/>
  <c r="C64" i="54"/>
  <c r="G202" i="111"/>
  <c r="K202" i="111"/>
  <c r="E202" i="111"/>
  <c r="F17" i="104"/>
  <c r="D109" i="31"/>
  <c r="L81" i="111"/>
  <c r="J244" i="111"/>
  <c r="L244" i="111" s="1"/>
  <c r="C71" i="35"/>
  <c r="F71" i="35" s="1"/>
  <c r="C72" i="35"/>
  <c r="C142" i="35" s="1"/>
  <c r="K99" i="111"/>
  <c r="G99" i="111"/>
  <c r="E99" i="111"/>
  <c r="J10" i="48"/>
  <c r="E31" i="31" s="1"/>
  <c r="F31" i="31" s="1"/>
  <c r="J13" i="48"/>
  <c r="J11" i="48"/>
  <c r="E32" i="31" s="1"/>
  <c r="F32" i="31" s="1"/>
  <c r="J14" i="48"/>
  <c r="E85" i="30"/>
  <c r="F85" i="30" s="1"/>
  <c r="J8" i="48"/>
  <c r="E29" i="31" s="1"/>
  <c r="F29" i="31" s="1"/>
  <c r="J7" i="48"/>
  <c r="E28" i="31" s="1"/>
  <c r="F28" i="31" s="1"/>
  <c r="F55" i="31" l="1"/>
  <c r="F69" i="30"/>
  <c r="F68" i="30" s="1"/>
  <c r="D78" i="30"/>
  <c r="D100" i="30"/>
  <c r="D20" i="30"/>
  <c r="F21" i="30"/>
  <c r="F20" i="30" s="1"/>
  <c r="F9" i="30"/>
  <c r="F7" i="30" s="1"/>
  <c r="D6" i="30"/>
  <c r="D133" i="54"/>
  <c r="D132" i="54" s="1"/>
  <c r="D131" i="54" s="1"/>
  <c r="C132" i="54"/>
  <c r="C131" i="54" s="1"/>
  <c r="D39" i="54"/>
  <c r="D38" i="54" s="1"/>
  <c r="C38" i="54"/>
  <c r="C66" i="54"/>
  <c r="D67" i="54"/>
  <c r="D66" i="54" s="1"/>
  <c r="D108" i="54"/>
  <c r="D107" i="54" s="1"/>
  <c r="C107" i="54"/>
  <c r="F41" i="30"/>
  <c r="F40" i="30" s="1"/>
  <c r="D40" i="30"/>
  <c r="C63" i="54"/>
  <c r="C62" i="54" s="1"/>
  <c r="D64" i="54"/>
  <c r="D63" i="54" s="1"/>
  <c r="B6" i="104"/>
  <c r="I6" i="104" s="1"/>
  <c r="C11" i="39" s="1"/>
  <c r="D118" i="54"/>
  <c r="D117" i="54" s="1"/>
  <c r="C117" i="54"/>
  <c r="D55" i="31"/>
  <c r="C48" i="54"/>
  <c r="D49" i="54"/>
  <c r="D48" i="54" s="1"/>
  <c r="C76" i="54"/>
  <c r="C75" i="54" s="1"/>
  <c r="D77" i="54"/>
  <c r="D76" i="54" s="1"/>
  <c r="D75" i="54" s="1"/>
  <c r="K81" i="111"/>
  <c r="G81" i="111"/>
  <c r="E81" i="111"/>
  <c r="D244" i="111"/>
  <c r="D126" i="54"/>
  <c r="D125" i="54" s="1"/>
  <c r="C125" i="54"/>
  <c r="D57" i="54"/>
  <c r="D56" i="54" s="1"/>
  <c r="C56" i="54"/>
  <c r="D108" i="31"/>
  <c r="F109" i="31"/>
  <c r="F108" i="31" s="1"/>
  <c r="D8" i="54"/>
  <c r="D7" i="54" s="1"/>
  <c r="D6" i="54" s="1"/>
  <c r="C7" i="54"/>
  <c r="C6" i="54" s="1"/>
  <c r="F53" i="31"/>
  <c r="F52" i="31" s="1"/>
  <c r="F51" i="31" s="1"/>
  <c r="F50" i="31" s="1"/>
  <c r="D52" i="31"/>
  <c r="F84" i="30"/>
  <c r="E40" i="31"/>
  <c r="F40" i="31" s="1"/>
  <c r="E46" i="31"/>
  <c r="F46" i="31" s="1"/>
  <c r="F45" i="31" s="1"/>
  <c r="E27" i="30"/>
  <c r="F27" i="30" s="1"/>
  <c r="E42" i="31"/>
  <c r="F42" i="31" s="1"/>
  <c r="F30" i="31"/>
  <c r="F27" i="31"/>
  <c r="E25" i="30"/>
  <c r="F25" i="30" s="1"/>
  <c r="E106" i="30"/>
  <c r="F106" i="30" s="1"/>
  <c r="F105" i="30" s="1"/>
  <c r="E48" i="30"/>
  <c r="F48" i="30" s="1"/>
  <c r="F47" i="30" s="1"/>
  <c r="F76" i="30" l="1"/>
  <c r="F67" i="30" s="1"/>
  <c r="D76" i="30"/>
  <c r="D67" i="30" s="1"/>
  <c r="F6" i="30"/>
  <c r="D51" i="31"/>
  <c r="D50" i="31" s="1"/>
  <c r="D23" i="30"/>
  <c r="F23" i="30" s="1"/>
  <c r="F18" i="30" s="1"/>
  <c r="D74" i="54"/>
  <c r="D138" i="54" s="1"/>
  <c r="D139" i="54" s="1"/>
  <c r="E139" i="35" s="1"/>
  <c r="F139" i="35" s="1"/>
  <c r="F141" i="35" s="1"/>
  <c r="B21" i="29" s="1"/>
  <c r="E11" i="39"/>
  <c r="E23" i="39" s="1"/>
  <c r="B26" i="29" s="1"/>
  <c r="C23" i="39"/>
  <c r="C74" i="54"/>
  <c r="C138" i="54" s="1"/>
  <c r="D62" i="54"/>
  <c r="D47" i="54"/>
  <c r="D5" i="54" s="1"/>
  <c r="F82" i="31"/>
  <c r="C47" i="54"/>
  <c r="C5" i="54" s="1"/>
  <c r="C69" i="54" s="1"/>
  <c r="D161" i="31"/>
  <c r="F161" i="31" s="1"/>
  <c r="D163" i="31" s="1"/>
  <c r="D82" i="31"/>
  <c r="D81" i="31" s="1"/>
  <c r="G244" i="111"/>
  <c r="E244" i="111"/>
  <c r="K244" i="111"/>
  <c r="C116" i="54"/>
  <c r="D116" i="54"/>
  <c r="F26" i="31"/>
  <c r="F39" i="31"/>
  <c r="F24" i="30"/>
  <c r="B18" i="29" l="1"/>
  <c r="C9" i="44"/>
  <c r="C11" i="44" s="1"/>
  <c r="D5" i="31"/>
  <c r="D18" i="30"/>
  <c r="D16" i="30" s="1"/>
  <c r="D5" i="30" s="1"/>
  <c r="D126" i="30" s="1"/>
  <c r="F16" i="30"/>
  <c r="F5" i="30" s="1"/>
  <c r="F126" i="30" s="1"/>
  <c r="B17" i="29"/>
  <c r="F122" i="31"/>
  <c r="F81" i="31" s="1"/>
  <c r="D69" i="54"/>
  <c r="D70" i="54" s="1"/>
  <c r="E70" i="35" s="1"/>
  <c r="F70" i="35" s="1"/>
  <c r="F72" i="35" s="1"/>
  <c r="F7" i="31"/>
  <c r="F5" i="31" s="1"/>
  <c r="B12" i="29" l="1"/>
  <c r="B13" i="29" s="1"/>
  <c r="D4" i="44"/>
  <c r="E4" i="44" s="1"/>
  <c r="D7" i="44"/>
  <c r="E7" i="44" s="1"/>
  <c r="D5" i="44"/>
  <c r="E5" i="44" s="1"/>
  <c r="D10" i="44"/>
  <c r="E10" i="44" s="1"/>
  <c r="D8" i="44"/>
  <c r="E8" i="44" s="1"/>
  <c r="D9" i="44"/>
  <c r="E9" i="44" s="1"/>
  <c r="D6" i="44"/>
  <c r="E6" i="44" s="1"/>
  <c r="B20" i="29"/>
  <c r="F142" i="35"/>
  <c r="D80" i="31"/>
  <c r="E11" i="44" l="1"/>
  <c r="E12" i="44" s="1"/>
  <c r="E163" i="31" l="1"/>
  <c r="F163" i="31" s="1"/>
  <c r="E80" i="31"/>
  <c r="F80" i="31" s="1"/>
  <c r="F169" i="31" l="1"/>
  <c r="B15" i="29" l="1"/>
  <c r="B24" i="29" s="1"/>
  <c r="C15" i="29" s="1"/>
  <c r="C18" i="29" l="1"/>
  <c r="B16" i="29"/>
  <c r="B25" i="29" s="1"/>
  <c r="D16" i="29" s="1"/>
  <c r="C17" i="29"/>
  <c r="C19" i="29"/>
  <c r="C20" i="29"/>
  <c r="C12" i="29"/>
  <c r="C23" i="29"/>
  <c r="C22" i="29"/>
  <c r="C21" i="29"/>
  <c r="C13" i="29"/>
  <c r="C14" i="29"/>
  <c r="D17" i="29" l="1"/>
  <c r="D14" i="29"/>
  <c r="C16" i="29"/>
  <c r="D15" i="29"/>
  <c r="D20" i="29"/>
  <c r="D12" i="29"/>
  <c r="C24" i="29"/>
  <c r="D22" i="29"/>
  <c r="D23" i="29"/>
  <c r="D19" i="29"/>
  <c r="D21" i="29"/>
  <c r="D18" i="29"/>
  <c r="B27" i="29"/>
  <c r="D13" i="29"/>
</calcChain>
</file>

<file path=xl/comments1.xml><?xml version="1.0" encoding="utf-8"?>
<comments xmlns="http://schemas.openxmlformats.org/spreadsheetml/2006/main">
  <authors>
    <author>iiroc192</author>
  </authors>
  <commentList>
    <comment ref="J11" authorId="0" shapeId="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comments2.xml><?xml version="1.0" encoding="utf-8"?>
<comments xmlns="http://schemas.openxmlformats.org/spreadsheetml/2006/main">
  <authors>
    <author>iiroc192</author>
  </authors>
  <commentList>
    <comment ref="J10" authorId="0" shapeId="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sharedStrings.xml><?xml version="1.0" encoding="utf-8"?>
<sst xmlns="http://schemas.openxmlformats.org/spreadsheetml/2006/main" count="12836" uniqueCount="7309">
  <si>
    <t>twAAA</t>
  </si>
  <si>
    <t>twAA+</t>
  </si>
  <si>
    <t>twAA</t>
  </si>
  <si>
    <t>twAA-</t>
  </si>
  <si>
    <t>twA+</t>
  </si>
  <si>
    <t>twA</t>
  </si>
  <si>
    <t>twA-</t>
  </si>
  <si>
    <t>twBBB+</t>
  </si>
  <si>
    <t>twBBB</t>
  </si>
  <si>
    <t>twBBB-</t>
  </si>
  <si>
    <t>11</t>
  </si>
  <si>
    <t>twBB+</t>
  </si>
  <si>
    <t>12</t>
  </si>
  <si>
    <t>twBB</t>
  </si>
  <si>
    <t>13</t>
  </si>
  <si>
    <t>twBB-</t>
  </si>
  <si>
    <t>14</t>
  </si>
  <si>
    <t>twB+</t>
  </si>
  <si>
    <t>15</t>
  </si>
  <si>
    <t>twB</t>
  </si>
  <si>
    <t>16</t>
  </si>
  <si>
    <t>twB-</t>
  </si>
  <si>
    <t>17</t>
  </si>
  <si>
    <t>18</t>
  </si>
  <si>
    <t>19</t>
  </si>
  <si>
    <t>20</t>
  </si>
  <si>
    <t>21</t>
  </si>
  <si>
    <t>22</t>
  </si>
  <si>
    <t>23</t>
  </si>
  <si>
    <t>24</t>
  </si>
  <si>
    <t>25</t>
  </si>
  <si>
    <t>26</t>
  </si>
  <si>
    <t>27</t>
  </si>
  <si>
    <t>28</t>
  </si>
  <si>
    <t>29</t>
  </si>
  <si>
    <t>30</t>
  </si>
  <si>
    <t>31</t>
  </si>
  <si>
    <t>32</t>
  </si>
  <si>
    <t>33</t>
  </si>
  <si>
    <t>34</t>
  </si>
  <si>
    <t>35</t>
  </si>
  <si>
    <t>36</t>
  </si>
  <si>
    <t>37</t>
  </si>
  <si>
    <t>38</t>
  </si>
  <si>
    <t>Aaa</t>
  </si>
  <si>
    <t>Aa1</t>
  </si>
  <si>
    <t>Aa2</t>
  </si>
  <si>
    <t>Aa3</t>
  </si>
  <si>
    <t>A1</t>
  </si>
  <si>
    <t>A2</t>
  </si>
  <si>
    <t>A3</t>
  </si>
  <si>
    <t>Baa1</t>
  </si>
  <si>
    <t>Baa2</t>
  </si>
  <si>
    <t>Baa3</t>
  </si>
  <si>
    <t>Ba1</t>
  </si>
  <si>
    <t>Ba2</t>
  </si>
  <si>
    <t>B1</t>
  </si>
  <si>
    <t>B2</t>
  </si>
  <si>
    <t>B3</t>
  </si>
  <si>
    <t>Caa1</t>
  </si>
  <si>
    <t>Caa2</t>
  </si>
  <si>
    <t>Caa3</t>
  </si>
  <si>
    <t>Ca</t>
  </si>
  <si>
    <t>C</t>
  </si>
  <si>
    <t>金     額</t>
  </si>
  <si>
    <t>風險係數</t>
  </si>
  <si>
    <t>(1)</t>
  </si>
  <si>
    <t>(2)</t>
  </si>
  <si>
    <t>(3)</t>
  </si>
  <si>
    <t>(4)</t>
  </si>
  <si>
    <t>(5)</t>
  </si>
  <si>
    <t>(6)</t>
  </si>
  <si>
    <t>(7)</t>
  </si>
  <si>
    <t>(8)</t>
  </si>
  <si>
    <t>(9)</t>
  </si>
  <si>
    <t>(10)</t>
  </si>
  <si>
    <t>2</t>
  </si>
  <si>
    <t>3</t>
  </si>
  <si>
    <t>4</t>
  </si>
  <si>
    <t>5</t>
  </si>
  <si>
    <t>6</t>
  </si>
  <si>
    <t>7</t>
  </si>
  <si>
    <t>8</t>
  </si>
  <si>
    <t>9</t>
  </si>
  <si>
    <t>10</t>
  </si>
  <si>
    <t>合計</t>
    <phoneticPr fontId="26" type="noConversion"/>
  </si>
  <si>
    <t>險別</t>
  </si>
  <si>
    <t>再保費收入</t>
  </si>
  <si>
    <t>再保賠款</t>
  </si>
  <si>
    <t>最近收盤日市價總金額</t>
  </si>
  <si>
    <t>發行公司</t>
  </si>
  <si>
    <t>到期日</t>
    <phoneticPr fontId="26" type="noConversion"/>
  </si>
  <si>
    <t>Herfindahl Index</t>
    <phoneticPr fontId="26" type="noConversion"/>
  </si>
  <si>
    <t>表30-12：核保風險之成長風險係數試算表</t>
    <phoneticPr fontId="26" type="noConversion"/>
  </si>
  <si>
    <t>一、自留賠款準備金之成長風險（3a.4）</t>
    <phoneticPr fontId="26" type="noConversion"/>
  </si>
  <si>
    <t>直接簽單保費</t>
    <phoneticPr fontId="26" type="noConversion"/>
  </si>
  <si>
    <t>再保費收入</t>
    <phoneticPr fontId="26" type="noConversion"/>
  </si>
  <si>
    <t>總保費收入</t>
    <phoneticPr fontId="26" type="noConversion"/>
  </si>
  <si>
    <t>年化倍數</t>
    <phoneticPr fontId="26" type="noConversion"/>
  </si>
  <si>
    <t>成長率</t>
    <phoneticPr fontId="26" type="noConversion"/>
  </si>
  <si>
    <t>(a)</t>
    <phoneticPr fontId="26" type="noConversion"/>
  </si>
  <si>
    <t>(b)</t>
    <phoneticPr fontId="26" type="noConversion"/>
  </si>
  <si>
    <t>(c)＝(a)＋(b)</t>
    <phoneticPr fontId="26" type="noConversion"/>
  </si>
  <si>
    <t>(d)註1</t>
    <phoneticPr fontId="26" type="noConversion"/>
  </si>
  <si>
    <t>(e)=[ (c)*(d)／前一年(c) ]－1</t>
    <phoneticPr fontId="26" type="noConversion"/>
  </si>
  <si>
    <t>(e)</t>
    <phoneticPr fontId="26" type="noConversion"/>
  </si>
  <si>
    <t xml:space="preserve"> (1)  當年度</t>
    <phoneticPr fontId="43" type="noConversion"/>
  </si>
  <si>
    <t xml:space="preserve"> (2)  前一年</t>
    <phoneticPr fontId="43" type="noConversion"/>
  </si>
  <si>
    <t xml:space="preserve"> (3)  前二年</t>
    <phoneticPr fontId="43" type="noConversion"/>
  </si>
  <si>
    <t xml:space="preserve"> (4)  前三年</t>
    <phoneticPr fontId="43" type="noConversion"/>
  </si>
  <si>
    <t xml:space="preserve"> (6)  過度成長率 = (5d) -10%；但介於0~30%</t>
    <phoneticPr fontId="43" type="noConversion"/>
  </si>
  <si>
    <t xml:space="preserve"> (7)  風險係數 = (6d) × 45%</t>
    <phoneticPr fontId="43" type="noConversion"/>
  </si>
  <si>
    <t>二、自留保費之成長風險（3b.4）</t>
    <phoneticPr fontId="26" type="noConversion"/>
  </si>
  <si>
    <t xml:space="preserve"> (8)  過度成長率 = (6)</t>
    <phoneticPr fontId="43" type="noConversion"/>
  </si>
  <si>
    <t xml:space="preserve"> (9)  風險係數 = (8) × 22.5%</t>
    <phoneticPr fontId="43" type="noConversion"/>
  </si>
  <si>
    <t>註1 總保費收入之數值，若僅為半年度之累積數，以乘2的倍數方式予以表示年化資料；如已為一年度之累積數，以乘以1的倍數方式表示年化資料。</t>
    <phoneticPr fontId="26" type="noConversion"/>
  </si>
  <si>
    <t>3b.2自留保費風險--非比例性業務</t>
    <phoneticPr fontId="26" type="noConversion"/>
  </si>
  <si>
    <t>自留保費總計</t>
    <phoneticPr fontId="26" type="noConversion"/>
  </si>
  <si>
    <t>Herfindahl Index</t>
    <phoneticPr fontId="26" type="noConversion"/>
  </si>
  <si>
    <t>Herfindahl Index 係數表</t>
    <phoneticPr fontId="26" type="noConversion"/>
  </si>
  <si>
    <t>係數</t>
    <phoneticPr fontId="26" type="noConversion"/>
  </si>
  <si>
    <t>備註</t>
    <phoneticPr fontId="26" type="noConversion"/>
  </si>
  <si>
    <t>(1)</t>
    <phoneticPr fontId="26" type="noConversion"/>
  </si>
  <si>
    <t>註</t>
    <phoneticPr fontId="26" type="noConversion"/>
  </si>
  <si>
    <t>(4)=(2)/(1)</t>
    <phoneticPr fontId="26" type="noConversion"/>
  </si>
  <si>
    <t>(5)</t>
    <phoneticPr fontId="26" type="noConversion"/>
  </si>
  <si>
    <t>(6)(註1)</t>
    <phoneticPr fontId="26" type="noConversion"/>
  </si>
  <si>
    <t>(7)</t>
    <phoneticPr fontId="26" type="noConversion"/>
  </si>
  <si>
    <t>(8)=(6)/(5)</t>
    <phoneticPr fontId="26" type="noConversion"/>
  </si>
  <si>
    <t>(9)</t>
    <phoneticPr fontId="26" type="noConversion"/>
  </si>
  <si>
    <t>(10)(註1)</t>
    <phoneticPr fontId="26" type="noConversion"/>
  </si>
  <si>
    <t>(11)</t>
    <phoneticPr fontId="26" type="noConversion"/>
  </si>
  <si>
    <t>(12)=(10)/(9)</t>
    <phoneticPr fontId="26" type="noConversion"/>
  </si>
  <si>
    <t>(13)</t>
    <phoneticPr fontId="26" type="noConversion"/>
  </si>
  <si>
    <t>(14)(註1)</t>
    <phoneticPr fontId="26" type="noConversion"/>
  </si>
  <si>
    <t>(15)</t>
    <phoneticPr fontId="26" type="noConversion"/>
  </si>
  <si>
    <t>(16)=(14)/(13)</t>
    <phoneticPr fontId="26" type="noConversion"/>
  </si>
  <si>
    <t>國內再保業務</t>
    <phoneticPr fontId="29" type="noConversion"/>
  </si>
  <si>
    <t>(18)</t>
  </si>
  <si>
    <t>(19)</t>
  </si>
  <si>
    <t>(20)</t>
  </si>
  <si>
    <t>(21)</t>
  </si>
  <si>
    <t>(22)</t>
  </si>
  <si>
    <t>國外再保業務</t>
    <phoneticPr fontId="29" type="noConversion"/>
  </si>
  <si>
    <t>資      料      來      源</t>
    <phoneticPr fontId="26" type="noConversion"/>
  </si>
  <si>
    <t>前一年度自7/1至12/31之金額(註2)</t>
    <phoneticPr fontId="26" type="noConversion"/>
  </si>
  <si>
    <t>金     額</t>
    <phoneticPr fontId="26" type="noConversion"/>
  </si>
  <si>
    <t>填報上半年度報表時, 上(半)年度係指前一年度自7/1至12/31之金額</t>
    <phoneticPr fontId="29" type="noConversion"/>
  </si>
  <si>
    <t>如為上半年度報表時, 自留滿期賠款(21)=(3)+(9)-(12)+(15)+(21)-(24)+(6)+(18)</t>
    <phoneticPr fontId="29" type="noConversion"/>
  </si>
  <si>
    <t>15</t>
    <phoneticPr fontId="29" type="noConversion"/>
  </si>
  <si>
    <t>代號</t>
  </si>
  <si>
    <t>是否為關係人</t>
  </si>
  <si>
    <t>再保險人</t>
  </si>
  <si>
    <t>評等等級請依最新信用評等機構評定填寫，若無者請填無。</t>
  </si>
  <si>
    <t>表19-3-1：未適格再保險準備明細表(財產再保險)</t>
    <phoneticPr fontId="29" type="noConversion"/>
  </si>
  <si>
    <t>單位：新台幣元,%</t>
    <phoneticPr fontId="26" type="noConversion"/>
  </si>
  <si>
    <t>再保險經紀人</t>
    <phoneticPr fontId="14" type="noConversion"/>
  </si>
  <si>
    <t>未逾九個月之已付賠款應攤回再保賠款與給付</t>
    <phoneticPr fontId="26" type="noConversion"/>
  </si>
  <si>
    <t>再保險存入保證金</t>
    <phoneticPr fontId="26" type="noConversion"/>
  </si>
  <si>
    <t>本期未適格再保險準備餘額</t>
    <phoneticPr fontId="26" type="noConversion"/>
  </si>
  <si>
    <t>上期未適格再保險準備餘額</t>
    <phoneticPr fontId="26" type="noConversion"/>
  </si>
  <si>
    <t>本期應增提或迴轉未適格再保險準備</t>
    <phoneticPr fontId="26" type="noConversion"/>
  </si>
  <si>
    <t>代號</t>
    <phoneticPr fontId="26" type="noConversion"/>
  </si>
  <si>
    <t>名稱</t>
    <phoneticPr fontId="26" type="noConversion"/>
  </si>
  <si>
    <t>信用評等機構</t>
    <phoneticPr fontId="26" type="noConversion"/>
  </si>
  <si>
    <t>評等等級</t>
    <phoneticPr fontId="26" type="noConversion"/>
  </si>
  <si>
    <t>是否為關係人</t>
    <phoneticPr fontId="26" type="noConversion"/>
  </si>
  <si>
    <t>代號</t>
    <phoneticPr fontId="14" type="noConversion"/>
  </si>
  <si>
    <t>名稱</t>
    <phoneticPr fontId="14" type="noConversion"/>
  </si>
  <si>
    <t>是否適格</t>
    <phoneticPr fontId="14" type="noConversion"/>
  </si>
  <si>
    <t>再保佣金收入</t>
  </si>
  <si>
    <t>再保險存入       保證金</t>
  </si>
  <si>
    <t>單位：新台幣元,%</t>
    <phoneticPr fontId="14" type="noConversion"/>
  </si>
  <si>
    <t>本期提存未適格再保險準備餘額
(15)=(11)+(12)+
(13)-(14)</t>
    <phoneticPr fontId="26" type="noConversion"/>
  </si>
  <si>
    <t>上期提存
未適格再保險準備餘額</t>
    <phoneticPr fontId="26" type="noConversion"/>
  </si>
  <si>
    <t>本期應增提或迴轉
未適格再保險準備</t>
    <phoneticPr fontId="26" type="noConversion"/>
  </si>
  <si>
    <t>發行機構信用評等</t>
    <phoneticPr fontId="26" type="noConversion"/>
  </si>
  <si>
    <t>風險係數</t>
    <phoneticPr fontId="26" type="noConversion"/>
  </si>
  <si>
    <t>Moody's</t>
    <phoneticPr fontId="26" type="noConversion"/>
  </si>
  <si>
    <t>(1)</t>
    <phoneticPr fontId="14" type="noConversion"/>
  </si>
  <si>
    <t>(2)</t>
    <phoneticPr fontId="14" type="noConversion"/>
  </si>
  <si>
    <t>(3)</t>
    <phoneticPr fontId="14" type="noConversion"/>
  </si>
  <si>
    <t>(4)</t>
    <phoneticPr fontId="14" type="noConversion"/>
  </si>
  <si>
    <t>列號</t>
    <phoneticPr fontId="29" type="noConversion"/>
  </si>
  <si>
    <t>備註</t>
    <phoneticPr fontId="29" type="noConversion"/>
  </si>
  <si>
    <t>列號</t>
    <phoneticPr fontId="26" type="noConversion"/>
  </si>
  <si>
    <t>金額</t>
    <phoneticPr fontId="26" type="noConversion"/>
  </si>
  <si>
    <t>(2)</t>
    <phoneticPr fontId="26" type="noConversion"/>
  </si>
  <si>
    <t>單位：新台幣元</t>
    <phoneticPr fontId="26" type="noConversion"/>
  </si>
  <si>
    <t>(22)</t>
    <phoneticPr fontId="26" type="noConversion"/>
  </si>
  <si>
    <t>轉再保賠款率</t>
    <phoneticPr fontId="29" type="noConversion"/>
  </si>
  <si>
    <t>《信用風險》總計</t>
    <phoneticPr fontId="26" type="noConversion"/>
  </si>
  <si>
    <t>註1：「2.7分出再保費支出」之資料來源，若該公司未填列「表19-3：未適格再保險準備明細表」第(10)欄再保佣金收入之資料，則採1之資料來源；若已填具，則採2之資料來源。</t>
    <phoneticPr fontId="26" type="noConversion"/>
  </si>
  <si>
    <t>註2：填報半年報報表時，資料來源表之數值僅包含本半年度金額，應加計前一年度下半年(7/1至12/31)金額，用以表示年化後金額。此欄位於填列年報時免填。</t>
    <phoneticPr fontId="26" type="noConversion"/>
  </si>
  <si>
    <t>健康保險</t>
    <phoneticPr fontId="29" type="noConversion"/>
  </si>
  <si>
    <t>合計</t>
    <phoneticPr fontId="29" type="noConversion"/>
  </si>
  <si>
    <t>註：</t>
    <phoneticPr fontId="26" type="noConversion"/>
  </si>
  <si>
    <t>攤回再保賠款係指帳列攤回已決再保賠款</t>
    <phoneticPr fontId="26" type="noConversion"/>
  </si>
  <si>
    <t>本年度</t>
    <phoneticPr fontId="29" type="noConversion"/>
  </si>
  <si>
    <t>上年度</t>
    <phoneticPr fontId="29" type="noConversion"/>
  </si>
  <si>
    <t>自留保費</t>
    <phoneticPr fontId="29" type="noConversion"/>
  </si>
  <si>
    <t>(14)</t>
    <phoneticPr fontId="29" type="noConversion"/>
  </si>
  <si>
    <t>(15)=(13)-(14)</t>
    <phoneticPr fontId="29" type="noConversion"/>
  </si>
  <si>
    <t>(16)</t>
    <phoneticPr fontId="29" type="noConversion"/>
  </si>
  <si>
    <t>(17)</t>
    <phoneticPr fontId="29" type="noConversion"/>
  </si>
  <si>
    <t>(18)=(16)-(17)</t>
    <phoneticPr fontId="29" type="noConversion"/>
  </si>
  <si>
    <t>(19)</t>
    <phoneticPr fontId="29" type="noConversion"/>
  </si>
  <si>
    <t>(20)</t>
    <phoneticPr fontId="29" type="noConversion"/>
  </si>
  <si>
    <t>(21)=(19)+(20)</t>
    <phoneticPr fontId="29" type="noConversion"/>
  </si>
  <si>
    <t>(22)</t>
    <phoneticPr fontId="29" type="noConversion"/>
  </si>
  <si>
    <t>(23)</t>
    <phoneticPr fontId="29" type="noConversion"/>
  </si>
  <si>
    <t>(24)=(22)+(23)</t>
    <phoneticPr fontId="29" type="noConversion"/>
  </si>
  <si>
    <t>表24-2：賠款準備金及自留滿期賠款計算表(人身再保險)</t>
    <phoneticPr fontId="29" type="noConversion"/>
  </si>
  <si>
    <t>已報未付</t>
    <phoneticPr fontId="29" type="noConversion"/>
  </si>
  <si>
    <t>已報未付</t>
    <phoneticPr fontId="29" type="noConversion"/>
  </si>
  <si>
    <t>再保賠款</t>
    <phoneticPr fontId="29" type="noConversion"/>
  </si>
  <si>
    <t>攤回再保賠款</t>
    <phoneticPr fontId="29" type="noConversion"/>
  </si>
  <si>
    <t>(3)=(1)-(2)</t>
    <phoneticPr fontId="29" type="noConversion"/>
  </si>
  <si>
    <t>(6)=(4)-(5)</t>
    <phoneticPr fontId="29" type="noConversion"/>
  </si>
  <si>
    <t>(9)=(7)+(8)</t>
    <phoneticPr fontId="29" type="noConversion"/>
  </si>
  <si>
    <t>(10)</t>
    <phoneticPr fontId="29" type="noConversion"/>
  </si>
  <si>
    <t>(11)</t>
    <phoneticPr fontId="29" type="noConversion"/>
  </si>
  <si>
    <t>(14)</t>
    <phoneticPr fontId="29" type="noConversion"/>
  </si>
  <si>
    <t>(15)=(13)-(14)</t>
    <phoneticPr fontId="29" type="noConversion"/>
  </si>
  <si>
    <t>(18)=(16)-(17)</t>
    <phoneticPr fontId="29" type="noConversion"/>
  </si>
  <si>
    <t>(21)=(19)+(20)</t>
    <phoneticPr fontId="29" type="noConversion"/>
  </si>
  <si>
    <t>(24)=(22)+(23)</t>
    <phoneticPr fontId="29" type="noConversion"/>
  </si>
  <si>
    <t>未實現損益</t>
    <phoneticPr fontId="26" type="noConversion"/>
  </si>
  <si>
    <t>保管銀行</t>
    <phoneticPr fontId="26" type="noConversion"/>
  </si>
  <si>
    <t>風     險     項     目</t>
    <phoneticPr fontId="26" type="noConversion"/>
  </si>
  <si>
    <t>風險係數</t>
    <phoneticPr fontId="26" type="noConversion"/>
  </si>
  <si>
    <t>名稱</t>
  </si>
  <si>
    <t>評等等級</t>
  </si>
  <si>
    <t>信用評等機構</t>
  </si>
  <si>
    <t>(11)</t>
  </si>
  <si>
    <t>(12)</t>
  </si>
  <si>
    <t>列號</t>
  </si>
  <si>
    <t>備註</t>
  </si>
  <si>
    <t xml:space="preserve">  危     險     變     動     準     備</t>
    <phoneticPr fontId="29" type="noConversion"/>
  </si>
  <si>
    <t>異常業務損失準備</t>
    <phoneticPr fontId="29" type="noConversion"/>
  </si>
  <si>
    <t>(1)</t>
    <phoneticPr fontId="7" type="noConversion"/>
  </si>
  <si>
    <t>風險資本額</t>
    <phoneticPr fontId="26" type="noConversion"/>
  </si>
  <si>
    <t>3a.1自留賠款準備金風險--比例性業務</t>
    <phoneticPr fontId="26" type="noConversion"/>
  </si>
  <si>
    <t>再保險業</t>
    <phoneticPr fontId="29" type="noConversion"/>
  </si>
  <si>
    <t>( CENTRAL REINSURANCE CORPORATION )</t>
    <phoneticPr fontId="29" type="noConversion"/>
  </si>
  <si>
    <t>信用評等等級(註2)</t>
    <phoneticPr fontId="26" type="noConversion"/>
  </si>
  <si>
    <t>3.投資具控制與從屬關係之關係人貨幣型受益憑證</t>
    <phoneticPr fontId="26" type="noConversion"/>
  </si>
  <si>
    <t>4.投資非控制與從屬關係之關係人存款</t>
    <phoneticPr fontId="26" type="noConversion"/>
  </si>
  <si>
    <t>5.投資非控制與從屬關係之關係人債劵型受益憑證</t>
    <phoneticPr fontId="26" type="noConversion"/>
  </si>
  <si>
    <t>6.投資非控制與從屬關係之關係人貨幣型受益憑證</t>
    <phoneticPr fontId="26" type="noConversion"/>
  </si>
  <si>
    <t>非關係人總計(7＋8)</t>
    <phoneticPr fontId="26" type="noConversion"/>
  </si>
  <si>
    <t>本附表主要針對投資資產之信用評等等級達一定標準以上者，若公司能提具相關證明資料，並依據該資料填列本附表，則可於資本適足性報告中給予風險係數上之折扣，相關規範詳見「保險業資本適足性報告-附件」。</t>
    <phoneticPr fontId="26" type="noConversion"/>
  </si>
  <si>
    <t>單位：新台幣元</t>
  </si>
  <si>
    <t>(23)</t>
  </si>
  <si>
    <t>(24)</t>
  </si>
  <si>
    <t>(25)</t>
  </si>
  <si>
    <t>(26)</t>
  </si>
  <si>
    <t>(27)</t>
  </si>
  <si>
    <t>(28)</t>
  </si>
  <si>
    <t>(29)</t>
  </si>
  <si>
    <t>(30)</t>
  </si>
  <si>
    <t>3a.2自留賠款準備金風險--非比例性業務</t>
    <phoneticPr fontId="26" type="noConversion"/>
  </si>
  <si>
    <t>3b.1 自留保費風險-比例性業務</t>
    <phoneticPr fontId="26" type="noConversion"/>
  </si>
  <si>
    <t>航空保險(國外分入)</t>
    <phoneticPr fontId="29" type="noConversion"/>
  </si>
  <si>
    <t>工程保險(國外分入)</t>
    <phoneticPr fontId="29" type="noConversion"/>
  </si>
  <si>
    <t>其他保險(國外分入)</t>
    <phoneticPr fontId="29" type="noConversion"/>
  </si>
  <si>
    <t>政策性地震保險業務依據「住宅地震保險危險分散機制實施辦法」之規定提存</t>
    <phoneticPr fontId="29" type="noConversion"/>
  </si>
  <si>
    <t>表25-2：特別準備金計算表(人身再保險)</t>
    <phoneticPr fontId="26" type="noConversion"/>
  </si>
  <si>
    <t>註:</t>
  </si>
  <si>
    <t>單位：新台幣元,%</t>
    <phoneticPr fontId="14" type="noConversion"/>
  </si>
  <si>
    <t>本欄信用評等機構僅限於S &amp; P、A.M. Best、Moody's、Fitch及中華信用評等公司，其餘信評機構所評定之等級不給予資本適足性制度風險係數上之折扣；若該項標的或被投資機構經多家信用評等機構評定，公司可擇優填報。</t>
    <phoneticPr fontId="26" type="noConversion"/>
  </si>
  <si>
    <t>表30-15：無評等不動產(REAT)及金融資產受益證券(含資產基礎證券)風險資本額計算表</t>
    <phoneticPr fontId="26" type="noConversion"/>
  </si>
  <si>
    <t>證券代碼 (註1)</t>
    <phoneticPr fontId="26" type="noConversion"/>
  </si>
  <si>
    <t>證券名稱</t>
    <phoneticPr fontId="26" type="noConversion"/>
  </si>
  <si>
    <t>資產金額</t>
    <phoneticPr fontId="26" type="noConversion"/>
  </si>
  <si>
    <t>風險係數(註2)</t>
    <phoneticPr fontId="26" type="noConversion"/>
  </si>
  <si>
    <t>證券風險係數代碼統一由財團法人保險事業發展中心編列</t>
    <phoneticPr fontId="26" type="noConversion"/>
  </si>
  <si>
    <t>證券風險係數由各公司自行計算後，送交主管機關審核，建立無評等之不動產(REAT)及金融資產受益證券(含資產基礎證券)風險係數資料庫，並將證券編碼後提供各公司填報計算</t>
    <phoneticPr fontId="26" type="noConversion"/>
  </si>
  <si>
    <t>建議之風險係數計算通式如下：</t>
    <phoneticPr fontId="26" type="noConversion"/>
  </si>
  <si>
    <t>表30-16：國外借券再投資風險資本額計算表</t>
    <phoneticPr fontId="26" type="noConversion"/>
  </si>
  <si>
    <t>證券種類</t>
    <phoneticPr fontId="26" type="noConversion"/>
  </si>
  <si>
    <t>票面利率</t>
    <phoneticPr fontId="26" type="noConversion"/>
  </si>
  <si>
    <t>付息方式</t>
    <phoneticPr fontId="26" type="noConversion"/>
  </si>
  <si>
    <t>總投資成本</t>
    <phoneticPr fontId="26" type="noConversion"/>
  </si>
  <si>
    <t>總投資市值</t>
    <phoneticPr fontId="26" type="noConversion"/>
  </si>
  <si>
    <t>項目</t>
  </si>
  <si>
    <t>(13)</t>
  </si>
  <si>
    <t>(14)</t>
  </si>
  <si>
    <t>(15)</t>
  </si>
  <si>
    <t>(16)</t>
  </si>
  <si>
    <t>(17)</t>
  </si>
  <si>
    <t>保留盈餘(累積虧損)</t>
  </si>
  <si>
    <t xml:space="preserve">    法定盈餘公積</t>
  </si>
  <si>
    <t xml:space="preserve">    特別盈餘公積</t>
  </si>
  <si>
    <t>表03：資產負債表</t>
    <phoneticPr fontId="29" type="noConversion"/>
  </si>
  <si>
    <t>單位：新台幣元,%</t>
    <phoneticPr fontId="29" type="noConversion"/>
  </si>
  <si>
    <t xml:space="preserve">本期 </t>
    <phoneticPr fontId="29" type="noConversion"/>
  </si>
  <si>
    <t>上期</t>
    <phoneticPr fontId="29" type="noConversion"/>
  </si>
  <si>
    <t>帳載金額比較增減</t>
    <phoneticPr fontId="29" type="noConversion"/>
  </si>
  <si>
    <t>本期</t>
    <phoneticPr fontId="29" type="noConversion"/>
  </si>
  <si>
    <t>帳載負債比較增減</t>
    <phoneticPr fontId="29" type="noConversion"/>
  </si>
  <si>
    <t>非認許資產</t>
    <phoneticPr fontId="26" type="noConversion"/>
  </si>
  <si>
    <t>淨認許資產</t>
    <phoneticPr fontId="26" type="noConversion"/>
  </si>
  <si>
    <t>帳載金額</t>
    <phoneticPr fontId="29" type="noConversion"/>
  </si>
  <si>
    <t>帳載金額%</t>
    <phoneticPr fontId="29" type="noConversion"/>
  </si>
  <si>
    <t>金額</t>
    <phoneticPr fontId="29" type="noConversion"/>
  </si>
  <si>
    <t>%</t>
    <phoneticPr fontId="29" type="noConversion"/>
  </si>
  <si>
    <t>(1)</t>
    <phoneticPr fontId="29" type="noConversion"/>
  </si>
  <si>
    <t>(3)</t>
    <phoneticPr fontId="26" type="noConversion"/>
  </si>
  <si>
    <t>(4)</t>
    <phoneticPr fontId="26" type="noConversion"/>
  </si>
  <si>
    <t>填報上半年度報表時, 上(半)年度係指前一年度自7/1至12/31之金額</t>
  </si>
  <si>
    <t>表22-3：自留保費明細表(財產再保險)</t>
    <phoneticPr fontId="29" type="noConversion"/>
  </si>
  <si>
    <t>單位：新台幣元</t>
    <phoneticPr fontId="14" type="noConversion"/>
  </si>
  <si>
    <t>險別</t>
    <phoneticPr fontId="29" type="noConversion"/>
  </si>
  <si>
    <t>比例性再保險業務</t>
    <phoneticPr fontId="29" type="noConversion"/>
  </si>
  <si>
    <t>非比例性再保險業務</t>
    <phoneticPr fontId="29" type="noConversion"/>
  </si>
  <si>
    <t>再保費支出</t>
    <phoneticPr fontId="29" type="noConversion"/>
  </si>
  <si>
    <t>(1)</t>
    <phoneticPr fontId="29" type="noConversion"/>
  </si>
  <si>
    <t>(3)=(1)-(2)</t>
    <phoneticPr fontId="29" type="noConversion"/>
  </si>
  <si>
    <t>(4)</t>
    <phoneticPr fontId="29" type="noConversion"/>
  </si>
  <si>
    <t>(6)=(4)-(5)</t>
    <phoneticPr fontId="29" type="noConversion"/>
  </si>
  <si>
    <t>(7)</t>
    <phoneticPr fontId="29" type="noConversion"/>
  </si>
  <si>
    <t>(9)=(7)-(8)</t>
    <phoneticPr fontId="29" type="noConversion"/>
  </si>
  <si>
    <t>(11)</t>
    <phoneticPr fontId="29" type="noConversion"/>
  </si>
  <si>
    <t>(12)=(10)-(11)</t>
    <phoneticPr fontId="29" type="noConversion"/>
  </si>
  <si>
    <t>註:</t>
    <phoneticPr fontId="29" type="noConversion"/>
  </si>
  <si>
    <t>表22-4：自留保費明細表(人身再保險)</t>
    <phoneticPr fontId="29" type="noConversion"/>
  </si>
  <si>
    <t>表23-1：未滿期保費準備金及自留滿期保費計算比較表(財產再保險)</t>
    <phoneticPr fontId="29" type="noConversion"/>
  </si>
  <si>
    <t>自留滿期
保費</t>
    <phoneticPr fontId="29" type="noConversion"/>
  </si>
  <si>
    <t>提存方式</t>
    <phoneticPr fontId="29" type="noConversion"/>
  </si>
  <si>
    <t>提存未
滿期保費準備</t>
    <phoneticPr fontId="29" type="noConversion"/>
  </si>
  <si>
    <t>收回上期未
滿期保費準備</t>
    <phoneticPr fontId="29" type="noConversion"/>
  </si>
  <si>
    <t>(3)</t>
    <phoneticPr fontId="29" type="noConversion"/>
  </si>
  <si>
    <t>(6)</t>
    <phoneticPr fontId="29" type="noConversion"/>
  </si>
  <si>
    <t>(13)</t>
    <phoneticPr fontId="29" type="noConversion"/>
  </si>
  <si>
    <t>長期業務之提存方式請另附件計算</t>
    <phoneticPr fontId="29" type="noConversion"/>
  </si>
  <si>
    <t>收回(上期)未
滿期保費準備</t>
    <phoneticPr fontId="29" type="noConversion"/>
  </si>
  <si>
    <t>表24-1：賠款準備金及自留滿期賠款計算表(財產再保險)</t>
    <phoneticPr fontId="29" type="noConversion"/>
  </si>
  <si>
    <t>單位：新台幣元</t>
    <phoneticPr fontId="14" type="noConversion"/>
  </si>
  <si>
    <t>列號</t>
    <phoneticPr fontId="29" type="noConversion"/>
  </si>
  <si>
    <t>比例性業務</t>
    <phoneticPr fontId="29" type="noConversion"/>
  </si>
  <si>
    <t>非比例性業務</t>
    <phoneticPr fontId="29" type="noConversion"/>
  </si>
  <si>
    <t>自留滿期賠款</t>
    <phoneticPr fontId="29" type="noConversion"/>
  </si>
  <si>
    <t>已報未付</t>
    <phoneticPr fontId="29" type="noConversion"/>
  </si>
  <si>
    <t>未報</t>
    <phoneticPr fontId="29" type="noConversion"/>
  </si>
  <si>
    <t>已報未付</t>
    <phoneticPr fontId="29" type="noConversion"/>
  </si>
  <si>
    <t>(25)=(3)+(9)-(12)+(15)+(21)-(24)</t>
    <phoneticPr fontId="29" type="noConversion"/>
  </si>
  <si>
    <t>再保賠款</t>
    <phoneticPr fontId="29" type="noConversion"/>
  </si>
  <si>
    <t>攤回再保賠款</t>
    <phoneticPr fontId="29" type="noConversion"/>
  </si>
  <si>
    <t>再保賠款</t>
    <phoneticPr fontId="29" type="noConversion"/>
  </si>
  <si>
    <t>(3)=(1)-(2)</t>
    <phoneticPr fontId="29" type="noConversion"/>
  </si>
  <si>
    <t>(6)=(4)-(5)</t>
    <phoneticPr fontId="29" type="noConversion"/>
  </si>
  <si>
    <t>(9)=(7)+(8)</t>
    <phoneticPr fontId="29" type="noConversion"/>
  </si>
  <si>
    <t>(10)</t>
    <phoneticPr fontId="29" type="noConversion"/>
  </si>
  <si>
    <t>(11)</t>
    <phoneticPr fontId="29" type="noConversion"/>
  </si>
  <si>
    <t>(12)=(10)+(11)</t>
    <phoneticPr fontId="29" type="noConversion"/>
  </si>
  <si>
    <t>(13)</t>
    <phoneticPr fontId="29" type="noConversion"/>
  </si>
  <si>
    <t>自留賠款</t>
    <phoneticPr fontId="29" type="noConversion"/>
  </si>
  <si>
    <t>(2)(註1)</t>
  </si>
  <si>
    <t>政策性住宅地震基本保險</t>
  </si>
  <si>
    <t>表20-1：分入再保險業務業績比較分析表(財產再保險)</t>
    <phoneticPr fontId="29" type="noConversion"/>
  </si>
  <si>
    <t>單位：新台幣元,%</t>
    <phoneticPr fontId="14" type="noConversion"/>
  </si>
  <si>
    <t>列號</t>
    <phoneticPr fontId="29" type="noConversion"/>
  </si>
  <si>
    <t>再保佣金支出</t>
    <phoneticPr fontId="29" type="noConversion"/>
  </si>
  <si>
    <t>再保分入賠款率</t>
    <phoneticPr fontId="29" type="noConversion"/>
  </si>
  <si>
    <t>(3)</t>
    <phoneticPr fontId="29" type="noConversion"/>
  </si>
  <si>
    <t>(4)=(2)/(1)</t>
    <phoneticPr fontId="29" type="noConversion"/>
  </si>
  <si>
    <t>(5)</t>
    <phoneticPr fontId="29" type="noConversion"/>
  </si>
  <si>
    <t>(6)(註1)</t>
    <phoneticPr fontId="29" type="noConversion"/>
  </si>
  <si>
    <t>(7)</t>
    <phoneticPr fontId="29" type="noConversion"/>
  </si>
  <si>
    <t>(8)=(6)/(5)</t>
    <phoneticPr fontId="29" type="noConversion"/>
  </si>
  <si>
    <t>(1)</t>
    <phoneticPr fontId="26" type="noConversion"/>
  </si>
  <si>
    <t>A</t>
  </si>
  <si>
    <t>B</t>
  </si>
  <si>
    <t xml:space="preserve">座落地點於土地請填詳細地號，於房屋請填詳細地址及建號 </t>
  </si>
  <si>
    <t>本附表僅需填列信用評等等級達A級以上者，該信用評等等級以該評估(半)年度(6)12月(30)31日前最新發布之等級為準，其餘等級不需填列，且不給予資本適足性制度風險係數上之折扣。</t>
    <phoneticPr fontId="26" type="noConversion"/>
  </si>
  <si>
    <t>自留賠款準備金總計</t>
    <phoneticPr fontId="26" type="noConversion"/>
  </si>
  <si>
    <t>Herfindahl Index</t>
    <phoneticPr fontId="26" type="noConversion"/>
  </si>
  <si>
    <t>二、業務集中調整係數（3b.3）</t>
    <phoneticPr fontId="26" type="noConversion"/>
  </si>
  <si>
    <t>風險項目</t>
    <phoneticPr fontId="26" type="noConversion"/>
  </si>
  <si>
    <t>7.非關係人債券型共同基金(註4)</t>
    <phoneticPr fontId="26" type="noConversion"/>
  </si>
  <si>
    <t>8.非關係人貨幣型共同基金(註4)</t>
    <phoneticPr fontId="26" type="noConversion"/>
  </si>
  <si>
    <t>本項目資產不包含國外資產在內。</t>
    <phoneticPr fontId="26" type="noConversion"/>
  </si>
  <si>
    <t>E-MAIL</t>
    <phoneticPr fontId="29" type="noConversion"/>
  </si>
  <si>
    <t>無</t>
    <phoneticPr fontId="29" type="noConversion"/>
  </si>
  <si>
    <t>(2)</t>
    <phoneticPr fontId="29" type="noConversion"/>
  </si>
  <si>
    <t>(5)</t>
    <phoneticPr fontId="29" type="noConversion"/>
  </si>
  <si>
    <t>(8)</t>
    <phoneticPr fontId="29" type="noConversion"/>
  </si>
  <si>
    <t>(9)</t>
    <phoneticPr fontId="29" type="noConversion"/>
  </si>
  <si>
    <t>(10)</t>
    <phoneticPr fontId="29" type="noConversion"/>
  </si>
  <si>
    <t>人壽保險</t>
  </si>
  <si>
    <t>傷害保險</t>
  </si>
  <si>
    <t>年金保險</t>
  </si>
  <si>
    <t>財務再保險</t>
  </si>
  <si>
    <t>合計</t>
  </si>
  <si>
    <t>註：</t>
  </si>
  <si>
    <t>註:</t>
    <phoneticPr fontId="29" type="noConversion"/>
  </si>
  <si>
    <t>本年度損失率與15年平均損失率差</t>
    <phoneticPr fontId="29" type="noConversion"/>
  </si>
  <si>
    <t>列號</t>
    <phoneticPr fontId="26" type="noConversion"/>
  </si>
  <si>
    <t>(5)</t>
    <phoneticPr fontId="14" type="noConversion"/>
  </si>
  <si>
    <t>(6)</t>
    <phoneticPr fontId="14" type="noConversion"/>
  </si>
  <si>
    <t>Herfindahl Index</t>
  </si>
  <si>
    <t>關係人總計(1＋2＋3＋4＋5＋6)</t>
  </si>
  <si>
    <t>單位：新台幣元</t>
    <phoneticPr fontId="26" type="noConversion"/>
  </si>
  <si>
    <t>風險資本額</t>
    <phoneticPr fontId="26" type="noConversion"/>
  </si>
  <si>
    <t xml:space="preserve"> </t>
  </si>
  <si>
    <t>(3)</t>
    <phoneticPr fontId="26" type="noConversion"/>
  </si>
  <si>
    <t>特別準備</t>
    <phoneticPr fontId="29" type="noConversion"/>
  </si>
  <si>
    <t>自留滿期保費</t>
    <phoneticPr fontId="26" type="noConversion"/>
  </si>
  <si>
    <t>自留損失率</t>
    <phoneticPr fontId="29" type="noConversion"/>
  </si>
  <si>
    <t>最近15年度平均損失率</t>
    <phoneticPr fontId="29" type="noConversion"/>
  </si>
  <si>
    <t>(18)</t>
    <phoneticPr fontId="29" type="noConversion"/>
  </si>
  <si>
    <t>一年期住宅火災保險</t>
    <phoneticPr fontId="26" type="noConversion"/>
  </si>
  <si>
    <t>長期住宅火災保險</t>
    <phoneticPr fontId="26" type="noConversion"/>
  </si>
  <si>
    <t>一年期商業火災保險</t>
    <phoneticPr fontId="26" type="noConversion"/>
  </si>
  <si>
    <t>長期商業火災保險</t>
    <phoneticPr fontId="26" type="noConversion"/>
  </si>
  <si>
    <t>內陸運輸保險</t>
    <phoneticPr fontId="26" type="noConversion"/>
  </si>
  <si>
    <t>貨物運輸保險</t>
    <phoneticPr fontId="26" type="noConversion"/>
  </si>
  <si>
    <t>船體保險</t>
    <phoneticPr fontId="26" type="noConversion"/>
  </si>
  <si>
    <t>漁船保險</t>
    <phoneticPr fontId="26" type="noConversion"/>
  </si>
  <si>
    <t>航空保險</t>
    <phoneticPr fontId="26" type="noConversion"/>
  </si>
  <si>
    <t>一般自用汽車財產損失保險</t>
    <phoneticPr fontId="26" type="noConversion"/>
  </si>
  <si>
    <t>一般商業汽車財產損失保險</t>
    <phoneticPr fontId="26" type="noConversion"/>
  </si>
  <si>
    <t>一般自用汽車責任保險</t>
    <phoneticPr fontId="26" type="noConversion"/>
  </si>
  <si>
    <t>一般商業汽車責任保險</t>
    <phoneticPr fontId="26" type="noConversion"/>
  </si>
  <si>
    <t>強制自用汽車責任保險</t>
    <phoneticPr fontId="26" type="noConversion"/>
  </si>
  <si>
    <t>強制商業汽車責任保險</t>
    <phoneticPr fontId="26" type="noConversion"/>
  </si>
  <si>
    <t>強制機車責任保險</t>
    <phoneticPr fontId="26" type="noConversion"/>
  </si>
  <si>
    <t>一般責任保險</t>
    <phoneticPr fontId="26" type="noConversion"/>
  </si>
  <si>
    <t>專業責任保險</t>
    <phoneticPr fontId="26" type="noConversion"/>
  </si>
  <si>
    <t>工程保險</t>
    <phoneticPr fontId="26" type="noConversion"/>
  </si>
  <si>
    <t>核能保險</t>
    <phoneticPr fontId="26" type="noConversion"/>
  </si>
  <si>
    <t>保證保險</t>
    <phoneticPr fontId="26" type="noConversion"/>
  </si>
  <si>
    <t>信用保險</t>
    <phoneticPr fontId="26" type="noConversion"/>
  </si>
  <si>
    <t>其他財產保險</t>
    <phoneticPr fontId="26" type="noConversion"/>
  </si>
  <si>
    <t>傷害保險</t>
    <phoneticPr fontId="26" type="noConversion"/>
  </si>
  <si>
    <t>商業性地震保險</t>
    <phoneticPr fontId="26" type="noConversion"/>
  </si>
  <si>
    <t>個人綜合保險</t>
    <phoneticPr fontId="26" type="noConversion"/>
  </si>
  <si>
    <t>商業綜合保險</t>
    <phoneticPr fontId="26" type="noConversion"/>
  </si>
  <si>
    <t>颱風、洪水保險</t>
    <phoneticPr fontId="26" type="noConversion"/>
  </si>
  <si>
    <t>火災保險(國外分入)</t>
    <phoneticPr fontId="26" type="noConversion"/>
  </si>
  <si>
    <t>貨物海上保險(國外分入)</t>
    <phoneticPr fontId="29" type="noConversion"/>
  </si>
  <si>
    <t>船體保險(國外分入)</t>
    <phoneticPr fontId="29" type="noConversion"/>
  </si>
  <si>
    <t>漁船保險(國外分入)</t>
    <phoneticPr fontId="26" type="noConversion"/>
  </si>
  <si>
    <t>汽車保險(國外分入)</t>
    <phoneticPr fontId="29" type="noConversion"/>
  </si>
  <si>
    <t>本表險種分類比照產險業年度報表之險別，另依本公司特色將國外分進業務再細分為八種</t>
    <phoneticPr fontId="29" type="noConversion"/>
  </si>
  <si>
    <t>再保賠款係指帳列已決再保賠款</t>
    <phoneticPr fontId="29" type="noConversion"/>
  </si>
  <si>
    <t>表20-2：分入再保險業務業績比較分析表(人身再保險)</t>
    <phoneticPr fontId="29" type="noConversion"/>
  </si>
  <si>
    <t>列號</t>
    <phoneticPr fontId="26" type="noConversion"/>
  </si>
  <si>
    <t>險別</t>
    <phoneticPr fontId="26" type="noConversion"/>
  </si>
  <si>
    <t>註：</t>
    <phoneticPr fontId="26" type="noConversion"/>
  </si>
  <si>
    <t>再保賠款係指帳列已決再保賠款</t>
    <phoneticPr fontId="29" type="noConversion"/>
  </si>
  <si>
    <t>再保費支出</t>
  </si>
  <si>
    <t>攤回再保賠款</t>
  </si>
  <si>
    <t>表21-1：分出再保險業務業績比較分析表(財產再保險)</t>
    <phoneticPr fontId="26" type="noConversion"/>
  </si>
  <si>
    <t>險別</t>
    <phoneticPr fontId="26" type="noConversion"/>
  </si>
  <si>
    <t>國內</t>
    <phoneticPr fontId="26" type="noConversion"/>
  </si>
  <si>
    <t>國外</t>
    <phoneticPr fontId="26" type="noConversion"/>
  </si>
  <si>
    <t>再保佣金收入</t>
    <phoneticPr fontId="26" type="noConversion"/>
  </si>
  <si>
    <t>(5)=(2)-(4)</t>
    <phoneticPr fontId="26" type="noConversion"/>
  </si>
  <si>
    <t>(6)</t>
    <phoneticPr fontId="26" type="noConversion"/>
  </si>
  <si>
    <t>%</t>
    <phoneticPr fontId="29" type="noConversion"/>
  </si>
  <si>
    <t>(1)</t>
    <phoneticPr fontId="29" type="noConversion"/>
  </si>
  <si>
    <t>(12)</t>
    <phoneticPr fontId="29" type="noConversion"/>
  </si>
  <si>
    <t>(10)</t>
    <phoneticPr fontId="26" type="noConversion"/>
  </si>
  <si>
    <t>(12)</t>
    <phoneticPr fontId="26" type="noConversion"/>
  </si>
  <si>
    <t>表30-11：核保風險之損失及業務集中調整係數試算表</t>
    <phoneticPr fontId="26" type="noConversion"/>
  </si>
  <si>
    <t>一、損失集中調整係數（3a.3）</t>
    <phoneticPr fontId="26" type="noConversion"/>
  </si>
  <si>
    <t>風險項目</t>
    <phoneticPr fontId="26" type="noConversion"/>
  </si>
  <si>
    <r>
      <t xml:space="preserve"> </t>
    </r>
    <r>
      <rPr>
        <sz val="32"/>
        <rFont val="標楷體"/>
        <family val="4"/>
        <charset val="136"/>
      </rPr>
      <t>中央再保險股份有限公司</t>
    </r>
    <phoneticPr fontId="29" type="noConversion"/>
  </si>
  <si>
    <t>(8)</t>
    <phoneticPr fontId="26" type="noConversion"/>
  </si>
  <si>
    <t>(9)</t>
    <phoneticPr fontId="26" type="noConversion"/>
  </si>
  <si>
    <t>(10)</t>
    <phoneticPr fontId="26" type="noConversion"/>
  </si>
  <si>
    <t>(11)</t>
    <phoneticPr fontId="26" type="noConversion"/>
  </si>
  <si>
    <t>(13)</t>
    <phoneticPr fontId="26" type="noConversion"/>
  </si>
  <si>
    <t>(14)</t>
    <phoneticPr fontId="26" type="noConversion"/>
  </si>
  <si>
    <t>(15)</t>
    <phoneticPr fontId="26" type="noConversion"/>
  </si>
  <si>
    <t>(16)</t>
    <phoneticPr fontId="26" type="noConversion"/>
  </si>
  <si>
    <t>(17)</t>
    <phoneticPr fontId="26" type="noConversion"/>
  </si>
  <si>
    <t>(18)</t>
    <phoneticPr fontId="26" type="noConversion"/>
  </si>
  <si>
    <t>(19)</t>
    <phoneticPr fontId="26" type="noConversion"/>
  </si>
  <si>
    <t>(20)</t>
    <phoneticPr fontId="26" type="noConversion"/>
  </si>
  <si>
    <t>(21)</t>
    <phoneticPr fontId="26" type="noConversion"/>
  </si>
  <si>
    <t>小計</t>
    <phoneticPr fontId="26" type="noConversion"/>
  </si>
  <si>
    <t>2</t>
    <phoneticPr fontId="26" type="noConversion"/>
  </si>
  <si>
    <t>(12)</t>
    <phoneticPr fontId="26" type="noConversion"/>
  </si>
  <si>
    <t>合計</t>
    <phoneticPr fontId="26" type="noConversion"/>
  </si>
  <si>
    <t>2</t>
    <phoneticPr fontId="26" type="noConversion"/>
  </si>
  <si>
    <t>5</t>
    <phoneticPr fontId="26" type="noConversion"/>
  </si>
  <si>
    <t>6</t>
    <phoneticPr fontId="26" type="noConversion"/>
  </si>
  <si>
    <t>(22)</t>
    <phoneticPr fontId="26" type="noConversion"/>
  </si>
  <si>
    <t>(23)</t>
    <phoneticPr fontId="26" type="noConversion"/>
  </si>
  <si>
    <t>(24)</t>
    <phoneticPr fontId="26" type="noConversion"/>
  </si>
  <si>
    <t>註:</t>
    <phoneticPr fontId="26" type="noConversion"/>
  </si>
  <si>
    <t>2</t>
    <phoneticPr fontId="26" type="noConversion"/>
  </si>
  <si>
    <t>5</t>
    <phoneticPr fontId="26" type="noConversion"/>
  </si>
  <si>
    <t>若再保險經紀人不適格，僅填該再保險經紀人分出總數；如係再保險人不適格，則填該再保險人分出總數。</t>
    <phoneticPr fontId="14" type="noConversion"/>
  </si>
  <si>
    <t>代號為財團法人保險事業發展中心所統一配賦之代號。</t>
    <phoneticPr fontId="14" type="noConversion"/>
  </si>
  <si>
    <t>信用評等機構填列如A.S&amp;P,B.AM Best,C.Moody,D.Fitch,E.tw,F.其他,若無者請填無。</t>
    <phoneticPr fontId="14" type="noConversion"/>
  </si>
  <si>
    <t>評等等級請依 valuation date 時之最新信用評等機構評定填寫,若無信用評等者請填無。</t>
    <phoneticPr fontId="14" type="noConversion"/>
  </si>
  <si>
    <t>再保險經紀人欄之填列係指再保險分出(分入)業務第一手分出(分入)時透過之再保險經紀人。請填列其代號及名稱,若無者請填無。</t>
    <phoneticPr fontId="14" type="noConversion"/>
  </si>
  <si>
    <t>未適格再保險人應分別填列其代號、名稱、信用評等機構、評等等級、是否為關係人。</t>
    <phoneticPr fontId="14" type="noConversion"/>
  </si>
  <si>
    <t>未逾九個月之已決賠款應攤回再保賠款與給付係指已決賠款之應攤回再保賠款與給付未超過保險賠款賠付日(再保險契約另有訂定者，從其約定)九個月部分之金額，即仍屬於認許資產之已決賠款應攤回再保險賠款與給付。</t>
    <phoneticPr fontId="14" type="noConversion"/>
  </si>
  <si>
    <t>佣金包含盈餘佣金。</t>
    <phoneticPr fontId="14" type="noConversion"/>
  </si>
  <si>
    <t>(15)=(11)+(12)+(13)-(14)</t>
    <phoneticPr fontId="26" type="noConversion"/>
  </si>
  <si>
    <t>信用評等機構填列如A.S&amp;P,B.AM Best,C.Moody's,D.Fitch,E.tw,F.其他,若無者請填無。</t>
    <phoneticPr fontId="14" type="noConversion"/>
  </si>
  <si>
    <t>未逾九個月之已付賠款應攤回再保賠款與給付係指已付賠款之應攤回再保賠款與給付未超過保險賠款賠付日(再保險契約另有訂定者，從其約定)九個月部分之金額，即仍屬於認許資產之已付賠款應攤回再保險賠款與給付。</t>
    <phoneticPr fontId="14" type="noConversion"/>
  </si>
  <si>
    <t>計算半年度之未適格再保險準備時應考慮前一年度7月1日至本年度6月30日止之所有影響數</t>
    <phoneticPr fontId="26" type="noConversion"/>
  </si>
  <si>
    <t>表30-9：信用評等資訊調整表</t>
    <phoneticPr fontId="26" type="noConversion"/>
  </si>
  <si>
    <t>風險項目</t>
    <phoneticPr fontId="26" type="noConversion"/>
  </si>
  <si>
    <t>信用評等等級</t>
    <phoneticPr fontId="26" type="noConversion"/>
  </si>
  <si>
    <t>投資金額</t>
    <phoneticPr fontId="26" type="noConversion"/>
  </si>
  <si>
    <t>風險係數</t>
    <phoneticPr fontId="26" type="noConversion"/>
  </si>
  <si>
    <t>折扣後之風險係數</t>
    <phoneticPr fontId="26" type="noConversion"/>
  </si>
  <si>
    <t>抵減之風險資本額</t>
    <phoneticPr fontId="26" type="noConversion"/>
  </si>
  <si>
    <t>一、關係人資產</t>
    <phoneticPr fontId="26" type="noConversion"/>
  </si>
  <si>
    <t>1.投資具控制與從屬關係關係人存款</t>
    <phoneticPr fontId="26" type="noConversion"/>
  </si>
  <si>
    <t>2.投資具控制與從屬關係關係人債劵型受益憑證</t>
    <phoneticPr fontId="26" type="noConversion"/>
  </si>
  <si>
    <t>3.投資具控制與從屬關係關係人貨幣型受益憑證</t>
    <phoneticPr fontId="26" type="noConversion"/>
  </si>
  <si>
    <t>4.投資非控制與從屬關係關係人存款</t>
    <phoneticPr fontId="26" type="noConversion"/>
  </si>
  <si>
    <t>5.投資非控制與從屬關係關係人債劵型受益憑證</t>
    <phoneticPr fontId="26" type="noConversion"/>
  </si>
  <si>
    <t>6.投資非控制與從屬關係關係人貨幣型受益憑證</t>
    <phoneticPr fontId="26" type="noConversion"/>
  </si>
  <si>
    <t>關係人資產風險調整總計</t>
    <phoneticPr fontId="26" type="noConversion"/>
  </si>
  <si>
    <t>二、非關係人資產</t>
    <phoneticPr fontId="26" type="noConversion"/>
  </si>
  <si>
    <t>受益憑證</t>
    <phoneticPr fontId="26" type="noConversion"/>
  </si>
  <si>
    <t>(1)債券型共同基金(註1)</t>
    <phoneticPr fontId="26" type="noConversion"/>
  </si>
  <si>
    <t>(2)貨幣型共同基金(註1)</t>
    <phoneticPr fontId="26" type="noConversion"/>
  </si>
  <si>
    <t>非關係人資產風險調整總計</t>
    <phoneticPr fontId="26" type="noConversion"/>
  </si>
  <si>
    <t>註1.本項目資產不包含國外資產在內。</t>
    <phoneticPr fontId="26" type="noConversion"/>
  </si>
  <si>
    <t>表30-13：投資資產信用評等資訊表</t>
    <phoneticPr fontId="26" type="noConversion"/>
  </si>
  <si>
    <t>項目</t>
    <phoneticPr fontId="26" type="noConversion"/>
  </si>
  <si>
    <t>投資機構/標的名稱</t>
    <phoneticPr fontId="26" type="noConversion"/>
  </si>
  <si>
    <t>信用評等機構(註3)</t>
    <phoneticPr fontId="26" type="noConversion"/>
  </si>
  <si>
    <t>投資金額</t>
    <phoneticPr fontId="26" type="noConversion"/>
  </si>
  <si>
    <t>(1)</t>
    <phoneticPr fontId="26" type="noConversion"/>
  </si>
  <si>
    <t>(4)</t>
    <phoneticPr fontId="26" type="noConversion"/>
  </si>
  <si>
    <t>(5)</t>
    <phoneticPr fontId="26" type="noConversion"/>
  </si>
  <si>
    <t>(3)</t>
    <phoneticPr fontId="26" type="noConversion"/>
  </si>
  <si>
    <t>1.投資具控制與從屬關係之關係人存款</t>
    <phoneticPr fontId="26" type="noConversion"/>
  </si>
  <si>
    <t>2.投資具控制與從屬關係之關係人債劵型受益憑證</t>
    <phoneticPr fontId="26" type="noConversion"/>
  </si>
  <si>
    <t>單位：新台幣元</t>
    <phoneticPr fontId="26" type="noConversion"/>
  </si>
  <si>
    <t>表21-2：分出再保險業務業績比較分析表(人身再保險)</t>
    <phoneticPr fontId="29" type="noConversion"/>
  </si>
  <si>
    <t>單位：新台幣元,%</t>
    <phoneticPr fontId="14" type="noConversion"/>
  </si>
  <si>
    <t>列號</t>
    <phoneticPr fontId="26" type="noConversion"/>
  </si>
  <si>
    <t>險別</t>
    <phoneticPr fontId="26" type="noConversion"/>
  </si>
  <si>
    <t>國內</t>
    <phoneticPr fontId="26" type="noConversion"/>
  </si>
  <si>
    <t>國外</t>
    <phoneticPr fontId="26" type="noConversion"/>
  </si>
  <si>
    <t>再保佣金收入</t>
    <phoneticPr fontId="26" type="noConversion"/>
  </si>
  <si>
    <t>轉再保賠款率</t>
    <phoneticPr fontId="29" type="noConversion"/>
  </si>
  <si>
    <t>(3)</t>
    <phoneticPr fontId="26" type="noConversion"/>
  </si>
  <si>
    <t>(4)=(2)/(1)</t>
    <phoneticPr fontId="26" type="noConversion"/>
  </si>
  <si>
    <t>(5)</t>
    <phoneticPr fontId="26" type="noConversion"/>
  </si>
  <si>
    <t>(6)(註1)</t>
    <phoneticPr fontId="26" type="noConversion"/>
  </si>
  <si>
    <t>(7)</t>
    <phoneticPr fontId="26" type="noConversion"/>
  </si>
  <si>
    <t>(8)=(6)/(5)</t>
    <phoneticPr fontId="26" type="noConversion"/>
  </si>
  <si>
    <t>(9)</t>
    <phoneticPr fontId="26" type="noConversion"/>
  </si>
  <si>
    <t>(10)(註1)</t>
    <phoneticPr fontId="26" type="noConversion"/>
  </si>
  <si>
    <t>(11)</t>
    <phoneticPr fontId="26" type="noConversion"/>
  </si>
  <si>
    <t>(12)=(10)/(9)</t>
    <phoneticPr fontId="26" type="noConversion"/>
  </si>
  <si>
    <t>(13)</t>
    <phoneticPr fontId="26" type="noConversion"/>
  </si>
  <si>
    <t>(14)(註1)</t>
    <phoneticPr fontId="26" type="noConversion"/>
  </si>
  <si>
    <t>(15)</t>
    <phoneticPr fontId="26" type="noConversion"/>
  </si>
  <si>
    <t>(16)=(14)/(13)</t>
    <phoneticPr fontId="26" type="noConversion"/>
  </si>
  <si>
    <t>註：</t>
    <phoneticPr fontId="26" type="noConversion"/>
  </si>
  <si>
    <t>攤回再保賠款係指帳列攤回已決再保賠款</t>
    <phoneticPr fontId="29" type="noConversion"/>
  </si>
  <si>
    <t>人壽保險包括學生團體保險</t>
    <phoneticPr fontId="29" type="noConversion"/>
  </si>
  <si>
    <t>(25)=(3)+(9)-(12)+(15)+(21)-(24</t>
    <phoneticPr fontId="29" type="noConversion"/>
  </si>
  <si>
    <t>twCCC+</t>
    <phoneticPr fontId="26" type="noConversion"/>
  </si>
  <si>
    <t>twCCC</t>
    <phoneticPr fontId="26" type="noConversion"/>
  </si>
  <si>
    <t>Ba3</t>
    <phoneticPr fontId="26" type="noConversion"/>
  </si>
  <si>
    <t>C</t>
    <phoneticPr fontId="29" type="noConversion"/>
  </si>
  <si>
    <t>C</t>
    <phoneticPr fontId="29" type="noConversion"/>
  </si>
  <si>
    <r>
      <rPr>
        <sz val="10"/>
        <rFont val="標楷體"/>
        <family val="4"/>
        <charset val="136"/>
      </rPr>
      <t>小計</t>
    </r>
  </si>
  <si>
    <r>
      <rPr>
        <sz val="10"/>
        <rFont val="標楷體"/>
        <family val="4"/>
        <charset val="136"/>
      </rPr>
      <t>國內投資總計</t>
    </r>
  </si>
  <si>
    <r>
      <rPr>
        <sz val="10"/>
        <rFont val="標楷體"/>
        <family val="4"/>
        <charset val="136"/>
      </rPr>
      <t>自用</t>
    </r>
  </si>
  <si>
    <r>
      <rPr>
        <sz val="10"/>
        <rFont val="標楷體"/>
        <family val="4"/>
        <charset val="136"/>
      </rPr>
      <t>不動產</t>
    </r>
  </si>
  <si>
    <r>
      <rPr>
        <sz val="10"/>
        <rFont val="標楷體"/>
        <family val="4"/>
        <charset val="136"/>
      </rPr>
      <t>投資用</t>
    </r>
  </si>
  <si>
    <r>
      <rPr>
        <sz val="10"/>
        <rFont val="標楷體"/>
        <family val="4"/>
        <charset val="136"/>
      </rPr>
      <t>不動產投資</t>
    </r>
  </si>
  <si>
    <r>
      <rPr>
        <sz val="10"/>
        <rFont val="標楷體"/>
        <family val="4"/>
        <charset val="136"/>
      </rPr>
      <t>具有收益性不動產</t>
    </r>
  </si>
  <si>
    <r>
      <rPr>
        <sz val="10"/>
        <rFont val="標楷體"/>
        <family val="4"/>
        <charset val="136"/>
      </rPr>
      <t>其他不動產投資</t>
    </r>
  </si>
  <si>
    <r>
      <rPr>
        <sz val="10"/>
        <rFont val="標楷體"/>
        <family val="4"/>
        <charset val="136"/>
      </rPr>
      <t>承受擔保品</t>
    </r>
  </si>
  <si>
    <r>
      <rPr>
        <sz val="10"/>
        <rFont val="標楷體"/>
        <family val="4"/>
        <charset val="136"/>
      </rPr>
      <t>合計</t>
    </r>
  </si>
  <si>
    <r>
      <rPr>
        <sz val="10"/>
        <rFont val="標楷體"/>
        <family val="4"/>
        <charset val="136"/>
      </rPr>
      <t>國外投資總計</t>
    </r>
  </si>
  <si>
    <r>
      <rPr>
        <sz val="10"/>
        <rFont val="標楷體"/>
        <family val="4"/>
        <charset val="136"/>
      </rPr>
      <t>五年內取自關係人之不動產總計</t>
    </r>
  </si>
  <si>
    <r>
      <rPr>
        <sz val="10"/>
        <rFont val="標楷體"/>
        <family val="4"/>
        <charset val="136"/>
      </rPr>
      <t>自用不動產合計</t>
    </r>
  </si>
  <si>
    <r>
      <rPr>
        <sz val="10"/>
        <rFont val="標楷體"/>
        <family val="4"/>
        <charset val="136"/>
      </rPr>
      <t>投資用不動產合計</t>
    </r>
  </si>
  <si>
    <r>
      <rPr>
        <sz val="10"/>
        <rFont val="標楷體"/>
        <family val="4"/>
        <charset val="136"/>
      </rPr>
      <t>不動產合計</t>
    </r>
  </si>
  <si>
    <r>
      <rPr>
        <sz val="10"/>
        <rFont val="標楷體"/>
        <family val="4"/>
        <charset val="136"/>
      </rPr>
      <t>以避險為目的</t>
    </r>
    <phoneticPr fontId="26" type="noConversion"/>
  </si>
  <si>
    <r>
      <rPr>
        <sz val="10"/>
        <rFont val="標楷體"/>
        <family val="4"/>
        <charset val="136"/>
      </rPr>
      <t>小計</t>
    </r>
    <phoneticPr fontId="26" type="noConversion"/>
  </si>
  <si>
    <r>
      <rPr>
        <sz val="10"/>
        <rFont val="標楷體"/>
        <family val="4"/>
        <charset val="136"/>
      </rPr>
      <t>權益證券相關</t>
    </r>
    <phoneticPr fontId="26" type="noConversion"/>
  </si>
  <si>
    <r>
      <rPr>
        <sz val="10"/>
        <rFont val="標楷體"/>
        <family val="4"/>
        <charset val="136"/>
      </rPr>
      <t>被避險資產屬國內投資</t>
    </r>
    <phoneticPr fontId="26" type="noConversion"/>
  </si>
  <si>
    <r>
      <rPr>
        <sz val="10"/>
        <rFont val="標楷體"/>
        <family val="4"/>
        <charset val="136"/>
      </rPr>
      <t>其他標的</t>
    </r>
    <phoneticPr fontId="26" type="noConversion"/>
  </si>
  <si>
    <r>
      <rPr>
        <sz val="10"/>
        <rFont val="標楷體"/>
        <family val="4"/>
        <charset val="136"/>
      </rPr>
      <t>被避險資產屬國內投資</t>
    </r>
  </si>
  <si>
    <r>
      <rPr>
        <sz val="10"/>
        <rFont val="標楷體"/>
        <family val="4"/>
        <charset val="136"/>
      </rPr>
      <t>以避險為目的小計</t>
    </r>
    <phoneticPr fontId="26" type="noConversion"/>
  </si>
  <si>
    <r>
      <rPr>
        <sz val="10"/>
        <rFont val="標楷體"/>
        <family val="4"/>
        <charset val="136"/>
      </rPr>
      <t>以增加收益為目的</t>
    </r>
    <phoneticPr fontId="26" type="noConversion"/>
  </si>
  <si>
    <r>
      <rPr>
        <sz val="10"/>
        <rFont val="標楷體"/>
        <family val="4"/>
        <charset val="136"/>
      </rPr>
      <t>匯率相關</t>
    </r>
    <phoneticPr fontId="26" type="noConversion"/>
  </si>
  <si>
    <r>
      <rPr>
        <sz val="10"/>
        <rFont val="標楷體"/>
        <family val="4"/>
        <charset val="136"/>
      </rPr>
      <t>換入標的屬國內投資</t>
    </r>
    <phoneticPr fontId="26" type="noConversion"/>
  </si>
  <si>
    <r>
      <rPr>
        <sz val="10"/>
        <rFont val="標楷體"/>
        <family val="4"/>
        <charset val="136"/>
      </rPr>
      <t>以增加收益為目的小計</t>
    </r>
    <phoneticPr fontId="26" type="noConversion"/>
  </si>
  <si>
    <r>
      <rPr>
        <sz val="10"/>
        <rFont val="標楷體"/>
        <family val="4"/>
        <charset val="136"/>
      </rPr>
      <t>合計</t>
    </r>
    <phoneticPr fontId="26" type="noConversion"/>
  </si>
  <si>
    <r>
      <rPr>
        <sz val="10"/>
        <rFont val="標楷體"/>
        <family val="4"/>
        <charset val="136"/>
      </rPr>
      <t>期貨與遠期</t>
    </r>
  </si>
  <si>
    <r>
      <rPr>
        <sz val="10"/>
        <rFont val="標楷體"/>
        <family val="4"/>
        <charset val="136"/>
      </rPr>
      <t>交換</t>
    </r>
  </si>
  <si>
    <r>
      <rPr>
        <sz val="10"/>
        <rFont val="標楷體"/>
        <family val="4"/>
        <charset val="136"/>
      </rPr>
      <t>買入選擇權</t>
    </r>
  </si>
  <si>
    <r>
      <rPr>
        <sz val="10"/>
        <rFont val="標楷體"/>
        <family val="4"/>
        <charset val="136"/>
      </rPr>
      <t>賣出選擇權</t>
    </r>
  </si>
  <si>
    <r>
      <rPr>
        <sz val="10"/>
        <rFont val="標楷體"/>
        <family val="4"/>
        <charset val="136"/>
      </rPr>
      <t>其他</t>
    </r>
  </si>
  <si>
    <r>
      <rPr>
        <sz val="10"/>
        <rFont val="標楷體"/>
        <family val="4"/>
        <charset val="136"/>
      </rPr>
      <t>標準避險小計</t>
    </r>
  </si>
  <si>
    <r>
      <rPr>
        <sz val="10"/>
        <rFont val="標楷體"/>
        <family val="4"/>
        <charset val="136"/>
      </rPr>
      <t>非標準避險小計</t>
    </r>
  </si>
  <si>
    <r>
      <rPr>
        <sz val="12"/>
        <rFont val="標楷體"/>
        <family val="4"/>
        <charset val="136"/>
      </rPr>
      <t>匯率相關小計</t>
    </r>
  </si>
  <si>
    <r>
      <rPr>
        <sz val="10"/>
        <rFont val="標楷體"/>
        <family val="4"/>
        <charset val="136"/>
      </rPr>
      <t>權益證券</t>
    </r>
  </si>
  <si>
    <r>
      <rPr>
        <sz val="10"/>
        <rFont val="標楷體"/>
        <family val="4"/>
        <charset val="136"/>
      </rPr>
      <t>權益證券小計</t>
    </r>
  </si>
  <si>
    <r>
      <rPr>
        <sz val="10"/>
        <rFont val="標楷體"/>
        <family val="4"/>
        <charset val="136"/>
      </rPr>
      <t>其他標的</t>
    </r>
  </si>
  <si>
    <r>
      <rPr>
        <sz val="10"/>
        <rFont val="標楷體"/>
        <family val="4"/>
        <charset val="136"/>
      </rPr>
      <t>其他衍生性小計</t>
    </r>
  </si>
  <si>
    <r>
      <rPr>
        <sz val="10"/>
        <rFont val="標楷體"/>
        <family val="4"/>
        <charset val="136"/>
      </rPr>
      <t>一年期住宅火災保險</t>
    </r>
    <phoneticPr fontId="26" type="noConversion"/>
  </si>
  <si>
    <r>
      <rPr>
        <sz val="10"/>
        <rFont val="標楷體"/>
        <family val="4"/>
        <charset val="136"/>
      </rPr>
      <t>長期住宅火災保險</t>
    </r>
    <phoneticPr fontId="26" type="noConversion"/>
  </si>
  <si>
    <r>
      <rPr>
        <sz val="10"/>
        <rFont val="標楷體"/>
        <family val="4"/>
        <charset val="136"/>
      </rPr>
      <t>一年期商業火災保險</t>
    </r>
    <phoneticPr fontId="26" type="noConversion"/>
  </si>
  <si>
    <r>
      <rPr>
        <sz val="10"/>
        <rFont val="標楷體"/>
        <family val="4"/>
        <charset val="136"/>
      </rPr>
      <t>長期商業火災保險</t>
    </r>
    <phoneticPr fontId="26" type="noConversion"/>
  </si>
  <si>
    <r>
      <rPr>
        <sz val="10"/>
        <rFont val="標楷體"/>
        <family val="4"/>
        <charset val="136"/>
      </rPr>
      <t>內陸運輸保險</t>
    </r>
    <phoneticPr fontId="26" type="noConversion"/>
  </si>
  <si>
    <r>
      <rPr>
        <sz val="10"/>
        <rFont val="標楷體"/>
        <family val="4"/>
        <charset val="136"/>
      </rPr>
      <t>貨物運輸保險</t>
    </r>
    <phoneticPr fontId="26" type="noConversion"/>
  </si>
  <si>
    <r>
      <rPr>
        <sz val="10"/>
        <rFont val="標楷體"/>
        <family val="4"/>
        <charset val="136"/>
      </rPr>
      <t>船體保險</t>
    </r>
    <phoneticPr fontId="26" type="noConversion"/>
  </si>
  <si>
    <r>
      <rPr>
        <sz val="10"/>
        <rFont val="標楷體"/>
        <family val="4"/>
        <charset val="136"/>
      </rPr>
      <t>漁船保險</t>
    </r>
    <phoneticPr fontId="26" type="noConversion"/>
  </si>
  <si>
    <r>
      <rPr>
        <sz val="10"/>
        <rFont val="標楷體"/>
        <family val="4"/>
        <charset val="136"/>
      </rPr>
      <t>航空保險</t>
    </r>
    <phoneticPr fontId="26" type="noConversion"/>
  </si>
  <si>
    <r>
      <rPr>
        <sz val="10"/>
        <rFont val="標楷體"/>
        <family val="4"/>
        <charset val="136"/>
      </rPr>
      <t>一般自用汽車財產損失保險</t>
    </r>
    <phoneticPr fontId="26" type="noConversion"/>
  </si>
  <si>
    <r>
      <rPr>
        <sz val="10"/>
        <rFont val="標楷體"/>
        <family val="4"/>
        <charset val="136"/>
      </rPr>
      <t>一般商業汽車財產損失保險</t>
    </r>
    <phoneticPr fontId="26" type="noConversion"/>
  </si>
  <si>
    <r>
      <rPr>
        <sz val="10"/>
        <rFont val="標楷體"/>
        <family val="4"/>
        <charset val="136"/>
      </rPr>
      <t>一般自用汽車責任保險</t>
    </r>
    <phoneticPr fontId="26" type="noConversion"/>
  </si>
  <si>
    <r>
      <rPr>
        <sz val="10"/>
        <rFont val="標楷體"/>
        <family val="4"/>
        <charset val="136"/>
      </rPr>
      <t>一般商業汽車責任保險</t>
    </r>
    <phoneticPr fontId="26" type="noConversion"/>
  </si>
  <si>
    <r>
      <rPr>
        <sz val="10"/>
        <rFont val="標楷體"/>
        <family val="4"/>
        <charset val="136"/>
      </rPr>
      <t>強制自用汽車責任保險</t>
    </r>
    <phoneticPr fontId="26" type="noConversion"/>
  </si>
  <si>
    <r>
      <rPr>
        <sz val="10"/>
        <rFont val="標楷體"/>
        <family val="4"/>
        <charset val="136"/>
      </rPr>
      <t>強制商業汽車責任保險</t>
    </r>
    <phoneticPr fontId="26" type="noConversion"/>
  </si>
  <si>
    <r>
      <rPr>
        <sz val="10"/>
        <rFont val="標楷體"/>
        <family val="4"/>
        <charset val="136"/>
      </rPr>
      <t>強制機車責任保險</t>
    </r>
    <phoneticPr fontId="26" type="noConversion"/>
  </si>
  <si>
    <r>
      <rPr>
        <sz val="10"/>
        <rFont val="標楷體"/>
        <family val="4"/>
        <charset val="136"/>
      </rPr>
      <t>一般責任保險</t>
    </r>
    <phoneticPr fontId="26" type="noConversion"/>
  </si>
  <si>
    <r>
      <rPr>
        <sz val="10"/>
        <rFont val="標楷體"/>
        <family val="4"/>
        <charset val="136"/>
      </rPr>
      <t>專業責任保險</t>
    </r>
    <phoneticPr fontId="26" type="noConversion"/>
  </si>
  <si>
    <r>
      <rPr>
        <sz val="10"/>
        <rFont val="標楷體"/>
        <family val="4"/>
        <charset val="136"/>
      </rPr>
      <t>工程保險</t>
    </r>
    <phoneticPr fontId="26" type="noConversion"/>
  </si>
  <si>
    <r>
      <rPr>
        <sz val="10"/>
        <rFont val="標楷體"/>
        <family val="4"/>
        <charset val="136"/>
      </rPr>
      <t>核能保險</t>
    </r>
    <phoneticPr fontId="26" type="noConversion"/>
  </si>
  <si>
    <r>
      <rPr>
        <sz val="10"/>
        <rFont val="標楷體"/>
        <family val="4"/>
        <charset val="136"/>
      </rPr>
      <t>保證保險</t>
    </r>
    <phoneticPr fontId="26" type="noConversion"/>
  </si>
  <si>
    <r>
      <rPr>
        <sz val="10"/>
        <rFont val="標楷體"/>
        <family val="4"/>
        <charset val="136"/>
      </rPr>
      <t>信用保險</t>
    </r>
    <phoneticPr fontId="26" type="noConversion"/>
  </si>
  <si>
    <r>
      <rPr>
        <sz val="10"/>
        <rFont val="標楷體"/>
        <family val="4"/>
        <charset val="136"/>
      </rPr>
      <t>其他財產保險</t>
    </r>
    <phoneticPr fontId="26" type="noConversion"/>
  </si>
  <si>
    <r>
      <rPr>
        <sz val="10"/>
        <rFont val="標楷體"/>
        <family val="4"/>
        <charset val="136"/>
      </rPr>
      <t>傷害保險</t>
    </r>
    <phoneticPr fontId="26" type="noConversion"/>
  </si>
  <si>
    <r>
      <rPr>
        <sz val="10"/>
        <rFont val="標楷體"/>
        <family val="4"/>
        <charset val="136"/>
      </rPr>
      <t>商業性地震保險</t>
    </r>
    <phoneticPr fontId="26" type="noConversion"/>
  </si>
  <si>
    <r>
      <rPr>
        <sz val="10"/>
        <rFont val="標楷體"/>
        <family val="4"/>
        <charset val="136"/>
      </rPr>
      <t>個人綜合保險</t>
    </r>
    <phoneticPr fontId="26" type="noConversion"/>
  </si>
  <si>
    <r>
      <rPr>
        <sz val="10"/>
        <rFont val="標楷體"/>
        <family val="4"/>
        <charset val="136"/>
      </rPr>
      <t>商業綜合保險</t>
    </r>
    <phoneticPr fontId="26" type="noConversion"/>
  </si>
  <si>
    <r>
      <rPr>
        <sz val="10"/>
        <rFont val="標楷體"/>
        <family val="4"/>
        <charset val="136"/>
      </rPr>
      <t>颱風、洪水保險</t>
    </r>
    <phoneticPr fontId="26" type="noConversion"/>
  </si>
  <si>
    <r>
      <rPr>
        <sz val="10"/>
        <rFont val="標楷體"/>
        <family val="4"/>
        <charset val="136"/>
      </rPr>
      <t>政策性住宅地震基本保險</t>
    </r>
  </si>
  <si>
    <r>
      <rPr>
        <sz val="10"/>
        <rFont val="標楷體"/>
        <family val="4"/>
        <charset val="136"/>
      </rPr>
      <t>國外再保業務</t>
    </r>
    <phoneticPr fontId="29" type="noConversion"/>
  </si>
  <si>
    <r>
      <rPr>
        <sz val="10"/>
        <rFont val="標楷體"/>
        <family val="4"/>
        <charset val="136"/>
      </rPr>
      <t>合計</t>
    </r>
    <phoneticPr fontId="29" type="noConversion"/>
  </si>
  <si>
    <r>
      <rPr>
        <sz val="10"/>
        <rFont val="標楷體"/>
        <family val="4"/>
        <charset val="136"/>
      </rPr>
      <t>註：</t>
    </r>
    <phoneticPr fontId="29" type="noConversion"/>
  </si>
  <si>
    <r>
      <rPr>
        <sz val="10"/>
        <rFont val="標楷體"/>
        <family val="4"/>
        <charset val="136"/>
      </rPr>
      <t>不含強制險</t>
    </r>
    <phoneticPr fontId="29" type="noConversion"/>
  </si>
  <si>
    <r>
      <rPr>
        <sz val="10"/>
        <rFont val="標楷體"/>
        <family val="4"/>
        <charset val="136"/>
      </rPr>
      <t>火災保險</t>
    </r>
    <r>
      <rPr>
        <sz val="10"/>
        <rFont val="Arial"/>
        <family val="2"/>
      </rPr>
      <t>(</t>
    </r>
    <r>
      <rPr>
        <sz val="10"/>
        <rFont val="標楷體"/>
        <family val="4"/>
        <charset val="136"/>
      </rPr>
      <t>國外分入</t>
    </r>
    <r>
      <rPr>
        <sz val="10"/>
        <rFont val="Arial"/>
        <family val="2"/>
      </rPr>
      <t>)</t>
    </r>
    <phoneticPr fontId="26" type="noConversion"/>
  </si>
  <si>
    <r>
      <rPr>
        <sz val="10"/>
        <rFont val="標楷體"/>
        <family val="4"/>
        <charset val="136"/>
      </rPr>
      <t>貨物海上保險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</si>
  <si>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船體保險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</si>
  <si>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漁船保險</t>
    </r>
    <r>
      <rPr>
        <sz val="10"/>
        <rFont val="Arial"/>
        <family val="2"/>
      </rPr>
      <t>(</t>
    </r>
    <r>
      <rPr>
        <sz val="10"/>
        <rFont val="標楷體"/>
        <family val="4"/>
        <charset val="136"/>
      </rPr>
      <t>國外分入</t>
    </r>
    <r>
      <rPr>
        <sz val="10"/>
        <rFont val="Arial"/>
        <family val="2"/>
      </rPr>
      <t>)</t>
    </r>
    <phoneticPr fontId="26" type="noConversion"/>
  </si>
  <si>
    <r>
      <rPr>
        <sz val="10"/>
        <rFont val="標楷體"/>
        <family val="4"/>
        <charset val="136"/>
      </rPr>
      <t>汽車保險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</si>
  <si>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航空保險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</si>
  <si>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工程保險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</si>
  <si>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其他保險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</si>
  <si>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國內再保業務</t>
    </r>
    <phoneticPr fontId="26" type="noConversion"/>
  </si>
  <si>
    <r>
      <rPr>
        <sz val="10"/>
        <rFont val="標楷體"/>
        <family val="4"/>
        <charset val="136"/>
      </rPr>
      <t>人壽保險</t>
    </r>
    <phoneticPr fontId="29" type="noConversion"/>
  </si>
  <si>
    <r>
      <rPr>
        <sz val="10"/>
        <rFont val="標楷體"/>
        <family val="4"/>
        <charset val="136"/>
      </rPr>
      <t>傷害保險</t>
    </r>
    <phoneticPr fontId="29" type="noConversion"/>
  </si>
  <si>
    <r>
      <rPr>
        <sz val="10"/>
        <rFont val="標楷體"/>
        <family val="4"/>
        <charset val="136"/>
      </rPr>
      <t>健康保險</t>
    </r>
    <phoneticPr fontId="29" type="noConversion"/>
  </si>
  <si>
    <r>
      <rPr>
        <sz val="10"/>
        <rFont val="標楷體"/>
        <family val="4"/>
        <charset val="136"/>
      </rPr>
      <t>年金保險</t>
    </r>
    <phoneticPr fontId="29" type="noConversion"/>
  </si>
  <si>
    <r>
      <rPr>
        <sz val="10"/>
        <rFont val="標楷體"/>
        <family val="4"/>
        <charset val="136"/>
      </rPr>
      <t>財務再保險</t>
    </r>
    <phoneticPr fontId="29" type="noConversion"/>
  </si>
  <si>
    <r>
      <rPr>
        <sz val="10"/>
        <rFont val="標楷體"/>
        <family val="4"/>
        <charset val="136"/>
      </rPr>
      <t>國外再保業務</t>
    </r>
    <phoneticPr fontId="26" type="noConversion"/>
  </si>
  <si>
    <r>
      <rPr>
        <sz val="10"/>
        <rFont val="標楷體"/>
        <family val="4"/>
        <charset val="136"/>
      </rPr>
      <t>人壽保險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</si>
  <si>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傷害保險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</si>
  <si>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健康保險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</si>
  <si>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年金保險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</si>
  <si>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財務再保險</t>
    </r>
    <r>
      <rPr>
        <sz val="10"/>
        <rFont val="Arial"/>
        <family val="2"/>
      </rPr>
      <t>(</t>
    </r>
    <r>
      <rPr>
        <sz val="10"/>
        <rFont val="標楷體"/>
        <family val="4"/>
        <charset val="136"/>
      </rPr>
      <t>國外分入</t>
    </r>
    <r>
      <rPr>
        <sz val="10"/>
        <rFont val="Arial"/>
        <family val="2"/>
      </rPr>
      <t>)</t>
    </r>
    <phoneticPr fontId="29" type="noConversion"/>
  </si>
  <si>
    <r>
      <rPr>
        <sz val="10"/>
        <rFont val="標楷體"/>
        <family val="4"/>
        <charset val="136"/>
      </rPr>
      <t>國內再保業務</t>
    </r>
    <phoneticPr fontId="29" type="noConversion"/>
  </si>
  <si>
    <r>
      <rPr>
        <sz val="10"/>
        <rFont val="標楷體"/>
        <family val="4"/>
        <charset val="136"/>
      </rPr>
      <t>人壽保險</t>
    </r>
  </si>
  <si>
    <r>
      <rPr>
        <sz val="10"/>
        <rFont val="標楷體"/>
        <family val="4"/>
        <charset val="136"/>
      </rPr>
      <t>傷害保險</t>
    </r>
  </si>
  <si>
    <r>
      <rPr>
        <sz val="10"/>
        <rFont val="標楷體"/>
        <family val="4"/>
        <charset val="136"/>
      </rPr>
      <t>年金保險</t>
    </r>
  </si>
  <si>
    <r>
      <rPr>
        <sz val="10"/>
        <rFont val="標楷體"/>
        <family val="4"/>
        <charset val="136"/>
      </rPr>
      <t>財務再保險</t>
    </r>
  </si>
  <si>
    <t>1</t>
    <phoneticPr fontId="26" type="noConversion"/>
  </si>
  <si>
    <t>AAA</t>
    <phoneticPr fontId="26" type="noConversion"/>
  </si>
  <si>
    <t>AA</t>
    <phoneticPr fontId="26" type="noConversion"/>
  </si>
  <si>
    <t>A</t>
    <phoneticPr fontId="26" type="noConversion"/>
  </si>
  <si>
    <t>AAA</t>
    <phoneticPr fontId="26" type="noConversion"/>
  </si>
  <si>
    <t>AA</t>
    <phoneticPr fontId="26" type="noConversion"/>
  </si>
  <si>
    <t>A</t>
    <phoneticPr fontId="26" type="noConversion"/>
  </si>
  <si>
    <t>無</t>
    <phoneticPr fontId="26" type="noConversion"/>
  </si>
  <si>
    <r>
      <rPr>
        <sz val="10"/>
        <rFont val="標楷體"/>
        <family val="4"/>
        <charset val="136"/>
      </rPr>
      <t>列號</t>
    </r>
  </si>
  <si>
    <r>
      <rPr>
        <sz val="10"/>
        <rFont val="標楷體"/>
        <family val="4"/>
        <charset val="136"/>
      </rPr>
      <t>到期日</t>
    </r>
    <phoneticPr fontId="26" type="noConversion"/>
  </si>
  <si>
    <t xml:space="preserve"> 保險股份有限公司    年度(月)報表</t>
    <phoneticPr fontId="29" type="noConversion"/>
  </si>
  <si>
    <t>已報未付之分出賠款準備</t>
    <phoneticPr fontId="26" type="noConversion"/>
  </si>
  <si>
    <t>比例性再保險業務</t>
    <phoneticPr fontId="26" type="noConversion"/>
  </si>
  <si>
    <t>非比例性再保險業務</t>
    <phoneticPr fontId="26" type="noConversion"/>
  </si>
  <si>
    <t>(15)</t>
    <phoneticPr fontId="29" type="noConversion"/>
  </si>
  <si>
    <t>(19)=((1)-(2)-(4)+(5))+((6)-(7)-(9)+(10))</t>
    <phoneticPr fontId="29" type="noConversion"/>
  </si>
  <si>
    <t>表23-2：未滿期保費準備金及自留滿期保費計算比較表(人身再保險)</t>
    <phoneticPr fontId="29" type="noConversion"/>
  </si>
  <si>
    <t>1/24法</t>
    <phoneticPr fontId="26" type="noConversion"/>
  </si>
  <si>
    <t>各險請依「專業再保險業財務業務管理辦法」之規定提存及收回。</t>
    <phoneticPr fontId="29" type="noConversion"/>
  </si>
  <si>
    <t>如為上半年度報表時, 自留滿期保費(19)=[(1)-(2)-(4)+(5)+(6)-(7)-(9)+(10)]+[(11)-(12)-(13)+(14)+(15)-(16)-(17)+(18)]</t>
    <phoneticPr fontId="29" type="noConversion"/>
  </si>
  <si>
    <t xml:space="preserve">如為上半年度報表時, 自留滿期保費(19)=[(1)-(2)-(4)+(5)+(6)-(7)-(9)+(10)]+[(11)-(12)-(13)+(14)+(15)-(16)-(17)+(18)]
</t>
    <phoneticPr fontId="29" type="noConversion"/>
  </si>
  <si>
    <t>強制汽機車責任險共保業務係依據「強制汽車責任保險各種準備金管理辦法」之規定提存。</t>
    <phoneticPr fontId="29" type="noConversion"/>
  </si>
  <si>
    <t>餘各險請依「專業再保險業財務業務管理辦法」之規定提存及收回。</t>
    <phoneticPr fontId="29" type="noConversion"/>
  </si>
  <si>
    <t>年度檢查報表</t>
    <phoneticPr fontId="29" type="noConversion"/>
  </si>
  <si>
    <t>中華民國XX年度</t>
    <phoneticPr fontId="29" type="noConversion"/>
  </si>
  <si>
    <t xml:space="preserve"> 保險股份有限公司(  分公司)   年度(月)報表</t>
  </si>
  <si>
    <t>(1)</t>
    <phoneticPr fontId="26" type="noConversion"/>
  </si>
  <si>
    <t>逾清償日期之期間(註1)</t>
    <phoneticPr fontId="26" type="noConversion"/>
  </si>
  <si>
    <t>爭議款項(逾清償日期之期間)</t>
    <phoneticPr fontId="26" type="noConversion"/>
  </si>
  <si>
    <t>超過清償日期9個月比率</t>
    <phoneticPr fontId="26" type="noConversion"/>
  </si>
  <si>
    <t>超過清償日期2年比率</t>
    <phoneticPr fontId="26" type="noConversion"/>
  </si>
  <si>
    <t>＜3個月</t>
  </si>
  <si>
    <t>3個月～6個月（不含）</t>
  </si>
  <si>
    <t>6個月～9個月（不含）</t>
  </si>
  <si>
    <t>9個月～12個月（不含）</t>
  </si>
  <si>
    <t>12個月～18個月（不含）</t>
  </si>
  <si>
    <t>18個月～24個月（不含）</t>
  </si>
  <si>
    <t>≧24個月</t>
    <phoneticPr fontId="26" type="noConversion"/>
  </si>
  <si>
    <t>＜6個月</t>
    <phoneticPr fontId="26" type="noConversion"/>
  </si>
  <si>
    <t>≧6個月</t>
    <phoneticPr fontId="26" type="noConversion"/>
  </si>
  <si>
    <t>(10)
=(3)+(4)+(5)           +(6)+(7)+(8)+(9)</t>
    <phoneticPr fontId="26" type="noConversion"/>
  </si>
  <si>
    <t>(13)
=[(6)+(7)+(8)+(9)] / (10)</t>
    <phoneticPr fontId="26" type="noConversion"/>
  </si>
  <si>
    <t>(14)
=(9)/(10)</t>
    <phoneticPr fontId="26" type="noConversion"/>
  </si>
  <si>
    <t>除再保險契約另有訂定外，採用保險賠款賠付日為清償日期。</t>
    <phoneticPr fontId="26" type="noConversion"/>
  </si>
  <si>
    <t>(10)
=(3)+(4)+(5)
+(6)+(7)+(8)+(9)</t>
    <phoneticPr fontId="26" type="noConversion"/>
  </si>
  <si>
    <t>(13)
=[(6)+(7)+(8)+(9)]/(10)</t>
    <phoneticPr fontId="26" type="noConversion"/>
  </si>
  <si>
    <t>除於決（結）算時估計之分出入再保業務款項外，採用入帳日計算清償日期。</t>
    <phoneticPr fontId="26" type="noConversion"/>
  </si>
  <si>
    <t>不動產種類</t>
    <phoneticPr fontId="26" type="noConversion"/>
  </si>
  <si>
    <t>風險資本額</t>
    <phoneticPr fontId="29" type="noConversion"/>
  </si>
  <si>
    <t>不動產種類</t>
    <phoneticPr fontId="29" type="noConversion"/>
  </si>
  <si>
    <t>風險係數</t>
    <phoneticPr fontId="29" type="noConversion"/>
  </si>
  <si>
    <t>國內投資用不動產</t>
    <phoneticPr fontId="26" type="noConversion"/>
  </si>
  <si>
    <t>投資用不動產投資</t>
    <phoneticPr fontId="29" type="noConversion"/>
  </si>
  <si>
    <t>A</t>
    <phoneticPr fontId="29" type="noConversion"/>
  </si>
  <si>
    <t>投資用承受擔保品---協議取得</t>
  </si>
  <si>
    <t>B</t>
    <phoneticPr fontId="29" type="noConversion"/>
  </si>
  <si>
    <t>投資用承受擔保品---經法院拍賣取得</t>
    <phoneticPr fontId="29" type="noConversion"/>
  </si>
  <si>
    <t>國外投資</t>
    <phoneticPr fontId="26" type="noConversion"/>
  </si>
  <si>
    <t>D</t>
    <phoneticPr fontId="29" type="noConversion"/>
  </si>
  <si>
    <t>E</t>
    <phoneticPr fontId="29" type="noConversion"/>
  </si>
  <si>
    <t>五年內取自關係人之不動產</t>
    <phoneticPr fontId="26" type="noConversion"/>
  </si>
  <si>
    <t>具控制與從屬關係--具收益性之不動產</t>
    <phoneticPr fontId="29" type="noConversion"/>
  </si>
  <si>
    <t>F</t>
    <phoneticPr fontId="29" type="noConversion"/>
  </si>
  <si>
    <t>具控制與從屬關係--其他不動產</t>
    <phoneticPr fontId="29" type="noConversion"/>
  </si>
  <si>
    <t>G</t>
    <phoneticPr fontId="29" type="noConversion"/>
  </si>
  <si>
    <t>非控制與從屬關係--具收益性之不動產</t>
    <phoneticPr fontId="29" type="noConversion"/>
  </si>
  <si>
    <t>H</t>
    <phoneticPr fontId="29" type="noConversion"/>
  </si>
  <si>
    <t>非控制與從屬關係--其他不動產</t>
    <phoneticPr fontId="29" type="noConversion"/>
  </si>
  <si>
    <t>I</t>
    <phoneticPr fontId="29" type="noConversion"/>
  </si>
  <si>
    <t>合     計</t>
    <phoneticPr fontId="29" type="noConversion"/>
  </si>
  <si>
    <t>不動產種類</t>
    <phoneticPr fontId="26" type="noConversion"/>
  </si>
  <si>
    <t>不動產座落地點</t>
    <phoneticPr fontId="26" type="noConversion"/>
  </si>
  <si>
    <t>金額</t>
    <phoneticPr fontId="26" type="noConversion"/>
  </si>
  <si>
    <t>風險係數</t>
    <phoneticPr fontId="29" type="noConversion"/>
  </si>
  <si>
    <t>加計倍數</t>
    <phoneticPr fontId="29" type="noConversion"/>
  </si>
  <si>
    <t>調整後風險係數</t>
    <phoneticPr fontId="29" type="noConversion"/>
  </si>
  <si>
    <t>風險資本額</t>
    <phoneticPr fontId="29" type="noConversion"/>
  </si>
  <si>
    <t>(4)</t>
    <phoneticPr fontId="29" type="noConversion"/>
  </si>
  <si>
    <t>(5)</t>
    <phoneticPr fontId="29" type="noConversion"/>
  </si>
  <si>
    <t>註：　</t>
    <phoneticPr fontId="29" type="noConversion"/>
  </si>
  <si>
    <t>不動產種類請依序填列A.國內投資-投資用不動產,B.國內投資-投資用承受擔保品-協議取得,C.國內投資-投資用承受擔保品-經法院拍賣取得,</t>
    <phoneticPr fontId="29" type="noConversion"/>
  </si>
  <si>
    <t>G.五年內取自關係人-具控制與從屬關係-其他不動產,H.五年內取自關係人-非控制與從屬關係-具收益性不動產,I.五年內取自關係人-非控制與從屬關係-其他不動產</t>
    <phoneticPr fontId="29" type="noConversion"/>
  </si>
  <si>
    <r>
      <t>本</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29" type="noConversion"/>
  </si>
  <si>
    <r>
      <t>上</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29" type="noConversion"/>
  </si>
  <si>
    <t>列號</t>
    <phoneticPr fontId="29" type="noConversion"/>
  </si>
  <si>
    <t>表25-1：特別準備金計算表(財產再保險)</t>
    <phoneticPr fontId="26" type="noConversion"/>
  </si>
  <si>
    <t>單位：新台幣元,%</t>
    <phoneticPr fontId="14" type="noConversion"/>
  </si>
  <si>
    <t xml:space="preserve">  危     險     變     動     準     備</t>
    <phoneticPr fontId="29" type="noConversion"/>
  </si>
  <si>
    <t>異常業務損失準備</t>
    <phoneticPr fontId="29" type="noConversion"/>
  </si>
  <si>
    <t>特別準備</t>
    <phoneticPr fontId="29" type="noConversion"/>
  </si>
  <si>
    <t>自留滿期保費</t>
    <phoneticPr fontId="26" type="noConversion"/>
  </si>
  <si>
    <t>自留損失率</t>
    <phoneticPr fontId="29" type="noConversion"/>
  </si>
  <si>
    <t>最近15年度平均損失率</t>
    <phoneticPr fontId="29" type="noConversion"/>
  </si>
  <si>
    <t>本年度損失率與15年平均損失率差</t>
    <phoneticPr fontId="29" type="noConversion"/>
  </si>
  <si>
    <t>(2)</t>
    <phoneticPr fontId="29" type="noConversion"/>
  </si>
  <si>
    <t>(3)</t>
    <phoneticPr fontId="29" type="noConversion"/>
  </si>
  <si>
    <t>(4)</t>
    <phoneticPr fontId="29" type="noConversion"/>
  </si>
  <si>
    <t>(5)=(3)-(4)</t>
    <phoneticPr fontId="29" type="noConversion"/>
  </si>
  <si>
    <t>國內再保業務</t>
    <phoneticPr fontId="29" type="noConversion"/>
  </si>
  <si>
    <t>一年期住宅火災保險</t>
    <phoneticPr fontId="26" type="noConversion"/>
  </si>
  <si>
    <t>長期住宅火災保險</t>
    <phoneticPr fontId="26" type="noConversion"/>
  </si>
  <si>
    <t>一年期商業火災保險</t>
    <phoneticPr fontId="26" type="noConversion"/>
  </si>
  <si>
    <t>長期商業火災保險</t>
    <phoneticPr fontId="26" type="noConversion"/>
  </si>
  <si>
    <t>內陸運輸保險</t>
    <phoneticPr fontId="26" type="noConversion"/>
  </si>
  <si>
    <t>貨物運輸保險</t>
    <phoneticPr fontId="26" type="noConversion"/>
  </si>
  <si>
    <t>船體保險</t>
    <phoneticPr fontId="26" type="noConversion"/>
  </si>
  <si>
    <t>漁船保險</t>
    <phoneticPr fontId="26" type="noConversion"/>
  </si>
  <si>
    <t>航空保險</t>
    <phoneticPr fontId="26" type="noConversion"/>
  </si>
  <si>
    <t>一般自用汽車財產損失保險</t>
    <phoneticPr fontId="26" type="noConversion"/>
  </si>
  <si>
    <t>一般商業汽車財產損失保險</t>
    <phoneticPr fontId="26" type="noConversion"/>
  </si>
  <si>
    <t>一般自用汽車責任保險</t>
    <phoneticPr fontId="26" type="noConversion"/>
  </si>
  <si>
    <t>一般商業汽車責任保險</t>
    <phoneticPr fontId="26" type="noConversion"/>
  </si>
  <si>
    <t>強制自用汽車責任保險</t>
    <phoneticPr fontId="26" type="noConversion"/>
  </si>
  <si>
    <t>強制商業汽車責任保險</t>
    <phoneticPr fontId="26" type="noConversion"/>
  </si>
  <si>
    <t>強制機車責任保險</t>
    <phoneticPr fontId="26" type="noConversion"/>
  </si>
  <si>
    <t>一般責任保險</t>
    <phoneticPr fontId="26" type="noConversion"/>
  </si>
  <si>
    <t>專業責任保險</t>
    <phoneticPr fontId="26" type="noConversion"/>
  </si>
  <si>
    <t>工程保險</t>
    <phoneticPr fontId="26" type="noConversion"/>
  </si>
  <si>
    <t>核能保險</t>
    <phoneticPr fontId="26" type="noConversion"/>
  </si>
  <si>
    <t>保證保險</t>
    <phoneticPr fontId="26" type="noConversion"/>
  </si>
  <si>
    <t>信用保險</t>
    <phoneticPr fontId="26" type="noConversion"/>
  </si>
  <si>
    <t>其他財產保險</t>
    <phoneticPr fontId="26" type="noConversion"/>
  </si>
  <si>
    <t>傷害保險</t>
    <phoneticPr fontId="26" type="noConversion"/>
  </si>
  <si>
    <t>商業性地震保險</t>
    <phoneticPr fontId="26" type="noConversion"/>
  </si>
  <si>
    <t>個人綜合保險</t>
    <phoneticPr fontId="26" type="noConversion"/>
  </si>
  <si>
    <t>商業綜合保險</t>
    <phoneticPr fontId="26" type="noConversion"/>
  </si>
  <si>
    <t>颱風、洪水保險</t>
    <phoneticPr fontId="26" type="noConversion"/>
  </si>
  <si>
    <t>健康保險</t>
    <phoneticPr fontId="26" type="noConversion"/>
  </si>
  <si>
    <t>國外再保業務</t>
    <phoneticPr fontId="29" type="noConversion"/>
  </si>
  <si>
    <t>火災保險(國外分入)</t>
    <phoneticPr fontId="26" type="noConversion"/>
  </si>
  <si>
    <t>貨物海上保險(國外分入)</t>
    <phoneticPr fontId="29" type="noConversion"/>
  </si>
  <si>
    <t>船體保險(國外分入)</t>
    <phoneticPr fontId="29" type="noConversion"/>
  </si>
  <si>
    <t>漁船保險(國外分入)</t>
    <phoneticPr fontId="26" type="noConversion"/>
  </si>
  <si>
    <t>汽車保險(國外分入)</t>
    <phoneticPr fontId="29" type="noConversion"/>
  </si>
  <si>
    <t>航空保險(國外分入)</t>
    <phoneticPr fontId="29" type="noConversion"/>
  </si>
  <si>
    <t>工程保險(國外分入)</t>
    <phoneticPr fontId="29" type="noConversion"/>
  </si>
  <si>
    <t>其他保險(國外分入)</t>
    <phoneticPr fontId="29" type="noConversion"/>
  </si>
  <si>
    <t>合計</t>
    <phoneticPr fontId="29" type="noConversion"/>
  </si>
  <si>
    <t>註:</t>
    <phoneticPr fontId="29" type="noConversion"/>
  </si>
  <si>
    <t>特別準備金之提存係國內外分進業務合併為之，國外分進業務之自留滿期總保費等數字均經歸併入國內分進業務之適當險別內</t>
    <phoneticPr fontId="26" type="noConversion"/>
  </si>
  <si>
    <t>最近十五年度平均賠率係指本表年度前一年起(含前一年)前推十五年，本表之提存不關未適格再保人</t>
    <phoneticPr fontId="26" type="noConversion"/>
  </si>
  <si>
    <t>強制汽機車責任險共保業務係依據「強制汽車責任保險各種準備金管理辦法」之規定提存。</t>
    <phoneticPr fontId="26" type="noConversion"/>
  </si>
  <si>
    <t>自留滿期保費=再保費收入-再保費支出-提存未滿期保費準備+收回未滿期保費準備</t>
    <phoneticPr fontId="29" type="noConversion"/>
  </si>
  <si>
    <t>自留滿期賠款=再保賠款-攤回再保賠款+提存未決賠款準備-收回未決賠款準備</t>
    <phoneticPr fontId="29" type="noConversion"/>
  </si>
  <si>
    <t>本表之保證保險未包含住宅抵押貸款信用保證保險</t>
    <phoneticPr fontId="29" type="noConversion"/>
  </si>
  <si>
    <t>國內再保業務</t>
    <phoneticPr fontId="26" type="noConversion"/>
  </si>
  <si>
    <t>國外再保業務</t>
    <phoneticPr fontId="26" type="noConversion"/>
  </si>
  <si>
    <t>註:</t>
    <phoneticPr fontId="29" type="noConversion"/>
  </si>
  <si>
    <t>本期應提存之分出未滿期保費準備</t>
    <phoneticPr fontId="26" type="noConversion"/>
  </si>
  <si>
    <t>未逾九個月之已付賠款應攤回再保賠款與給付</t>
    <phoneticPr fontId="26" type="noConversion"/>
  </si>
  <si>
    <t>已報未付之分出賠款準備</t>
    <phoneticPr fontId="26" type="noConversion"/>
  </si>
  <si>
    <t>註：</t>
    <phoneticPr fontId="29" type="noConversion"/>
  </si>
  <si>
    <t>所稱本期及上期於填報月報資料時係指當月份及上月份餘額;於填報(半)年報時係指當(半)年度及上(半)年度餘額</t>
    <phoneticPr fontId="29" type="noConversion"/>
  </si>
  <si>
    <t>自投資日起三個月內到期之附買回條件之債券投資列入現金及約當現金</t>
    <phoneticPr fontId="29" type="noConversion"/>
  </si>
  <si>
    <t>19-1</t>
    <phoneticPr fontId="29" type="noConversion"/>
  </si>
  <si>
    <t>「表03：資產負債表」第(7)欄第(8)列</t>
    <phoneticPr fontId="26" type="noConversion"/>
  </si>
  <si>
    <t>「表03：資產負債表」第(7)欄第(3)列</t>
    <phoneticPr fontId="26" type="noConversion"/>
  </si>
  <si>
    <t>「表03：資產負債表」第(7)欄第(7+9)列</t>
    <phoneticPr fontId="26" type="noConversion"/>
  </si>
  <si>
    <t>3a.1.1財產保險業</t>
    <phoneticPr fontId="26" type="noConversion"/>
  </si>
  <si>
    <t>3a.1.1.1國內業務</t>
    <phoneticPr fontId="26" type="noConversion"/>
  </si>
  <si>
    <t>3a.1.1.1.1   一年期住宅火災保險</t>
    <phoneticPr fontId="26" type="noConversion"/>
  </si>
  <si>
    <t>3a.1.1.1.2   長期住宅火災保險</t>
    <phoneticPr fontId="26" type="noConversion"/>
  </si>
  <si>
    <t>3a.1.1.1.3   一年期商業火災保險</t>
    <phoneticPr fontId="26" type="noConversion"/>
  </si>
  <si>
    <t>3a.1.1.1.4   長期商業火災保險</t>
    <phoneticPr fontId="26" type="noConversion"/>
  </si>
  <si>
    <t>3a.1.1.1.5   內陸運輸保險</t>
    <phoneticPr fontId="26" type="noConversion"/>
  </si>
  <si>
    <t>3a.1.1.1.6   貨物運輸保險</t>
    <phoneticPr fontId="26" type="noConversion"/>
  </si>
  <si>
    <t>3a.1.1.1.7   船體保險</t>
    <phoneticPr fontId="26" type="noConversion"/>
  </si>
  <si>
    <t>3a.1.1.1.8   漁船保險</t>
    <phoneticPr fontId="26" type="noConversion"/>
  </si>
  <si>
    <t>3a.1.1.1.9   航空保險</t>
    <phoneticPr fontId="26" type="noConversion"/>
  </si>
  <si>
    <t xml:space="preserve">3a.1.1.1.10 一般自用汽車財產損失保險 </t>
    <phoneticPr fontId="26" type="noConversion"/>
  </si>
  <si>
    <t>3a.1.1.1.11 一般商業汽車財產損失保險</t>
    <phoneticPr fontId="26" type="noConversion"/>
  </si>
  <si>
    <t>3a.1.1.1.12 一般自用汽車責任保險</t>
    <phoneticPr fontId="26" type="noConversion"/>
  </si>
  <si>
    <t>3a.1.1.1.13 一般商業汽車責任保險</t>
    <phoneticPr fontId="26" type="noConversion"/>
  </si>
  <si>
    <t>3a.1.1.1.14 強制自用汽車責任保險</t>
    <phoneticPr fontId="26" type="noConversion"/>
  </si>
  <si>
    <t>3a.1.1.1.15 強制商業汽車責任保險</t>
    <phoneticPr fontId="26" type="noConversion"/>
  </si>
  <si>
    <t>3a.1.1.1.16 強制機車責任保險</t>
    <phoneticPr fontId="26" type="noConversion"/>
  </si>
  <si>
    <t>3a.1.1.1.17 一般責任保險</t>
    <phoneticPr fontId="26" type="noConversion"/>
  </si>
  <si>
    <t>3a.1.1.1.18 專業責任保險</t>
    <phoneticPr fontId="26" type="noConversion"/>
  </si>
  <si>
    <t>3a.1.1.1.19 工程保險</t>
    <phoneticPr fontId="26" type="noConversion"/>
  </si>
  <si>
    <t>3a.1.1.1.20 核能保險</t>
    <phoneticPr fontId="26" type="noConversion"/>
  </si>
  <si>
    <t>3a.1.1.1.28 保證保險</t>
    <phoneticPr fontId="26" type="noConversion"/>
  </si>
  <si>
    <t>3a.1.1.1.22 信用保險</t>
    <phoneticPr fontId="26" type="noConversion"/>
  </si>
  <si>
    <t>3a.1.1.1.23 其他財產保險</t>
    <phoneticPr fontId="26" type="noConversion"/>
  </si>
  <si>
    <t>3a.1.1.1.24 傷害保險</t>
    <phoneticPr fontId="26" type="noConversion"/>
  </si>
  <si>
    <t>3a.1.1.1.25 非政策性地震險</t>
    <phoneticPr fontId="26" type="noConversion"/>
  </si>
  <si>
    <t>3a.1.1.1.26 個人綜合保險</t>
    <phoneticPr fontId="26" type="noConversion"/>
  </si>
  <si>
    <t>3a.1.1.1.27 商業綜合保險</t>
    <phoneticPr fontId="26" type="noConversion"/>
  </si>
  <si>
    <t>3a.1.1.1.28 颱風、洪水保險</t>
    <phoneticPr fontId="26" type="noConversion"/>
  </si>
  <si>
    <t>3a.1.1.1.29 政策性住宅地震基本保險</t>
    <phoneticPr fontId="26" type="noConversion"/>
  </si>
  <si>
    <t>3a.1.1.1.30 健康保險</t>
    <phoneticPr fontId="26" type="noConversion"/>
  </si>
  <si>
    <t>3a.1.1.2國外業務</t>
    <phoneticPr fontId="26" type="noConversion"/>
  </si>
  <si>
    <t>3a.1.2人身保險業</t>
    <phoneticPr fontId="26" type="noConversion"/>
  </si>
  <si>
    <t>3a.1.2.1國內業務</t>
    <phoneticPr fontId="26" type="noConversion"/>
  </si>
  <si>
    <t>3a.1.2.2國外業務</t>
    <phoneticPr fontId="26" type="noConversion"/>
  </si>
  <si>
    <t>3a.2.1財產保險業</t>
    <phoneticPr fontId="26" type="noConversion"/>
  </si>
  <si>
    <t>3a.2.2人身保險業</t>
    <phoneticPr fontId="26" type="noConversion"/>
  </si>
  <si>
    <t>3b.2.1.1 國內業務</t>
    <phoneticPr fontId="26" type="noConversion"/>
  </si>
  <si>
    <t>3b.2.1.2 國外業務</t>
    <phoneticPr fontId="26" type="noConversion"/>
  </si>
  <si>
    <t>3b.2.2.1 國內業務</t>
    <phoneticPr fontId="26" type="noConversion"/>
  </si>
  <si>
    <t>3b.2.2.2 國外業務</t>
    <phoneticPr fontId="26" type="noConversion"/>
  </si>
  <si>
    <t>3b.2.2人身保險業</t>
    <phoneticPr fontId="26" type="noConversion"/>
  </si>
  <si>
    <t>3b.2.1財產保險業</t>
    <phoneticPr fontId="26" type="noConversion"/>
  </si>
  <si>
    <t>3a.1.1.2.1 火災保險</t>
    <phoneticPr fontId="26" type="noConversion"/>
  </si>
  <si>
    <t>3a.1.1.2.2 貨物海上保險</t>
    <phoneticPr fontId="26" type="noConversion"/>
  </si>
  <si>
    <t>3a.1.1.2.3 船體保險</t>
    <phoneticPr fontId="26" type="noConversion"/>
  </si>
  <si>
    <t>3a.1.1.2.4 漁船保險</t>
    <phoneticPr fontId="26" type="noConversion"/>
  </si>
  <si>
    <t>3a.1.1.2.5 汽車保險</t>
    <phoneticPr fontId="26" type="noConversion"/>
  </si>
  <si>
    <t>3a.1.1.2.6 航空保險</t>
    <phoneticPr fontId="26" type="noConversion"/>
  </si>
  <si>
    <t>3a.1.1.2.7 工程保險</t>
    <phoneticPr fontId="26" type="noConversion"/>
  </si>
  <si>
    <t>3a.1.1.2.8 其他財產保險</t>
    <phoneticPr fontId="26" type="noConversion"/>
  </si>
  <si>
    <t>3a.1.2.1.1 人壽保險</t>
    <phoneticPr fontId="26" type="noConversion"/>
  </si>
  <si>
    <t>3a.1.2.1.2 傷害保險</t>
    <phoneticPr fontId="26" type="noConversion"/>
  </si>
  <si>
    <t>3a.1.2.1.4 年金保險</t>
    <phoneticPr fontId="26" type="noConversion"/>
  </si>
  <si>
    <t>3a.1.2.1.5 財務再保險</t>
    <phoneticPr fontId="26" type="noConversion"/>
  </si>
  <si>
    <t>3a.1.2.2.1 人壽保險</t>
    <phoneticPr fontId="26" type="noConversion"/>
  </si>
  <si>
    <t>3a.1.2.2.2 傷害保險</t>
    <phoneticPr fontId="26" type="noConversion"/>
  </si>
  <si>
    <t>3a.1.2.2.4 年金保險</t>
    <phoneticPr fontId="26" type="noConversion"/>
  </si>
  <si>
    <t>3a.1.2.2.5 財務再保險</t>
    <phoneticPr fontId="26" type="noConversion"/>
  </si>
  <si>
    <t>3a.2.1.1 國內業務</t>
    <phoneticPr fontId="26" type="noConversion"/>
  </si>
  <si>
    <t>3a.2.1.2 國外業務</t>
    <phoneticPr fontId="26" type="noConversion"/>
  </si>
  <si>
    <t>3a.2.2.1 國內業務</t>
    <phoneticPr fontId="26" type="noConversion"/>
  </si>
  <si>
    <t>3a.2.2.2 國外業務</t>
    <phoneticPr fontId="26" type="noConversion"/>
  </si>
  <si>
    <t>3b.1.1財產保險業</t>
    <phoneticPr fontId="26" type="noConversion"/>
  </si>
  <si>
    <t>3b.1.1.1國內業務</t>
    <phoneticPr fontId="26" type="noConversion"/>
  </si>
  <si>
    <t>3b.1.1.1.1   一年期住宅火災保險</t>
    <phoneticPr fontId="26" type="noConversion"/>
  </si>
  <si>
    <t>3b.1.1.1.2   長期住宅火災保險</t>
    <phoneticPr fontId="26" type="noConversion"/>
  </si>
  <si>
    <t>3b.1.1.1.3   一年期商業火災保險</t>
    <phoneticPr fontId="26" type="noConversion"/>
  </si>
  <si>
    <t>3b.1.1.1.4   長期商業火災保險</t>
    <phoneticPr fontId="26" type="noConversion"/>
  </si>
  <si>
    <t>3b.1.1.1.5   內陸運輸保險</t>
    <phoneticPr fontId="26" type="noConversion"/>
  </si>
  <si>
    <t>3b.1.1.1.6   貨物運輸保險</t>
    <phoneticPr fontId="26" type="noConversion"/>
  </si>
  <si>
    <t>3b.1.1.1.7   船體保險</t>
    <phoneticPr fontId="26" type="noConversion"/>
  </si>
  <si>
    <t>3b.1.1.1.8   漁船保險</t>
    <phoneticPr fontId="26" type="noConversion"/>
  </si>
  <si>
    <t>3b.1.1.1.9   航空保險</t>
    <phoneticPr fontId="26" type="noConversion"/>
  </si>
  <si>
    <t xml:space="preserve">3b.1.1.1.10 一般自用汽車財產損失保險 </t>
    <phoneticPr fontId="26" type="noConversion"/>
  </si>
  <si>
    <t>3b.1.1.1.11 一般商業汽車財產損失保險</t>
    <phoneticPr fontId="26" type="noConversion"/>
  </si>
  <si>
    <t>3b.1.1.1.12 一般自用汽車責任保險</t>
    <phoneticPr fontId="26" type="noConversion"/>
  </si>
  <si>
    <t>3b.1.1.1.13 一般商業汽車責任保險</t>
    <phoneticPr fontId="26" type="noConversion"/>
  </si>
  <si>
    <t>3b.1.1.1.14 強制自用汽車責任保險</t>
    <phoneticPr fontId="26" type="noConversion"/>
  </si>
  <si>
    <t>3b.1.1.1.15 強制商業汽車責任保險</t>
    <phoneticPr fontId="26" type="noConversion"/>
  </si>
  <si>
    <t>3b.1.1.1.17 一般責任保險</t>
    <phoneticPr fontId="26" type="noConversion"/>
  </si>
  <si>
    <t>3b.1.1.1.18 專業責任保險</t>
    <phoneticPr fontId="26" type="noConversion"/>
  </si>
  <si>
    <t>3b.1.1.1.19 工程保險</t>
    <phoneticPr fontId="26" type="noConversion"/>
  </si>
  <si>
    <t>3b.1.1.1.20 核能保險</t>
    <phoneticPr fontId="26" type="noConversion"/>
  </si>
  <si>
    <t>3b.1.1.1.21 保證保險</t>
    <phoneticPr fontId="26" type="noConversion"/>
  </si>
  <si>
    <t>3b.1.1.1.22 信用保險</t>
    <phoneticPr fontId="26" type="noConversion"/>
  </si>
  <si>
    <t>3b.1.1.1.23 其他財產保險</t>
    <phoneticPr fontId="26" type="noConversion"/>
  </si>
  <si>
    <t>3b.1.1.1.24 傷害保險</t>
    <phoneticPr fontId="26" type="noConversion"/>
  </si>
  <si>
    <t>3b.1.1.1.25 非政策性地震險</t>
    <phoneticPr fontId="26" type="noConversion"/>
  </si>
  <si>
    <t>3b.1.1.1.26 個人綜合保險</t>
    <phoneticPr fontId="26" type="noConversion"/>
  </si>
  <si>
    <t>3b.1.1.1.27 商業綜合保險</t>
    <phoneticPr fontId="26" type="noConversion"/>
  </si>
  <si>
    <t>3b.1.1.1.28颱風、洪水保險</t>
    <phoneticPr fontId="26" type="noConversion"/>
  </si>
  <si>
    <t>3b.1.1.1.29 政策性住宅地震基本保險</t>
    <phoneticPr fontId="26" type="noConversion"/>
  </si>
  <si>
    <t>3b.1.1.1.30 健康保險</t>
    <phoneticPr fontId="26" type="noConversion"/>
  </si>
  <si>
    <t>3b.1.1.2國外業務</t>
    <phoneticPr fontId="26" type="noConversion"/>
  </si>
  <si>
    <t>3b.1.1.2.1 火災保險</t>
    <phoneticPr fontId="26" type="noConversion"/>
  </si>
  <si>
    <t>3b.1.1.2.2 貨物海上保險</t>
    <phoneticPr fontId="26" type="noConversion"/>
  </si>
  <si>
    <t>3b.1.1.2.3 船體保險</t>
    <phoneticPr fontId="26" type="noConversion"/>
  </si>
  <si>
    <t>3b.1.1.2.4 漁船保險</t>
    <phoneticPr fontId="26" type="noConversion"/>
  </si>
  <si>
    <t>3b.1.1.2.5 汽車保險</t>
    <phoneticPr fontId="26" type="noConversion"/>
  </si>
  <si>
    <t>3b.1.1.2.6 航空保險</t>
    <phoneticPr fontId="26" type="noConversion"/>
  </si>
  <si>
    <t>3b.1.1.2.7 工程保險</t>
    <phoneticPr fontId="26" type="noConversion"/>
  </si>
  <si>
    <t>3b.1.1.2.8 其他財產保險</t>
    <phoneticPr fontId="26" type="noConversion"/>
  </si>
  <si>
    <t>3b.1.2.1國內業務</t>
    <phoneticPr fontId="26" type="noConversion"/>
  </si>
  <si>
    <t>3b.1.2人身保險業</t>
    <phoneticPr fontId="26" type="noConversion"/>
  </si>
  <si>
    <t>3b.1.2.1.1 人壽保險</t>
    <phoneticPr fontId="26" type="noConversion"/>
  </si>
  <si>
    <t>3b.1.2.1.2 傷害保險</t>
    <phoneticPr fontId="26" type="noConversion"/>
  </si>
  <si>
    <t>3b.1.2.1.4 年金保險</t>
    <phoneticPr fontId="26" type="noConversion"/>
  </si>
  <si>
    <t>3b.1.2.1.5 財務再保險</t>
    <phoneticPr fontId="26" type="noConversion"/>
  </si>
  <si>
    <t>3b.1.2.2國外業務</t>
    <phoneticPr fontId="26" type="noConversion"/>
  </si>
  <si>
    <t>3b.1.2.2.1 人壽保險</t>
    <phoneticPr fontId="26" type="noConversion"/>
  </si>
  <si>
    <t>3b.1.2.2.2 傷害保險</t>
    <phoneticPr fontId="26" type="noConversion"/>
  </si>
  <si>
    <t>3b.1.2.2.4 年金保險</t>
    <phoneticPr fontId="26" type="noConversion"/>
  </si>
  <si>
    <t>3b.1.2.2.5 財務再保險</t>
    <phoneticPr fontId="26" type="noConversion"/>
  </si>
  <si>
    <t>不動產使用狀態</t>
    <phoneticPr fontId="29" type="noConversion"/>
  </si>
  <si>
    <t xml:space="preserve"> (11)=(8)*(10)+(8)</t>
    <phoneticPr fontId="29" type="noConversion"/>
  </si>
  <si>
    <t xml:space="preserve"> (12)=(7)*(11)</t>
    <phoneticPr fontId="29" type="noConversion"/>
  </si>
  <si>
    <t>單位：新台幣元</t>
    <phoneticPr fontId="29" type="noConversion"/>
  </si>
  <si>
    <t>表30-8-4：投資用不動產為素地或自100年2月24日起未能符合即時利用並有收益認定標準且報經主管機關核准展延期限者加計風險資本額調整計算表</t>
    <phoneticPr fontId="26" type="noConversion"/>
  </si>
  <si>
    <r>
      <t>表</t>
    </r>
    <r>
      <rPr>
        <sz val="10"/>
        <rFont val="Times New Roman"/>
        <family val="1"/>
      </rPr>
      <t>19-5</t>
    </r>
    <r>
      <rPr>
        <sz val="10"/>
        <rFont val="標楷體"/>
        <family val="4"/>
        <charset val="136"/>
      </rPr>
      <t>：再保險資產－帳齡分析(應攤回再保賠款與給付)</t>
    </r>
    <phoneticPr fontId="29" type="noConversion"/>
  </si>
  <si>
    <r>
      <t>表</t>
    </r>
    <r>
      <rPr>
        <sz val="10"/>
        <rFont val="Times New Roman"/>
        <family val="1"/>
      </rPr>
      <t>19-6</t>
    </r>
    <r>
      <rPr>
        <sz val="10"/>
        <rFont val="標楷體"/>
        <family val="4"/>
        <charset val="136"/>
      </rPr>
      <t>：再保險資產－帳齡分析(應收再保往來款項)</t>
    </r>
    <phoneticPr fontId="29" type="noConversion"/>
  </si>
  <si>
    <r>
      <t>填報上半年度報表時</t>
    </r>
    <r>
      <rPr>
        <sz val="10"/>
        <rFont val="Times New Roman"/>
        <family val="1"/>
      </rPr>
      <t xml:space="preserve">, </t>
    </r>
    <r>
      <rPr>
        <sz val="10"/>
        <rFont val="標楷體"/>
        <family val="4"/>
        <charset val="136"/>
      </rPr>
      <t>上</t>
    </r>
    <r>
      <rPr>
        <sz val="10"/>
        <rFont val="Times New Roman"/>
        <family val="1"/>
      </rPr>
      <t>(</t>
    </r>
    <r>
      <rPr>
        <sz val="10"/>
        <rFont val="標楷體"/>
        <family val="4"/>
        <charset val="136"/>
      </rPr>
      <t>半</t>
    </r>
    <r>
      <rPr>
        <sz val="10"/>
        <rFont val="Times New Roman"/>
        <family val="1"/>
      </rPr>
      <t>)</t>
    </r>
    <r>
      <rPr>
        <sz val="10"/>
        <rFont val="標楷體"/>
        <family val="4"/>
        <charset val="136"/>
      </rPr>
      <t>年度係指前一年度自</t>
    </r>
    <r>
      <rPr>
        <sz val="10"/>
        <rFont val="Times New Roman"/>
        <family val="1"/>
      </rPr>
      <t>7/1</t>
    </r>
    <r>
      <rPr>
        <sz val="10"/>
        <rFont val="標楷體"/>
        <family val="4"/>
        <charset val="136"/>
      </rPr>
      <t>至</t>
    </r>
    <r>
      <rPr>
        <sz val="10"/>
        <rFont val="Times New Roman"/>
        <family val="1"/>
      </rPr>
      <t>12/31</t>
    </r>
    <r>
      <rPr>
        <sz val="10"/>
        <rFont val="標楷體"/>
        <family val="4"/>
        <charset val="136"/>
      </rPr>
      <t>之金額</t>
    </r>
    <phoneticPr fontId="29" type="noConversion"/>
  </si>
  <si>
    <r>
      <t>本</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26" type="noConversion"/>
  </si>
  <si>
    <r>
      <t>上</t>
    </r>
    <r>
      <rPr>
        <sz val="10"/>
        <rFont val="Times New Roman"/>
        <family val="1"/>
      </rPr>
      <t>(</t>
    </r>
    <r>
      <rPr>
        <sz val="10"/>
        <rFont val="標楷體"/>
        <family val="4"/>
        <charset val="136"/>
      </rPr>
      <t>半</t>
    </r>
    <r>
      <rPr>
        <sz val="10"/>
        <rFont val="Times New Roman"/>
        <family val="1"/>
      </rPr>
      <t>)</t>
    </r>
    <r>
      <rPr>
        <sz val="10"/>
        <rFont val="標楷體"/>
        <family val="4"/>
        <charset val="136"/>
      </rPr>
      <t>年度</t>
    </r>
    <phoneticPr fontId="26" type="noConversion"/>
  </si>
  <si>
    <r>
      <rPr>
        <sz val="10"/>
        <rFont val="標楷體"/>
        <family val="4"/>
        <charset val="136"/>
      </rPr>
      <t>健康保険</t>
    </r>
    <phoneticPr fontId="26" type="noConversion"/>
  </si>
  <si>
    <r>
      <rPr>
        <sz val="10"/>
        <rFont val="標楷體"/>
        <family val="4"/>
        <charset val="136"/>
      </rPr>
      <t>註：</t>
    </r>
    <phoneticPr fontId="26" type="noConversion"/>
  </si>
  <si>
    <r>
      <rPr>
        <sz val="10"/>
        <rFont val="標楷體"/>
        <family val="4"/>
        <charset val="136"/>
      </rPr>
      <t>不含強制險</t>
    </r>
    <phoneticPr fontId="26" type="noConversion"/>
  </si>
  <si>
    <t>(1)</t>
    <phoneticPr fontId="26" type="noConversion"/>
  </si>
  <si>
    <r>
      <rPr>
        <sz val="10"/>
        <rFont val="標楷體"/>
        <family val="4"/>
        <charset val="136"/>
      </rPr>
      <t>表</t>
    </r>
    <r>
      <rPr>
        <sz val="10"/>
        <rFont val="Times New Roman"/>
        <family val="1"/>
      </rPr>
      <t>30-7-1</t>
    </r>
    <r>
      <rPr>
        <sz val="10"/>
        <rFont val="標楷體"/>
        <family val="4"/>
        <charset val="136"/>
      </rPr>
      <t>：</t>
    </r>
    <r>
      <rPr>
        <sz val="10"/>
        <rFont val="Times New Roman"/>
        <family val="1"/>
      </rPr>
      <t>R5.2</t>
    </r>
    <r>
      <rPr>
        <sz val="10"/>
        <rFont val="標楷體"/>
        <family val="4"/>
        <charset val="136"/>
      </rPr>
      <t>：其他風險</t>
    </r>
    <r>
      <rPr>
        <sz val="10"/>
        <rFont val="Times New Roman"/>
        <family val="1"/>
      </rPr>
      <t>-</t>
    </r>
    <r>
      <rPr>
        <sz val="10"/>
        <rFont val="標楷體"/>
        <family val="4"/>
        <charset val="136"/>
      </rPr>
      <t>保險業資產總額計算表</t>
    </r>
  </si>
  <si>
    <r>
      <rPr>
        <sz val="10"/>
        <rFont val="標楷體"/>
        <family val="4"/>
        <charset val="136"/>
      </rPr>
      <t>單位：新台幣元</t>
    </r>
  </si>
  <si>
    <r>
      <rPr>
        <sz val="10"/>
        <rFont val="標楷體"/>
        <family val="4"/>
        <charset val="136"/>
      </rPr>
      <t>列號</t>
    </r>
    <phoneticPr fontId="26" type="noConversion"/>
  </si>
  <si>
    <r>
      <rPr>
        <sz val="10"/>
        <rFont val="標楷體"/>
        <family val="4"/>
        <charset val="136"/>
      </rPr>
      <t>項目</t>
    </r>
    <phoneticPr fontId="26" type="noConversion"/>
  </si>
  <si>
    <r>
      <rPr>
        <sz val="10"/>
        <rFont val="標楷體"/>
        <family val="4"/>
        <charset val="136"/>
      </rPr>
      <t>應攤回再保賠款與給付</t>
    </r>
    <phoneticPr fontId="26" type="noConversion"/>
  </si>
  <si>
    <r>
      <rPr>
        <sz val="10"/>
        <rFont val="標楷體"/>
        <family val="4"/>
        <charset val="136"/>
      </rPr>
      <t>帳載金額</t>
    </r>
    <phoneticPr fontId="26" type="noConversion"/>
  </si>
  <si>
    <r>
      <rPr>
        <sz val="10"/>
        <rFont val="標楷體"/>
        <family val="4"/>
        <charset val="136"/>
      </rPr>
      <t>非認許資產</t>
    </r>
    <phoneticPr fontId="26" type="noConversion"/>
  </si>
  <si>
    <r>
      <rPr>
        <sz val="10"/>
        <rFont val="標楷體"/>
        <family val="4"/>
        <charset val="136"/>
      </rPr>
      <t>淨認許資產</t>
    </r>
    <phoneticPr fontId="26" type="noConversion"/>
  </si>
  <si>
    <r>
      <rPr>
        <sz val="10"/>
        <rFont val="標楷體"/>
        <family val="4"/>
        <charset val="136"/>
      </rPr>
      <t>已實際賠付未攤回</t>
    </r>
    <phoneticPr fontId="26" type="noConversion"/>
  </si>
  <si>
    <r>
      <rPr>
        <sz val="10"/>
        <rFont val="標楷體"/>
        <family val="4"/>
        <charset val="136"/>
      </rPr>
      <t>已決已付未攤回</t>
    </r>
    <r>
      <rPr>
        <sz val="10"/>
        <rFont val="Times New Roman"/>
        <family val="1"/>
      </rPr>
      <t>(</t>
    </r>
    <r>
      <rPr>
        <sz val="10"/>
        <rFont val="標楷體"/>
        <family val="4"/>
        <charset val="136"/>
      </rPr>
      <t>註</t>
    </r>
    <r>
      <rPr>
        <sz val="10"/>
        <rFont val="Times New Roman"/>
        <family val="1"/>
      </rPr>
      <t>1)</t>
    </r>
    <phoneticPr fontId="26" type="noConversion"/>
  </si>
  <si>
    <r>
      <rPr>
        <sz val="10"/>
        <rFont val="標楷體"/>
        <family val="4"/>
        <charset val="136"/>
      </rPr>
      <t>已決未付未攤回</t>
    </r>
    <r>
      <rPr>
        <sz val="10"/>
        <rFont val="Times New Roman"/>
        <family val="1"/>
      </rPr>
      <t>(</t>
    </r>
    <r>
      <rPr>
        <sz val="10"/>
        <rFont val="標楷體"/>
        <family val="4"/>
        <charset val="136"/>
      </rPr>
      <t>註</t>
    </r>
    <r>
      <rPr>
        <sz val="10"/>
        <rFont val="Times New Roman"/>
        <family val="1"/>
      </rPr>
      <t>2)</t>
    </r>
    <phoneticPr fontId="26" type="noConversion"/>
  </si>
  <si>
    <r>
      <rPr>
        <sz val="10"/>
        <rFont val="標楷體"/>
        <family val="4"/>
        <charset val="136"/>
      </rPr>
      <t>已報未決未攤回</t>
    </r>
    <r>
      <rPr>
        <sz val="10"/>
        <rFont val="Times New Roman"/>
        <family val="1"/>
      </rPr>
      <t>(</t>
    </r>
    <r>
      <rPr>
        <sz val="10"/>
        <rFont val="標楷體"/>
        <family val="4"/>
        <charset val="136"/>
      </rPr>
      <t>註</t>
    </r>
    <r>
      <rPr>
        <sz val="10"/>
        <rFont val="Times New Roman"/>
        <family val="1"/>
      </rPr>
      <t>3)</t>
    </r>
    <phoneticPr fontId="26" type="noConversion"/>
  </si>
  <si>
    <r>
      <rPr>
        <sz val="10"/>
        <rFont val="標楷體"/>
        <family val="4"/>
        <charset val="136"/>
      </rPr>
      <t>未報未攤回</t>
    </r>
    <phoneticPr fontId="26" type="noConversion"/>
  </si>
  <si>
    <r>
      <rPr>
        <sz val="10"/>
        <rFont val="標楷體"/>
        <family val="4"/>
        <charset val="136"/>
      </rPr>
      <t>總計</t>
    </r>
    <phoneticPr fontId="26" type="noConversion"/>
  </si>
  <si>
    <r>
      <rPr>
        <sz val="10"/>
        <rFont val="標楷體"/>
        <family val="4"/>
        <charset val="136"/>
      </rPr>
      <t>註：</t>
    </r>
  </si>
  <si>
    <r>
      <rPr>
        <sz val="10"/>
        <rFont val="標楷體"/>
        <family val="4"/>
        <charset val="136"/>
      </rPr>
      <t>係指決</t>
    </r>
    <r>
      <rPr>
        <sz val="10"/>
        <rFont val="Times New Roman"/>
        <family val="1"/>
      </rPr>
      <t>(</t>
    </r>
    <r>
      <rPr>
        <sz val="10"/>
        <rFont val="標楷體"/>
        <family val="4"/>
        <charset val="136"/>
      </rPr>
      <t>結</t>
    </r>
    <r>
      <rPr>
        <sz val="10"/>
        <rFont val="Times New Roman"/>
        <family val="1"/>
      </rPr>
      <t>)</t>
    </r>
    <r>
      <rPr>
        <sz val="10"/>
        <rFont val="標楷體"/>
        <family val="4"/>
        <charset val="136"/>
      </rPr>
      <t>算日理賠部門已確定賠款金額，且會計財務部門已進行賠款給付程序，惟尚未實際賠付且未攤回者。</t>
    </r>
    <phoneticPr fontId="26" type="noConversion"/>
  </si>
  <si>
    <r>
      <rPr>
        <sz val="10"/>
        <rFont val="標楷體"/>
        <family val="4"/>
        <charset val="136"/>
      </rPr>
      <t>係指決</t>
    </r>
    <r>
      <rPr>
        <sz val="10"/>
        <rFont val="Times New Roman"/>
        <family val="1"/>
      </rPr>
      <t>(</t>
    </r>
    <r>
      <rPr>
        <sz val="10"/>
        <rFont val="標楷體"/>
        <family val="4"/>
        <charset val="136"/>
      </rPr>
      <t>結</t>
    </r>
    <r>
      <rPr>
        <sz val="10"/>
        <rFont val="Times New Roman"/>
        <family val="1"/>
      </rPr>
      <t>)</t>
    </r>
    <r>
      <rPr>
        <sz val="10"/>
        <rFont val="標楷體"/>
        <family val="4"/>
        <charset val="136"/>
      </rPr>
      <t>算日理賠部門已確定賠款金額，而會計財務部門尚未進行賠款給付程序，且未攤回者。</t>
    </r>
    <phoneticPr fontId="26" type="noConversion"/>
  </si>
  <si>
    <r>
      <rPr>
        <sz val="10"/>
        <rFont val="標楷體"/>
        <family val="4"/>
        <charset val="136"/>
      </rPr>
      <t>係指決</t>
    </r>
    <r>
      <rPr>
        <sz val="10"/>
        <rFont val="Times New Roman"/>
        <family val="1"/>
      </rPr>
      <t>(</t>
    </r>
    <r>
      <rPr>
        <sz val="10"/>
        <rFont val="標楷體"/>
        <family val="4"/>
        <charset val="136"/>
      </rPr>
      <t>結</t>
    </r>
    <r>
      <rPr>
        <sz val="10"/>
        <rFont val="Times New Roman"/>
        <family val="1"/>
      </rPr>
      <t>)</t>
    </r>
    <r>
      <rPr>
        <sz val="10"/>
        <rFont val="標楷體"/>
        <family val="4"/>
        <charset val="136"/>
      </rPr>
      <t>算日已受理報案而理賠部門尚未確定賠款金額，且未攤回者。</t>
    </r>
    <phoneticPr fontId="26" type="noConversion"/>
  </si>
  <si>
    <t>(24)</t>
    <phoneticPr fontId="29" type="noConversion"/>
  </si>
  <si>
    <t>(25)</t>
    <phoneticPr fontId="32" type="noConversion"/>
  </si>
  <si>
    <t>(24)</t>
    <phoneticPr fontId="32" type="noConversion"/>
  </si>
  <si>
    <r>
      <rPr>
        <sz val="10"/>
        <rFont val="標楷體"/>
        <family val="4"/>
        <charset val="136"/>
      </rPr>
      <t>表</t>
    </r>
    <r>
      <rPr>
        <sz val="10"/>
        <rFont val="Book Antiqua"/>
        <family val="1"/>
      </rPr>
      <t>19-4</t>
    </r>
    <r>
      <rPr>
        <sz val="10"/>
        <rFont val="標楷體"/>
        <family val="4"/>
        <charset val="136"/>
      </rPr>
      <t>：再保險資產－再保人別</t>
    </r>
    <phoneticPr fontId="29" type="noConversion"/>
  </si>
  <si>
    <r>
      <rPr>
        <sz val="10"/>
        <rFont val="標楷體"/>
        <family val="4"/>
        <charset val="136"/>
      </rPr>
      <t>單位：新台幣元</t>
    </r>
    <phoneticPr fontId="26" type="noConversion"/>
  </si>
  <si>
    <r>
      <rPr>
        <sz val="10"/>
        <rFont val="標楷體"/>
        <family val="4"/>
        <charset val="136"/>
      </rPr>
      <t>列號</t>
    </r>
    <phoneticPr fontId="29" type="noConversion"/>
  </si>
  <si>
    <r>
      <rPr>
        <sz val="10"/>
        <rFont val="標楷體"/>
        <family val="4"/>
        <charset val="136"/>
      </rPr>
      <t>再保險人</t>
    </r>
    <phoneticPr fontId="26" type="noConversion"/>
  </si>
  <si>
    <r>
      <rPr>
        <sz val="10"/>
        <rFont val="標楷體"/>
        <family val="4"/>
        <charset val="136"/>
      </rPr>
      <t>代號</t>
    </r>
    <phoneticPr fontId="26" type="noConversion"/>
  </si>
  <si>
    <r>
      <rPr>
        <sz val="10"/>
        <rFont val="標楷體"/>
        <family val="4"/>
        <charset val="136"/>
      </rPr>
      <t>名稱</t>
    </r>
    <phoneticPr fontId="26" type="noConversion"/>
  </si>
  <si>
    <r>
      <rPr>
        <sz val="10"/>
        <rFont val="標楷體"/>
        <family val="4"/>
        <charset val="136"/>
      </rPr>
      <t>註</t>
    </r>
    <r>
      <rPr>
        <sz val="10"/>
        <rFont val="Book Antiqua"/>
        <family val="1"/>
      </rPr>
      <t>:</t>
    </r>
    <phoneticPr fontId="26" type="noConversion"/>
  </si>
  <si>
    <r>
      <rPr>
        <sz val="10"/>
        <rFont val="標楷體"/>
        <family val="4"/>
        <charset val="136"/>
      </rPr>
      <t>為資產負債表應收再保往來款項－淨額或應付再保往來款項－淨額。若保險業依業務性質將再保分進之保費及賠款置於應收再保往來款項，且將再保分出業務之保費及賠款置於應付再保往來款項，則填列應付再保往來款項且於備註欄說明；其餘情況填列應收再保往來款項。</t>
    </r>
    <phoneticPr fontId="26" type="noConversion"/>
  </si>
  <si>
    <r>
      <rPr>
        <sz val="10"/>
        <rFont val="標楷體"/>
        <family val="4"/>
        <charset val="136"/>
      </rPr>
      <t>為資產負債表應攤回再保賠款與給付－淨額</t>
    </r>
    <phoneticPr fontId="26" type="noConversion"/>
  </si>
  <si>
    <r>
      <rPr>
        <sz val="10"/>
        <rFont val="標楷體"/>
        <family val="4"/>
        <charset val="136"/>
      </rPr>
      <t>各欄之小計數應與資產負債表數核對相符。</t>
    </r>
    <phoneticPr fontId="26" type="noConversion"/>
  </si>
  <si>
    <r>
      <rPr>
        <sz val="10"/>
        <rFont val="標楷體"/>
        <family val="4"/>
        <charset val="136"/>
      </rPr>
      <t>僅需填列合計數。</t>
    </r>
    <phoneticPr fontId="26" type="noConversion"/>
  </si>
  <si>
    <t>信用評等機構
(註1)</t>
    <phoneticPr fontId="26" type="noConversion"/>
  </si>
  <si>
    <t>評等等級(註2)</t>
    <phoneticPr fontId="26" type="noConversion"/>
  </si>
  <si>
    <t>合計</t>
    <phoneticPr fontId="26" type="noConversion"/>
  </si>
  <si>
    <t>備註</t>
    <phoneticPr fontId="26" type="noConversion"/>
  </si>
  <si>
    <t>再保險準備資產</t>
    <phoneticPr fontId="26" type="noConversion"/>
  </si>
  <si>
    <t>未
催收</t>
    <phoneticPr fontId="26" type="noConversion"/>
  </si>
  <si>
    <t>催收
款項</t>
    <phoneticPr fontId="26" type="noConversion"/>
  </si>
  <si>
    <t>小計</t>
    <phoneticPr fontId="26" type="noConversion"/>
  </si>
  <si>
    <t>分出未滿期保費準備</t>
    <phoneticPr fontId="26" type="noConversion"/>
  </si>
  <si>
    <t>分出賠款準備</t>
    <phoneticPr fontId="26" type="noConversion"/>
  </si>
  <si>
    <t>分出責任準備</t>
    <phoneticPr fontId="26" type="noConversion"/>
  </si>
  <si>
    <t>未催收</t>
    <phoneticPr fontId="26" type="noConversion"/>
  </si>
  <si>
    <t>催收款項</t>
    <phoneticPr fontId="26" type="noConversion"/>
  </si>
  <si>
    <t>備抵呆帳</t>
    <phoneticPr fontId="26" type="noConversion"/>
  </si>
  <si>
    <t>總額</t>
    <phoneticPr fontId="26" type="noConversion"/>
  </si>
  <si>
    <t>減損</t>
    <phoneticPr fontId="26" type="noConversion"/>
  </si>
  <si>
    <t>已報
未付</t>
    <phoneticPr fontId="26" type="noConversion"/>
  </si>
  <si>
    <t>未報</t>
    <phoneticPr fontId="26" type="noConversion"/>
  </si>
  <si>
    <t>(5a)</t>
    <phoneticPr fontId="26" type="noConversion"/>
  </si>
  <si>
    <t>(5b)</t>
    <phoneticPr fontId="26" type="noConversion"/>
  </si>
  <si>
    <t>(5c)</t>
    <phoneticPr fontId="26" type="noConversion"/>
  </si>
  <si>
    <t>(5d)</t>
    <phoneticPr fontId="26" type="noConversion"/>
  </si>
  <si>
    <t>(5)
=(5a)+(5b)-(5c)-(5d)</t>
    <phoneticPr fontId="26" type="noConversion"/>
  </si>
  <si>
    <t>(6a)</t>
    <phoneticPr fontId="26" type="noConversion"/>
  </si>
  <si>
    <t>(6b)</t>
    <phoneticPr fontId="26" type="noConversion"/>
  </si>
  <si>
    <t>(64c)</t>
    <phoneticPr fontId="26" type="noConversion"/>
  </si>
  <si>
    <t>(6d)</t>
    <phoneticPr fontId="26" type="noConversion"/>
  </si>
  <si>
    <t>(6)
=(6a)+(6b)-(6c)-(6d)</t>
    <phoneticPr fontId="26" type="noConversion"/>
  </si>
  <si>
    <t>(7a)</t>
    <phoneticPr fontId="26" type="noConversion"/>
  </si>
  <si>
    <t>(7b)</t>
    <phoneticPr fontId="26" type="noConversion"/>
  </si>
  <si>
    <t>(7)
=(7a)-(7b)</t>
    <phoneticPr fontId="26" type="noConversion"/>
  </si>
  <si>
    <t>(8a)</t>
    <phoneticPr fontId="26" type="noConversion"/>
  </si>
  <si>
    <t>(8b)</t>
    <phoneticPr fontId="26" type="noConversion"/>
  </si>
  <si>
    <t>(8c)</t>
    <phoneticPr fontId="26" type="noConversion"/>
  </si>
  <si>
    <t>(8)
=(8a)+(8b)-(8c)</t>
    <phoneticPr fontId="26" type="noConversion"/>
  </si>
  <si>
    <t>(9a)</t>
    <phoneticPr fontId="26" type="noConversion"/>
  </si>
  <si>
    <t>(9b)</t>
    <phoneticPr fontId="26" type="noConversion"/>
  </si>
  <si>
    <t>(9)
=(9a)-(9b)</t>
    <phoneticPr fontId="26" type="noConversion"/>
  </si>
  <si>
    <t>(10a)</t>
    <phoneticPr fontId="26" type="noConversion"/>
  </si>
  <si>
    <t>(10b)</t>
    <phoneticPr fontId="26" type="noConversion"/>
  </si>
  <si>
    <t>(10)
=(10a)-(10b)</t>
    <phoneticPr fontId="26" type="noConversion"/>
  </si>
  <si>
    <t>(11a)</t>
    <phoneticPr fontId="26" type="noConversion"/>
  </si>
  <si>
    <t>(1b)</t>
    <phoneticPr fontId="26" type="noConversion"/>
  </si>
  <si>
    <t>(11)
=(11a)-(11b)</t>
    <phoneticPr fontId="26" type="noConversion"/>
  </si>
  <si>
    <t>(12)
=(7)+(8)
+(9)+(10)
+(11)</t>
    <phoneticPr fontId="26" type="noConversion"/>
  </si>
  <si>
    <t>(13)
=(5)+(6)
+(12)</t>
    <phoneticPr fontId="26" type="noConversion"/>
  </si>
  <si>
    <t>(14)</t>
    <phoneticPr fontId="26" type="noConversion"/>
  </si>
  <si>
    <t>本欄填列評等等級請依資產負債日時之最新信用評等機構評定填寫，若無信用評等者請填無。</t>
    <phoneticPr fontId="26" type="noConversion"/>
  </si>
  <si>
    <t xml:space="preserve"> 2.6 再保險資產</t>
    <phoneticPr fontId="26" type="noConversion"/>
  </si>
  <si>
    <t>單位：新台幣元</t>
    <phoneticPr fontId="26" type="noConversion"/>
  </si>
  <si>
    <t>列號</t>
    <phoneticPr fontId="26" type="noConversion"/>
  </si>
  <si>
    <t>發行機構信用評等</t>
    <phoneticPr fontId="26" type="noConversion"/>
  </si>
  <si>
    <t>應列入本表計算風險資本額之再保險資產
(註)</t>
    <phoneticPr fontId="26" type="noConversion"/>
  </si>
  <si>
    <t>風險係數</t>
    <phoneticPr fontId="26" type="noConversion"/>
  </si>
  <si>
    <t>再保險資產風險資本額</t>
    <phoneticPr fontId="26" type="noConversion"/>
  </si>
  <si>
    <t>Moody's</t>
    <phoneticPr fontId="26" type="noConversion"/>
  </si>
  <si>
    <t>(1)</t>
    <phoneticPr fontId="14" type="noConversion"/>
  </si>
  <si>
    <t>(2)</t>
    <phoneticPr fontId="26" type="noConversion"/>
  </si>
  <si>
    <t>(3)</t>
    <phoneticPr fontId="29" type="noConversion"/>
  </si>
  <si>
    <t>(4)</t>
    <phoneticPr fontId="29" type="noConversion"/>
  </si>
  <si>
    <t>Aa</t>
  </si>
  <si>
    <t>Baa</t>
  </si>
  <si>
    <t>Ba</t>
  </si>
  <si>
    <t>Caa-C</t>
  </si>
  <si>
    <t>合 計</t>
    <phoneticPr fontId="29" type="noConversion"/>
  </si>
  <si>
    <t>註：</t>
    <phoneticPr fontId="26" type="noConversion"/>
  </si>
  <si>
    <t>其中若再保險人係屬未適格再保險人時，請依規定再扣除該未適格再保險人之相關再保險資產後之金額填列。</t>
    <phoneticPr fontId="29" type="noConversion"/>
  </si>
  <si>
    <t>分出保費不足及分出負債適足準備項目，若無法拆分至各再保險人時，指定為最差信評等級(投資等級Baa)，</t>
    <phoneticPr fontId="26" type="noConversion"/>
  </si>
  <si>
    <t>或按已有的各信用評等分配之比例予以拆分。</t>
    <phoneticPr fontId="29" type="noConversion"/>
  </si>
  <si>
    <t>若再保險人為國內共保組織請分別依下列信用評等級予以填列：</t>
    <phoneticPr fontId="26" type="noConversion"/>
  </si>
  <si>
    <t>(1)住宅地震保險共保--&gt;Aaa、(2)強制汽車責任保險共保--&gt;Aa、(3)其他--&gt;A。</t>
    <phoneticPr fontId="29" type="noConversion"/>
  </si>
  <si>
    <t>若再保險人為國內依法設立之保險公司且未有信用評等者，請依該再保險人最近一期已公告之RBC比率等級予以填列：</t>
    <phoneticPr fontId="26" type="noConversion"/>
  </si>
  <si>
    <t>百分之三百以上</t>
  </si>
  <si>
    <t>百分之二百以上，未達百分之三百</t>
  </si>
  <si>
    <t>未達百分之二百</t>
  </si>
  <si>
    <t>負值</t>
  </si>
  <si>
    <t>(2)</t>
    <phoneticPr fontId="29" type="noConversion"/>
  </si>
  <si>
    <t>(5)=(3)-(2)</t>
    <phoneticPr fontId="29" type="noConversion"/>
  </si>
  <si>
    <t>(6)=(4)-(2)</t>
    <phoneticPr fontId="29" type="noConversion"/>
  </si>
  <si>
    <t>(7)</t>
    <phoneticPr fontId="29" type="noConversion"/>
  </si>
  <si>
    <t>表30-4：R2：信用風險計算表</t>
    <phoneticPr fontId="26" type="noConversion"/>
  </si>
  <si>
    <t>(21)</t>
    <phoneticPr fontId="29" type="noConversion"/>
  </si>
  <si>
    <t>保險股份有限公司(分公司)年度(月)報表</t>
  </si>
  <si>
    <t>項目</t>
    <phoneticPr fontId="29" type="noConversion"/>
  </si>
  <si>
    <t>期末餘額</t>
    <phoneticPr fontId="26" type="noConversion"/>
  </si>
  <si>
    <t>期初餘額</t>
    <phoneticPr fontId="26" type="noConversion"/>
  </si>
  <si>
    <t>增減數</t>
    <phoneticPr fontId="26" type="noConversion"/>
  </si>
  <si>
    <t>(3)=(1)-(2)</t>
    <phoneticPr fontId="26" type="noConversion"/>
  </si>
  <si>
    <t>總　　　　　　　計</t>
    <phoneticPr fontId="26" type="noConversion"/>
  </si>
  <si>
    <t>請依保險法及強制汽車責任保險法、保險業各種準備金提存辦法、專業再保險業財務業務管理辦法及其相關解釋函令之規定提列</t>
    <phoneticPr fontId="26" type="noConversion"/>
  </si>
  <si>
    <t>，並保存工作底稿備查</t>
    <phoneticPr fontId="26" type="noConversion"/>
  </si>
  <si>
    <t>RBC 比率</t>
  </si>
  <si>
    <t>表25-3：帳列負債之特別準備明細表</t>
    <phoneticPr fontId="26" type="noConversion"/>
  </si>
  <si>
    <t>損失率差為正時得沖減準備</t>
    <phoneticPr fontId="29" type="noConversion"/>
  </si>
  <si>
    <t>損失率為負時應提存準備</t>
    <phoneticPr fontId="26" type="noConversion"/>
  </si>
  <si>
    <t>自留再保費</t>
    <phoneticPr fontId="26" type="noConversion"/>
  </si>
  <si>
    <r>
      <t>本年度提存金額</t>
    </r>
    <r>
      <rPr>
        <sz val="10"/>
        <rFont val="Times New Roman"/>
        <family val="1"/>
      </rPr>
      <t/>
    </r>
    <phoneticPr fontId="29" type="noConversion"/>
  </si>
  <si>
    <t>本年度沖減/收回金額</t>
    <phoneticPr fontId="29" type="noConversion"/>
  </si>
  <si>
    <t>(6)</t>
    <phoneticPr fontId="29" type="noConversion"/>
  </si>
  <si>
    <t>(9)</t>
    <phoneticPr fontId="29" type="noConversion"/>
  </si>
  <si>
    <t>(11)</t>
    <phoneticPr fontId="29" type="noConversion"/>
  </si>
  <si>
    <t>(14)=-(9)-(11)</t>
    <phoneticPr fontId="29" type="noConversion"/>
  </si>
  <si>
    <t>(16)=(6)+(14)</t>
    <phoneticPr fontId="29" type="noConversion"/>
  </si>
  <si>
    <t>(18)</t>
    <phoneticPr fontId="26" type="noConversion"/>
  </si>
  <si>
    <t>(20)</t>
    <phoneticPr fontId="26" type="noConversion"/>
  </si>
  <si>
    <t>(23)</t>
    <phoneticPr fontId="26" type="noConversion"/>
  </si>
  <si>
    <t>(25)=(18)-(23)</t>
    <phoneticPr fontId="26" type="noConversion"/>
  </si>
  <si>
    <t>(27)=(14)-(23)</t>
    <phoneticPr fontId="29" type="noConversion"/>
  </si>
  <si>
    <t>(29)=(16)+(25)</t>
    <phoneticPr fontId="29" type="noConversion"/>
  </si>
  <si>
    <t>現金及約當現金</t>
    <phoneticPr fontId="26" type="noConversion"/>
  </si>
  <si>
    <t>應收款項</t>
    <phoneticPr fontId="29" type="noConversion"/>
  </si>
  <si>
    <t xml:space="preserve">    應收票據--關係人</t>
    <phoneticPr fontId="26" type="noConversion"/>
  </si>
  <si>
    <t xml:space="preserve">    　應收票據--關係人(非控制與從屬關係)</t>
    <phoneticPr fontId="29" type="noConversion"/>
  </si>
  <si>
    <t xml:space="preserve">    應收保費</t>
    <phoneticPr fontId="26" type="noConversion"/>
  </si>
  <si>
    <t xml:space="preserve">    應收利息及收益</t>
    <phoneticPr fontId="26" type="noConversion"/>
  </si>
  <si>
    <t xml:space="preserve">    其他應收款</t>
    <phoneticPr fontId="26" type="noConversion"/>
  </si>
  <si>
    <t>待出售資產</t>
    <phoneticPr fontId="29" type="noConversion"/>
  </si>
  <si>
    <t>透過損益按公允價值衡量之金融資產</t>
    <phoneticPr fontId="29" type="noConversion"/>
  </si>
  <si>
    <t xml:space="preserve">    公債、庫券及儲蓄券</t>
    <phoneticPr fontId="29" type="noConversion"/>
  </si>
  <si>
    <t xml:space="preserve">    金融債券及其他經主管機關核准購買之有價證券</t>
    <phoneticPr fontId="29" type="noConversion"/>
  </si>
  <si>
    <t xml:space="preserve">    公司股票(評價調整＄                    )</t>
    <phoneticPr fontId="29" type="noConversion"/>
  </si>
  <si>
    <t xml:space="preserve">    公司債</t>
    <phoneticPr fontId="29" type="noConversion"/>
  </si>
  <si>
    <t xml:space="preserve">    專案運用公共及社會福利事業投資</t>
    <phoneticPr fontId="29" type="noConversion"/>
  </si>
  <si>
    <t xml:space="preserve">    國外投資</t>
    <phoneticPr fontId="29" type="noConversion"/>
  </si>
  <si>
    <t>其他金融資產</t>
    <phoneticPr fontId="26" type="noConversion"/>
  </si>
  <si>
    <t>投資性不動產</t>
    <phoneticPr fontId="26" type="noConversion"/>
  </si>
  <si>
    <t>放款</t>
    <phoneticPr fontId="26" type="noConversion"/>
  </si>
  <si>
    <t xml:space="preserve">    壽險貸款</t>
    <phoneticPr fontId="26" type="noConversion"/>
  </si>
  <si>
    <t xml:space="preserve">    應攤回再保賠款與給付</t>
    <phoneticPr fontId="29" type="noConversion"/>
  </si>
  <si>
    <t xml:space="preserve">    應攤回再保賠款與給付--催收款項</t>
    <phoneticPr fontId="26" type="noConversion"/>
  </si>
  <si>
    <t xml:space="preserve">    應收再保往來款項--催收款項</t>
    <phoneticPr fontId="26" type="noConversion"/>
  </si>
  <si>
    <t xml:space="preserve">    分出責任準備</t>
    <phoneticPr fontId="29" type="noConversion"/>
  </si>
  <si>
    <t xml:space="preserve">    分出保費不足準備</t>
    <phoneticPr fontId="29" type="noConversion"/>
  </si>
  <si>
    <t xml:space="preserve">    分出負債適足準備</t>
    <phoneticPr fontId="29" type="noConversion"/>
  </si>
  <si>
    <t>不動產及設備</t>
    <phoneticPr fontId="26" type="noConversion"/>
  </si>
  <si>
    <t xml:space="preserve">    租賃資產</t>
    <phoneticPr fontId="29" type="noConversion"/>
  </si>
  <si>
    <t xml:space="preserve">    在建工程及預付房地設備款</t>
    <phoneticPr fontId="26" type="noConversion"/>
  </si>
  <si>
    <t xml:space="preserve">    商譽</t>
    <phoneticPr fontId="26" type="noConversion"/>
  </si>
  <si>
    <t xml:space="preserve">    預付款項</t>
    <phoneticPr fontId="26" type="noConversion"/>
  </si>
  <si>
    <t xml:space="preserve">    遞延取得成本</t>
    <phoneticPr fontId="29" type="noConversion"/>
  </si>
  <si>
    <t xml:space="preserve">    非營業資產</t>
    <phoneticPr fontId="29" type="noConversion"/>
  </si>
  <si>
    <t xml:space="preserve">    特殊用途基金</t>
    <phoneticPr fontId="29" type="noConversion"/>
  </si>
  <si>
    <t xml:space="preserve">    投資型保險商品資產</t>
    <phoneticPr fontId="29" type="noConversion"/>
  </si>
  <si>
    <t xml:space="preserve">    勞退年金保險商品資產</t>
    <phoneticPr fontId="29" type="noConversion"/>
  </si>
  <si>
    <t>資產總計</t>
    <phoneticPr fontId="26" type="noConversion"/>
  </si>
  <si>
    <t>短期債務</t>
    <phoneticPr fontId="29" type="noConversion"/>
  </si>
  <si>
    <t>應付款項</t>
    <phoneticPr fontId="29" type="noConversion"/>
  </si>
  <si>
    <t xml:space="preserve">    應付票據-非關係人</t>
    <phoneticPr fontId="26" type="noConversion"/>
  </si>
  <si>
    <t xml:space="preserve">    應付再保賠款與給付</t>
    <phoneticPr fontId="29" type="noConversion"/>
  </si>
  <si>
    <t xml:space="preserve">    應付佣金</t>
    <phoneticPr fontId="26" type="noConversion"/>
  </si>
  <si>
    <t>　  應付再保往來款項</t>
    <phoneticPr fontId="26" type="noConversion"/>
  </si>
  <si>
    <t xml:space="preserve">    其他應付款</t>
    <phoneticPr fontId="29" type="noConversion"/>
  </si>
  <si>
    <t>應付債券</t>
    <phoneticPr fontId="29" type="noConversion"/>
  </si>
  <si>
    <t>特別股負債</t>
    <phoneticPr fontId="26" type="noConversion"/>
  </si>
  <si>
    <t>其他金融負債</t>
    <phoneticPr fontId="26" type="noConversion"/>
  </si>
  <si>
    <t xml:space="preserve">   </t>
    <phoneticPr fontId="26" type="noConversion"/>
  </si>
  <si>
    <t>保險負債-帳載</t>
    <phoneticPr fontId="29" type="noConversion"/>
  </si>
  <si>
    <t>保險負債-認許</t>
    <phoneticPr fontId="29" type="noConversion"/>
  </si>
  <si>
    <t xml:space="preserve">    未滿期保費準備</t>
    <phoneticPr fontId="26" type="noConversion"/>
  </si>
  <si>
    <t xml:space="preserve">    特別準備</t>
    <phoneticPr fontId="26" type="noConversion"/>
  </si>
  <si>
    <t xml:space="preserve">    未適格再保險準備</t>
    <phoneticPr fontId="29" type="noConversion"/>
  </si>
  <si>
    <t>外匯價格變動準備</t>
    <phoneticPr fontId="29" type="noConversion"/>
  </si>
  <si>
    <t xml:space="preserve">    員工福利負債準備</t>
    <phoneticPr fontId="29" type="noConversion"/>
  </si>
  <si>
    <t>遞延所得稅負債-帳載</t>
    <phoneticPr fontId="29" type="noConversion"/>
  </si>
  <si>
    <t xml:space="preserve">    土地增值稅準備</t>
    <phoneticPr fontId="26" type="noConversion"/>
  </si>
  <si>
    <t xml:space="preserve">        投資用</t>
    <phoneticPr fontId="26" type="noConversion"/>
  </si>
  <si>
    <t xml:space="preserve">    其他遞延所得稅負債</t>
    <phoneticPr fontId="26" type="noConversion"/>
  </si>
  <si>
    <t>其他負債</t>
    <phoneticPr fontId="29" type="noConversion"/>
  </si>
  <si>
    <t xml:space="preserve">    預收款項</t>
    <phoneticPr fontId="26" type="noConversion"/>
  </si>
  <si>
    <t xml:space="preserve">    存入再保責任準備金</t>
    <phoneticPr fontId="26" type="noConversion"/>
  </si>
  <si>
    <t xml:space="preserve">    信託代理及保證負債</t>
    <phoneticPr fontId="29" type="noConversion"/>
  </si>
  <si>
    <t xml:space="preserve">    暫收及待結轉帳項</t>
    <phoneticPr fontId="26" type="noConversion"/>
  </si>
  <si>
    <t>分離帳戶保險商品負債</t>
    <phoneticPr fontId="29" type="noConversion"/>
  </si>
  <si>
    <t>負債合計-帳載</t>
    <phoneticPr fontId="26" type="noConversion"/>
  </si>
  <si>
    <t>負債合計-認許</t>
    <phoneticPr fontId="26" type="noConversion"/>
  </si>
  <si>
    <t>股本</t>
    <phoneticPr fontId="26" type="noConversion"/>
  </si>
  <si>
    <t xml:space="preserve">    普通股(每股面額、授權股數、已發行股數) </t>
    <phoneticPr fontId="26" type="noConversion"/>
  </si>
  <si>
    <t xml:space="preserve">    特別股(每股面額、授權股數、已發行股數) </t>
    <phoneticPr fontId="26" type="noConversion"/>
  </si>
  <si>
    <t xml:space="preserve">    待分配股票股利</t>
    <phoneticPr fontId="29" type="noConversion"/>
  </si>
  <si>
    <t>帳載負債及權益總計</t>
    <phoneticPr fontId="29" type="noConversion"/>
  </si>
  <si>
    <t>淨認許負債及權益總計</t>
    <phoneticPr fontId="26" type="noConversion"/>
  </si>
  <si>
    <t>自留滿期賠款(扣除該險以異常業務損失準備金沖減)</t>
    <phoneticPr fontId="26" type="noConversion"/>
  </si>
  <si>
    <t>人壽保險(國外分入)</t>
    <phoneticPr fontId="26" type="noConversion"/>
  </si>
  <si>
    <t>傷害保險(國外分入)</t>
    <phoneticPr fontId="26" type="noConversion"/>
  </si>
  <si>
    <t>健康保險(國外分入)</t>
    <phoneticPr fontId="26" type="noConversion"/>
  </si>
  <si>
    <t>年金保險(國外分入)</t>
    <phoneticPr fontId="26" type="noConversion"/>
  </si>
  <si>
    <t>財務再保險(國外分入)</t>
    <phoneticPr fontId="26" type="noConversion"/>
  </si>
  <si>
    <t xml:space="preserve"> 2.1 應收保費</t>
    <phoneticPr fontId="26" type="noConversion"/>
  </si>
  <si>
    <t xml:space="preserve"> 2.2 應收利息及收益</t>
    <phoneticPr fontId="26" type="noConversion"/>
  </si>
  <si>
    <t xml:space="preserve"> 2.3 應收票據</t>
    <phoneticPr fontId="26" type="noConversion"/>
  </si>
  <si>
    <t xml:space="preserve"> 2.4 催收款項</t>
    <phoneticPr fontId="26" type="noConversion"/>
  </si>
  <si>
    <t>2.4.1 直接業務</t>
    <phoneticPr fontId="26" type="noConversion"/>
  </si>
  <si>
    <t>2.4.2 再保業務</t>
    <phoneticPr fontId="26" type="noConversion"/>
  </si>
  <si>
    <t>2.4.2 其他業務</t>
    <phoneticPr fontId="26" type="noConversion"/>
  </si>
  <si>
    <t xml:space="preserve"> 2.5 其他應收款項</t>
    <phoneticPr fontId="26" type="noConversion"/>
  </si>
  <si>
    <r>
      <rPr>
        <sz val="10"/>
        <rFont val="標楷體"/>
        <family val="4"/>
        <charset val="136"/>
      </rPr>
      <t>最近一期自有資本總額，係指最近一期向主管機關申報之資本適足率報告所顯示之調整後自有資本總額</t>
    </r>
  </si>
  <si>
    <r>
      <rPr>
        <sz val="10"/>
        <rFont val="標楷體"/>
        <family val="4"/>
        <charset val="136"/>
      </rPr>
      <t>國外投資總計</t>
    </r>
    <phoneticPr fontId="7" type="noConversion"/>
  </si>
  <si>
    <r>
      <rPr>
        <sz val="10"/>
        <rFont val="標楷體"/>
        <family val="4"/>
        <charset val="136"/>
      </rPr>
      <t>五年內取自關係人之具收益性不動產總計</t>
    </r>
    <phoneticPr fontId="7" type="noConversion"/>
  </si>
  <si>
    <r>
      <rPr>
        <sz val="10"/>
        <rFont val="標楷體"/>
        <family val="4"/>
        <charset val="136"/>
      </rPr>
      <t>具控制與從屬關係</t>
    </r>
    <r>
      <rPr>
        <sz val="10"/>
        <rFont val="Book Antiqua"/>
        <family val="1"/>
      </rPr>
      <t>--</t>
    </r>
    <r>
      <rPr>
        <sz val="10"/>
        <rFont val="標楷體"/>
        <family val="4"/>
        <charset val="136"/>
      </rPr>
      <t>具收益性之不動產</t>
    </r>
    <phoneticPr fontId="7" type="noConversion"/>
  </si>
  <si>
    <r>
      <rPr>
        <sz val="10"/>
        <rFont val="標楷體"/>
        <family val="4"/>
        <charset val="136"/>
      </rPr>
      <t>具控制與從屬關係</t>
    </r>
    <r>
      <rPr>
        <sz val="10"/>
        <rFont val="Book Antiqua"/>
        <family val="1"/>
      </rPr>
      <t>--</t>
    </r>
    <r>
      <rPr>
        <sz val="10"/>
        <rFont val="標楷體"/>
        <family val="4"/>
        <charset val="136"/>
      </rPr>
      <t>其他不動產</t>
    </r>
    <phoneticPr fontId="26" type="noConversion"/>
  </si>
  <si>
    <r>
      <rPr>
        <sz val="10"/>
        <rFont val="標楷體"/>
        <family val="4"/>
        <charset val="136"/>
      </rPr>
      <t>非控制與從屬關係</t>
    </r>
    <r>
      <rPr>
        <sz val="10"/>
        <rFont val="Book Antiqua"/>
        <family val="1"/>
      </rPr>
      <t>--</t>
    </r>
    <r>
      <rPr>
        <sz val="10"/>
        <rFont val="標楷體"/>
        <family val="4"/>
        <charset val="136"/>
      </rPr>
      <t>具收益性之不動產</t>
    </r>
    <phoneticPr fontId="7" type="noConversion"/>
  </si>
  <si>
    <r>
      <rPr>
        <sz val="10"/>
        <rFont val="標楷體"/>
        <family val="4"/>
        <charset val="136"/>
      </rPr>
      <t>非控制與從屬關係</t>
    </r>
    <r>
      <rPr>
        <sz val="10"/>
        <rFont val="Book Antiqua"/>
        <family val="1"/>
      </rPr>
      <t>--</t>
    </r>
    <r>
      <rPr>
        <sz val="10"/>
        <rFont val="標楷體"/>
        <family val="4"/>
        <charset val="136"/>
      </rPr>
      <t>其他不動產</t>
    </r>
    <phoneticPr fontId="26" type="noConversion"/>
  </si>
  <si>
    <r>
      <rPr>
        <sz val="10"/>
        <rFont val="標楷體"/>
        <family val="4"/>
        <charset val="136"/>
      </rPr>
      <t>小計</t>
    </r>
    <phoneticPr fontId="7" type="noConversion"/>
  </si>
  <si>
    <r>
      <rPr>
        <sz val="10"/>
        <rFont val="標楷體"/>
        <family val="4"/>
        <charset val="136"/>
      </rPr>
      <t>註：</t>
    </r>
    <phoneticPr fontId="7" type="noConversion"/>
  </si>
  <si>
    <r>
      <rPr>
        <sz val="10"/>
        <rFont val="標楷體"/>
        <family val="4"/>
        <charset val="136"/>
      </rPr>
      <t>取得成本</t>
    </r>
    <phoneticPr fontId="29" type="noConversion"/>
  </si>
  <si>
    <r>
      <rPr>
        <sz val="10"/>
        <rFont val="標楷體"/>
        <family val="4"/>
        <charset val="136"/>
      </rPr>
      <t>自有資本調整數</t>
    </r>
    <phoneticPr fontId="29" type="noConversion"/>
  </si>
  <si>
    <t>表19-3-2：未適格再保險準備明細表(人身再保險)</t>
    <phoneticPr fontId="29" type="noConversion"/>
  </si>
  <si>
    <t>上年末累積總數
(保險負債)</t>
    <phoneticPr fontId="26" type="noConversion"/>
  </si>
  <si>
    <t>上年末累積總數
(特別盈餘公積)</t>
    <phoneticPr fontId="26" type="noConversion"/>
  </si>
  <si>
    <t>擬沖減危險變動準備
(保險負債)</t>
    <phoneticPr fontId="26" type="noConversion"/>
  </si>
  <si>
    <t>擬沖減危險變動準備
(特別盈餘公積)</t>
    <phoneticPr fontId="26" type="noConversion"/>
  </si>
  <si>
    <t>準備累積超過當年度自留滿期保費60%時得收回準備
(保險負債)</t>
    <phoneticPr fontId="26" type="noConversion"/>
  </si>
  <si>
    <t>準備累積超過當年度自留滿期保費60%時得收回準備
(特別盈餘公積)</t>
    <phoneticPr fontId="26" type="noConversion"/>
  </si>
  <si>
    <t>本年度淨增減危險變動準備
(保險負債)</t>
    <phoneticPr fontId="26" type="noConversion"/>
  </si>
  <si>
    <t>本年度淨增減危險變動準備
(特別盈餘公積)</t>
    <phoneticPr fontId="26" type="noConversion"/>
  </si>
  <si>
    <t>本年度帳列餘額
(保險負債)</t>
    <phoneticPr fontId="26" type="noConversion"/>
  </si>
  <si>
    <t>本年度帳列餘額
(特別盈餘公積)</t>
    <phoneticPr fontId="29" type="noConversion"/>
  </si>
  <si>
    <t>上年度帳列餘額
(保險負債)</t>
    <phoneticPr fontId="29" type="noConversion"/>
  </si>
  <si>
    <t>上年度帳列餘額
(特別盈餘公積)</t>
    <phoneticPr fontId="29" type="noConversion"/>
  </si>
  <si>
    <t>本年度沖減/收回金額
(保險負債)</t>
    <phoneticPr fontId="29" type="noConversion"/>
  </si>
  <si>
    <t>本年度沖減/收回金額
(特別盈餘公積)</t>
    <phoneticPr fontId="29" type="noConversion"/>
  </si>
  <si>
    <t>本年度帳列餘額
(保險負債)</t>
    <phoneticPr fontId="29" type="noConversion"/>
  </si>
  <si>
    <t>本年度淨提存金額
(保險負債)</t>
    <phoneticPr fontId="29" type="noConversion"/>
  </si>
  <si>
    <t>本年度淨提存金額
(特別盈餘公積)</t>
    <phoneticPr fontId="29" type="noConversion"/>
  </si>
  <si>
    <t>(7)</t>
    <phoneticPr fontId="29" type="noConversion"/>
  </si>
  <si>
    <t>(8)</t>
    <phoneticPr fontId="26" type="noConversion"/>
  </si>
  <si>
    <t>(10)</t>
    <phoneticPr fontId="26" type="noConversion"/>
  </si>
  <si>
    <t>(12)</t>
    <phoneticPr fontId="26" type="noConversion"/>
  </si>
  <si>
    <t>(13)=(1)*(5)*30%</t>
    <phoneticPr fontId="26" type="noConversion"/>
  </si>
  <si>
    <t>(15)=(13)-(10)-(12)</t>
    <phoneticPr fontId="26" type="noConversion"/>
  </si>
  <si>
    <t>(17)=(7)+(15)</t>
    <phoneticPr fontId="29" type="noConversion"/>
  </si>
  <si>
    <t>(19)</t>
    <phoneticPr fontId="26" type="noConversion"/>
  </si>
  <si>
    <t>(21)</t>
    <phoneticPr fontId="29" type="noConversion"/>
  </si>
  <si>
    <t>(22)</t>
    <phoneticPr fontId="26" type="noConversion"/>
  </si>
  <si>
    <t>(24)</t>
    <phoneticPr fontId="26" type="noConversion"/>
  </si>
  <si>
    <t>(26)=(19)+(21)-(24)</t>
    <phoneticPr fontId="29" type="noConversion"/>
  </si>
  <si>
    <t>(28)=(15)+(21)-(24)</t>
    <phoneticPr fontId="29" type="noConversion"/>
  </si>
  <si>
    <t>(30)=(17)+(26)</t>
    <phoneticPr fontId="29" type="noConversion"/>
  </si>
  <si>
    <t xml:space="preserve">    責任準備</t>
    <phoneticPr fontId="26" type="noConversion"/>
  </si>
  <si>
    <t xml:space="preserve"> 其他什項資產</t>
    <phoneticPr fontId="26" type="noConversion"/>
  </si>
  <si>
    <t>是否為關係人請依序填列A.是,B.否,C.其他;所稱關係人係依國際會計準則第二十四號公報及公司法第369-1~369-3條、第369-9條、及第369-11條及關係企業合併營業報告書關係企業合併財務報表及關係報告書編製準則第六條之規定。</t>
    <phoneticPr fontId="26" type="noConversion"/>
  </si>
  <si>
    <t>是否為關係人請依序填列A.是,B.否,C.其他;所稱關係人係依國際會計準則第二十四號公報及公司法第369-1~369-3條、第369-9條、及第369-11條之規定。</t>
    <phoneticPr fontId="26" type="noConversion"/>
  </si>
  <si>
    <t>政策性地震保險業務依據「住宅地震保險危險分散機制實施辦法」及其相關解釋函令之相關規定提存及收回。</t>
    <phoneticPr fontId="29" type="noConversion"/>
  </si>
  <si>
    <t xml:space="preserve">餘各險請依「專業再保險業財務業務管理辦法」及其相關解釋函令之相關規定提存及收回。
</t>
    <phoneticPr fontId="29" type="noConversion"/>
  </si>
  <si>
    <t>核能險業務依據「財產再保險業經營核能保險提存之各種準備金規範」之規定提存及收回。</t>
    <phoneticPr fontId="29" type="noConversion"/>
  </si>
  <si>
    <r>
      <rPr>
        <sz val="10"/>
        <rFont val="標楷體"/>
        <family val="4"/>
        <charset val="136"/>
      </rPr>
      <t>危險變動</t>
    </r>
    <phoneticPr fontId="26" type="noConversion"/>
  </si>
  <si>
    <r>
      <rPr>
        <sz val="10"/>
        <rFont val="標楷體"/>
        <family val="4"/>
        <charset val="136"/>
      </rPr>
      <t>其他因特殊需要而加提之準備金</t>
    </r>
    <phoneticPr fontId="26" type="noConversion"/>
  </si>
  <si>
    <r>
      <rPr>
        <sz val="10"/>
        <rFont val="標楷體"/>
        <family val="4"/>
        <charset val="136"/>
      </rPr>
      <t>不動產增值利益</t>
    </r>
    <phoneticPr fontId="26" type="noConversion"/>
  </si>
  <si>
    <t>「表03：資產負債表」第(7)欄第(10)列</t>
    <phoneticPr fontId="26" type="noConversion"/>
  </si>
  <si>
    <t>「表03：資產負債表」第(7)欄第(11+13)列</t>
    <phoneticPr fontId="26" type="noConversion"/>
  </si>
  <si>
    <t>「表03：資產負債表」第(7)欄第(12+14)列</t>
    <phoneticPr fontId="29" type="noConversion"/>
  </si>
  <si>
    <r>
      <rPr>
        <sz val="12"/>
        <rFont val="標楷體"/>
        <family val="4"/>
        <charset val="136"/>
      </rPr>
      <t>註</t>
    </r>
    <phoneticPr fontId="26" type="noConversion"/>
  </si>
  <si>
    <t>再保險資產(註5)</t>
    <phoneticPr fontId="26" type="noConversion"/>
  </si>
  <si>
    <t>應收再保往來款項
(註3)</t>
    <phoneticPr fontId="26" type="noConversion"/>
  </si>
  <si>
    <t>應攤回再保賠款與給付
(註4)</t>
    <phoneticPr fontId="26" type="noConversion"/>
  </si>
  <si>
    <t>分出保費不足準備
(註6)</t>
    <phoneticPr fontId="26" type="noConversion"/>
  </si>
  <si>
    <t>分出負債適足準備
(註6)</t>
    <phoneticPr fontId="26" type="noConversion"/>
  </si>
  <si>
    <r>
      <rPr>
        <sz val="10"/>
        <rFont val="標楷體"/>
        <family val="4"/>
        <charset val="136"/>
      </rPr>
      <t>信用評等機構填列如</t>
    </r>
    <r>
      <rPr>
        <sz val="10"/>
        <rFont val="Times New Roman"/>
        <family val="1"/>
      </rPr>
      <t>(A).S&amp;P (B).AM Best   (C).Moody's  (D).Fitch   (E).</t>
    </r>
    <r>
      <rPr>
        <sz val="10"/>
        <rFont val="標楷體"/>
        <family val="4"/>
        <charset val="136"/>
      </rPr>
      <t>中華信評</t>
    </r>
    <r>
      <rPr>
        <sz val="10"/>
        <rFont val="Times New Roman"/>
        <family val="1"/>
      </rPr>
      <t xml:space="preserve">  (F).</t>
    </r>
    <r>
      <rPr>
        <sz val="10"/>
        <rFont val="標楷體"/>
        <family val="4"/>
        <charset val="136"/>
      </rPr>
      <t>其他；若無請填無。</t>
    </r>
    <phoneticPr fontId="26" type="noConversion"/>
  </si>
  <si>
    <r>
      <rPr>
        <sz val="10"/>
        <rFont val="標楷體"/>
        <family val="4"/>
        <charset val="136"/>
      </rPr>
      <t>項　　　　　　　　　　目</t>
    </r>
  </si>
  <si>
    <r>
      <rPr>
        <sz val="10"/>
        <rFont val="標楷體"/>
        <family val="4"/>
        <charset val="136"/>
      </rPr>
      <t>其他</t>
    </r>
    <phoneticPr fontId="29" type="noConversion"/>
  </si>
  <si>
    <r>
      <rPr>
        <sz val="10"/>
        <rFont val="標楷體"/>
        <family val="4"/>
        <charset val="136"/>
      </rPr>
      <t>小計</t>
    </r>
    <phoneticPr fontId="29" type="noConversion"/>
  </si>
  <si>
    <r>
      <rPr>
        <sz val="10"/>
        <rFont val="標楷體"/>
        <family val="4"/>
        <charset val="136"/>
      </rPr>
      <t>金額</t>
    </r>
    <phoneticPr fontId="29" type="noConversion"/>
  </si>
  <si>
    <r>
      <t>__</t>
    </r>
    <r>
      <rPr>
        <sz val="10"/>
        <rFont val="標楷體"/>
        <family val="4"/>
        <charset val="136"/>
      </rPr>
      <t>年</t>
    </r>
    <phoneticPr fontId="29" type="noConversion"/>
  </si>
  <si>
    <r>
      <rPr>
        <sz val="10"/>
        <rFont val="標楷體"/>
        <family val="4"/>
        <charset val="136"/>
      </rPr>
      <t>存</t>
    </r>
    <phoneticPr fontId="29" type="noConversion"/>
  </si>
  <si>
    <r>
      <rPr>
        <sz val="10"/>
        <rFont val="標楷體"/>
        <family val="4"/>
        <charset val="136"/>
      </rPr>
      <t>金融機構存款</t>
    </r>
    <phoneticPr fontId="29" type="noConversion"/>
  </si>
  <si>
    <r>
      <rPr>
        <sz val="10"/>
        <rFont val="標楷體"/>
        <family val="4"/>
        <charset val="136"/>
      </rPr>
      <t>存出保證金及再保責任準備金</t>
    </r>
  </si>
  <si>
    <r>
      <rPr>
        <sz val="10"/>
        <rFont val="標楷體"/>
        <family val="4"/>
        <charset val="136"/>
      </rPr>
      <t>國</t>
    </r>
    <phoneticPr fontId="29" type="noConversion"/>
  </si>
  <si>
    <r>
      <rPr>
        <sz val="10"/>
        <rFont val="標楷體"/>
        <family val="4"/>
        <charset val="136"/>
      </rPr>
      <t>存入保證金及再保責任準備金</t>
    </r>
  </si>
  <si>
    <r>
      <rPr>
        <sz val="10"/>
        <rFont val="標楷體"/>
        <family val="4"/>
        <charset val="136"/>
      </rPr>
      <t>款</t>
    </r>
  </si>
  <si>
    <r>
      <rPr>
        <sz val="10"/>
        <rFont val="標楷體"/>
        <family val="4"/>
        <charset val="136"/>
      </rPr>
      <t>公債國庫券</t>
    </r>
    <phoneticPr fontId="29" type="noConversion"/>
  </si>
  <si>
    <r>
      <rPr>
        <sz val="10"/>
        <rFont val="標楷體"/>
        <family val="4"/>
        <charset val="136"/>
      </rPr>
      <t>內</t>
    </r>
    <phoneticPr fontId="29" type="noConversion"/>
  </si>
  <si>
    <r>
      <rPr>
        <sz val="10"/>
        <rFont val="標楷體"/>
        <family val="4"/>
        <charset val="136"/>
      </rPr>
      <t>有</t>
    </r>
    <phoneticPr fontId="29" type="noConversion"/>
  </si>
  <si>
    <r>
      <rPr>
        <sz val="10"/>
        <rFont val="標楷體"/>
        <family val="4"/>
        <charset val="136"/>
      </rPr>
      <t>金融債券等</t>
    </r>
    <phoneticPr fontId="26" type="noConversion"/>
  </si>
  <si>
    <r>
      <rPr>
        <sz val="10"/>
        <rFont val="標楷體"/>
        <family val="4"/>
        <charset val="136"/>
      </rPr>
      <t>價</t>
    </r>
    <phoneticPr fontId="29" type="noConversion"/>
  </si>
  <si>
    <r>
      <rPr>
        <sz val="10"/>
        <rFont val="標楷體"/>
        <family val="4"/>
        <charset val="136"/>
      </rPr>
      <t>股票</t>
    </r>
    <phoneticPr fontId="29" type="noConversion"/>
  </si>
  <si>
    <r>
      <rPr>
        <sz val="10"/>
        <rFont val="標楷體"/>
        <family val="4"/>
        <charset val="136"/>
      </rPr>
      <t>證</t>
    </r>
    <phoneticPr fontId="29" type="noConversion"/>
  </si>
  <si>
    <r>
      <rPr>
        <sz val="10"/>
        <rFont val="標楷體"/>
        <family val="4"/>
        <charset val="136"/>
      </rPr>
      <t>公司債</t>
    </r>
    <phoneticPr fontId="29" type="noConversion"/>
  </si>
  <si>
    <r>
      <rPr>
        <sz val="10"/>
        <rFont val="標楷體"/>
        <family val="4"/>
        <charset val="136"/>
      </rPr>
      <t>券</t>
    </r>
    <phoneticPr fontId="29" type="noConversion"/>
  </si>
  <si>
    <r>
      <rPr>
        <sz val="10"/>
        <rFont val="標楷體"/>
        <family val="4"/>
        <charset val="136"/>
      </rPr>
      <t>受益憑證</t>
    </r>
    <phoneticPr fontId="29" type="noConversion"/>
  </si>
  <si>
    <r>
      <rPr>
        <sz val="10"/>
        <rFont val="標楷體"/>
        <family val="4"/>
        <charset val="136"/>
      </rPr>
      <t>投</t>
    </r>
    <phoneticPr fontId="29" type="noConversion"/>
  </si>
  <si>
    <r>
      <rPr>
        <sz val="10"/>
        <rFont val="標楷體"/>
        <family val="4"/>
        <charset val="136"/>
      </rPr>
      <t>不</t>
    </r>
    <phoneticPr fontId="29" type="noConversion"/>
  </si>
  <si>
    <r>
      <rPr>
        <sz val="10"/>
        <rFont val="標楷體"/>
        <family val="4"/>
        <charset val="136"/>
      </rPr>
      <t>非自用土地</t>
    </r>
    <phoneticPr fontId="29" type="noConversion"/>
  </si>
  <si>
    <r>
      <rPr>
        <sz val="10"/>
        <rFont val="標楷體"/>
        <family val="4"/>
        <charset val="136"/>
      </rPr>
      <t>動</t>
    </r>
    <phoneticPr fontId="29" type="noConversion"/>
  </si>
  <si>
    <r>
      <rPr>
        <sz val="10"/>
        <rFont val="標楷體"/>
        <family val="4"/>
        <charset val="136"/>
      </rPr>
      <t>非自用房屋及建築</t>
    </r>
    <phoneticPr fontId="29" type="noConversion"/>
  </si>
  <si>
    <r>
      <rPr>
        <sz val="10"/>
        <rFont val="標楷體"/>
        <family val="4"/>
        <charset val="136"/>
      </rPr>
      <t>產</t>
    </r>
    <phoneticPr fontId="29" type="noConversion"/>
  </si>
  <si>
    <r>
      <rPr>
        <sz val="10"/>
        <rFont val="標楷體"/>
        <family val="4"/>
        <charset val="136"/>
      </rPr>
      <t>資</t>
    </r>
    <phoneticPr fontId="29" type="noConversion"/>
  </si>
  <si>
    <r>
      <rPr>
        <sz val="10"/>
        <rFont val="標楷體"/>
        <family val="4"/>
        <charset val="136"/>
      </rPr>
      <t>放</t>
    </r>
    <phoneticPr fontId="29" type="noConversion"/>
  </si>
  <si>
    <r>
      <rPr>
        <sz val="10"/>
        <rFont val="標楷體"/>
        <family val="4"/>
        <charset val="136"/>
      </rPr>
      <t>壽險貸款</t>
    </r>
    <phoneticPr fontId="29" type="noConversion"/>
  </si>
  <si>
    <r>
      <rPr>
        <sz val="10"/>
        <rFont val="標楷體"/>
        <family val="4"/>
        <charset val="136"/>
      </rPr>
      <t>款</t>
    </r>
    <phoneticPr fontId="29" type="noConversion"/>
  </si>
  <si>
    <r>
      <rPr>
        <sz val="10"/>
        <rFont val="標楷體"/>
        <family val="4"/>
        <charset val="136"/>
      </rPr>
      <t>衍生性商品交易</t>
    </r>
    <phoneticPr fontId="29" type="noConversion"/>
  </si>
  <si>
    <r>
      <rPr>
        <sz val="10"/>
        <rFont val="標楷體"/>
        <family val="4"/>
        <charset val="136"/>
      </rPr>
      <t>國內投資總計</t>
    </r>
    <phoneticPr fontId="29" type="noConversion"/>
  </si>
  <si>
    <r>
      <rPr>
        <sz val="10"/>
        <rFont val="標楷體"/>
        <family val="4"/>
        <charset val="136"/>
      </rPr>
      <t>外</t>
    </r>
    <phoneticPr fontId="29" type="noConversion"/>
  </si>
  <si>
    <r>
      <rPr>
        <sz val="10"/>
        <rFont val="標楷體"/>
        <family val="4"/>
        <charset val="136"/>
      </rPr>
      <t>壽險保單質押放款</t>
    </r>
    <phoneticPr fontId="29" type="noConversion"/>
  </si>
  <si>
    <r>
      <rPr>
        <sz val="10"/>
        <rFont val="標楷體"/>
        <family val="4"/>
        <charset val="136"/>
      </rPr>
      <t>國外投資總計</t>
    </r>
    <phoneticPr fontId="29" type="noConversion"/>
  </si>
  <si>
    <r>
      <rPr>
        <sz val="10"/>
        <rFont val="標楷體"/>
        <family val="4"/>
        <charset val="136"/>
      </rPr>
      <t>不含自用不動產資金運用總計</t>
    </r>
    <phoneticPr fontId="29" type="noConversion"/>
  </si>
  <si>
    <r>
      <rPr>
        <sz val="10"/>
        <rFont val="標楷體"/>
        <family val="4"/>
        <charset val="136"/>
      </rPr>
      <t>其</t>
    </r>
    <phoneticPr fontId="29" type="noConversion"/>
  </si>
  <si>
    <r>
      <rPr>
        <sz val="10"/>
        <rFont val="標楷體"/>
        <family val="4"/>
        <charset val="136"/>
      </rPr>
      <t>自用土地</t>
    </r>
    <phoneticPr fontId="29" type="noConversion"/>
  </si>
  <si>
    <r>
      <rPr>
        <sz val="10"/>
        <rFont val="標楷體"/>
        <family val="4"/>
        <charset val="136"/>
      </rPr>
      <t>自用房屋及建築</t>
    </r>
    <phoneticPr fontId="29" type="noConversion"/>
  </si>
  <si>
    <r>
      <rPr>
        <sz val="10"/>
        <rFont val="標楷體"/>
        <family val="4"/>
        <charset val="136"/>
      </rPr>
      <t>他</t>
    </r>
    <phoneticPr fontId="29" type="noConversion"/>
  </si>
  <si>
    <r>
      <rPr>
        <sz val="10"/>
        <rFont val="標楷體"/>
        <family val="4"/>
        <charset val="136"/>
      </rPr>
      <t>含自用不動產資金運用總計</t>
    </r>
    <phoneticPr fontId="29" type="noConversion"/>
  </si>
  <si>
    <r>
      <rPr>
        <sz val="10"/>
        <rFont val="標楷體"/>
        <family val="4"/>
        <charset val="136"/>
      </rPr>
      <t>帳面金額</t>
    </r>
  </si>
  <si>
    <r>
      <rPr>
        <sz val="10"/>
        <rFont val="標楷體"/>
        <family val="4"/>
        <charset val="136"/>
      </rPr>
      <t>帳面淨額</t>
    </r>
  </si>
  <si>
    <r>
      <rPr>
        <sz val="10"/>
        <rFont val="標楷體"/>
        <family val="4"/>
        <charset val="136"/>
      </rPr>
      <t>取得時鑑價公司</t>
    </r>
  </si>
  <si>
    <r>
      <rPr>
        <sz val="10"/>
        <rFont val="標楷體"/>
        <family val="4"/>
        <charset val="136"/>
      </rPr>
      <t>備註</t>
    </r>
  </si>
  <si>
    <r>
      <rPr>
        <sz val="10"/>
        <rFont val="標楷體"/>
        <family val="4"/>
        <charset val="136"/>
      </rPr>
      <t>代號</t>
    </r>
  </si>
  <si>
    <r>
      <rPr>
        <sz val="10"/>
        <rFont val="標楷體"/>
        <family val="4"/>
        <charset val="136"/>
      </rPr>
      <t>名稱</t>
    </r>
  </si>
  <si>
    <r>
      <rPr>
        <sz val="10"/>
        <rFont val="標楷體"/>
        <family val="4"/>
        <charset val="136"/>
      </rPr>
      <t>鑑價價格</t>
    </r>
  </si>
  <si>
    <r>
      <rPr>
        <sz val="10"/>
        <rFont val="標楷體"/>
        <family val="4"/>
        <charset val="136"/>
      </rPr>
      <t>單位</t>
    </r>
    <r>
      <rPr>
        <sz val="10"/>
        <rFont val="Book Antiqua"/>
        <family val="1"/>
      </rPr>
      <t>:</t>
    </r>
    <r>
      <rPr>
        <sz val="10"/>
        <rFont val="標楷體"/>
        <family val="4"/>
        <charset val="136"/>
      </rPr>
      <t>新台幣元</t>
    </r>
    <r>
      <rPr>
        <sz val="10"/>
        <rFont val="Book Antiqua"/>
        <family val="1"/>
      </rPr>
      <t>,%</t>
    </r>
  </si>
  <si>
    <r>
      <rPr>
        <sz val="10"/>
        <rFont val="標楷體"/>
        <family val="4"/>
        <charset val="136"/>
      </rPr>
      <t>種類</t>
    </r>
  </si>
  <si>
    <r>
      <rPr>
        <sz val="10"/>
        <rFont val="標楷體"/>
        <family val="4"/>
        <charset val="136"/>
      </rPr>
      <t>不動產座落地點</t>
    </r>
  </si>
  <si>
    <r>
      <rPr>
        <sz val="10"/>
        <rFont val="標楷體"/>
        <family val="4"/>
        <charset val="136"/>
      </rPr>
      <t>是否有收益性</t>
    </r>
  </si>
  <si>
    <r>
      <rPr>
        <sz val="10"/>
        <rFont val="標楷體"/>
        <family val="4"/>
        <charset val="136"/>
      </rPr>
      <t xml:space="preserve">面積
</t>
    </r>
    <r>
      <rPr>
        <sz val="10"/>
        <rFont val="Book Antiqua"/>
        <family val="1"/>
      </rPr>
      <t>(</t>
    </r>
    <r>
      <rPr>
        <sz val="10"/>
        <rFont val="標楷體"/>
        <family val="4"/>
        <charset val="136"/>
      </rPr>
      <t>平方公尺</t>
    </r>
    <r>
      <rPr>
        <sz val="10"/>
        <rFont val="Book Antiqua"/>
        <family val="1"/>
      </rPr>
      <t>)</t>
    </r>
  </si>
  <si>
    <r>
      <rPr>
        <sz val="10"/>
        <rFont val="標楷體"/>
        <family val="4"/>
        <charset val="136"/>
      </rPr>
      <t>使用種類</t>
    </r>
  </si>
  <si>
    <r>
      <rPr>
        <sz val="10"/>
        <rFont val="標楷體"/>
        <family val="4"/>
        <charset val="136"/>
      </rPr>
      <t>取得方式</t>
    </r>
  </si>
  <si>
    <r>
      <rPr>
        <sz val="10"/>
        <rFont val="標楷體"/>
        <family val="4"/>
        <charset val="136"/>
      </rPr>
      <t xml:space="preserve">取得年月日
</t>
    </r>
    <r>
      <rPr>
        <sz val="10"/>
        <rFont val="Book Antiqua"/>
        <family val="1"/>
      </rPr>
      <t>(</t>
    </r>
    <r>
      <rPr>
        <sz val="10"/>
        <rFont val="標楷體"/>
        <family val="4"/>
        <charset val="136"/>
      </rPr>
      <t>主排序</t>
    </r>
    <r>
      <rPr>
        <sz val="10"/>
        <rFont val="Book Antiqua"/>
        <family val="1"/>
      </rPr>
      <t>-</t>
    </r>
    <r>
      <rPr>
        <sz val="10"/>
        <rFont val="標楷體"/>
        <family val="4"/>
        <charset val="136"/>
      </rPr>
      <t>遞減</t>
    </r>
    <r>
      <rPr>
        <sz val="10"/>
        <rFont val="Book Antiqua"/>
        <family val="1"/>
      </rPr>
      <t>)</t>
    </r>
  </si>
  <si>
    <r>
      <rPr>
        <sz val="10"/>
        <rFont val="標楷體"/>
        <family val="4"/>
        <charset val="136"/>
      </rPr>
      <t>出賣人</t>
    </r>
  </si>
  <si>
    <r>
      <rPr>
        <sz val="10"/>
        <rFont val="標楷體"/>
        <family val="4"/>
        <charset val="136"/>
      </rPr>
      <t>持有資產幣別</t>
    </r>
  </si>
  <si>
    <r>
      <rPr>
        <sz val="10"/>
        <rFont val="標楷體"/>
        <family val="4"/>
        <charset val="136"/>
      </rPr>
      <t>取得時投入成本</t>
    </r>
  </si>
  <si>
    <r>
      <rPr>
        <sz val="10"/>
        <rFont val="標楷體"/>
        <family val="4"/>
        <charset val="136"/>
      </rPr>
      <t>重估增值
金額</t>
    </r>
  </si>
  <si>
    <r>
      <rPr>
        <sz val="10"/>
        <rFont val="標楷體"/>
        <family val="4"/>
        <charset val="136"/>
      </rPr>
      <t>年</t>
    </r>
  </si>
  <si>
    <r>
      <rPr>
        <sz val="10"/>
        <rFont val="標楷體"/>
        <family val="4"/>
        <charset val="136"/>
      </rPr>
      <t>是否為關係人</t>
    </r>
  </si>
  <si>
    <r>
      <rPr>
        <sz val="10"/>
        <rFont val="標楷體"/>
        <family val="4"/>
        <charset val="136"/>
      </rPr>
      <t>各項代號係指統一編號或洽由財團法人保險事業發展中心統一配賦</t>
    </r>
  </si>
  <si>
    <r>
      <rPr>
        <sz val="10"/>
        <rFont val="標楷體"/>
        <family val="4"/>
        <charset val="136"/>
      </rPr>
      <t>種類請依序填列</t>
    </r>
    <r>
      <rPr>
        <sz val="10"/>
        <rFont val="Book Antiqua"/>
        <family val="1"/>
      </rPr>
      <t>A.</t>
    </r>
    <r>
      <rPr>
        <sz val="10"/>
        <rFont val="標楷體"/>
        <family val="4"/>
        <charset val="136"/>
      </rPr>
      <t>土地</t>
    </r>
    <r>
      <rPr>
        <sz val="10"/>
        <rFont val="Book Antiqua"/>
        <family val="1"/>
      </rPr>
      <t>B.</t>
    </r>
    <r>
      <rPr>
        <sz val="10"/>
        <rFont val="標楷體"/>
        <family val="4"/>
        <charset val="136"/>
      </rPr>
      <t>房屋</t>
    </r>
    <r>
      <rPr>
        <sz val="10"/>
        <rFont val="Book Antiqua"/>
        <family val="1"/>
      </rPr>
      <t>,C.</t>
    </r>
    <r>
      <rPr>
        <sz val="10"/>
        <rFont val="標楷體"/>
        <family val="4"/>
        <charset val="136"/>
      </rPr>
      <t>地上權</t>
    </r>
    <r>
      <rPr>
        <sz val="10"/>
        <rFont val="Book Antiqua"/>
        <family val="1"/>
      </rPr>
      <t>,D.</t>
    </r>
    <r>
      <rPr>
        <sz val="10"/>
        <rFont val="標楷體"/>
        <family val="4"/>
        <charset val="136"/>
      </rPr>
      <t>預付房地款</t>
    </r>
    <r>
      <rPr>
        <sz val="10"/>
        <rFont val="Book Antiqua"/>
        <family val="1"/>
      </rPr>
      <t>,E.</t>
    </r>
    <r>
      <rPr>
        <sz val="10"/>
        <rFont val="標楷體"/>
        <family val="4"/>
        <charset val="136"/>
      </rPr>
      <t>未完工程</t>
    </r>
    <r>
      <rPr>
        <sz val="10"/>
        <rFont val="Book Antiqua"/>
        <family val="1"/>
      </rPr>
      <t>,F.</t>
    </r>
    <r>
      <rPr>
        <sz val="10"/>
        <rFont val="標楷體"/>
        <family val="4"/>
        <charset val="136"/>
      </rPr>
      <t>其他</t>
    </r>
    <r>
      <rPr>
        <sz val="10"/>
        <rFont val="Book Antiqua"/>
        <family val="1"/>
      </rPr>
      <t>,</t>
    </r>
    <r>
      <rPr>
        <sz val="10"/>
        <rFont val="標楷體"/>
        <family val="4"/>
        <charset val="136"/>
      </rPr>
      <t>本表含在建工程或未完工程等項目</t>
    </r>
  </si>
  <si>
    <r>
      <rPr>
        <sz val="10"/>
        <rFont val="標楷體"/>
        <family val="4"/>
        <charset val="136"/>
      </rPr>
      <t>座落地點於土地請填詳細地號，於房屋請填詳細地址及建號</t>
    </r>
    <r>
      <rPr>
        <sz val="10"/>
        <rFont val="Book Antiqua"/>
        <family val="1"/>
      </rPr>
      <t xml:space="preserve"> </t>
    </r>
  </si>
  <si>
    <r>
      <rPr>
        <sz val="10"/>
        <rFont val="標楷體"/>
        <family val="4"/>
        <charset val="136"/>
      </rPr>
      <t>所稱收益性係指不動產有出租事實並有現金流入者</t>
    </r>
    <r>
      <rPr>
        <sz val="10"/>
        <rFont val="Book Antiqua"/>
        <family val="1"/>
      </rPr>
      <t>,</t>
    </r>
    <r>
      <rPr>
        <sz val="10"/>
        <rFont val="標楷體"/>
        <family val="4"/>
        <charset val="136"/>
      </rPr>
      <t>有收益者請填</t>
    </r>
    <r>
      <rPr>
        <sz val="10"/>
        <rFont val="Book Antiqua"/>
        <family val="1"/>
      </rPr>
      <t>Y,</t>
    </r>
    <r>
      <rPr>
        <sz val="10"/>
        <rFont val="標楷體"/>
        <family val="4"/>
        <charset val="136"/>
      </rPr>
      <t>若無請填</t>
    </r>
    <r>
      <rPr>
        <sz val="10"/>
        <rFont val="Book Antiqua"/>
        <family val="1"/>
      </rPr>
      <t>N</t>
    </r>
  </si>
  <si>
    <r>
      <rPr>
        <sz val="10"/>
        <rFont val="標楷體"/>
        <family val="4"/>
        <charset val="136"/>
      </rPr>
      <t>所稱面積於土地係指土地面積</t>
    </r>
    <r>
      <rPr>
        <sz val="10"/>
        <rFont val="Book Antiqua"/>
        <family val="1"/>
      </rPr>
      <t>,</t>
    </r>
    <r>
      <rPr>
        <sz val="10"/>
        <rFont val="標楷體"/>
        <family val="4"/>
        <charset val="136"/>
      </rPr>
      <t>於房屋係指建物面積</t>
    </r>
    <r>
      <rPr>
        <sz val="10"/>
        <rFont val="Book Antiqua"/>
        <family val="1"/>
      </rPr>
      <t>,</t>
    </r>
    <r>
      <rPr>
        <sz val="10"/>
        <rFont val="標楷體"/>
        <family val="4"/>
        <charset val="136"/>
      </rPr>
      <t>單位為平方公尺</t>
    </r>
    <r>
      <rPr>
        <sz val="10"/>
        <rFont val="Book Antiqua"/>
        <family val="1"/>
      </rPr>
      <t xml:space="preserve"> </t>
    </r>
  </si>
  <si>
    <r>
      <rPr>
        <sz val="10"/>
        <rFont val="標楷體"/>
        <family val="4"/>
        <charset val="136"/>
      </rPr>
      <t>使用種類請依序填列</t>
    </r>
    <r>
      <rPr>
        <sz val="10"/>
        <rFont val="Book Antiqua"/>
        <family val="1"/>
      </rPr>
      <t>A.</t>
    </r>
    <r>
      <rPr>
        <sz val="10"/>
        <rFont val="標楷體"/>
        <family val="4"/>
        <charset val="136"/>
      </rPr>
      <t>自用</t>
    </r>
    <r>
      <rPr>
        <sz val="10"/>
        <rFont val="Book Antiqua"/>
        <family val="1"/>
      </rPr>
      <t>,B.</t>
    </r>
    <r>
      <rPr>
        <sz val="10"/>
        <rFont val="標楷體"/>
        <family val="4"/>
        <charset val="136"/>
      </rPr>
      <t>投資用</t>
    </r>
    <r>
      <rPr>
        <sz val="10"/>
        <rFont val="Book Antiqua"/>
        <family val="1"/>
      </rPr>
      <t>C.</t>
    </r>
    <r>
      <rPr>
        <sz val="10"/>
        <rFont val="標楷體"/>
        <family val="4"/>
        <charset val="136"/>
      </rPr>
      <t>其他</t>
    </r>
    <r>
      <rPr>
        <sz val="10"/>
        <rFont val="Book Antiqua"/>
        <family val="1"/>
      </rPr>
      <t>,</t>
    </r>
    <r>
      <rPr>
        <sz val="10"/>
        <rFont val="標楷體"/>
        <family val="4"/>
        <charset val="136"/>
      </rPr>
      <t>若不動產有分屬投資或自用或使用人不同者</t>
    </r>
    <r>
      <rPr>
        <sz val="10"/>
        <rFont val="Book Antiqua"/>
        <family val="1"/>
      </rPr>
      <t>,</t>
    </r>
    <r>
      <rPr>
        <sz val="10"/>
        <rFont val="標楷體"/>
        <family val="4"/>
        <charset val="136"/>
      </rPr>
      <t>均分別列示</t>
    </r>
    <r>
      <rPr>
        <sz val="10"/>
        <rFont val="Book Antiqua"/>
        <family val="1"/>
      </rPr>
      <t>(</t>
    </r>
    <r>
      <rPr>
        <sz val="10"/>
        <rFont val="標楷體"/>
        <family val="4"/>
        <charset val="136"/>
      </rPr>
      <t>建造工程於建造前已決定其使用目的且經提報董事會決議者</t>
    </r>
    <r>
      <rPr>
        <sz val="10"/>
        <rFont val="Book Antiqua"/>
        <family val="1"/>
      </rPr>
      <t>,</t>
    </r>
    <r>
      <rPr>
        <sz val="10"/>
        <rFont val="標楷體"/>
        <family val="4"/>
        <charset val="136"/>
      </rPr>
      <t>其使用目的為投資用者歸入其他不動產投資項目中</t>
    </r>
    <r>
      <rPr>
        <sz val="10"/>
        <rFont val="Book Antiqua"/>
        <family val="1"/>
      </rPr>
      <t>,</t>
    </r>
    <r>
      <rPr>
        <sz val="10"/>
        <rFont val="標楷體"/>
        <family val="4"/>
        <charset val="136"/>
      </rPr>
      <t>其使用目的為自用者歸入自用不動產項目中</t>
    </r>
    <r>
      <rPr>
        <sz val="10"/>
        <rFont val="Book Antiqua"/>
        <family val="1"/>
      </rPr>
      <t>,</t>
    </r>
    <r>
      <rPr>
        <sz val="10"/>
        <rFont val="標楷體"/>
        <family val="4"/>
        <charset val="136"/>
      </rPr>
      <t>預付房地款</t>
    </r>
    <r>
      <rPr>
        <sz val="10"/>
        <rFont val="Book Antiqua"/>
        <family val="1"/>
      </rPr>
      <t>,</t>
    </r>
    <r>
      <rPr>
        <sz val="10"/>
        <rFont val="標楷體"/>
        <family val="4"/>
        <charset val="136"/>
      </rPr>
      <t>於購置前已決定其使用目的為供營業用</t>
    </r>
    <r>
      <rPr>
        <sz val="10"/>
        <rFont val="Book Antiqua"/>
        <family val="1"/>
      </rPr>
      <t>,</t>
    </r>
    <r>
      <rPr>
        <sz val="10"/>
        <rFont val="標楷體"/>
        <family val="4"/>
        <charset val="136"/>
      </rPr>
      <t>經提報董事會決議者</t>
    </r>
    <r>
      <rPr>
        <sz val="10"/>
        <rFont val="Book Antiqua"/>
        <family val="1"/>
      </rPr>
      <t>,</t>
    </r>
    <r>
      <rPr>
        <sz val="10"/>
        <rFont val="標楷體"/>
        <family val="4"/>
        <charset val="136"/>
      </rPr>
      <t>歸入自用不動產項目中</t>
    </r>
    <r>
      <rPr>
        <sz val="10"/>
        <rFont val="Book Antiqua"/>
        <family val="1"/>
      </rPr>
      <t>)</t>
    </r>
  </si>
  <si>
    <r>
      <rPr>
        <sz val="10"/>
        <rFont val="標楷體"/>
        <family val="4"/>
        <charset val="136"/>
      </rPr>
      <t>取得方式請填</t>
    </r>
    <r>
      <rPr>
        <sz val="10"/>
        <rFont val="Book Antiqua"/>
        <family val="1"/>
      </rPr>
      <t>A.</t>
    </r>
    <r>
      <rPr>
        <sz val="10"/>
        <rFont val="標楷體"/>
        <family val="4"/>
        <charset val="136"/>
      </rPr>
      <t>買賣</t>
    </r>
    <r>
      <rPr>
        <sz val="10"/>
        <rFont val="Book Antiqua"/>
        <family val="1"/>
      </rPr>
      <t>,B.</t>
    </r>
    <r>
      <rPr>
        <sz val="10"/>
        <rFont val="標楷體"/>
        <family val="4"/>
        <charset val="136"/>
      </rPr>
      <t>承受擔保</t>
    </r>
    <r>
      <rPr>
        <sz val="10"/>
        <rFont val="Book Antiqua"/>
        <family val="1"/>
      </rPr>
      <t>-</t>
    </r>
    <r>
      <rPr>
        <sz val="10"/>
        <rFont val="標楷體"/>
        <family val="4"/>
        <charset val="136"/>
      </rPr>
      <t>協議取得</t>
    </r>
    <r>
      <rPr>
        <sz val="10"/>
        <rFont val="Book Antiqua"/>
        <family val="1"/>
      </rPr>
      <t>,C.</t>
    </r>
    <r>
      <rPr>
        <sz val="10"/>
        <rFont val="標楷體"/>
        <family val="4"/>
        <charset val="136"/>
      </rPr>
      <t>承受擔保品</t>
    </r>
    <r>
      <rPr>
        <sz val="10"/>
        <rFont val="Book Antiqua"/>
        <family val="1"/>
      </rPr>
      <t>-</t>
    </r>
    <r>
      <rPr>
        <sz val="10"/>
        <rFont val="標楷體"/>
        <family val="4"/>
        <charset val="136"/>
      </rPr>
      <t>經法院拍賣取得</t>
    </r>
    <r>
      <rPr>
        <sz val="10"/>
        <rFont val="Book Antiqua"/>
        <family val="1"/>
      </rPr>
      <t>,D.</t>
    </r>
    <r>
      <rPr>
        <sz val="10"/>
        <rFont val="標楷體"/>
        <family val="4"/>
        <charset val="136"/>
      </rPr>
      <t>其他</t>
    </r>
  </si>
  <si>
    <r>
      <rPr>
        <sz val="10"/>
        <rFont val="標楷體"/>
        <family val="4"/>
        <charset val="136"/>
      </rPr>
      <t>取得年月日填寫方式為</t>
    </r>
    <r>
      <rPr>
        <sz val="10"/>
        <rFont val="Book Antiqua"/>
        <family val="1"/>
      </rPr>
      <t>2005/06/25,</t>
    </r>
    <r>
      <rPr>
        <sz val="10"/>
        <rFont val="標楷體"/>
        <family val="4"/>
        <charset val="136"/>
      </rPr>
      <t>以權狀登記日為準</t>
    </r>
    <r>
      <rPr>
        <sz val="10"/>
        <rFont val="Book Antiqua"/>
        <family val="1"/>
      </rPr>
      <t>,</t>
    </r>
    <r>
      <rPr>
        <sz val="10"/>
        <rFont val="標楷體"/>
        <family val="4"/>
        <charset val="136"/>
      </rPr>
      <t>在建工程或未完工程請填無</t>
    </r>
  </si>
  <si>
    <r>
      <rPr>
        <sz val="10"/>
        <rFont val="標楷體"/>
        <family val="4"/>
        <charset val="136"/>
      </rPr>
      <t>是否為關係人請依序填列</t>
    </r>
    <r>
      <rPr>
        <sz val="10"/>
        <rFont val="Book Antiqua"/>
        <family val="1"/>
      </rPr>
      <t>A.</t>
    </r>
    <r>
      <rPr>
        <sz val="10"/>
        <rFont val="標楷體"/>
        <family val="4"/>
        <charset val="136"/>
      </rPr>
      <t>否</t>
    </r>
    <r>
      <rPr>
        <sz val="10"/>
        <rFont val="Book Antiqua"/>
        <family val="1"/>
      </rPr>
      <t>,B.</t>
    </r>
    <r>
      <rPr>
        <sz val="10"/>
        <rFont val="標楷體"/>
        <family val="4"/>
        <charset val="136"/>
      </rPr>
      <t>關係人</t>
    </r>
    <r>
      <rPr>
        <sz val="10"/>
        <rFont val="Book Antiqua"/>
        <family val="1"/>
      </rPr>
      <t>-</t>
    </r>
    <r>
      <rPr>
        <sz val="10"/>
        <rFont val="標楷體"/>
        <family val="4"/>
        <charset val="136"/>
      </rPr>
      <t>非控制與從屬關係</t>
    </r>
    <r>
      <rPr>
        <sz val="10"/>
        <rFont val="Book Antiqua"/>
        <family val="1"/>
      </rPr>
      <t>,C.</t>
    </r>
    <r>
      <rPr>
        <sz val="10"/>
        <rFont val="標楷體"/>
        <family val="4"/>
        <charset val="136"/>
      </rPr>
      <t>關係人</t>
    </r>
    <r>
      <rPr>
        <sz val="10"/>
        <rFont val="Book Antiqua"/>
        <family val="1"/>
      </rPr>
      <t>-</t>
    </r>
    <r>
      <rPr>
        <sz val="10"/>
        <rFont val="標楷體"/>
        <family val="4"/>
        <charset val="136"/>
      </rPr>
      <t>具控制與從屬關係</t>
    </r>
    <r>
      <rPr>
        <sz val="10"/>
        <rFont val="Book Antiqua"/>
        <family val="1"/>
      </rPr>
      <t>;</t>
    </r>
    <r>
      <rPr>
        <sz val="10"/>
        <rFont val="標楷體"/>
        <family val="4"/>
        <charset val="136"/>
      </rPr>
      <t>所稱關係人係依國際會計準則第二十四號公報及公司法第</t>
    </r>
    <r>
      <rPr>
        <sz val="10"/>
        <rFont val="Book Antiqua"/>
        <family val="1"/>
      </rPr>
      <t>369-1~369-3</t>
    </r>
    <r>
      <rPr>
        <sz val="10"/>
        <rFont val="標楷體"/>
        <family val="4"/>
        <charset val="136"/>
      </rPr>
      <t>條、第</t>
    </r>
    <r>
      <rPr>
        <sz val="10"/>
        <rFont val="Book Antiqua"/>
        <family val="1"/>
      </rPr>
      <t>369-9</t>
    </r>
    <r>
      <rPr>
        <sz val="10"/>
        <rFont val="標楷體"/>
        <family val="4"/>
        <charset val="136"/>
      </rPr>
      <t>條、及第</t>
    </r>
    <r>
      <rPr>
        <sz val="10"/>
        <rFont val="Book Antiqua"/>
        <family val="1"/>
      </rPr>
      <t>369-11</t>
    </r>
    <r>
      <rPr>
        <sz val="10"/>
        <rFont val="標楷體"/>
        <family val="4"/>
        <charset val="136"/>
      </rPr>
      <t>條及關係企業合併營業報告書關係企業合併財務報表及關係報告書編製準則第六條之規定</t>
    </r>
    <phoneticPr fontId="29" type="noConversion"/>
  </si>
  <si>
    <r>
      <rPr>
        <sz val="10"/>
        <rFont val="標楷體"/>
        <family val="4"/>
        <charset val="136"/>
      </rPr>
      <t>買賣人代號請填其統一編號或身分證字號</t>
    </r>
    <r>
      <rPr>
        <sz val="10"/>
        <rFont val="Book Antiqua"/>
        <family val="1"/>
      </rPr>
      <t>,</t>
    </r>
    <r>
      <rPr>
        <sz val="10"/>
        <rFont val="標楷體"/>
        <family val="4"/>
        <charset val="136"/>
      </rPr>
      <t>若現所持有不動產係五年內購自於關係人者</t>
    </r>
    <r>
      <rPr>
        <sz val="10"/>
        <rFont val="Book Antiqua"/>
        <family val="1"/>
      </rPr>
      <t>,</t>
    </r>
    <r>
      <rPr>
        <sz val="10"/>
        <rFont val="標楷體"/>
        <family val="4"/>
        <charset val="136"/>
      </rPr>
      <t>應於出賣人欄填列出賣人名稱及代號</t>
    </r>
    <r>
      <rPr>
        <sz val="10"/>
        <rFont val="Book Antiqua"/>
        <family val="1"/>
      </rPr>
      <t>,</t>
    </r>
    <r>
      <rPr>
        <sz val="10"/>
        <rFont val="標楷體"/>
        <family val="4"/>
        <charset val="136"/>
      </rPr>
      <t>餘若不可考者免填</t>
    </r>
  </si>
  <si>
    <r>
      <rPr>
        <sz val="10"/>
        <rFont val="標楷體"/>
        <family val="4"/>
        <charset val="136"/>
      </rPr>
      <t>取得時投入成本含修繕不動產之資本支出</t>
    </r>
  </si>
  <si>
    <r>
      <rPr>
        <sz val="10"/>
        <rFont val="標楷體"/>
        <family val="4"/>
        <charset val="136"/>
      </rPr>
      <t>鑑價公司係指九十年以後取得</t>
    </r>
    <r>
      <rPr>
        <sz val="10"/>
        <rFont val="Book Antiqua"/>
        <family val="1"/>
      </rPr>
      <t>(</t>
    </r>
    <r>
      <rPr>
        <sz val="10"/>
        <rFont val="標楷體"/>
        <family val="4"/>
        <charset val="136"/>
      </rPr>
      <t>買賣交易</t>
    </r>
    <r>
      <rPr>
        <sz val="10"/>
        <rFont val="Book Antiqua"/>
        <family val="1"/>
      </rPr>
      <t>)</t>
    </r>
    <r>
      <rPr>
        <sz val="10"/>
        <rFont val="標楷體"/>
        <family val="4"/>
        <charset val="136"/>
      </rPr>
      <t>不動產時之鑑價公司</t>
    </r>
  </si>
  <si>
    <r>
      <rPr>
        <sz val="10"/>
        <rFont val="標楷體"/>
        <family val="4"/>
        <charset val="136"/>
      </rPr>
      <t>不動產種類</t>
    </r>
  </si>
  <si>
    <r>
      <rPr>
        <sz val="10"/>
        <rFont val="標楷體"/>
        <family val="4"/>
        <charset val="136"/>
      </rPr>
      <t>土地</t>
    </r>
  </si>
  <si>
    <r>
      <rPr>
        <sz val="10"/>
        <rFont val="標楷體"/>
        <family val="4"/>
        <charset val="136"/>
      </rPr>
      <t>房屋</t>
    </r>
  </si>
  <si>
    <r>
      <rPr>
        <sz val="10"/>
        <rFont val="標楷體"/>
        <family val="4"/>
        <charset val="136"/>
      </rPr>
      <t>地上權</t>
    </r>
  </si>
  <si>
    <r>
      <rPr>
        <sz val="10"/>
        <rFont val="標楷體"/>
        <family val="4"/>
        <charset val="136"/>
      </rPr>
      <t>國內</t>
    </r>
    <phoneticPr fontId="26" type="noConversion"/>
  </si>
  <si>
    <r>
      <rPr>
        <sz val="10"/>
        <rFont val="標楷體"/>
        <family val="4"/>
        <charset val="136"/>
      </rPr>
      <t>國外</t>
    </r>
    <phoneticPr fontId="26" type="noConversion"/>
  </si>
  <si>
    <r>
      <rPr>
        <sz val="10"/>
        <rFont val="標楷體"/>
        <family val="4"/>
        <charset val="136"/>
      </rPr>
      <t>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phoneticPr fontId="26" type="noConversion"/>
  </si>
  <si>
    <r>
      <rPr>
        <sz val="10"/>
        <rFont val="標楷體"/>
        <family val="4"/>
        <charset val="136"/>
      </rPr>
      <t>投資用不動產稅後增值或稅後減少之金額</t>
    </r>
    <r>
      <rPr>
        <sz val="10"/>
        <rFont val="Book Antiqua"/>
        <family val="1"/>
      </rPr>
      <t>(</t>
    </r>
    <r>
      <rPr>
        <sz val="10"/>
        <rFont val="標楷體"/>
        <family val="4"/>
        <charset val="136"/>
      </rPr>
      <t>註</t>
    </r>
    <r>
      <rPr>
        <sz val="10"/>
        <rFont val="Book Antiqua"/>
        <family val="1"/>
      </rPr>
      <t>)</t>
    </r>
    <phoneticPr fontId="26" type="noConversion"/>
  </si>
  <si>
    <r>
      <rPr>
        <sz val="10"/>
        <rFont val="標楷體"/>
        <family val="4"/>
        <charset val="136"/>
      </rPr>
      <t>占資金比率</t>
    </r>
    <r>
      <rPr>
        <sz val="10"/>
        <rFont val="Book Antiqua"/>
        <family val="1"/>
      </rPr>
      <t>%</t>
    </r>
  </si>
  <si>
    <r>
      <rPr>
        <sz val="10"/>
        <rFont val="標楷體"/>
        <family val="4"/>
        <charset val="136"/>
      </rPr>
      <t>占業主權益比率</t>
    </r>
    <r>
      <rPr>
        <sz val="10"/>
        <rFont val="Book Antiqua"/>
        <family val="1"/>
      </rPr>
      <t>%</t>
    </r>
  </si>
  <si>
    <r>
      <rPr>
        <sz val="10"/>
        <rFont val="標楷體"/>
        <family val="4"/>
        <charset val="136"/>
      </rPr>
      <t>承受擔保品</t>
    </r>
    <r>
      <rPr>
        <sz val="10"/>
        <rFont val="Book Antiqua"/>
        <family val="1"/>
      </rPr>
      <t>---</t>
    </r>
    <r>
      <rPr>
        <sz val="10"/>
        <rFont val="標楷體"/>
        <family val="4"/>
        <charset val="136"/>
      </rPr>
      <t>協議取得</t>
    </r>
  </si>
  <si>
    <r>
      <rPr>
        <sz val="10"/>
        <rFont val="標楷體"/>
        <family val="4"/>
        <charset val="136"/>
      </rPr>
      <t>承受擔保品</t>
    </r>
    <r>
      <rPr>
        <sz val="10"/>
        <rFont val="Book Antiqua"/>
        <family val="1"/>
      </rPr>
      <t>---</t>
    </r>
    <r>
      <rPr>
        <sz val="10"/>
        <rFont val="標楷體"/>
        <family val="4"/>
        <charset val="136"/>
      </rPr>
      <t>經法院拍賣取得</t>
    </r>
  </si>
  <si>
    <r>
      <rPr>
        <sz val="10"/>
        <rFont val="標楷體"/>
        <family val="4"/>
        <charset val="136"/>
      </rPr>
      <t>具控制與從屬關係</t>
    </r>
    <r>
      <rPr>
        <sz val="10"/>
        <rFont val="Book Antiqua"/>
        <family val="1"/>
      </rPr>
      <t>--</t>
    </r>
    <r>
      <rPr>
        <sz val="10"/>
        <rFont val="標楷體"/>
        <family val="4"/>
        <charset val="136"/>
      </rPr>
      <t>具收益性之不動產</t>
    </r>
    <phoneticPr fontId="26" type="noConversion"/>
  </si>
  <si>
    <r>
      <rPr>
        <sz val="10"/>
        <rFont val="標楷體"/>
        <family val="4"/>
        <charset val="136"/>
      </rPr>
      <t>非控制與從屬關係</t>
    </r>
    <r>
      <rPr>
        <sz val="10"/>
        <rFont val="Book Antiqua"/>
        <family val="1"/>
      </rPr>
      <t>--</t>
    </r>
    <r>
      <rPr>
        <sz val="10"/>
        <rFont val="標楷體"/>
        <family val="4"/>
        <charset val="136"/>
      </rPr>
      <t>具收益性之不動產</t>
    </r>
    <phoneticPr fontId="26" type="noConversion"/>
  </si>
  <si>
    <t>(18)</t>
    <phoneticPr fontId="29" type="noConversion"/>
  </si>
  <si>
    <t>(19)</t>
    <phoneticPr fontId="29" type="noConversion"/>
  </si>
  <si>
    <t>(20)=(15)-(18)</t>
    <phoneticPr fontId="29" type="noConversion"/>
  </si>
  <si>
    <t>(21)=(19)-(20)</t>
    <phoneticPr fontId="29" type="noConversion"/>
  </si>
  <si>
    <t>(22)</t>
    <phoneticPr fontId="29" type="noConversion"/>
  </si>
  <si>
    <t>(23)</t>
    <phoneticPr fontId="29" type="noConversion"/>
  </si>
  <si>
    <t>(31)</t>
  </si>
  <si>
    <t>(32)</t>
  </si>
  <si>
    <t>(34)</t>
  </si>
  <si>
    <t>1</t>
  </si>
  <si>
    <r>
      <rPr>
        <b/>
        <sz val="10"/>
        <rFont val="標楷體"/>
        <family val="4"/>
        <charset val="136"/>
      </rPr>
      <t>風險係數</t>
    </r>
  </si>
  <si>
    <r>
      <rPr>
        <b/>
        <sz val="10"/>
        <rFont val="標楷體"/>
        <family val="4"/>
        <charset val="136"/>
      </rPr>
      <t>風險資本額</t>
    </r>
  </si>
  <si>
    <r>
      <t xml:space="preserve"> 5.1 </t>
    </r>
    <r>
      <rPr>
        <sz val="10"/>
        <rFont val="標楷體"/>
        <family val="4"/>
        <charset val="136"/>
      </rPr>
      <t>再保業務保費收入</t>
    </r>
    <phoneticPr fontId="26" type="noConversion"/>
  </si>
  <si>
    <r>
      <t xml:space="preserve">  5.1.1</t>
    </r>
    <r>
      <rPr>
        <sz val="10"/>
        <rFont val="標楷體"/>
        <family val="4"/>
        <charset val="136"/>
      </rPr>
      <t>產險業務</t>
    </r>
    <phoneticPr fontId="26" type="noConversion"/>
  </si>
  <si>
    <r>
      <t xml:space="preserve">  5.1.2</t>
    </r>
    <r>
      <rPr>
        <sz val="10"/>
        <rFont val="標楷體"/>
        <family val="4"/>
        <charset val="136"/>
      </rPr>
      <t>壽險業務</t>
    </r>
    <phoneticPr fontId="26" type="noConversion"/>
  </si>
  <si>
    <r>
      <t xml:space="preserve"> 5.2 </t>
    </r>
    <r>
      <rPr>
        <sz val="10"/>
        <rFont val="標楷體"/>
        <family val="4"/>
        <charset val="136"/>
      </rPr>
      <t>保險業資產總額</t>
    </r>
    <phoneticPr fontId="26" type="noConversion"/>
  </si>
  <si>
    <r>
      <rPr>
        <b/>
        <sz val="10"/>
        <rFont val="標楷體"/>
        <family val="4"/>
        <charset val="136"/>
      </rPr>
      <t>《其他風險》總計</t>
    </r>
    <phoneticPr fontId="26" type="noConversion"/>
  </si>
  <si>
    <r>
      <rPr>
        <sz val="10"/>
        <rFont val="標楷體"/>
        <family val="4"/>
        <charset val="136"/>
      </rPr>
      <t>表</t>
    </r>
    <r>
      <rPr>
        <sz val="10"/>
        <rFont val="Book Antiqua"/>
        <family val="1"/>
      </rPr>
      <t>30-7</t>
    </r>
    <r>
      <rPr>
        <sz val="10"/>
        <rFont val="標楷體"/>
        <family val="4"/>
        <charset val="136"/>
      </rPr>
      <t>：</t>
    </r>
    <r>
      <rPr>
        <sz val="10"/>
        <rFont val="Book Antiqua"/>
        <family val="1"/>
      </rPr>
      <t>R5</t>
    </r>
    <r>
      <rPr>
        <sz val="10"/>
        <rFont val="標楷體"/>
        <family val="4"/>
        <charset val="136"/>
      </rPr>
      <t>：其他風險計算表</t>
    </r>
    <phoneticPr fontId="26"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</si>
  <si>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phoneticPr fontId="26" type="noConversion"/>
  </si>
  <si>
    <r>
      <rPr>
        <b/>
        <sz val="10"/>
        <rFont val="標楷體"/>
        <family val="4"/>
        <charset val="136"/>
      </rPr>
      <t>資</t>
    </r>
    <r>
      <rPr>
        <b/>
        <sz val="10"/>
        <rFont val="Book Antiqua"/>
        <family val="1"/>
      </rPr>
      <t xml:space="preserve">      </t>
    </r>
    <r>
      <rPr>
        <b/>
        <sz val="10"/>
        <rFont val="標楷體"/>
        <family val="4"/>
        <charset val="136"/>
      </rPr>
      <t>料</t>
    </r>
    <r>
      <rPr>
        <b/>
        <sz val="10"/>
        <rFont val="Book Antiqua"/>
        <family val="1"/>
      </rPr>
      <t xml:space="preserve">      </t>
    </r>
    <r>
      <rPr>
        <b/>
        <sz val="10"/>
        <rFont val="標楷體"/>
        <family val="4"/>
        <charset val="136"/>
      </rPr>
      <t>來</t>
    </r>
    <r>
      <rPr>
        <b/>
        <sz val="10"/>
        <rFont val="Book Antiqua"/>
        <family val="1"/>
      </rPr>
      <t xml:space="preserve">      </t>
    </r>
    <r>
      <rPr>
        <b/>
        <sz val="10"/>
        <rFont val="標楷體"/>
        <family val="4"/>
        <charset val="136"/>
      </rPr>
      <t>源</t>
    </r>
    <phoneticPr fontId="26" type="noConversion"/>
  </si>
  <si>
    <r>
      <rPr>
        <b/>
        <sz val="10"/>
        <rFont val="標楷體"/>
        <family val="4"/>
        <charset val="136"/>
      </rPr>
      <t>金</t>
    </r>
    <r>
      <rPr>
        <b/>
        <sz val="10"/>
        <rFont val="Book Antiqua"/>
        <family val="1"/>
      </rPr>
      <t xml:space="preserve">     </t>
    </r>
    <r>
      <rPr>
        <b/>
        <sz val="10"/>
        <rFont val="標楷體"/>
        <family val="4"/>
        <charset val="136"/>
      </rPr>
      <t>額</t>
    </r>
  </si>
  <si>
    <r>
      <rPr>
        <b/>
        <sz val="10"/>
        <rFont val="標楷體"/>
        <family val="4"/>
        <charset val="136"/>
      </rPr>
      <t>前一年度自</t>
    </r>
    <r>
      <rPr>
        <b/>
        <sz val="10"/>
        <rFont val="Book Antiqua"/>
        <family val="1"/>
      </rPr>
      <t>7/1</t>
    </r>
    <r>
      <rPr>
        <b/>
        <sz val="10"/>
        <rFont val="標楷體"/>
        <family val="4"/>
        <charset val="136"/>
      </rPr>
      <t>至</t>
    </r>
    <r>
      <rPr>
        <b/>
        <sz val="10"/>
        <rFont val="Book Antiqua"/>
        <family val="1"/>
      </rPr>
      <t>12/31</t>
    </r>
    <r>
      <rPr>
        <b/>
        <sz val="10"/>
        <rFont val="標楷體"/>
        <family val="4"/>
        <charset val="136"/>
      </rPr>
      <t>之金額</t>
    </r>
    <phoneticPr fontId="26" type="noConversion"/>
  </si>
  <si>
    <r>
      <rPr>
        <sz val="10"/>
        <rFont val="標楷體"/>
        <family val="4"/>
        <charset val="136"/>
      </rPr>
      <t>「表</t>
    </r>
    <r>
      <rPr>
        <sz val="10"/>
        <rFont val="Book Antiqua"/>
        <family val="1"/>
      </rPr>
      <t>20-1:</t>
    </r>
    <r>
      <rPr>
        <sz val="10"/>
        <rFont val="標楷體"/>
        <family val="4"/>
        <charset val="136"/>
      </rPr>
      <t>分入再保險業務業績比較分析表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(1)</t>
    </r>
    <r>
      <rPr>
        <sz val="10"/>
        <rFont val="標楷體"/>
        <family val="4"/>
        <charset val="136"/>
      </rPr>
      <t>欄第</t>
    </r>
    <r>
      <rPr>
        <sz val="10"/>
        <rFont val="Book Antiqua"/>
        <family val="1"/>
      </rPr>
      <t>(41)</t>
    </r>
    <r>
      <rPr>
        <sz val="10"/>
        <rFont val="標楷體"/>
        <family val="4"/>
        <charset val="136"/>
      </rPr>
      <t>列</t>
    </r>
    <r>
      <rPr>
        <sz val="10"/>
        <rFont val="Book Antiqua"/>
        <family val="1"/>
      </rPr>
      <t>-</t>
    </r>
    <r>
      <rPr>
        <sz val="10"/>
        <rFont val="標楷體"/>
        <family val="4"/>
        <charset val="136"/>
      </rPr>
      <t>第</t>
    </r>
    <r>
      <rPr>
        <sz val="10"/>
        <rFont val="Book Antiqua"/>
        <family val="1"/>
      </rPr>
      <t>(15)</t>
    </r>
    <r>
      <rPr>
        <sz val="10"/>
        <rFont val="標楷體"/>
        <family val="4"/>
        <charset val="136"/>
      </rPr>
      <t>列</t>
    </r>
    <r>
      <rPr>
        <sz val="10"/>
        <rFont val="Book Antiqua"/>
        <family val="1"/>
      </rPr>
      <t>-</t>
    </r>
    <r>
      <rPr>
        <sz val="10"/>
        <rFont val="標楷體"/>
        <family val="4"/>
        <charset val="136"/>
      </rPr>
      <t>第</t>
    </r>
    <r>
      <rPr>
        <sz val="10"/>
        <rFont val="Book Antiqua"/>
        <family val="1"/>
      </rPr>
      <t>(16)</t>
    </r>
    <r>
      <rPr>
        <sz val="10"/>
        <rFont val="標楷體"/>
        <family val="4"/>
        <charset val="136"/>
      </rPr>
      <t>列</t>
    </r>
    <r>
      <rPr>
        <sz val="10"/>
        <rFont val="Book Antiqua"/>
        <family val="1"/>
      </rPr>
      <t>-</t>
    </r>
    <r>
      <rPr>
        <sz val="10"/>
        <rFont val="標楷體"/>
        <family val="4"/>
        <charset val="136"/>
      </rPr>
      <t>第</t>
    </r>
    <r>
      <rPr>
        <sz val="10"/>
        <rFont val="Book Antiqua"/>
        <family val="1"/>
      </rPr>
      <t>(17)</t>
    </r>
    <r>
      <rPr>
        <sz val="10"/>
        <rFont val="標楷體"/>
        <family val="4"/>
        <charset val="136"/>
      </rPr>
      <t>列</t>
    </r>
    <phoneticPr fontId="26" type="noConversion"/>
  </si>
  <si>
    <r>
      <rPr>
        <sz val="10"/>
        <rFont val="標楷體"/>
        <family val="4"/>
        <charset val="136"/>
      </rPr>
      <t>註：填報半年報報表時，資料來源表之數值僅包含本半年度金額，應加計前一年度下半年</t>
    </r>
    <r>
      <rPr>
        <sz val="10"/>
        <rFont val="Book Antiqua"/>
        <family val="1"/>
      </rPr>
      <t>(7/1</t>
    </r>
    <r>
      <rPr>
        <sz val="10"/>
        <rFont val="標楷體"/>
        <family val="4"/>
        <charset val="136"/>
      </rPr>
      <t>至</t>
    </r>
    <r>
      <rPr>
        <sz val="10"/>
        <rFont val="Book Antiqua"/>
        <family val="1"/>
      </rPr>
      <t>12/31)</t>
    </r>
    <r>
      <rPr>
        <sz val="10"/>
        <rFont val="標楷體"/>
        <family val="4"/>
        <charset val="136"/>
      </rPr>
      <t>金額，用以表示年化後金額。此欄位於填列年報時免填。</t>
    </r>
    <phoneticPr fontId="26" type="noConversion"/>
  </si>
  <si>
    <r>
      <rPr>
        <sz val="10"/>
        <rFont val="標楷體"/>
        <family val="4"/>
        <charset val="136"/>
      </rPr>
      <t>風險資本調整計算表</t>
    </r>
    <phoneticPr fontId="7" type="noConversion"/>
  </si>
  <si>
    <r>
      <rPr>
        <sz val="10"/>
        <rFont val="標楷體"/>
        <family val="4"/>
        <charset val="136"/>
      </rPr>
      <t>不動產種類</t>
    </r>
    <phoneticPr fontId="7" type="noConversion"/>
  </si>
  <si>
    <r>
      <rPr>
        <sz val="10"/>
        <rFont val="標楷體"/>
        <family val="4"/>
        <charset val="136"/>
      </rPr>
      <t>國內投資用不動產總計</t>
    </r>
    <phoneticPr fontId="7" type="noConversion"/>
  </si>
  <si>
    <r>
      <rPr>
        <sz val="10"/>
        <rFont val="標楷體"/>
        <family val="4"/>
        <charset val="136"/>
      </rPr>
      <t>投資用不動產投資</t>
    </r>
    <phoneticPr fontId="7" type="noConversion"/>
  </si>
  <si>
    <r>
      <rPr>
        <sz val="10"/>
        <rFont val="標楷體"/>
        <family val="4"/>
        <charset val="136"/>
      </rPr>
      <t>投資用承受擔保品</t>
    </r>
    <r>
      <rPr>
        <sz val="10"/>
        <rFont val="Book Antiqua"/>
        <family val="1"/>
      </rPr>
      <t>---</t>
    </r>
    <r>
      <rPr>
        <sz val="10"/>
        <rFont val="標楷體"/>
        <family val="4"/>
        <charset val="136"/>
      </rPr>
      <t>協議取得</t>
    </r>
    <phoneticPr fontId="7" type="noConversion"/>
  </si>
  <si>
    <r>
      <rPr>
        <sz val="10"/>
        <rFont val="標楷體"/>
        <family val="4"/>
        <charset val="136"/>
      </rPr>
      <t>投資用承受擔保品</t>
    </r>
    <r>
      <rPr>
        <sz val="10"/>
        <rFont val="Book Antiqua"/>
        <family val="1"/>
      </rPr>
      <t>---</t>
    </r>
    <r>
      <rPr>
        <sz val="10"/>
        <rFont val="標楷體"/>
        <family val="4"/>
        <charset val="136"/>
      </rPr>
      <t>經法院拍賣取得</t>
    </r>
    <phoneticPr fontId="7" type="noConversion"/>
  </si>
  <si>
    <r>
      <rPr>
        <sz val="10"/>
        <rFont val="華康仿宋體W6"/>
        <family val="3"/>
        <charset val="136"/>
      </rPr>
      <t>列號</t>
    </r>
    <phoneticPr fontId="29" type="noConversion"/>
  </si>
  <si>
    <r>
      <rPr>
        <sz val="10"/>
        <rFont val="華康仿宋體W6"/>
        <family val="3"/>
        <charset val="136"/>
      </rPr>
      <t>最近五年度資金運用收益率平均數</t>
    </r>
  </si>
  <si>
    <r>
      <t xml:space="preserve"> </t>
    </r>
    <r>
      <rPr>
        <sz val="10"/>
        <rFont val="華康仿宋體W6"/>
        <family val="3"/>
        <charset val="136"/>
      </rPr>
      <t>表</t>
    </r>
    <r>
      <rPr>
        <sz val="10"/>
        <rFont val="Book Antiqua"/>
        <family val="1"/>
      </rPr>
      <t>30-8-6</t>
    </r>
    <r>
      <rPr>
        <sz val="10"/>
        <rFont val="華康仿宋體W6"/>
        <family val="3"/>
        <charset val="136"/>
      </rPr>
      <t>：資金運用收益率調整計算表</t>
    </r>
    <phoneticPr fontId="29" type="noConversion"/>
  </si>
  <si>
    <r>
      <rPr>
        <sz val="10"/>
        <rFont val="華康仿宋體W6"/>
        <family val="3"/>
        <charset val="136"/>
      </rPr>
      <t>資金運用收益率</t>
    </r>
    <r>
      <rPr>
        <sz val="10"/>
        <rFont val="Book Antiqua"/>
        <family val="1"/>
      </rPr>
      <t>(</t>
    </r>
    <r>
      <rPr>
        <sz val="10"/>
        <rFont val="華康仿宋體W6"/>
        <family val="3"/>
        <charset val="136"/>
      </rPr>
      <t>最近五年度</t>
    </r>
    <r>
      <rPr>
        <sz val="10"/>
        <rFont val="Book Antiqua"/>
        <family val="1"/>
      </rPr>
      <t>)</t>
    </r>
    <phoneticPr fontId="29" type="noConversion"/>
  </si>
  <si>
    <r>
      <t>__</t>
    </r>
    <r>
      <rPr>
        <sz val="10"/>
        <rFont val="華康仿宋體W6"/>
        <family val="3"/>
        <charset val="136"/>
      </rPr>
      <t xml:space="preserve">年
</t>
    </r>
    <r>
      <rPr>
        <sz val="10"/>
        <rFont val="Book Antiqua"/>
        <family val="1"/>
      </rPr>
      <t>(</t>
    </r>
    <r>
      <rPr>
        <sz val="10"/>
        <rFont val="華康仿宋體W6"/>
        <family val="3"/>
        <charset val="136"/>
      </rPr>
      <t>註</t>
    </r>
    <r>
      <rPr>
        <sz val="10"/>
        <rFont val="Book Antiqua"/>
        <family val="1"/>
      </rPr>
      <t>1)</t>
    </r>
    <phoneticPr fontId="29" type="noConversion"/>
  </si>
  <si>
    <r>
      <rPr>
        <sz val="10"/>
        <rFont val="華康仿宋體W6"/>
        <family val="3"/>
        <charset val="136"/>
      </rPr>
      <t>註</t>
    </r>
    <r>
      <rPr>
        <sz val="10"/>
        <rFont val="Book Antiqua"/>
        <family val="1"/>
      </rPr>
      <t>:</t>
    </r>
  </si>
  <si>
    <r>
      <rPr>
        <sz val="10"/>
        <rFont val="華康仿宋體W6"/>
        <family val="3"/>
        <charset val="136"/>
      </rPr>
      <t>上列調整數係指反映以半年平均價基礎認列未實現損益之影響金額</t>
    </r>
    <r>
      <rPr>
        <sz val="10"/>
        <rFont val="Book Antiqua"/>
        <family val="1"/>
      </rPr>
      <t>(</t>
    </r>
    <r>
      <rPr>
        <sz val="10"/>
        <rFont val="華康仿宋體W6"/>
        <family val="3"/>
        <charset val="136"/>
      </rPr>
      <t>請保留詳細工作表，以利查核</t>
    </r>
    <r>
      <rPr>
        <sz val="10"/>
        <rFont val="Book Antiqua"/>
        <family val="1"/>
      </rPr>
      <t>)</t>
    </r>
    <phoneticPr fontId="29" type="noConversion"/>
  </si>
  <si>
    <r>
      <rPr>
        <sz val="10"/>
        <rFont val="華康仿宋體W6"/>
        <family val="3"/>
        <charset val="136"/>
      </rPr>
      <t>當期間未滿一年</t>
    </r>
    <r>
      <rPr>
        <sz val="10"/>
        <rFont val="Book Antiqua"/>
        <family val="1"/>
      </rPr>
      <t>(</t>
    </r>
    <r>
      <rPr>
        <sz val="10"/>
        <rFont val="華康仿宋體W6"/>
        <family val="3"/>
        <charset val="136"/>
      </rPr>
      <t>半年</t>
    </r>
    <r>
      <rPr>
        <sz val="10"/>
        <rFont val="Book Antiqua"/>
        <family val="1"/>
      </rPr>
      <t>)</t>
    </r>
    <r>
      <rPr>
        <sz val="10"/>
        <rFont val="華康仿宋體W6"/>
        <family val="3"/>
        <charset val="136"/>
      </rPr>
      <t>者，請按其期間予以年化</t>
    </r>
    <r>
      <rPr>
        <sz val="10"/>
        <rFont val="Book Antiqua"/>
        <family val="1"/>
      </rPr>
      <t>(</t>
    </r>
    <r>
      <rPr>
        <sz val="10"/>
        <rFont val="華康仿宋體W6"/>
        <family val="3"/>
        <charset val="136"/>
      </rPr>
      <t>半年化</t>
    </r>
    <r>
      <rPr>
        <sz val="10"/>
        <rFont val="Book Antiqua"/>
        <family val="1"/>
      </rPr>
      <t>)</t>
    </r>
    <phoneticPr fontId="29" type="noConversion"/>
  </si>
  <si>
    <t>所稱下半年度資金運用收益 = 全年度損益 - 上半年度損益</t>
    <phoneticPr fontId="29" type="noConversion"/>
  </si>
  <si>
    <r>
      <rPr>
        <sz val="10"/>
        <rFont val="標楷體"/>
        <family val="4"/>
        <charset val="136"/>
      </rPr>
      <t>備註</t>
    </r>
    <phoneticPr fontId="29" type="noConversion"/>
  </si>
  <si>
    <r>
      <rPr>
        <sz val="10"/>
        <rFont val="標楷體"/>
        <family val="4"/>
        <charset val="136"/>
      </rPr>
      <t>抵減項目</t>
    </r>
  </si>
  <si>
    <r>
      <rPr>
        <sz val="10"/>
        <rFont val="標楷體"/>
        <family val="4"/>
        <charset val="136"/>
      </rPr>
      <t>後續衡量未採用公允價值模式</t>
    </r>
    <phoneticPr fontId="29" type="noConversion"/>
  </si>
  <si>
    <r>
      <rPr>
        <sz val="10"/>
        <rFont val="標楷體"/>
        <family val="4"/>
        <charset val="136"/>
      </rPr>
      <t>後續衡量採用公允價值模式之差異數</t>
    </r>
    <phoneticPr fontId="29" type="noConversion"/>
  </si>
  <si>
    <r>
      <rPr>
        <sz val="10"/>
        <rFont val="標楷體"/>
        <family val="4"/>
        <charset val="136"/>
      </rPr>
      <t>國內投資帳面淨額</t>
    </r>
    <r>
      <rPr>
        <sz val="10"/>
        <rFont val="Book Antiqua"/>
        <family val="1"/>
      </rPr>
      <t>(</t>
    </r>
    <r>
      <rPr>
        <sz val="10"/>
        <rFont val="標楷體"/>
        <family val="4"/>
        <charset val="136"/>
      </rPr>
      <t>後續衡量未採用公允價值模式之帳面淨額</t>
    </r>
    <r>
      <rPr>
        <sz val="10"/>
        <rFont val="Book Antiqua"/>
        <family val="1"/>
      </rPr>
      <t>)</t>
    </r>
    <phoneticPr fontId="26" type="noConversion"/>
  </si>
  <si>
    <r>
      <rPr>
        <sz val="10"/>
        <rFont val="標楷體"/>
        <family val="4"/>
        <charset val="136"/>
      </rPr>
      <t>國外投資帳面淨額</t>
    </r>
    <r>
      <rPr>
        <sz val="10"/>
        <rFont val="Book Antiqua"/>
        <family val="1"/>
      </rPr>
      <t>(</t>
    </r>
    <r>
      <rPr>
        <sz val="10"/>
        <rFont val="標楷體"/>
        <family val="4"/>
        <charset val="136"/>
      </rPr>
      <t>後續衡量未採用公允價值模式之帳面淨額</t>
    </r>
    <r>
      <rPr>
        <sz val="10"/>
        <rFont val="Book Antiqua"/>
        <family val="1"/>
      </rPr>
      <t>)</t>
    </r>
    <phoneticPr fontId="26" type="noConversion"/>
  </si>
  <si>
    <r>
      <rPr>
        <sz val="10"/>
        <rFont val="標楷體"/>
        <family val="4"/>
        <charset val="136"/>
      </rPr>
      <t>國內外投資帳面淨額</t>
    </r>
    <r>
      <rPr>
        <sz val="10"/>
        <rFont val="Book Antiqua"/>
        <family val="1"/>
      </rPr>
      <t>(</t>
    </r>
    <r>
      <rPr>
        <sz val="10"/>
        <rFont val="標楷體"/>
        <family val="4"/>
        <charset val="136"/>
      </rPr>
      <t>後續衡量未採用公允價值模式之帳面淨額</t>
    </r>
    <r>
      <rPr>
        <sz val="10"/>
        <rFont val="Book Antiqua"/>
        <family val="1"/>
      </rPr>
      <t>)</t>
    </r>
    <r>
      <rPr>
        <sz val="10"/>
        <rFont val="標楷體"/>
        <family val="4"/>
        <charset val="136"/>
      </rPr>
      <t>合計</t>
    </r>
    <phoneticPr fontId="26" type="noConversion"/>
  </si>
  <si>
    <r>
      <rPr>
        <sz val="10"/>
        <rFont val="標楷體"/>
        <family val="4"/>
        <charset val="136"/>
      </rPr>
      <t>本表第</t>
    </r>
    <r>
      <rPr>
        <sz val="10"/>
        <rFont val="Book Antiqua"/>
        <family val="1"/>
      </rPr>
      <t>(21)</t>
    </r>
    <r>
      <rPr>
        <sz val="10"/>
        <rFont val="標楷體"/>
        <family val="4"/>
        <charset val="136"/>
      </rPr>
      <t>欄第</t>
    </r>
    <r>
      <rPr>
        <sz val="10"/>
        <rFont val="Book Antiqua"/>
        <family val="1"/>
      </rPr>
      <t>(21)</t>
    </r>
    <r>
      <rPr>
        <sz val="10"/>
        <rFont val="標楷體"/>
        <family val="4"/>
        <charset val="136"/>
      </rPr>
      <t>列之金額應等於「表</t>
    </r>
    <r>
      <rPr>
        <sz val="10"/>
        <rFont val="Book Antiqua"/>
        <family val="1"/>
      </rPr>
      <t>13-1</t>
    </r>
    <r>
      <rPr>
        <sz val="10"/>
        <rFont val="標楷體"/>
        <family val="4"/>
        <charset val="136"/>
      </rPr>
      <t>：不動產餘額明細表」第</t>
    </r>
    <r>
      <rPr>
        <sz val="10"/>
        <rFont val="Book Antiqua"/>
        <family val="1"/>
      </rPr>
      <t>(34)</t>
    </r>
    <r>
      <rPr>
        <sz val="10"/>
        <rFont val="標楷體"/>
        <family val="4"/>
        <charset val="136"/>
      </rPr>
      <t>欄合計</t>
    </r>
    <phoneticPr fontId="29" type="noConversion"/>
  </si>
  <si>
    <r>
      <rPr>
        <sz val="10"/>
        <rFont val="標楷體"/>
        <family val="4"/>
        <charset val="136"/>
      </rPr>
      <t>項</t>
    </r>
    <r>
      <rPr>
        <sz val="10"/>
        <rFont val="Book Antiqua"/>
        <family val="1"/>
      </rPr>
      <t xml:space="preserve"> </t>
    </r>
    <r>
      <rPr>
        <sz val="10"/>
        <rFont val="標楷體"/>
        <family val="4"/>
        <charset val="136"/>
      </rPr>
      <t>目</t>
    </r>
    <phoneticPr fontId="29" type="noConversion"/>
  </si>
  <si>
    <r>
      <rPr>
        <sz val="10"/>
        <rFont val="標楷體"/>
        <family val="4"/>
        <charset val="136"/>
      </rPr>
      <t>投資性不動產後續衡量採用公允價值模式之影響淨額</t>
    </r>
    <phoneticPr fontId="29" type="noConversion"/>
  </si>
  <si>
    <r>
      <rPr>
        <sz val="10"/>
        <rFont val="標楷體"/>
        <family val="4"/>
        <charset val="136"/>
      </rPr>
      <t>保險負債採用公允價值評估之增提金額</t>
    </r>
    <phoneticPr fontId="29" type="noConversion"/>
  </si>
  <si>
    <r>
      <rPr>
        <sz val="10"/>
        <rFont val="標楷體"/>
        <family val="4"/>
        <charset val="136"/>
      </rPr>
      <t>投資性不動產後續衡量採用公允價值模式計算自有資本影響數</t>
    </r>
    <phoneticPr fontId="29" type="noConversion"/>
  </si>
  <si>
    <r>
      <rPr>
        <sz val="10"/>
        <rFont val="華康仿宋體W6"/>
        <family val="3"/>
        <charset val="136"/>
      </rPr>
      <t>＊係指投資性不動產後續衡量未採用公允價值模式之資金運用數</t>
    </r>
    <phoneticPr fontId="29" type="noConversion"/>
  </si>
  <si>
    <r>
      <rPr>
        <sz val="10"/>
        <rFont val="標楷體"/>
        <family val="4"/>
        <charset val="136"/>
      </rPr>
      <t>未實現損益</t>
    </r>
  </si>
  <si>
    <r>
      <rPr>
        <sz val="10"/>
        <rFont val="標楷體"/>
        <family val="4"/>
        <charset val="136"/>
      </rPr>
      <t>保管情形</t>
    </r>
  </si>
  <si>
    <r>
      <rPr>
        <sz val="10"/>
        <rFont val="標楷體"/>
        <family val="4"/>
        <charset val="136"/>
      </rPr>
      <t>單位：新台幣元</t>
    </r>
    <r>
      <rPr>
        <sz val="10"/>
        <rFont val="Book Antiqua"/>
        <family val="1"/>
      </rPr>
      <t>,%</t>
    </r>
  </si>
  <si>
    <r>
      <rPr>
        <sz val="10"/>
        <rFont val="標楷體"/>
        <family val="4"/>
        <charset val="136"/>
      </rPr>
      <t>交易目的</t>
    </r>
    <phoneticPr fontId="26" type="noConversion"/>
  </si>
  <si>
    <r>
      <rPr>
        <sz val="10"/>
        <rFont val="標楷體"/>
        <family val="4"/>
        <charset val="136"/>
      </rPr>
      <t>類型</t>
    </r>
    <phoneticPr fontId="26" type="noConversion"/>
  </si>
  <si>
    <r>
      <rPr>
        <sz val="10"/>
        <rFont val="標楷體"/>
        <family val="4"/>
        <charset val="136"/>
      </rPr>
      <t>交易對手</t>
    </r>
  </si>
  <si>
    <r>
      <rPr>
        <sz val="10"/>
        <rFont val="標楷體"/>
        <family val="4"/>
        <charset val="136"/>
      </rPr>
      <t>衍生性商品名稱</t>
    </r>
    <phoneticPr fontId="26" type="noConversion"/>
  </si>
  <si>
    <r>
      <rPr>
        <sz val="10"/>
        <rFont val="標楷體"/>
        <family val="4"/>
        <charset val="136"/>
      </rPr>
      <t>交易日期</t>
    </r>
  </si>
  <si>
    <r>
      <rPr>
        <sz val="10"/>
        <rFont val="標楷體"/>
        <family val="4"/>
        <charset val="136"/>
      </rPr>
      <t>契約數</t>
    </r>
    <phoneticPr fontId="26" type="noConversion"/>
  </si>
  <si>
    <r>
      <rPr>
        <sz val="10"/>
        <rFont val="標楷體"/>
        <family val="4"/>
        <charset val="136"/>
      </rPr>
      <t>契約名目部位金額</t>
    </r>
    <phoneticPr fontId="26" type="noConversion"/>
  </si>
  <si>
    <r>
      <rPr>
        <sz val="10"/>
        <rFont val="標楷體"/>
        <family val="4"/>
        <charset val="136"/>
      </rPr>
      <t>最近收盤日衍生性商品契約市價總金額</t>
    </r>
    <phoneticPr fontId="26" type="noConversion"/>
  </si>
  <si>
    <r>
      <rPr>
        <sz val="10"/>
        <rFont val="標楷體"/>
        <family val="4"/>
        <charset val="136"/>
      </rPr>
      <t>未實現損益</t>
    </r>
    <phoneticPr fontId="26" type="noConversion"/>
  </si>
  <si>
    <r>
      <rPr>
        <sz val="10"/>
        <rFont val="標楷體"/>
        <family val="4"/>
        <charset val="136"/>
      </rPr>
      <t>衍生性商品
標的物</t>
    </r>
    <phoneticPr fontId="26" type="noConversion"/>
  </si>
  <si>
    <r>
      <rPr>
        <sz val="10"/>
        <rFont val="標楷體"/>
        <family val="4"/>
        <charset val="136"/>
      </rPr>
      <t>衍生性商品標的物</t>
    </r>
    <r>
      <rPr>
        <sz val="10"/>
        <rFont val="Book Antiqua"/>
        <family val="1"/>
      </rPr>
      <t>(</t>
    </r>
    <r>
      <rPr>
        <sz val="10"/>
        <rFont val="標楷體"/>
        <family val="4"/>
        <charset val="136"/>
      </rPr>
      <t>淨</t>
    </r>
    <r>
      <rPr>
        <sz val="10"/>
        <rFont val="Book Antiqua"/>
        <family val="1"/>
      </rPr>
      <t>)</t>
    </r>
    <r>
      <rPr>
        <sz val="10"/>
        <rFont val="標楷體"/>
        <family val="4"/>
        <charset val="136"/>
      </rPr>
      <t>市價總值</t>
    </r>
    <phoneticPr fontId="26" type="noConversion"/>
  </si>
  <si>
    <r>
      <rPr>
        <sz val="10"/>
        <rFont val="標楷體"/>
        <family val="4"/>
        <charset val="136"/>
      </rPr>
      <t>被避險資產名稱</t>
    </r>
    <phoneticPr fontId="26" type="noConversion"/>
  </si>
  <si>
    <r>
      <rPr>
        <sz val="10"/>
        <rFont val="標楷體"/>
        <family val="4"/>
        <charset val="136"/>
      </rPr>
      <t>衍生性商品標的物與被避險資產
之相關係數</t>
    </r>
    <phoneticPr fontId="26" type="noConversion"/>
  </si>
  <si>
    <r>
      <rPr>
        <sz val="10"/>
        <rFont val="標楷體"/>
        <family val="4"/>
        <charset val="136"/>
      </rPr>
      <t>最後持有資產幣別</t>
    </r>
    <phoneticPr fontId="26" type="noConversion"/>
  </si>
  <si>
    <r>
      <rPr>
        <sz val="10"/>
        <rFont val="標楷體"/>
        <family val="4"/>
        <charset val="136"/>
      </rPr>
      <t>信用評等機構</t>
    </r>
  </si>
  <si>
    <r>
      <rPr>
        <sz val="10"/>
        <rFont val="標楷體"/>
        <family val="4"/>
        <charset val="136"/>
      </rPr>
      <t>評等等級</t>
    </r>
  </si>
  <si>
    <r>
      <rPr>
        <sz val="10"/>
        <rFont val="標楷體"/>
        <family val="4"/>
        <charset val="136"/>
      </rPr>
      <t>匯率相關</t>
    </r>
    <r>
      <rPr>
        <sz val="10"/>
        <rFont val="Book Antiqua"/>
        <family val="1"/>
      </rPr>
      <t>(</t>
    </r>
    <r>
      <rPr>
        <sz val="10"/>
        <rFont val="標楷體"/>
        <family val="4"/>
        <charset val="136"/>
      </rPr>
      <t>標準避險</t>
    </r>
    <r>
      <rPr>
        <sz val="10"/>
        <rFont val="Book Antiqua"/>
        <family val="1"/>
      </rPr>
      <t>)</t>
    </r>
    <phoneticPr fontId="26" type="noConversion"/>
  </si>
  <si>
    <r>
      <rPr>
        <sz val="10"/>
        <rFont val="標楷體"/>
        <family val="4"/>
        <charset val="136"/>
      </rPr>
      <t>無</t>
    </r>
    <phoneticPr fontId="26" type="noConversion"/>
  </si>
  <si>
    <r>
      <rPr>
        <sz val="12"/>
        <rFont val="標楷體"/>
        <family val="4"/>
        <charset val="136"/>
      </rPr>
      <t>小計</t>
    </r>
    <phoneticPr fontId="26" type="noConversion"/>
  </si>
  <si>
    <r>
      <rPr>
        <sz val="10"/>
        <rFont val="標楷體"/>
        <family val="4"/>
        <charset val="136"/>
      </rPr>
      <t>匯率相關</t>
    </r>
    <r>
      <rPr>
        <sz val="10"/>
        <rFont val="Book Antiqua"/>
        <family val="1"/>
      </rPr>
      <t>(</t>
    </r>
    <r>
      <rPr>
        <sz val="10"/>
        <rFont val="標楷體"/>
        <family val="4"/>
        <charset val="136"/>
      </rPr>
      <t>非標準避險</t>
    </r>
    <r>
      <rPr>
        <sz val="10"/>
        <rFont val="Book Antiqua"/>
        <family val="1"/>
      </rPr>
      <t>)</t>
    </r>
    <phoneticPr fontId="26" type="noConversion"/>
  </si>
  <si>
    <r>
      <rPr>
        <sz val="10"/>
        <rFont val="標楷體"/>
        <family val="4"/>
        <charset val="136"/>
      </rPr>
      <t>以增加收益為目的</t>
    </r>
    <r>
      <rPr>
        <sz val="10"/>
        <rFont val="Book Antiqua"/>
        <family val="1"/>
      </rPr>
      <t>--</t>
    </r>
    <r>
      <rPr>
        <sz val="10"/>
        <rFont val="標楷體"/>
        <family val="4"/>
        <charset val="136"/>
      </rPr>
      <t>買入衍生性商品</t>
    </r>
    <phoneticPr fontId="26" type="noConversion"/>
  </si>
  <si>
    <r>
      <rPr>
        <sz val="10"/>
        <rFont val="標楷體"/>
        <family val="4"/>
        <charset val="136"/>
      </rPr>
      <t>衍生性商品標的屬國內投資</t>
    </r>
    <phoneticPr fontId="26" type="noConversion"/>
  </si>
  <si>
    <r>
      <rPr>
        <sz val="10"/>
        <rFont val="標楷體"/>
        <family val="4"/>
        <charset val="136"/>
      </rPr>
      <t>衍生性商品標的國內投資</t>
    </r>
    <phoneticPr fontId="26" type="noConversion"/>
  </si>
  <si>
    <r>
      <rPr>
        <sz val="10"/>
        <rFont val="標楷體"/>
        <family val="4"/>
        <charset val="136"/>
      </rPr>
      <t>以增加收益為目的</t>
    </r>
    <r>
      <rPr>
        <sz val="10"/>
        <rFont val="Book Antiqua"/>
        <family val="1"/>
      </rPr>
      <t>--</t>
    </r>
    <r>
      <rPr>
        <sz val="10"/>
        <rFont val="標楷體"/>
        <family val="4"/>
        <charset val="136"/>
      </rPr>
      <t>買入小計</t>
    </r>
    <phoneticPr fontId="26" type="noConversion"/>
  </si>
  <si>
    <r>
      <rPr>
        <sz val="10"/>
        <rFont val="標楷體"/>
        <family val="4"/>
        <charset val="136"/>
      </rPr>
      <t>以增加收益為目的</t>
    </r>
    <r>
      <rPr>
        <sz val="10"/>
        <rFont val="Book Antiqua"/>
        <family val="1"/>
      </rPr>
      <t>--</t>
    </r>
    <r>
      <rPr>
        <sz val="10"/>
        <rFont val="標楷體"/>
        <family val="4"/>
        <charset val="136"/>
      </rPr>
      <t>賣出衍生性商品</t>
    </r>
    <phoneticPr fontId="26" type="noConversion"/>
  </si>
  <si>
    <r>
      <rPr>
        <sz val="10"/>
        <rFont val="標楷體"/>
        <family val="4"/>
        <charset val="136"/>
      </rPr>
      <t>以增加收益為目的</t>
    </r>
    <r>
      <rPr>
        <sz val="10"/>
        <rFont val="Book Antiqua"/>
        <family val="1"/>
      </rPr>
      <t>--</t>
    </r>
    <r>
      <rPr>
        <sz val="10"/>
        <rFont val="標楷體"/>
        <family val="4"/>
        <charset val="136"/>
      </rPr>
      <t>賣出小計</t>
    </r>
    <phoneticPr fontId="26" type="noConversion"/>
  </si>
  <si>
    <r>
      <rPr>
        <sz val="10"/>
        <rFont val="標楷體"/>
        <family val="4"/>
        <charset val="136"/>
      </rPr>
      <t>本表所稱以避險為目的之期貨或遠期契約係指符合保險業從事衍生性金融商品交易應注意事項中第三點中以避險為目的之條件者。</t>
    </r>
    <phoneticPr fontId="26" type="noConversion"/>
  </si>
  <si>
    <r>
      <rPr>
        <sz val="10"/>
        <rFont val="標楷體"/>
        <family val="4"/>
        <charset val="136"/>
      </rPr>
      <t>本表所稱與權益證券相關之衍生性金融商品係包括以個別權益證券及股價指數為標的之衍生性金融商品</t>
    </r>
    <phoneticPr fontId="26"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</si>
  <si>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t>
    </r>
    <phoneticPr fontId="29"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</si>
  <si>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係指該匯率衍生性商品之標的物幣別與被避險資產之幣別不同，或該衍生性商品結算或執行後最終持有幣別非為台幣者。</t>
    </r>
    <phoneticPr fontId="29" type="noConversion"/>
  </si>
  <si>
    <r>
      <rPr>
        <sz val="10"/>
        <rFont val="標楷體"/>
        <family val="4"/>
        <charset val="136"/>
      </rPr>
      <t>其他填報應注意事項請併參填報說明。</t>
    </r>
    <phoneticPr fontId="26" type="noConversion"/>
  </si>
  <si>
    <r>
      <rPr>
        <sz val="10"/>
        <rFont val="標楷體"/>
        <family val="4"/>
        <charset val="136"/>
      </rPr>
      <t>表</t>
    </r>
    <r>
      <rPr>
        <sz val="10"/>
        <rFont val="Book Antiqua"/>
        <family val="1"/>
      </rPr>
      <t>16-1-2</t>
    </r>
    <r>
      <rPr>
        <sz val="10"/>
        <rFont val="標楷體"/>
        <family val="4"/>
        <charset val="136"/>
      </rPr>
      <t>：衍生性商品餘額明細表</t>
    </r>
    <r>
      <rPr>
        <sz val="10"/>
        <rFont val="Book Antiqua"/>
        <family val="1"/>
      </rPr>
      <t>--</t>
    </r>
    <r>
      <rPr>
        <sz val="10"/>
        <rFont val="標楷體"/>
        <family val="4"/>
        <charset val="136"/>
      </rPr>
      <t>交換</t>
    </r>
    <phoneticPr fontId="26" type="noConversion"/>
  </si>
  <si>
    <r>
      <rPr>
        <sz val="10"/>
        <rFont val="標楷體"/>
        <family val="4"/>
        <charset val="136"/>
      </rPr>
      <t>衍生性商品
標的物</t>
    </r>
    <r>
      <rPr>
        <sz val="10"/>
        <rFont val="Book Antiqua"/>
        <family val="1"/>
      </rPr>
      <t>(13)</t>
    </r>
    <phoneticPr fontId="26" type="noConversion"/>
  </si>
  <si>
    <r>
      <rPr>
        <sz val="10"/>
        <rFont val="標楷體"/>
        <family val="4"/>
        <charset val="136"/>
      </rPr>
      <t>標的物資產計價幣別</t>
    </r>
    <r>
      <rPr>
        <sz val="10"/>
        <rFont val="Book Antiqua"/>
        <family val="1"/>
      </rPr>
      <t>(14)</t>
    </r>
    <phoneticPr fontId="26" type="noConversion"/>
  </si>
  <si>
    <r>
      <rPr>
        <sz val="10"/>
        <rFont val="標楷體"/>
        <family val="4"/>
        <charset val="136"/>
      </rPr>
      <t>換入</t>
    </r>
    <phoneticPr fontId="26" type="noConversion"/>
  </si>
  <si>
    <r>
      <rPr>
        <sz val="10"/>
        <rFont val="標楷體"/>
        <family val="4"/>
        <charset val="136"/>
      </rPr>
      <t>換出</t>
    </r>
    <phoneticPr fontId="26" type="noConversion"/>
  </si>
  <si>
    <r>
      <rPr>
        <sz val="10"/>
        <rFont val="標楷體"/>
        <family val="4"/>
        <charset val="136"/>
      </rPr>
      <t>本表所稱以避險為目的之期貨或遠期契約係指符合保險業從事衍生性金融商品交易應注意事項中第三點中以避險為目的之條件者</t>
    </r>
    <phoneticPr fontId="26" type="noConversion"/>
  </si>
  <si>
    <r>
      <rPr>
        <sz val="10"/>
        <rFont val="標楷體"/>
        <family val="4"/>
        <charset val="136"/>
      </rPr>
      <t>本表所稱與權益證券相關之交換契約係包括以個別權益證券及股價指數為標的之交換契約</t>
    </r>
    <phoneticPr fontId="26" type="noConversion"/>
  </si>
  <si>
    <r>
      <rPr>
        <sz val="10"/>
        <rFont val="標楷體"/>
        <family val="4"/>
        <charset val="136"/>
      </rPr>
      <t>本表所稱與匯率相關之交換契約係包括換匯以及換匯換利</t>
    </r>
    <phoneticPr fontId="26"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</si>
  <si>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係指該匯率交換契約所換出之幣別與被避險資產之幣別相同，並且其換入幣別需為台幣。例如</t>
    </r>
    <r>
      <rPr>
        <sz val="10"/>
        <rFont val="Book Antiqua"/>
        <family val="1"/>
      </rPr>
      <t>:</t>
    </r>
    <r>
      <rPr>
        <sz val="10"/>
        <rFont val="標楷體"/>
        <family val="4"/>
        <charset val="136"/>
      </rPr>
      <t>以約定之美元兌台幣之匯率換出美元，並且換回台幣，以進行美元資產之匯率避險者，即屬於標準避險</t>
    </r>
    <phoneticPr fontId="29"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</si>
  <si>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係指該匯率交換所換出之幣別與被避險資產之幣別不同，或該交換契約換入之幣別非為台幣者。</t>
    </r>
    <phoneticPr fontId="29" type="noConversion"/>
  </si>
  <si>
    <r>
      <rPr>
        <sz val="10"/>
        <rFont val="標楷體"/>
        <family val="4"/>
        <charset val="136"/>
      </rPr>
      <t>名目部位金額</t>
    </r>
    <phoneticPr fontId="26" type="noConversion"/>
  </si>
  <si>
    <r>
      <rPr>
        <sz val="10"/>
        <rFont val="標楷體"/>
        <family val="4"/>
        <charset val="136"/>
      </rPr>
      <t>選擇權最近收盤日市價總金額</t>
    </r>
    <phoneticPr fontId="26" type="noConversion"/>
  </si>
  <si>
    <r>
      <rPr>
        <sz val="10"/>
        <rFont val="標楷體"/>
        <family val="4"/>
        <charset val="136"/>
      </rPr>
      <t>選擇權未實現損益</t>
    </r>
    <phoneticPr fontId="26" type="noConversion"/>
  </si>
  <si>
    <r>
      <rPr>
        <sz val="10"/>
        <rFont val="標楷體"/>
        <family val="4"/>
        <charset val="136"/>
      </rPr>
      <t>選擇權標的物</t>
    </r>
    <phoneticPr fontId="26" type="noConversion"/>
  </si>
  <si>
    <r>
      <rPr>
        <sz val="10"/>
        <rFont val="標楷體"/>
        <family val="4"/>
        <charset val="136"/>
      </rPr>
      <t>選擇權標的物市價總值</t>
    </r>
    <r>
      <rPr>
        <sz val="10"/>
        <rFont val="Book Antiqua"/>
        <family val="1"/>
      </rPr>
      <t>(</t>
    </r>
    <r>
      <rPr>
        <sz val="10"/>
        <rFont val="標楷體"/>
        <family val="4"/>
        <charset val="136"/>
      </rPr>
      <t>按台幣計價</t>
    </r>
    <r>
      <rPr>
        <sz val="10"/>
        <rFont val="Book Antiqua"/>
        <family val="1"/>
      </rPr>
      <t>)</t>
    </r>
    <phoneticPr fontId="26" type="noConversion"/>
  </si>
  <si>
    <r>
      <rPr>
        <sz val="10"/>
        <rFont val="標楷體"/>
        <family val="4"/>
        <charset val="136"/>
      </rPr>
      <t>執行價格</t>
    </r>
    <r>
      <rPr>
        <sz val="10"/>
        <rFont val="Book Antiqua"/>
        <family val="1"/>
      </rPr>
      <t>(</t>
    </r>
    <r>
      <rPr>
        <sz val="10"/>
        <rFont val="標楷體"/>
        <family val="4"/>
        <charset val="136"/>
      </rPr>
      <t>按台幣計價</t>
    </r>
    <r>
      <rPr>
        <sz val="10"/>
        <rFont val="Book Antiqua"/>
        <family val="1"/>
      </rPr>
      <t>)</t>
    </r>
    <phoneticPr fontId="26" type="noConversion"/>
  </si>
  <si>
    <r>
      <rPr>
        <sz val="10"/>
        <rFont val="標楷體"/>
        <family val="4"/>
        <charset val="136"/>
      </rPr>
      <t>選擇權價內</t>
    </r>
    <r>
      <rPr>
        <sz val="10"/>
        <rFont val="Book Antiqua"/>
        <family val="1"/>
      </rPr>
      <t>/</t>
    </r>
    <r>
      <rPr>
        <sz val="10"/>
        <rFont val="標楷體"/>
        <family val="4"/>
        <charset val="136"/>
      </rPr>
      <t>價外值</t>
    </r>
    <r>
      <rPr>
        <sz val="10"/>
        <rFont val="Book Antiqua"/>
        <family val="1"/>
      </rPr>
      <t>(18)</t>
    </r>
    <phoneticPr fontId="26" type="noConversion"/>
  </si>
  <si>
    <r>
      <rPr>
        <sz val="10"/>
        <rFont val="標楷體"/>
        <family val="4"/>
        <charset val="136"/>
      </rPr>
      <t>選擇權價內</t>
    </r>
    <r>
      <rPr>
        <sz val="10"/>
        <rFont val="Book Antiqua"/>
        <family val="1"/>
      </rPr>
      <t>/</t>
    </r>
    <r>
      <rPr>
        <sz val="10"/>
        <rFont val="標楷體"/>
        <family val="4"/>
        <charset val="136"/>
      </rPr>
      <t>價外總價值</t>
    </r>
    <r>
      <rPr>
        <sz val="10"/>
        <rFont val="Book Antiqua"/>
        <family val="1"/>
      </rPr>
      <t>(19)</t>
    </r>
    <phoneticPr fontId="26" type="noConversion"/>
  </si>
  <si>
    <r>
      <rPr>
        <sz val="10"/>
        <rFont val="標楷體"/>
        <family val="4"/>
        <charset val="136"/>
      </rPr>
      <t>選擇權標的物與被避險資產
之相關係數</t>
    </r>
    <phoneticPr fontId="26" type="noConversion"/>
  </si>
  <si>
    <r>
      <rPr>
        <sz val="10"/>
        <rFont val="標楷體"/>
        <family val="4"/>
        <charset val="136"/>
      </rPr>
      <t>選擇權名稱</t>
    </r>
    <phoneticPr fontId="26" type="noConversion"/>
  </si>
  <si>
    <r>
      <rPr>
        <sz val="10"/>
        <rFont val="標楷體"/>
        <family val="4"/>
        <charset val="136"/>
      </rPr>
      <t>價內值</t>
    </r>
    <phoneticPr fontId="26" type="noConversion"/>
  </si>
  <si>
    <r>
      <rPr>
        <sz val="10"/>
        <rFont val="標楷體"/>
        <family val="4"/>
        <charset val="136"/>
      </rPr>
      <t>價外值</t>
    </r>
    <phoneticPr fontId="26" type="noConversion"/>
  </si>
  <si>
    <r>
      <rPr>
        <sz val="10"/>
        <rFont val="標楷體"/>
        <family val="4"/>
        <charset val="136"/>
      </rPr>
      <t>本表所稱以避險為目的之選擇權係指符合「保險業從事衍生性金融商品交易管理辦法」第</t>
    </r>
    <r>
      <rPr>
        <sz val="10"/>
        <rFont val="Book Antiqua"/>
        <family val="1"/>
      </rPr>
      <t>3</t>
    </r>
    <r>
      <rPr>
        <sz val="10"/>
        <rFont val="標楷體"/>
        <family val="4"/>
        <charset val="136"/>
      </rPr>
      <t>條中以避險為目的之條件者。</t>
    </r>
    <phoneticPr fontId="26" type="noConversion"/>
  </si>
  <si>
    <r>
      <rPr>
        <sz val="10"/>
        <rFont val="標楷體"/>
        <family val="4"/>
        <charset val="136"/>
      </rPr>
      <t>本表所稱與權益證券相關之選擇權係包括以個別權益證券及股價指數為標的之選擇權商品</t>
    </r>
    <phoneticPr fontId="26" type="noConversion"/>
  </si>
  <si>
    <r>
      <rPr>
        <sz val="10"/>
        <rFont val="標楷體"/>
        <family val="4"/>
        <charset val="136"/>
      </rPr>
      <t>本表所稱以避險為目的之選擇權係指符合保險業從事衍生性金融商品交易應注意事項中第三點中以避險為目的之條件者。</t>
    </r>
    <phoneticPr fontId="26" type="noConversion"/>
  </si>
  <si>
    <r>
      <rPr>
        <sz val="10"/>
        <rFont val="標楷體"/>
        <family val="4"/>
        <charset val="136"/>
      </rPr>
      <t>表</t>
    </r>
    <r>
      <rPr>
        <sz val="10"/>
        <rFont val="Book Antiqua"/>
        <family val="1"/>
      </rPr>
      <t>16-1-4</t>
    </r>
    <r>
      <rPr>
        <sz val="10"/>
        <rFont val="標楷體"/>
        <family val="4"/>
        <charset val="136"/>
      </rPr>
      <t>：衍生性商品餘額明細表</t>
    </r>
    <r>
      <rPr>
        <sz val="10"/>
        <rFont val="Book Antiqua"/>
        <family val="1"/>
      </rPr>
      <t>--</t>
    </r>
    <r>
      <rPr>
        <sz val="10"/>
        <rFont val="標楷體"/>
        <family val="4"/>
        <charset val="136"/>
      </rPr>
      <t>賣出選擇權</t>
    </r>
    <r>
      <rPr>
        <sz val="10"/>
        <rFont val="Book Antiqua"/>
        <family val="1"/>
      </rPr>
      <t>(</t>
    </r>
    <r>
      <rPr>
        <sz val="10"/>
        <rFont val="標楷體"/>
        <family val="4"/>
        <charset val="136"/>
      </rPr>
      <t>含認購《售》權證</t>
    </r>
    <r>
      <rPr>
        <sz val="10"/>
        <rFont val="Book Antiqua"/>
        <family val="1"/>
      </rPr>
      <t>)</t>
    </r>
    <phoneticPr fontId="26" type="noConversion"/>
  </si>
  <si>
    <r>
      <rPr>
        <sz val="10"/>
        <rFont val="標楷體"/>
        <family val="4"/>
        <charset val="136"/>
      </rPr>
      <t>本表其他填報應注意事項請併參表</t>
    </r>
    <r>
      <rPr>
        <sz val="10"/>
        <rFont val="Book Antiqua"/>
        <family val="1"/>
      </rPr>
      <t>16-1-3</t>
    </r>
    <r>
      <rPr>
        <sz val="10"/>
        <rFont val="標楷體"/>
        <family val="4"/>
        <charset val="136"/>
      </rPr>
      <t>填報說明。</t>
    </r>
    <phoneticPr fontId="26" type="noConversion"/>
  </si>
  <si>
    <r>
      <rPr>
        <sz val="10"/>
        <rFont val="標楷體"/>
        <family val="4"/>
        <charset val="136"/>
      </rPr>
      <t>本表其他填報應注意事項請併參表</t>
    </r>
    <r>
      <rPr>
        <sz val="10"/>
        <rFont val="Book Antiqua"/>
        <family val="1"/>
      </rPr>
      <t>16-1-1</t>
    </r>
    <r>
      <rPr>
        <sz val="10"/>
        <rFont val="標楷體"/>
        <family val="4"/>
        <charset val="136"/>
      </rPr>
      <t>之填報說明。</t>
    </r>
    <phoneticPr fontId="26" type="noConversion"/>
  </si>
  <si>
    <r>
      <rPr>
        <sz val="10"/>
        <rFont val="標楷體"/>
        <family val="4"/>
        <charset val="136"/>
      </rPr>
      <t>表</t>
    </r>
    <r>
      <rPr>
        <sz val="10"/>
        <rFont val="Book Antiqua"/>
        <family val="1"/>
      </rPr>
      <t>16-1-5</t>
    </r>
    <r>
      <rPr>
        <sz val="10"/>
        <rFont val="標楷體"/>
        <family val="4"/>
        <charset val="136"/>
      </rPr>
      <t>：衍生性商品餘額明細表</t>
    </r>
    <r>
      <rPr>
        <sz val="10"/>
        <rFont val="Book Antiqua"/>
        <family val="1"/>
      </rPr>
      <t>--</t>
    </r>
    <r>
      <rPr>
        <sz val="10"/>
        <rFont val="標楷體"/>
        <family val="4"/>
        <charset val="136"/>
      </rPr>
      <t>其他衍生性商品</t>
    </r>
    <phoneticPr fontId="26" type="noConversion"/>
  </si>
  <si>
    <r>
      <rPr>
        <sz val="10"/>
        <rFont val="標楷體"/>
        <family val="4"/>
        <charset val="136"/>
      </rPr>
      <t>名目部位金額</t>
    </r>
  </si>
  <si>
    <r>
      <rPr>
        <sz val="10"/>
        <rFont val="標楷體"/>
        <family val="4"/>
        <charset val="136"/>
      </rPr>
      <t>最近收盤日市價總金額</t>
    </r>
  </si>
  <si>
    <r>
      <rPr>
        <sz val="12"/>
        <rFont val="標楷體"/>
        <family val="4"/>
        <charset val="136"/>
      </rPr>
      <t>註：</t>
    </r>
  </si>
  <si>
    <r>
      <rPr>
        <sz val="10"/>
        <rFont val="標楷體"/>
        <family val="4"/>
        <charset val="136"/>
      </rPr>
      <t>表</t>
    </r>
    <r>
      <rPr>
        <sz val="10"/>
        <rFont val="Book Antiqua"/>
        <family val="1"/>
      </rPr>
      <t>16-2-1</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以避險為目的</t>
    </r>
  </si>
  <si>
    <r>
      <rPr>
        <sz val="10"/>
        <rFont val="標楷體"/>
        <family val="4"/>
        <charset val="136"/>
      </rPr>
      <t>標的物類別</t>
    </r>
    <r>
      <rPr>
        <sz val="10"/>
        <rFont val="Book Antiqua"/>
        <family val="1"/>
      </rPr>
      <t>/</t>
    </r>
    <r>
      <rPr>
        <sz val="10"/>
        <rFont val="標楷體"/>
        <family val="4"/>
        <charset val="136"/>
      </rPr>
      <t>衍生性商品類別</t>
    </r>
  </si>
  <si>
    <r>
      <rPr>
        <sz val="10"/>
        <rFont val="標楷體"/>
        <family val="4"/>
        <charset val="136"/>
      </rPr>
      <t>匯率</t>
    </r>
    <r>
      <rPr>
        <sz val="10"/>
        <rFont val="Book Antiqua"/>
        <family val="1"/>
      </rPr>
      <t>(</t>
    </r>
    <r>
      <rPr>
        <sz val="10"/>
        <rFont val="標楷體"/>
        <family val="4"/>
        <charset val="136"/>
      </rPr>
      <t>標準避險</t>
    </r>
    <r>
      <rPr>
        <sz val="10"/>
        <rFont val="Book Antiqua"/>
        <family val="1"/>
      </rPr>
      <t>)</t>
    </r>
  </si>
  <si>
    <r>
      <rPr>
        <sz val="10"/>
        <rFont val="標楷體"/>
        <family val="4"/>
        <charset val="136"/>
      </rPr>
      <t>匯率</t>
    </r>
    <r>
      <rPr>
        <sz val="10"/>
        <rFont val="Book Antiqua"/>
        <family val="1"/>
      </rPr>
      <t>(</t>
    </r>
    <r>
      <rPr>
        <sz val="10"/>
        <rFont val="標楷體"/>
        <family val="4"/>
        <charset val="136"/>
      </rPr>
      <t>非標準避險</t>
    </r>
    <r>
      <rPr>
        <sz val="10"/>
        <rFont val="Book Antiqua"/>
        <family val="1"/>
      </rPr>
      <t>)</t>
    </r>
  </si>
  <si>
    <r>
      <rPr>
        <sz val="10"/>
        <rFont val="標楷體"/>
        <family val="4"/>
        <charset val="136"/>
      </rPr>
      <t>本表金額由</t>
    </r>
    <r>
      <rPr>
        <sz val="10"/>
        <rFont val="Book Antiqua"/>
        <family val="1"/>
      </rPr>
      <t>16-1-1~16-1-5</t>
    </r>
    <r>
      <rPr>
        <sz val="10"/>
        <rFont val="標楷體"/>
        <family val="4"/>
        <charset val="136"/>
      </rPr>
      <t>各表之小計數額自動連結，填報公司不需填列。</t>
    </r>
  </si>
  <si>
    <r>
      <rPr>
        <sz val="10"/>
        <rFont val="標楷體"/>
        <family val="4"/>
        <charset val="136"/>
      </rPr>
      <t>衍生性商品標的屬國內投資</t>
    </r>
  </si>
  <si>
    <r>
      <rPr>
        <sz val="10"/>
        <rFont val="標楷體"/>
        <family val="4"/>
        <charset val="136"/>
      </rPr>
      <t>匯率</t>
    </r>
  </si>
  <si>
    <r>
      <rPr>
        <sz val="10"/>
        <rFont val="標楷體"/>
        <family val="4"/>
        <charset val="136"/>
      </rPr>
      <t>其他衍生性</t>
    </r>
  </si>
  <si>
    <r>
      <rPr>
        <sz val="10"/>
        <rFont val="標楷體"/>
        <family val="4"/>
        <charset val="136"/>
      </rPr>
      <t>匯率小計</t>
    </r>
  </si>
  <si>
    <r>
      <rPr>
        <sz val="10"/>
        <rFont val="標楷體"/>
        <family val="4"/>
        <charset val="136"/>
      </rPr>
      <t>其他標的小計</t>
    </r>
  </si>
  <si>
    <r>
      <rPr>
        <sz val="10"/>
        <rFont val="標楷體"/>
        <family val="4"/>
        <charset val="136"/>
      </rPr>
      <t>表</t>
    </r>
    <r>
      <rPr>
        <sz val="10"/>
        <rFont val="Book Antiqua"/>
        <family val="1"/>
      </rPr>
      <t>16-2-2</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以增加收益為目的</t>
    </r>
    <r>
      <rPr>
        <sz val="10"/>
        <rFont val="Book Antiqua"/>
        <family val="1"/>
      </rPr>
      <t>(</t>
    </r>
    <r>
      <rPr>
        <sz val="10"/>
        <rFont val="標楷體"/>
        <family val="4"/>
        <charset val="136"/>
      </rPr>
      <t>買入衍生性商品</t>
    </r>
    <r>
      <rPr>
        <sz val="10"/>
        <rFont val="Book Antiqua"/>
        <family val="1"/>
      </rPr>
      <t>)</t>
    </r>
  </si>
  <si>
    <r>
      <rPr>
        <sz val="10"/>
        <rFont val="標楷體"/>
        <family val="4"/>
        <charset val="136"/>
      </rPr>
      <t>衍生性商品標的物</t>
    </r>
    <r>
      <rPr>
        <sz val="10"/>
        <rFont val="Book Antiqua"/>
        <family val="1"/>
      </rPr>
      <t>/</t>
    </r>
    <r>
      <rPr>
        <sz val="10"/>
        <rFont val="標楷體"/>
        <family val="4"/>
        <charset val="136"/>
      </rPr>
      <t>類型</t>
    </r>
  </si>
  <si>
    <r>
      <rPr>
        <sz val="10"/>
        <rFont val="標楷體"/>
        <family val="4"/>
        <charset val="136"/>
      </rPr>
      <t>表</t>
    </r>
    <r>
      <rPr>
        <sz val="10"/>
        <rFont val="Book Antiqua"/>
        <family val="1"/>
      </rPr>
      <t>16-2-3</t>
    </r>
    <r>
      <rPr>
        <sz val="10"/>
        <rFont val="標楷體"/>
        <family val="4"/>
        <charset val="136"/>
      </rPr>
      <t>：衍生性商品餘額明細表</t>
    </r>
    <r>
      <rPr>
        <sz val="10"/>
        <rFont val="Book Antiqua"/>
        <family val="1"/>
      </rPr>
      <t>(</t>
    </r>
    <r>
      <rPr>
        <sz val="10"/>
        <rFont val="標楷體"/>
        <family val="4"/>
        <charset val="136"/>
      </rPr>
      <t>總計</t>
    </r>
    <r>
      <rPr>
        <sz val="10"/>
        <rFont val="Book Antiqua"/>
        <family val="1"/>
      </rPr>
      <t>)-</t>
    </r>
    <r>
      <rPr>
        <sz val="10"/>
        <rFont val="標楷體"/>
        <family val="4"/>
        <charset val="136"/>
      </rPr>
      <t>以增加收益為目的</t>
    </r>
    <r>
      <rPr>
        <sz val="10"/>
        <rFont val="Book Antiqua"/>
        <family val="1"/>
      </rPr>
      <t>(</t>
    </r>
    <r>
      <rPr>
        <sz val="10"/>
        <rFont val="標楷體"/>
        <family val="4"/>
        <charset val="136"/>
      </rPr>
      <t>賣出衍生性商品</t>
    </r>
    <r>
      <rPr>
        <sz val="10"/>
        <rFont val="Book Antiqua"/>
        <family val="1"/>
      </rPr>
      <t>)</t>
    </r>
  </si>
  <si>
    <r>
      <rPr>
        <sz val="10"/>
        <rFont val="標楷體"/>
        <family val="4"/>
        <charset val="136"/>
      </rPr>
      <t>風險資本額</t>
    </r>
    <phoneticPr fontId="26" type="noConversion"/>
  </si>
  <si>
    <r>
      <rPr>
        <b/>
        <sz val="10"/>
        <rFont val="標楷體"/>
        <family val="4"/>
        <charset val="136"/>
      </rPr>
      <t>風險資本額</t>
    </r>
    <phoneticPr fontId="26" type="noConversion"/>
  </si>
  <si>
    <r>
      <rPr>
        <b/>
        <sz val="10"/>
        <rFont val="標楷體"/>
        <family val="4"/>
        <charset val="136"/>
      </rPr>
      <t>風</t>
    </r>
    <r>
      <rPr>
        <b/>
        <sz val="10"/>
        <rFont val="Book Antiqua"/>
        <family val="1"/>
      </rPr>
      <t xml:space="preserve">     </t>
    </r>
    <r>
      <rPr>
        <b/>
        <sz val="10"/>
        <rFont val="標楷體"/>
        <family val="4"/>
        <charset val="136"/>
      </rPr>
      <t>險</t>
    </r>
    <r>
      <rPr>
        <b/>
        <sz val="10"/>
        <rFont val="Book Antiqua"/>
        <family val="1"/>
      </rPr>
      <t xml:space="preserve">     </t>
    </r>
    <r>
      <rPr>
        <b/>
        <sz val="10"/>
        <rFont val="標楷體"/>
        <family val="4"/>
        <charset val="136"/>
      </rPr>
      <t>項</t>
    </r>
    <r>
      <rPr>
        <b/>
        <sz val="10"/>
        <rFont val="Book Antiqua"/>
        <family val="1"/>
      </rPr>
      <t xml:space="preserve">     </t>
    </r>
    <r>
      <rPr>
        <b/>
        <sz val="10"/>
        <rFont val="標楷體"/>
        <family val="4"/>
        <charset val="136"/>
      </rPr>
      <t>目</t>
    </r>
    <phoneticPr fontId="26" type="noConversion"/>
  </si>
  <si>
    <r>
      <t>上</t>
    </r>
    <r>
      <rPr>
        <sz val="10"/>
        <rFont val="Times New Roman"/>
        <family val="1"/>
      </rPr>
      <t>(</t>
    </r>
    <r>
      <rPr>
        <sz val="10"/>
        <rFont val="標楷體"/>
        <family val="4"/>
        <charset val="136"/>
      </rPr>
      <t>半</t>
    </r>
    <r>
      <rPr>
        <sz val="10"/>
        <rFont val="Times New Roman"/>
        <family val="1"/>
      </rPr>
      <t>)</t>
    </r>
    <r>
      <rPr>
        <sz val="10"/>
        <rFont val="標楷體"/>
        <family val="4"/>
        <charset val="136"/>
      </rPr>
      <t>年度</t>
    </r>
    <r>
      <rPr>
        <sz val="10"/>
        <color indexed="10"/>
        <rFont val="Times New Roman"/>
        <family val="1"/>
      </rPr>
      <t/>
    </r>
    <phoneticPr fontId="29" type="noConversion"/>
  </si>
  <si>
    <t>人壽保險－超過一年之人身保險業務</t>
    <phoneticPr fontId="29" type="noConversion"/>
  </si>
  <si>
    <t>年金保險－超過一年之人身保險業務</t>
    <phoneticPr fontId="29" type="noConversion"/>
  </si>
  <si>
    <t>超過一年之人身保險業務之再保賠款包含賠款與給付</t>
  </si>
  <si>
    <t>國內再保業務及合計兩者之再保分入賠款率不含超過一年之人身保險業務</t>
    <phoneticPr fontId="29" type="noConversion"/>
  </si>
  <si>
    <t>除特別說明為「超過一年之人身保險業務」者，其他皆為短年期。</t>
    <phoneticPr fontId="29" type="noConversion"/>
  </si>
  <si>
    <t>人壽保險－超過一年之人身保險業務</t>
  </si>
  <si>
    <t>年金保險－超過一年之人身保險業務</t>
  </si>
  <si>
    <t>超過一年之人身保險業務之攤回再保賠款包含賠款與給付</t>
  </si>
  <si>
    <t>國內再保業務及合計兩者之轉再保賠款率不含超過一年之人身保險業務</t>
    <phoneticPr fontId="26" type="noConversion"/>
  </si>
  <si>
    <t>除特別說明為「超過一年之人身保險業務」者，其他皆為短年期。</t>
  </si>
  <si>
    <t>除特別說明為「超過一年之人身保險業務」者，其他皆為短年期。</t>
    <phoneticPr fontId="29" type="noConversion"/>
  </si>
  <si>
    <t>本(半)年度</t>
    <phoneticPr fontId="29" type="noConversion"/>
  </si>
  <si>
    <t>上(半)年度(註3)</t>
    <phoneticPr fontId="29" type="noConversion"/>
  </si>
  <si>
    <t>超過一年之人身保險業務之再保賠款及攤回再保賠款包含賠款與給付。</t>
    <phoneticPr fontId="26" type="noConversion"/>
  </si>
  <si>
    <t>特別準備金之提存係國內外分進業務合併為之，國外分進業務之自留滿期總保費等數字均經歸併入國內分進業務之適當險別內</t>
    <phoneticPr fontId="26" type="noConversion"/>
  </si>
  <si>
    <t>最近十五年度平均賠率係指本表年度前一年起(含前一年)前推十五年，本表之提存不關未適格再保人</t>
    <phoneticPr fontId="26" type="noConversion"/>
  </si>
  <si>
    <t xml:space="preserve">餘各險請依「專業再保險業財務業務管理辦法」及其相關解釋函令之相關規定提存及收回。
</t>
    <phoneticPr fontId="29" type="noConversion"/>
  </si>
  <si>
    <t>自留滿期保費=再保費收入-再保費支出-提存未滿期保費準備+收回未滿期保費準備</t>
    <phoneticPr fontId="29" type="noConversion"/>
  </si>
  <si>
    <t>自留滿期賠款=再保賠款-攤回再保賠款+提存未決賠款準備-收回未決賠款準備</t>
    <phoneticPr fontId="29" type="noConversion"/>
  </si>
  <si>
    <t>超過一年之人身保險業務之再保賠款及攤回再保賠款包含賠款與給付。</t>
    <phoneticPr fontId="26" type="noConversion"/>
  </si>
  <si>
    <t>3a.1.2.1.6 人壽保險-超過一年之人身保險業務</t>
  </si>
  <si>
    <t>3a.1.2.1.7 年金保險-超過一年之人身保險業務</t>
  </si>
  <si>
    <t>3b.1.2.1.6 人壽保險-超過一年之人身保險業務</t>
  </si>
  <si>
    <t>3b.1.2.1.7 年金保險-超過一年之人身保險業務</t>
  </si>
  <si>
    <t>風     險     項     目</t>
  </si>
  <si>
    <t>資      料      來      源</t>
  </si>
  <si>
    <t>風險資本額</t>
  </si>
  <si>
    <t>2.1 個人壽險</t>
  </si>
  <si>
    <t>2.1.1 死亡保險</t>
    <phoneticPr fontId="26" type="noConversion"/>
  </si>
  <si>
    <t xml:space="preserve">2.1.1.1 終身保險                      </t>
  </si>
  <si>
    <t xml:space="preserve">2.1.1.1.1 非自由分紅保單                     </t>
  </si>
  <si>
    <t>「表30-5-2：淨危險保額報告表」第(8)欄第(4)列</t>
  </si>
  <si>
    <t xml:space="preserve">第一級金額 -- 不滿600億元    </t>
    <phoneticPr fontId="26" type="noConversion"/>
  </si>
  <si>
    <t>第二級金額 -- 600億元(含) ~ 1000億元(不含)</t>
    <phoneticPr fontId="26" type="noConversion"/>
  </si>
  <si>
    <t>第三級金額 -- 1000億元(含) ~ 2000億元(不含)</t>
    <phoneticPr fontId="26" type="noConversion"/>
  </si>
  <si>
    <t>第四級金額 -- 2000億元(含) ~ 1兆元(不含)</t>
    <phoneticPr fontId="26" type="noConversion"/>
  </si>
  <si>
    <t>第五級金額 -- 1兆元以上</t>
  </si>
  <si>
    <t xml:space="preserve">2.1.1.1.2 自由分紅保單                      </t>
  </si>
  <si>
    <t>「表30-5-2：淨危險保額報告表」第(8)欄第(5)列</t>
  </si>
  <si>
    <t xml:space="preserve">第一級金額 -- 不滿600億元    </t>
    <phoneticPr fontId="26" type="noConversion"/>
  </si>
  <si>
    <t xml:space="preserve">2.1.1.2 定期保險                        </t>
  </si>
  <si>
    <t xml:space="preserve">2.1.1.2.1 非自由分紅保單                        </t>
  </si>
  <si>
    <t>「表30-5-2：淨危險保額報告表」第(8)欄第(7)列</t>
  </si>
  <si>
    <t xml:space="preserve">第一級金額 -- 不滿200億元  </t>
    <phoneticPr fontId="26" type="noConversion"/>
  </si>
  <si>
    <t>第二級金額 -- 200億元(含) ~ 500億元(不含)</t>
    <phoneticPr fontId="26" type="noConversion"/>
  </si>
  <si>
    <t>第三級金額 -- 500億元(含) ~ 1000億元(不含)</t>
    <phoneticPr fontId="26" type="noConversion"/>
  </si>
  <si>
    <t>第四級金額 -- 1000億元(含) ~ 5000億元(不含)</t>
    <phoneticPr fontId="26" type="noConversion"/>
  </si>
  <si>
    <t>第五級金額 -- 5000億元以上</t>
    <phoneticPr fontId="26" type="noConversion"/>
  </si>
  <si>
    <t>2.1.1.2.2 自由分紅保單</t>
    <phoneticPr fontId="26" type="noConversion"/>
  </si>
  <si>
    <t>「表30-5-2：淨危險保額報告表」第(8)欄第(8)列</t>
  </si>
  <si>
    <t>第四級金額 -- 1000億元(含) ~ 5000億元(不含)</t>
    <phoneticPr fontId="26" type="noConversion"/>
  </si>
  <si>
    <t>第五級金額 -- 5000億元以上</t>
    <phoneticPr fontId="26" type="noConversion"/>
  </si>
  <si>
    <t>2.1.2 生死合險</t>
    <phoneticPr fontId="26" type="noConversion"/>
  </si>
  <si>
    <t xml:space="preserve">2.1.2.1 養老保險 </t>
  </si>
  <si>
    <t xml:space="preserve">2.1.2.1.1 非自由分紅保單 </t>
  </si>
  <si>
    <t>「表30-5-2：淨危險保額報告表」第(8)欄第(11)列</t>
  </si>
  <si>
    <t xml:space="preserve">2.1.2.1.2 自由分紅保單 </t>
  </si>
  <si>
    <t>「表30-5-2：淨危險保額報告表」第(8)欄第(12)列</t>
  </si>
  <si>
    <t xml:space="preserve">第一級金額 -- 不滿200億元  </t>
    <phoneticPr fontId="26" type="noConversion"/>
  </si>
  <si>
    <t xml:space="preserve">2.1.2.2 還本型保險  </t>
  </si>
  <si>
    <t xml:space="preserve">2.1.2.2.1 非自由分紅保單  </t>
  </si>
  <si>
    <t>「表30-5-2：淨危險保額報告表」第(8)欄第(14)列</t>
  </si>
  <si>
    <t xml:space="preserve">2.1.2.2.2 自由分紅保單  </t>
    <phoneticPr fontId="26" type="noConversion"/>
  </si>
  <si>
    <t>「表30-5-2：淨危險保額報告表」第(8)欄第(15)列</t>
  </si>
  <si>
    <t>第二級金額 -- 200億元(含) ~ 500億元(不含)</t>
    <phoneticPr fontId="26" type="noConversion"/>
  </si>
  <si>
    <t>第三級金額 -- 500億元(含) ~ 1000億元(不含)</t>
    <phoneticPr fontId="26" type="noConversion"/>
  </si>
  <si>
    <t>第四級金額 -- 1000億元(含) ~ 5000億元(不含)</t>
    <phoneticPr fontId="26" type="noConversion"/>
  </si>
  <si>
    <t>第五級金額 -- 5000億元以上</t>
    <phoneticPr fontId="26" type="noConversion"/>
  </si>
  <si>
    <t>2.1.3 生存保險</t>
  </si>
  <si>
    <t>2.1.3.1 非自由分紅保單</t>
  </si>
  <si>
    <t>「表30-5-2：淨危險保額報告表」第(7)欄第(17)列</t>
  </si>
  <si>
    <t>2.1.3.2 自由分紅保單</t>
  </si>
  <si>
    <t>「表30-5-2：淨危險保額報告表」第(7)欄第(18)列</t>
  </si>
  <si>
    <t>2.2 年金保險(註3)</t>
    <phoneticPr fontId="26" type="noConversion"/>
  </si>
  <si>
    <t>「表30-5-2：淨危險保額報告表」第(7)欄第(19)列</t>
    <phoneticPr fontId="26" type="noConversion"/>
  </si>
  <si>
    <t>《超過一年之人身保險業務》總計</t>
  </si>
  <si>
    <t>註1：年金保險應包含「勞退年金保單」。</t>
    <phoneticPr fontId="26" type="noConversion"/>
  </si>
  <si>
    <t>表30-5-2：超過一年之人身保險業務淨自留危險保額報告表</t>
    <phoneticPr fontId="26" type="noConversion"/>
  </si>
  <si>
    <t xml:space="preserve"> 項         目  </t>
  </si>
  <si>
    <t>分入有效契約保額</t>
    <phoneticPr fontId="26" type="noConversion"/>
  </si>
  <si>
    <t>分出有效契約保額</t>
    <phoneticPr fontId="26" type="noConversion"/>
  </si>
  <si>
    <t>自留有效契約保額</t>
    <phoneticPr fontId="26" type="noConversion"/>
  </si>
  <si>
    <t>分入責任準備金</t>
    <phoneticPr fontId="26" type="noConversion"/>
  </si>
  <si>
    <t>分出責任準備金</t>
    <phoneticPr fontId="26" type="noConversion"/>
  </si>
  <si>
    <t>自留責任準備金</t>
    <phoneticPr fontId="26" type="noConversion"/>
  </si>
  <si>
    <t>淨危險保額</t>
    <phoneticPr fontId="26" type="noConversion"/>
  </si>
  <si>
    <t xml:space="preserve"> (1)</t>
    <phoneticPr fontId="26" type="noConversion"/>
  </si>
  <si>
    <t>(4)=(2)-(3)</t>
    <phoneticPr fontId="26" type="noConversion"/>
  </si>
  <si>
    <t>(7)=(5)-(6)</t>
    <phoneticPr fontId="26" type="noConversion"/>
  </si>
  <si>
    <t>(8)=(4)-(7)</t>
    <phoneticPr fontId="26" type="noConversion"/>
  </si>
  <si>
    <t>一、個人壽險</t>
  </si>
  <si>
    <t>1.死亡保險</t>
    <phoneticPr fontId="29" type="noConversion"/>
  </si>
  <si>
    <t>1.1 終身保險</t>
    <phoneticPr fontId="29" type="noConversion"/>
  </si>
  <si>
    <t>1.1.1 非自由分紅保單</t>
    <phoneticPr fontId="29" type="noConversion"/>
  </si>
  <si>
    <t>1.1.2 自由分紅保單</t>
    <phoneticPr fontId="29" type="noConversion"/>
  </si>
  <si>
    <t>1.2 定期保險</t>
    <phoneticPr fontId="29" type="noConversion"/>
  </si>
  <si>
    <t>1.2.1 非自由分紅保單</t>
    <phoneticPr fontId="29" type="noConversion"/>
  </si>
  <si>
    <t>1.2.2 自由分紅保單</t>
    <phoneticPr fontId="29" type="noConversion"/>
  </si>
  <si>
    <t>2.生死合險</t>
    <phoneticPr fontId="29" type="noConversion"/>
  </si>
  <si>
    <t>2.1 養老保險</t>
    <phoneticPr fontId="29" type="noConversion"/>
  </si>
  <si>
    <t>2.1.1 非自由分紅保單</t>
    <phoneticPr fontId="29" type="noConversion"/>
  </si>
  <si>
    <t>2.1.2 自由分紅保單</t>
    <phoneticPr fontId="29" type="noConversion"/>
  </si>
  <si>
    <t xml:space="preserve">2.2 還本型保險      </t>
    <phoneticPr fontId="29" type="noConversion"/>
  </si>
  <si>
    <t>2.2.1 非自由分紅保單</t>
    <phoneticPr fontId="29" type="noConversion"/>
  </si>
  <si>
    <t>2.2.2 自由分紅保單</t>
    <phoneticPr fontId="29" type="noConversion"/>
  </si>
  <si>
    <t>3.生存保險</t>
    <phoneticPr fontId="29" type="noConversion"/>
  </si>
  <si>
    <t>3.1 非自由分紅保單</t>
    <phoneticPr fontId="29" type="noConversion"/>
  </si>
  <si>
    <t>3.2 自由分紅保單</t>
    <phoneticPr fontId="29" type="noConversion"/>
  </si>
  <si>
    <t>二、年金保險</t>
    <phoneticPr fontId="26" type="noConversion"/>
  </si>
  <si>
    <t>總               計</t>
  </si>
  <si>
    <t>註：有效契約保額為當(半)年度保險金額。</t>
    <phoneticPr fontId="29" type="noConversion"/>
  </si>
  <si>
    <r>
      <rPr>
        <sz val="10"/>
        <rFont val="標楷體"/>
        <family val="4"/>
        <charset val="136"/>
      </rPr>
      <t>註：「準備金提存利率」係指保單設計之初所採用之利率，若公司簽證精算人員依其專業判斷調整此險種準備金之提存利率，則採用調整後之利率。</t>
    </r>
    <phoneticPr fontId="26" type="noConversion"/>
  </si>
  <si>
    <r>
      <rPr>
        <sz val="10"/>
        <rFont val="標楷體"/>
        <family val="4"/>
        <charset val="136"/>
      </rPr>
      <t>表</t>
    </r>
    <r>
      <rPr>
        <sz val="10"/>
        <rFont val="Book Antiqua"/>
        <family val="1"/>
      </rPr>
      <t>30-6</t>
    </r>
    <r>
      <rPr>
        <sz val="10"/>
        <rFont val="標楷體"/>
        <family val="4"/>
        <charset val="136"/>
      </rPr>
      <t>：</t>
    </r>
    <r>
      <rPr>
        <sz val="10"/>
        <rFont val="Book Antiqua"/>
        <family val="1"/>
      </rPr>
      <t>R4</t>
    </r>
    <r>
      <rPr>
        <sz val="10"/>
        <rFont val="標楷體"/>
        <family val="4"/>
        <charset val="136"/>
      </rPr>
      <t>：資產負債配置風險計算表</t>
    </r>
    <phoneticPr fontId="26" type="noConversion"/>
  </si>
  <si>
    <t>B</t>
    <phoneticPr fontId="26" type="noConversion"/>
  </si>
  <si>
    <t>C</t>
    <phoneticPr fontId="26" type="noConversion"/>
  </si>
  <si>
    <t>D</t>
    <phoneticPr fontId="26" type="noConversion"/>
  </si>
  <si>
    <t>E</t>
    <phoneticPr fontId="26" type="noConversion"/>
  </si>
  <si>
    <t>F</t>
    <phoneticPr fontId="26" type="noConversion"/>
  </si>
  <si>
    <t>G</t>
    <phoneticPr fontId="26" type="noConversion"/>
  </si>
  <si>
    <r>
      <rPr>
        <sz val="10"/>
        <rFont val="標楷體"/>
        <family val="4"/>
        <charset val="136"/>
      </rPr>
      <t>單位：新台幣元</t>
    </r>
    <phoneticPr fontId="29" type="noConversion"/>
  </si>
  <si>
    <r>
      <rPr>
        <sz val="10"/>
        <rFont val="標楷體"/>
        <family val="4"/>
        <charset val="136"/>
      </rPr>
      <t>商品名稱</t>
    </r>
    <phoneticPr fontId="26" type="noConversion"/>
  </si>
  <si>
    <r>
      <rPr>
        <sz val="10"/>
        <rFont val="標楷體"/>
        <family val="4"/>
        <charset val="136"/>
      </rPr>
      <t>商品種類</t>
    </r>
    <r>
      <rPr>
        <sz val="10"/>
        <rFont val="Book Antiqua"/>
        <family val="1"/>
      </rPr>
      <t>(</t>
    </r>
    <r>
      <rPr>
        <sz val="10"/>
        <rFont val="標楷體"/>
        <family val="4"/>
        <charset val="136"/>
      </rPr>
      <t>代號</t>
    </r>
    <r>
      <rPr>
        <sz val="10"/>
        <rFont val="Book Antiqua"/>
        <family val="1"/>
      </rPr>
      <t>)</t>
    </r>
    <phoneticPr fontId="26" type="noConversion"/>
  </si>
  <si>
    <r>
      <rPr>
        <sz val="10"/>
        <rFont val="標楷體"/>
        <family val="4"/>
        <charset val="136"/>
      </rPr>
      <t>自留業務</t>
    </r>
    <phoneticPr fontId="26" type="noConversion"/>
  </si>
  <si>
    <r>
      <rPr>
        <sz val="10"/>
        <rFont val="標楷體"/>
        <family val="4"/>
        <charset val="136"/>
      </rPr>
      <t>分出業務</t>
    </r>
    <phoneticPr fontId="26" type="noConversion"/>
  </si>
  <si>
    <r>
      <rPr>
        <sz val="10"/>
        <rFont val="標楷體"/>
        <family val="4"/>
        <charset val="136"/>
      </rPr>
      <t>淨自留</t>
    </r>
    <phoneticPr fontId="26" type="noConversion"/>
  </si>
  <si>
    <r>
      <rPr>
        <sz val="10"/>
        <rFont val="標楷體"/>
        <family val="4"/>
        <charset val="136"/>
      </rPr>
      <t>投資報酬率</t>
    </r>
    <r>
      <rPr>
        <sz val="10"/>
        <rFont val="Book Antiqua"/>
        <family val="1"/>
      </rPr>
      <t>(</t>
    </r>
    <r>
      <rPr>
        <sz val="10"/>
        <rFont val="標楷體"/>
        <family val="4"/>
        <charset val="136"/>
      </rPr>
      <t>註</t>
    </r>
    <r>
      <rPr>
        <sz val="10"/>
        <rFont val="Book Antiqua"/>
        <family val="1"/>
      </rPr>
      <t>3)</t>
    </r>
    <phoneticPr fontId="26" type="noConversion"/>
  </si>
  <si>
    <r>
      <rPr>
        <sz val="10"/>
        <rFont val="標楷體"/>
        <family val="4"/>
        <charset val="136"/>
      </rPr>
      <t>保單價值準備金</t>
    </r>
    <r>
      <rPr>
        <sz val="10"/>
        <rFont val="Book Antiqua"/>
        <family val="1"/>
      </rPr>
      <t>/</t>
    </r>
    <r>
      <rPr>
        <sz val="10"/>
        <rFont val="標楷體"/>
        <family val="4"/>
        <charset val="136"/>
      </rPr>
      <t>責任準備金</t>
    </r>
    <phoneticPr fontId="26" type="noConversion"/>
  </si>
  <si>
    <r>
      <rPr>
        <sz val="10"/>
        <rFont val="標楷體"/>
        <family val="4"/>
        <charset val="136"/>
      </rPr>
      <t>投資報酬率</t>
    </r>
    <r>
      <rPr>
        <sz val="10"/>
        <rFont val="Book Antiqua"/>
        <family val="1"/>
      </rPr>
      <t>(</t>
    </r>
    <r>
      <rPr>
        <sz val="10"/>
        <rFont val="標楷體"/>
        <family val="4"/>
        <charset val="136"/>
      </rPr>
      <t>註</t>
    </r>
    <r>
      <rPr>
        <sz val="10"/>
        <rFont val="Book Antiqua"/>
        <family val="1"/>
      </rPr>
      <t>4)</t>
    </r>
    <phoneticPr fontId="26" type="noConversion"/>
  </si>
  <si>
    <r>
      <rPr>
        <sz val="10"/>
        <rFont val="標楷體"/>
        <family val="4"/>
        <charset val="136"/>
      </rPr>
      <t>人壽保險</t>
    </r>
    <r>
      <rPr>
        <sz val="10"/>
        <rFont val="Book Antiqua"/>
        <family val="1"/>
      </rPr>
      <t>-</t>
    </r>
    <r>
      <rPr>
        <sz val="10"/>
        <rFont val="標楷體"/>
        <family val="4"/>
        <charset val="136"/>
      </rPr>
      <t>超過一年之人身保險業務</t>
    </r>
    <phoneticPr fontId="26" type="noConversion"/>
  </si>
  <si>
    <r>
      <rPr>
        <sz val="10"/>
        <rFont val="標楷體"/>
        <family val="4"/>
        <charset val="136"/>
      </rPr>
      <t>年金保險</t>
    </r>
    <r>
      <rPr>
        <sz val="10"/>
        <rFont val="Book Antiqua"/>
        <family val="1"/>
      </rPr>
      <t>-</t>
    </r>
    <r>
      <rPr>
        <sz val="10"/>
        <rFont val="標楷體"/>
        <family val="4"/>
        <charset val="136"/>
      </rPr>
      <t>超過一年之人身保險業務</t>
    </r>
    <phoneticPr fontId="26" type="noConversion"/>
  </si>
  <si>
    <r>
      <rPr>
        <sz val="10"/>
        <rFont val="標楷體"/>
        <family val="4"/>
        <charset val="136"/>
      </rPr>
      <t>《超過一年之人身保險業務》總計</t>
    </r>
    <phoneticPr fontId="26" type="noConversion"/>
  </si>
  <si>
    <r>
      <rPr>
        <sz val="10"/>
        <rFont val="標楷體"/>
        <family val="4"/>
        <charset val="136"/>
      </rPr>
      <t>傳統型</t>
    </r>
    <r>
      <rPr>
        <sz val="10"/>
        <rFont val="Book Antiqua"/>
        <family val="1"/>
      </rPr>
      <t>-</t>
    </r>
    <r>
      <rPr>
        <sz val="10"/>
        <rFont val="標楷體"/>
        <family val="4"/>
        <charset val="136"/>
      </rPr>
      <t>不分紅</t>
    </r>
  </si>
  <si>
    <r>
      <rPr>
        <sz val="10"/>
        <rFont val="標楷體"/>
        <family val="4"/>
        <charset val="136"/>
      </rPr>
      <t>傳統型</t>
    </r>
    <r>
      <rPr>
        <sz val="10"/>
        <rFont val="Book Antiqua"/>
        <family val="1"/>
      </rPr>
      <t>-</t>
    </r>
    <r>
      <rPr>
        <sz val="10"/>
        <rFont val="標楷體"/>
        <family val="4"/>
        <charset val="136"/>
      </rPr>
      <t>自由分紅</t>
    </r>
  </si>
  <si>
    <r>
      <rPr>
        <sz val="10"/>
        <rFont val="標楷體"/>
        <family val="4"/>
        <charset val="136"/>
      </rPr>
      <t>利變壽險</t>
    </r>
  </si>
  <si>
    <r>
      <rPr>
        <sz val="10"/>
        <rFont val="標楷體"/>
        <family val="4"/>
        <charset val="136"/>
      </rPr>
      <t>勞退年金</t>
    </r>
  </si>
  <si>
    <r>
      <rPr>
        <sz val="10"/>
        <rFont val="標楷體"/>
        <family val="4"/>
        <charset val="136"/>
      </rPr>
      <t>萬能壽險</t>
    </r>
  </si>
  <si>
    <r>
      <rPr>
        <sz val="10"/>
        <rFont val="標楷體"/>
        <family val="4"/>
        <charset val="136"/>
      </rPr>
      <t>傳統年金</t>
    </r>
  </si>
  <si>
    <r>
      <rPr>
        <sz val="10"/>
        <rFont val="標楷體"/>
        <family val="4"/>
        <charset val="136"/>
      </rPr>
      <t>利變年金</t>
    </r>
  </si>
  <si>
    <r>
      <rPr>
        <b/>
        <sz val="10"/>
        <rFont val="標楷體"/>
        <family val="4"/>
        <charset val="136"/>
      </rPr>
      <t>金</t>
    </r>
    <r>
      <rPr>
        <b/>
        <sz val="10"/>
        <rFont val="Book Antiqua"/>
        <family val="1"/>
      </rPr>
      <t xml:space="preserve">     </t>
    </r>
    <r>
      <rPr>
        <b/>
        <sz val="10"/>
        <rFont val="標楷體"/>
        <family val="4"/>
        <charset val="136"/>
      </rPr>
      <t>額</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</si>
  <si>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</si>
  <si>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</si>
  <si>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(4)</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</si>
  <si>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(5)</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</si>
  <si>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(6)</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</si>
  <si>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(7)</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</si>
  <si>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(8)</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</si>
  <si>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(9)</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</si>
  <si>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(10)</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</si>
  <si>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(11)</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</si>
  <si>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(12)</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</si>
  <si>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(13)</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</si>
  <si>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(14)</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</si>
  <si>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(18)</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</si>
  <si>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(19)</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</si>
  <si>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(20)</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</si>
  <si>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(21)</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</si>
  <si>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(22)</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</si>
  <si>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(23)</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</si>
  <si>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(24)</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</si>
  <si>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(25)</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</si>
  <si>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(26)</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</si>
  <si>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(27)</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</si>
  <si>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(28)</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</si>
  <si>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(29)</t>
    </r>
    <r>
      <rPr>
        <sz val="10"/>
        <rFont val="標楷體"/>
        <family val="4"/>
        <charset val="136"/>
      </rPr>
      <t>列</t>
    </r>
  </si>
  <si>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(30)</t>
    </r>
    <r>
      <rPr>
        <sz val="10"/>
        <rFont val="標楷體"/>
        <family val="4"/>
        <charset val="136"/>
      </rPr>
      <t>列</t>
    </r>
  </si>
  <si>
    <r>
      <rPr>
        <sz val="10"/>
        <rFont val="標楷體"/>
        <family val="4"/>
        <charset val="136"/>
      </rPr>
      <t>註</t>
    </r>
    <r>
      <rPr>
        <sz val="10"/>
        <rFont val="Book Antiqua"/>
        <family val="1"/>
      </rPr>
      <t>1</t>
    </r>
    <r>
      <rPr>
        <sz val="10"/>
        <rFont val="標楷體"/>
        <family val="4"/>
        <charset val="136"/>
      </rPr>
      <t>：填報半年報報表時，資料來源表之數值僅包含本半年度金額，應加計前一年度下半年</t>
    </r>
    <r>
      <rPr>
        <sz val="10"/>
        <rFont val="Book Antiqua"/>
        <family val="1"/>
      </rPr>
      <t>(7/1</t>
    </r>
    <r>
      <rPr>
        <sz val="10"/>
        <rFont val="標楷體"/>
        <family val="4"/>
        <charset val="136"/>
      </rPr>
      <t>至</t>
    </r>
    <r>
      <rPr>
        <sz val="10"/>
        <rFont val="Book Antiqua"/>
        <family val="1"/>
      </rPr>
      <t>12/31)</t>
    </r>
    <r>
      <rPr>
        <sz val="10"/>
        <rFont val="標楷體"/>
        <family val="4"/>
        <charset val="136"/>
      </rPr>
      <t>金額，用以表示年化後金額。此欄位於填列年報時免填。</t>
    </r>
  </si>
  <si>
    <r>
      <rPr>
        <sz val="10"/>
        <rFont val="標楷體"/>
        <family val="4"/>
        <charset val="136"/>
      </rPr>
      <t>超過一年之再保分出業務無未滿期保費準備；風險資本額採用「表</t>
    </r>
    <r>
      <rPr>
        <sz val="10"/>
        <rFont val="Book Antiqua"/>
        <family val="1"/>
      </rPr>
      <t>30-5-1</t>
    </r>
    <r>
      <rPr>
        <sz val="10"/>
        <rFont val="標楷體"/>
        <family val="4"/>
        <charset val="136"/>
      </rPr>
      <t>：超過一年之人身保險業務風險計算表」</t>
    </r>
    <r>
      <rPr>
        <sz val="10"/>
        <rFont val="Book Antiqua"/>
        <family val="1"/>
      </rPr>
      <t>2.1</t>
    </r>
    <r>
      <rPr>
        <sz val="10"/>
        <rFont val="標楷體"/>
        <family val="4"/>
        <charset val="136"/>
      </rPr>
      <t>個人壽險風險資本額</t>
    </r>
  </si>
  <si>
    <r>
      <rPr>
        <sz val="10"/>
        <rFont val="標楷體"/>
        <family val="4"/>
        <charset val="136"/>
      </rPr>
      <t>超過一年之再保分出業務無未滿期保費準備；風險資本額採用「表</t>
    </r>
    <r>
      <rPr>
        <sz val="10"/>
        <rFont val="Book Antiqua"/>
        <family val="1"/>
      </rPr>
      <t>30-5-1</t>
    </r>
    <r>
      <rPr>
        <sz val="10"/>
        <rFont val="標楷體"/>
        <family val="4"/>
        <charset val="136"/>
      </rPr>
      <t>：超過一年之人身保險業務風險計算表」</t>
    </r>
    <r>
      <rPr>
        <sz val="10"/>
        <rFont val="Book Antiqua"/>
        <family val="1"/>
      </rPr>
      <t>2.2</t>
    </r>
    <r>
      <rPr>
        <sz val="10"/>
        <rFont val="標楷體"/>
        <family val="4"/>
        <charset val="136"/>
      </rPr>
      <t>年金保險風險資本額</t>
    </r>
  </si>
  <si>
    <t>「表20-2:分入再保險業務業績比較分析表(人身再保險)」第(1)欄第(15)列</t>
    <phoneticPr fontId="26" type="noConversion"/>
  </si>
  <si>
    <r>
      <rPr>
        <b/>
        <sz val="10"/>
        <rFont val="標楷體"/>
        <family val="4"/>
        <charset val="136"/>
      </rPr>
      <t>公司投資
報酬率</t>
    </r>
    <phoneticPr fontId="26" type="noConversion"/>
  </si>
  <si>
    <r>
      <rPr>
        <b/>
        <sz val="10"/>
        <rFont val="標楷體"/>
        <family val="4"/>
        <charset val="136"/>
      </rPr>
      <t>《資產負債配置風險》總計</t>
    </r>
    <phoneticPr fontId="26" type="noConversion"/>
  </si>
  <si>
    <r>
      <rPr>
        <b/>
        <sz val="10"/>
        <rFont val="標楷體"/>
        <family val="4"/>
        <charset val="136"/>
      </rPr>
      <t>準備金提存利率</t>
    </r>
    <r>
      <rPr>
        <b/>
        <sz val="10"/>
        <rFont val="Book Antiqua"/>
        <family val="1"/>
      </rPr>
      <t>(</t>
    </r>
    <r>
      <rPr>
        <b/>
        <sz val="10"/>
        <rFont val="標楷體"/>
        <family val="4"/>
        <charset val="136"/>
      </rPr>
      <t>註</t>
    </r>
    <r>
      <rPr>
        <b/>
        <sz val="10"/>
        <rFont val="Book Antiqua"/>
        <family val="1"/>
      </rPr>
      <t>)</t>
    </r>
    <phoneticPr fontId="26" type="noConversion"/>
  </si>
  <si>
    <r>
      <rPr>
        <sz val="10"/>
        <rFont val="標楷體"/>
        <family val="4"/>
        <charset val="136"/>
      </rPr>
      <t>「表</t>
    </r>
    <r>
      <rPr>
        <sz val="10"/>
        <rFont val="Book Antiqua"/>
        <family val="1"/>
      </rPr>
      <t>30-8-6</t>
    </r>
    <r>
      <rPr>
        <sz val="10"/>
        <rFont val="標楷體"/>
        <family val="4"/>
        <charset val="136"/>
      </rPr>
      <t>：資金運用收益率調整計算表」第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26" type="noConversion"/>
  </si>
  <si>
    <t/>
  </si>
  <si>
    <t>6277</t>
  </si>
  <si>
    <t>(33)=[(31)-(16)]-[(32)-(17)]</t>
    <phoneticPr fontId="29" type="noConversion"/>
  </si>
  <si>
    <r>
      <rPr>
        <sz val="10"/>
        <rFont val="標楷體"/>
        <family val="4"/>
        <charset val="136"/>
      </rPr>
      <t>表</t>
    </r>
    <r>
      <rPr>
        <sz val="10"/>
        <rFont val="Book Antiqua"/>
        <family val="1"/>
      </rPr>
      <t>13-4</t>
    </r>
    <r>
      <rPr>
        <sz val="10"/>
        <rFont val="標楷體"/>
        <family val="4"/>
        <charset val="136"/>
      </rPr>
      <t>：國外及大陸地區不動產投資情形明細表</t>
    </r>
    <phoneticPr fontId="26" type="noConversion"/>
  </si>
  <si>
    <t>國別</t>
    <phoneticPr fontId="29" type="noConversion"/>
  </si>
  <si>
    <t>地區</t>
    <phoneticPr fontId="29" type="noConversion"/>
  </si>
  <si>
    <t>標的名稱</t>
    <phoneticPr fontId="29" type="noConversion"/>
  </si>
  <si>
    <t>種類</t>
    <phoneticPr fontId="29" type="noConversion"/>
  </si>
  <si>
    <t>使用種類</t>
    <phoneticPr fontId="29" type="noConversion"/>
  </si>
  <si>
    <t>持有資產幣別</t>
    <phoneticPr fontId="29" type="noConversion"/>
  </si>
  <si>
    <t>取得成本</t>
    <phoneticPr fontId="29" type="noConversion"/>
  </si>
  <si>
    <t>取得方式及帳載金額</t>
    <phoneticPr fontId="29" type="noConversion"/>
  </si>
  <si>
    <t>標的面積(m²)</t>
    <phoneticPr fontId="29" type="noConversion"/>
  </si>
  <si>
    <t>租金收益率資訊</t>
    <phoneticPr fontId="29" type="noConversion"/>
  </si>
  <si>
    <t>SPV相關資料</t>
    <phoneticPr fontId="32" type="noConversion"/>
  </si>
  <si>
    <t>物業管理機構</t>
    <phoneticPr fontId="29" type="noConversion"/>
  </si>
  <si>
    <t>以自己名義</t>
  </si>
  <si>
    <t>投資SPV</t>
  </si>
  <si>
    <t>貸款予投資之SPV</t>
  </si>
  <si>
    <t>信託</t>
  </si>
  <si>
    <t>出租率(%)</t>
  </si>
  <si>
    <t>每月租金收益</t>
  </si>
  <si>
    <t>年化租金收益率(%)</t>
  </si>
  <si>
    <t>當地租金收益率(%)</t>
  </si>
  <si>
    <t>SPV名稱</t>
  </si>
  <si>
    <t>SPV設立地區</t>
  </si>
  <si>
    <t>SPV負責人</t>
  </si>
  <si>
    <t>16</t>
    <phoneticPr fontId="29" type="noConversion"/>
  </si>
  <si>
    <r>
      <rPr>
        <sz val="10"/>
        <rFont val="標楷體"/>
        <family val="4"/>
        <charset val="136"/>
      </rPr>
      <t>本表請依「保險業辦理國外投資管理辦法」第</t>
    </r>
    <r>
      <rPr>
        <sz val="10"/>
        <rFont val="Book Antiqua"/>
        <family val="1"/>
      </rPr>
      <t>11</t>
    </r>
    <r>
      <rPr>
        <sz val="10"/>
        <rFont val="標楷體"/>
        <family val="4"/>
        <charset val="136"/>
      </rPr>
      <t>條至第</t>
    </r>
    <r>
      <rPr>
        <sz val="10"/>
        <rFont val="Book Antiqua"/>
        <family val="1"/>
      </rPr>
      <t>11</t>
    </r>
    <r>
      <rPr>
        <sz val="10"/>
        <rFont val="標楷體"/>
        <family val="4"/>
        <charset val="136"/>
      </rPr>
      <t>條之</t>
    </r>
    <r>
      <rPr>
        <sz val="10"/>
        <rFont val="Book Antiqua"/>
        <family val="1"/>
      </rPr>
      <t>3</t>
    </r>
    <r>
      <rPr>
        <sz val="10"/>
        <rFont val="標楷體"/>
        <family val="4"/>
        <charset val="136"/>
      </rPr>
      <t>規定填報。</t>
    </r>
    <phoneticPr fontId="29" type="noConversion"/>
  </si>
  <si>
    <t>取得成本含修繕不動產之資本支出。</t>
    <phoneticPr fontId="29" type="noConversion"/>
  </si>
  <si>
    <r>
      <rPr>
        <sz val="10"/>
        <rFont val="標楷體"/>
        <family val="4"/>
        <charset val="136"/>
      </rPr>
      <t>本表均含國內外投資</t>
    </r>
    <r>
      <rPr>
        <sz val="10"/>
        <rFont val="Book Antiqua"/>
        <family val="1"/>
      </rPr>
      <t>,</t>
    </r>
    <r>
      <rPr>
        <sz val="10"/>
        <rFont val="標楷體"/>
        <family val="4"/>
        <charset val="136"/>
      </rPr>
      <t>若屬國外投資者於持有資產幣別請填該幣別代號如</t>
    </r>
    <r>
      <rPr>
        <sz val="10"/>
        <rFont val="Book Antiqua"/>
        <family val="1"/>
      </rPr>
      <t>USD,</t>
    </r>
    <r>
      <rPr>
        <sz val="10"/>
        <rFont val="標楷體"/>
        <family val="4"/>
        <charset val="136"/>
      </rPr>
      <t>若投資新興市場而按已開發國家幣別計價者，請將該幣別增加一碼如</t>
    </r>
    <r>
      <rPr>
        <sz val="10"/>
        <rFont val="Book Antiqua"/>
        <family val="1"/>
      </rPr>
      <t>USD-1</t>
    </r>
    <r>
      <rPr>
        <sz val="10"/>
        <rFont val="標楷體"/>
        <family val="4"/>
        <charset val="136"/>
      </rPr>
      <t>，請以期末匯率換算為新台幣帳面淨額。</t>
    </r>
    <phoneticPr fontId="29" type="noConversion"/>
  </si>
  <si>
    <r>
      <rPr>
        <sz val="10"/>
        <rFont val="標楷體"/>
        <family val="4"/>
        <charset val="136"/>
      </rPr>
      <t>是否符合計入自有資本調整項之適用範圍，係依「保險業計算資本適足率適用之不動產投資採用市價重新評價並計入自有資本調整項之應注意事項」判斷之。請填列</t>
    </r>
    <r>
      <rPr>
        <sz val="10"/>
        <rFont val="Book Antiqua"/>
        <family val="1"/>
      </rPr>
      <t>Y.</t>
    </r>
    <r>
      <rPr>
        <sz val="10"/>
        <rFont val="標楷體"/>
        <family val="4"/>
        <charset val="136"/>
      </rPr>
      <t>符合適用範圍，</t>
    </r>
    <r>
      <rPr>
        <sz val="10"/>
        <rFont val="Book Antiqua"/>
        <family val="1"/>
      </rPr>
      <t>N.</t>
    </r>
    <r>
      <rPr>
        <sz val="10"/>
        <rFont val="標楷體"/>
        <family val="4"/>
        <charset val="136"/>
      </rPr>
      <t>不符合適用範圍</t>
    </r>
    <phoneticPr fontId="29" type="noConversion"/>
  </si>
  <si>
    <r>
      <rPr>
        <sz val="10"/>
        <rFont val="標楷體"/>
        <family val="4"/>
        <charset val="136"/>
      </rPr>
      <t>第</t>
    </r>
    <r>
      <rPr>
        <sz val="10"/>
        <rFont val="Book Antiqua"/>
        <family val="1"/>
      </rPr>
      <t>(28)</t>
    </r>
    <r>
      <rPr>
        <sz val="10"/>
        <rFont val="標楷體"/>
        <family val="4"/>
        <charset val="136"/>
      </rPr>
      <t>欄填列為</t>
    </r>
    <r>
      <rPr>
        <sz val="10"/>
        <rFont val="Book Antiqua"/>
        <family val="1"/>
      </rPr>
      <t>N</t>
    </r>
    <r>
      <rPr>
        <sz val="10"/>
        <rFont val="標楷體"/>
        <family val="4"/>
        <charset val="136"/>
      </rPr>
      <t>者，得不需填列第</t>
    </r>
    <r>
      <rPr>
        <sz val="10"/>
        <rFont val="Book Antiqua"/>
        <family val="1"/>
      </rPr>
      <t>(29)</t>
    </r>
    <r>
      <rPr>
        <sz val="10"/>
        <rFont val="標楷體"/>
        <family val="4"/>
        <charset val="136"/>
      </rPr>
      <t>欄到</t>
    </r>
    <r>
      <rPr>
        <sz val="10"/>
        <rFont val="Book Antiqua"/>
        <family val="1"/>
      </rPr>
      <t>(34)</t>
    </r>
    <r>
      <rPr>
        <sz val="10"/>
        <rFont val="標楷體"/>
        <family val="4"/>
        <charset val="136"/>
      </rPr>
      <t>欄</t>
    </r>
    <phoneticPr fontId="29" type="noConversion"/>
  </si>
  <si>
    <r>
      <rPr>
        <sz val="10"/>
        <rFont val="標楷體"/>
        <family val="4"/>
        <charset val="136"/>
      </rPr>
      <t>得計入自有資本之最大金額，第</t>
    </r>
    <r>
      <rPr>
        <sz val="10"/>
        <rFont val="Book Antiqua"/>
        <family val="1"/>
      </rPr>
      <t>(28)</t>
    </r>
    <r>
      <rPr>
        <sz val="10"/>
        <rFont val="標楷體"/>
        <family val="4"/>
        <charset val="136"/>
      </rPr>
      <t>欄為</t>
    </r>
    <r>
      <rPr>
        <sz val="10"/>
        <rFont val="Book Antiqua"/>
        <family val="1"/>
      </rPr>
      <t>Y</t>
    </r>
    <r>
      <rPr>
        <sz val="10"/>
        <rFont val="標楷體"/>
        <family val="4"/>
        <charset val="136"/>
      </rPr>
      <t>者，其財務報表針對投資性不動產之後續衡量採成本模式，若市價高於帳面價值，則以稅後增值金額之</t>
    </r>
    <r>
      <rPr>
        <b/>
        <sz val="10"/>
        <rFont val="Book Antiqua"/>
        <family val="1"/>
      </rPr>
      <t>75%</t>
    </r>
    <r>
      <rPr>
        <sz val="10"/>
        <rFont val="標楷體"/>
        <family val="4"/>
        <charset val="136"/>
      </rPr>
      <t>列入自有資本，若市價低於帳面價值，且未經會計師以減損認列者，則以稅後減少金額之</t>
    </r>
    <r>
      <rPr>
        <sz val="10"/>
        <rFont val="Book Antiqua"/>
        <family val="1"/>
      </rPr>
      <t>100%</t>
    </r>
    <r>
      <rPr>
        <sz val="10"/>
        <rFont val="標楷體"/>
        <family val="4"/>
        <charset val="136"/>
      </rPr>
      <t>由自有資本扣除</t>
    </r>
    <phoneticPr fontId="29" type="noConversion"/>
  </si>
  <si>
    <r>
      <rPr>
        <sz val="10"/>
        <rFont val="標楷體"/>
        <family val="4"/>
        <charset val="136"/>
      </rPr>
      <t>投資性不動產之後續衡量採公允價值模式者，以第</t>
    </r>
    <r>
      <rPr>
        <sz val="10"/>
        <rFont val="Book Antiqua"/>
        <family val="1"/>
      </rPr>
      <t>(20)</t>
    </r>
    <r>
      <rPr>
        <sz val="10"/>
        <rFont val="標楷體"/>
        <family val="4"/>
        <charset val="136"/>
      </rPr>
      <t>欄「後續衡量採用公允價值模式之影響淨額」作為計算第</t>
    </r>
    <r>
      <rPr>
        <sz val="10"/>
        <rFont val="Book Antiqua"/>
        <family val="1"/>
      </rPr>
      <t>(34)</t>
    </r>
    <r>
      <rPr>
        <sz val="10"/>
        <rFont val="標楷體"/>
        <family val="4"/>
        <charset val="136"/>
      </rPr>
      <t>欄「得計入自有資本之最大金額」之依據，無需填列第</t>
    </r>
    <r>
      <rPr>
        <sz val="10"/>
        <rFont val="Book Antiqua"/>
        <family val="1"/>
      </rPr>
      <t>(29)</t>
    </r>
    <r>
      <rPr>
        <sz val="10"/>
        <rFont val="標楷體"/>
        <family val="4"/>
        <charset val="136"/>
      </rPr>
      <t>欄到</t>
    </r>
    <r>
      <rPr>
        <sz val="10"/>
        <rFont val="Book Antiqua"/>
        <family val="1"/>
      </rPr>
      <t>(33)</t>
    </r>
    <r>
      <rPr>
        <sz val="10"/>
        <rFont val="標楷體"/>
        <family val="4"/>
        <charset val="136"/>
      </rPr>
      <t>欄</t>
    </r>
    <phoneticPr fontId="29" type="noConversion"/>
  </si>
  <si>
    <r>
      <rPr>
        <sz val="10"/>
        <rFont val="標楷體"/>
        <family val="4"/>
        <charset val="136"/>
      </rPr>
      <t>國外不動產</t>
    </r>
    <r>
      <rPr>
        <sz val="10"/>
        <rFont val="Book Antiqua"/>
        <family val="1"/>
      </rPr>
      <t>--</t>
    </r>
    <r>
      <rPr>
        <sz val="10"/>
        <rFont val="標楷體"/>
        <family val="4"/>
        <charset val="136"/>
      </rPr>
      <t>已開發國家</t>
    </r>
    <phoneticPr fontId="26" type="noConversion"/>
  </si>
  <si>
    <r>
      <rPr>
        <sz val="10"/>
        <rFont val="標楷體"/>
        <family val="4"/>
        <charset val="136"/>
      </rPr>
      <t>國外不動產</t>
    </r>
    <r>
      <rPr>
        <sz val="10"/>
        <rFont val="Book Antiqua"/>
        <family val="1"/>
      </rPr>
      <t>--</t>
    </r>
    <r>
      <rPr>
        <sz val="10"/>
        <rFont val="標楷體"/>
        <family val="4"/>
        <charset val="136"/>
      </rPr>
      <t>新興市場</t>
    </r>
    <phoneticPr fontId="26" type="noConversion"/>
  </si>
  <si>
    <r>
      <rPr>
        <sz val="11"/>
        <rFont val="標楷體"/>
        <family val="4"/>
        <charset val="136"/>
      </rPr>
      <t>被避險資產屬國外投資</t>
    </r>
    <r>
      <rPr>
        <sz val="11"/>
        <rFont val="Book Antiqua"/>
        <family val="1"/>
      </rPr>
      <t>--</t>
    </r>
    <r>
      <rPr>
        <sz val="11"/>
        <rFont val="標楷體"/>
        <family val="4"/>
        <charset val="136"/>
      </rPr>
      <t>新興市場</t>
    </r>
    <phoneticPr fontId="26" type="noConversion"/>
  </si>
  <si>
    <r>
      <rPr>
        <sz val="12"/>
        <rFont val="標楷體"/>
        <family val="4"/>
        <charset val="136"/>
      </rPr>
      <t>被避險資產屬國外投資</t>
    </r>
    <r>
      <rPr>
        <sz val="12"/>
        <rFont val="Book Antiqua"/>
        <family val="1"/>
      </rPr>
      <t>--</t>
    </r>
    <r>
      <rPr>
        <sz val="12"/>
        <rFont val="標楷體"/>
        <family val="4"/>
        <charset val="136"/>
      </rPr>
      <t>已開發國家</t>
    </r>
    <phoneticPr fontId="26" type="noConversion"/>
  </si>
  <si>
    <r>
      <rPr>
        <sz val="12"/>
        <rFont val="標楷體"/>
        <family val="4"/>
        <charset val="136"/>
      </rPr>
      <t>被避險資產屬國外投資</t>
    </r>
    <r>
      <rPr>
        <sz val="12"/>
        <rFont val="Book Antiqua"/>
        <family val="1"/>
      </rPr>
      <t>--</t>
    </r>
    <r>
      <rPr>
        <sz val="12"/>
        <rFont val="標楷體"/>
        <family val="4"/>
        <charset val="136"/>
      </rPr>
      <t>新興市場</t>
    </r>
    <phoneticPr fontId="26" type="noConversion"/>
  </si>
  <si>
    <r>
      <rPr>
        <sz val="11"/>
        <rFont val="標楷體"/>
        <family val="4"/>
        <charset val="136"/>
      </rPr>
      <t>被避險資產屬國外投資</t>
    </r>
    <r>
      <rPr>
        <sz val="11"/>
        <rFont val="Book Antiqua"/>
        <family val="1"/>
      </rPr>
      <t>--</t>
    </r>
    <r>
      <rPr>
        <sz val="11"/>
        <rFont val="標楷體"/>
        <family val="4"/>
        <charset val="136"/>
      </rPr>
      <t>已開發國家</t>
    </r>
    <phoneticPr fontId="26" type="noConversion"/>
  </si>
  <si>
    <r>
      <rPr>
        <sz val="12"/>
        <rFont val="標楷體"/>
        <family val="4"/>
        <charset val="136"/>
      </rPr>
      <t>衍生性商品標的屬國外投資</t>
    </r>
    <r>
      <rPr>
        <sz val="12"/>
        <rFont val="Book Antiqua"/>
        <family val="1"/>
      </rPr>
      <t>--</t>
    </r>
    <r>
      <rPr>
        <sz val="12"/>
        <rFont val="標楷體"/>
        <family val="4"/>
        <charset val="136"/>
      </rPr>
      <t>已開發國家</t>
    </r>
    <phoneticPr fontId="26" type="noConversion"/>
  </si>
  <si>
    <r>
      <rPr>
        <sz val="12"/>
        <rFont val="標楷體"/>
        <family val="4"/>
        <charset val="136"/>
      </rPr>
      <t>衍生性商品標的屬國外投資</t>
    </r>
    <r>
      <rPr>
        <sz val="12"/>
        <rFont val="Book Antiqua"/>
        <family val="1"/>
      </rPr>
      <t>--</t>
    </r>
    <r>
      <rPr>
        <sz val="12"/>
        <rFont val="標楷體"/>
        <family val="4"/>
        <charset val="136"/>
      </rPr>
      <t>新興市場</t>
    </r>
    <phoneticPr fontId="26" type="noConversion"/>
  </si>
  <si>
    <r>
      <rPr>
        <sz val="10"/>
        <rFont val="標楷體"/>
        <family val="4"/>
        <charset val="136"/>
      </rPr>
      <t>被避險資產屬國外投資</t>
    </r>
    <r>
      <rPr>
        <sz val="10"/>
        <rFont val="Book Antiqua"/>
        <family val="1"/>
      </rPr>
      <t>--</t>
    </r>
    <r>
      <rPr>
        <sz val="10"/>
        <rFont val="標楷體"/>
        <family val="4"/>
        <charset val="136"/>
      </rPr>
      <t>已開發國家</t>
    </r>
    <phoneticPr fontId="26" type="noConversion"/>
  </si>
  <si>
    <r>
      <rPr>
        <sz val="10"/>
        <rFont val="標楷體"/>
        <family val="4"/>
        <charset val="136"/>
      </rPr>
      <t>被避險資產屬國外投資</t>
    </r>
    <r>
      <rPr>
        <sz val="10"/>
        <rFont val="Book Antiqua"/>
        <family val="1"/>
      </rPr>
      <t>--</t>
    </r>
    <r>
      <rPr>
        <sz val="10"/>
        <rFont val="標楷體"/>
        <family val="4"/>
        <charset val="136"/>
      </rPr>
      <t>新興市場</t>
    </r>
    <phoneticPr fontId="26" type="noConversion"/>
  </si>
  <si>
    <r>
      <rPr>
        <sz val="12"/>
        <rFont val="標楷體"/>
        <family val="4"/>
        <charset val="136"/>
      </rPr>
      <t>換入標的屬國外投資</t>
    </r>
    <r>
      <rPr>
        <sz val="12"/>
        <rFont val="Book Antiqua"/>
        <family val="1"/>
      </rPr>
      <t>--</t>
    </r>
    <r>
      <rPr>
        <sz val="12"/>
        <rFont val="標楷體"/>
        <family val="4"/>
        <charset val="136"/>
      </rPr>
      <t>已開發國家</t>
    </r>
    <phoneticPr fontId="26" type="noConversion"/>
  </si>
  <si>
    <r>
      <rPr>
        <sz val="12"/>
        <rFont val="標楷體"/>
        <family val="4"/>
        <charset val="136"/>
      </rPr>
      <t>換入標的屬國外投資</t>
    </r>
    <r>
      <rPr>
        <sz val="12"/>
        <rFont val="Book Antiqua"/>
        <family val="1"/>
      </rPr>
      <t>--</t>
    </r>
    <r>
      <rPr>
        <sz val="12"/>
        <rFont val="標楷體"/>
        <family val="4"/>
        <charset val="136"/>
      </rPr>
      <t>新興市場</t>
    </r>
    <phoneticPr fontId="26" type="noConversion"/>
  </si>
  <si>
    <r>
      <rPr>
        <sz val="10"/>
        <rFont val="標楷體"/>
        <family val="4"/>
        <charset val="136"/>
      </rPr>
      <t>衍生性商品標的屬國外投資</t>
    </r>
    <r>
      <rPr>
        <sz val="10"/>
        <rFont val="Book Antiqua"/>
        <family val="1"/>
      </rPr>
      <t>--</t>
    </r>
    <r>
      <rPr>
        <sz val="10"/>
        <rFont val="標楷體"/>
        <family val="4"/>
        <charset val="136"/>
      </rPr>
      <t>已開發國家</t>
    </r>
    <phoneticPr fontId="26" type="noConversion"/>
  </si>
  <si>
    <r>
      <rPr>
        <sz val="10"/>
        <rFont val="標楷體"/>
        <family val="4"/>
        <charset val="136"/>
      </rPr>
      <t>衍生性商品標的屬國外投資</t>
    </r>
    <r>
      <rPr>
        <sz val="10"/>
        <rFont val="Book Antiqua"/>
        <family val="1"/>
      </rPr>
      <t>--</t>
    </r>
    <r>
      <rPr>
        <sz val="10"/>
        <rFont val="標楷體"/>
        <family val="4"/>
        <charset val="136"/>
      </rPr>
      <t>新興市場</t>
    </r>
    <phoneticPr fontId="26" type="noConversion"/>
  </si>
  <si>
    <r>
      <rPr>
        <sz val="10"/>
        <rFont val="標楷體"/>
        <family val="4"/>
        <charset val="136"/>
      </rPr>
      <t>本表第</t>
    </r>
    <r>
      <rPr>
        <sz val="10"/>
        <rFont val="Book Antiqua"/>
        <family val="1"/>
      </rPr>
      <t>(5)</t>
    </r>
    <r>
      <rPr>
        <sz val="10"/>
        <rFont val="標楷體"/>
        <family val="4"/>
        <charset val="136"/>
      </rPr>
      <t>欄第</t>
    </r>
    <r>
      <rPr>
        <sz val="10"/>
        <rFont val="Book Antiqua"/>
        <family val="1"/>
      </rPr>
      <t>(6)</t>
    </r>
    <r>
      <rPr>
        <sz val="10"/>
        <rFont val="標楷體"/>
        <family val="4"/>
        <charset val="136"/>
      </rPr>
      <t>列之金額係做為表</t>
    </r>
    <r>
      <rPr>
        <sz val="10"/>
        <rFont val="Book Antiqua"/>
        <family val="1"/>
      </rPr>
      <t>30-3</t>
    </r>
    <r>
      <rPr>
        <sz val="10"/>
        <rFont val="標楷體"/>
        <family val="4"/>
        <charset val="136"/>
      </rPr>
      <t>國外資產風險項下，已開發國家的外匯風險之扣抵額</t>
    </r>
    <phoneticPr fontId="26" type="noConversion"/>
  </si>
  <si>
    <r>
      <rPr>
        <sz val="10"/>
        <rFont val="標楷體"/>
        <family val="4"/>
        <charset val="136"/>
      </rPr>
      <t>衍生性商品標的屬國外投資</t>
    </r>
    <r>
      <rPr>
        <sz val="10"/>
        <rFont val="Book Antiqua"/>
        <family val="1"/>
      </rPr>
      <t>(</t>
    </r>
    <r>
      <rPr>
        <sz val="10"/>
        <rFont val="標楷體"/>
        <family val="4"/>
        <charset val="136"/>
      </rPr>
      <t>新興市場</t>
    </r>
    <r>
      <rPr>
        <sz val="10"/>
        <rFont val="Book Antiqua"/>
        <family val="1"/>
      </rPr>
      <t>)</t>
    </r>
    <phoneticPr fontId="26" type="noConversion"/>
  </si>
  <si>
    <t>健康保險(一年期與長期)</t>
    <phoneticPr fontId="29" type="noConversion"/>
  </si>
  <si>
    <t>健康保險(一年期與長期)</t>
    <phoneticPr fontId="26" type="noConversion"/>
  </si>
  <si>
    <r>
      <t>已付賠款</t>
    </r>
    <r>
      <rPr>
        <sz val="12"/>
        <color indexed="10"/>
        <rFont val="Times New Roman"/>
        <family val="1"/>
      </rPr>
      <t/>
    </r>
    <phoneticPr fontId="29" type="noConversion"/>
  </si>
  <si>
    <r>
      <t>提存賠款準備</t>
    </r>
    <r>
      <rPr>
        <sz val="12"/>
        <color indexed="10"/>
        <rFont val="Times New Roman"/>
        <family val="1"/>
      </rPr>
      <t/>
    </r>
    <phoneticPr fontId="29" type="noConversion"/>
  </si>
  <si>
    <r>
      <t>收回賠款準備</t>
    </r>
    <r>
      <rPr>
        <sz val="12"/>
        <color indexed="10"/>
        <rFont val="Times New Roman"/>
        <family val="1"/>
      </rPr>
      <t/>
    </r>
    <phoneticPr fontId="29" type="noConversion"/>
  </si>
  <si>
    <t>健康保險(一年期與長期)</t>
    <phoneticPr fontId="29" type="noConversion"/>
  </si>
  <si>
    <r>
      <t>人壽保險</t>
    </r>
    <r>
      <rPr>
        <sz val="10"/>
        <rFont val="Times New Roman"/>
        <family val="1"/>
      </rPr>
      <t>(</t>
    </r>
    <r>
      <rPr>
        <sz val="10"/>
        <rFont val="標楷體"/>
        <family val="4"/>
        <charset val="136"/>
      </rPr>
      <t>國外分入</t>
    </r>
    <r>
      <rPr>
        <sz val="10"/>
        <rFont val="Times New Roman"/>
        <family val="1"/>
      </rPr>
      <t>)</t>
    </r>
    <phoneticPr fontId="29" type="noConversion"/>
  </si>
  <si>
    <r>
      <t>傷害保險</t>
    </r>
    <r>
      <rPr>
        <sz val="10"/>
        <rFont val="Times New Roman"/>
        <family val="1"/>
      </rPr>
      <t>(</t>
    </r>
    <r>
      <rPr>
        <sz val="10"/>
        <rFont val="標楷體"/>
        <family val="4"/>
        <charset val="136"/>
      </rPr>
      <t>國外分入</t>
    </r>
    <r>
      <rPr>
        <sz val="10"/>
        <rFont val="Times New Roman"/>
        <family val="1"/>
      </rPr>
      <t>)</t>
    </r>
    <phoneticPr fontId="29" type="noConversion"/>
  </si>
  <si>
    <r>
      <t>健康保險</t>
    </r>
    <r>
      <rPr>
        <sz val="10"/>
        <rFont val="Times New Roman"/>
        <family val="1"/>
      </rPr>
      <t>(</t>
    </r>
    <r>
      <rPr>
        <sz val="10"/>
        <rFont val="標楷體"/>
        <family val="4"/>
        <charset val="136"/>
      </rPr>
      <t>國外分入</t>
    </r>
    <r>
      <rPr>
        <sz val="10"/>
        <rFont val="Times New Roman"/>
        <family val="1"/>
      </rPr>
      <t>)</t>
    </r>
    <phoneticPr fontId="29" type="noConversion"/>
  </si>
  <si>
    <r>
      <t>年金保險</t>
    </r>
    <r>
      <rPr>
        <sz val="10"/>
        <rFont val="Times New Roman"/>
        <family val="1"/>
      </rPr>
      <t>(</t>
    </r>
    <r>
      <rPr>
        <sz val="10"/>
        <rFont val="標楷體"/>
        <family val="4"/>
        <charset val="136"/>
      </rPr>
      <t>國外分入</t>
    </r>
    <r>
      <rPr>
        <sz val="10"/>
        <rFont val="Times New Roman"/>
        <family val="1"/>
      </rPr>
      <t>)</t>
    </r>
    <phoneticPr fontId="29" type="noConversion"/>
  </si>
  <si>
    <r>
      <t>財務再保險</t>
    </r>
    <r>
      <rPr>
        <sz val="10"/>
        <rFont val="Times New Roman"/>
        <family val="1"/>
      </rPr>
      <t>(</t>
    </r>
    <r>
      <rPr>
        <sz val="10"/>
        <rFont val="標楷體"/>
        <family val="4"/>
        <charset val="136"/>
      </rPr>
      <t>國外分入</t>
    </r>
    <r>
      <rPr>
        <sz val="10"/>
        <rFont val="Times New Roman"/>
        <family val="1"/>
      </rPr>
      <t>)</t>
    </r>
    <phoneticPr fontId="29" type="noConversion"/>
  </si>
  <si>
    <r>
      <t xml:space="preserve">3a.1.1.1.7   </t>
    </r>
    <r>
      <rPr>
        <sz val="10"/>
        <rFont val="標楷體"/>
        <family val="4"/>
        <charset val="136"/>
      </rPr>
      <t>船體保險</t>
    </r>
    <phoneticPr fontId="26" type="noConversion"/>
  </si>
  <si>
    <r>
      <t xml:space="preserve">3a.1.1.1.9   </t>
    </r>
    <r>
      <rPr>
        <sz val="10"/>
        <rFont val="標楷體"/>
        <family val="4"/>
        <charset val="136"/>
      </rPr>
      <t>航空保險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</si>
  <si>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(12)</t>
    </r>
    <r>
      <rPr>
        <sz val="10"/>
        <rFont val="標楷體"/>
        <family val="4"/>
        <charset val="136"/>
      </rPr>
      <t>列</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</si>
  <si>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(21)</t>
    </r>
    <r>
      <rPr>
        <sz val="10"/>
        <rFont val="標楷體"/>
        <family val="4"/>
        <charset val="136"/>
      </rPr>
      <t>列</t>
    </r>
    <phoneticPr fontId="26" type="noConversion"/>
  </si>
  <si>
    <r>
      <t xml:space="preserve">3a.1.1.1.28 </t>
    </r>
    <r>
      <rPr>
        <sz val="10"/>
        <rFont val="標楷體"/>
        <family val="4"/>
        <charset val="136"/>
      </rPr>
      <t>保證保險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</si>
  <si>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(23)</t>
    </r>
    <r>
      <rPr>
        <sz val="10"/>
        <rFont val="標楷體"/>
        <family val="4"/>
        <charset val="136"/>
      </rPr>
      <t>列</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</si>
  <si>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(24)</t>
    </r>
    <r>
      <rPr>
        <sz val="10"/>
        <rFont val="標楷體"/>
        <family val="4"/>
        <charset val="136"/>
      </rPr>
      <t>列</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</si>
  <si>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(27)</t>
    </r>
    <r>
      <rPr>
        <sz val="10"/>
        <rFont val="標楷體"/>
        <family val="4"/>
        <charset val="136"/>
      </rPr>
      <t>列</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</si>
  <si>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(29)</t>
    </r>
    <r>
      <rPr>
        <sz val="10"/>
        <rFont val="標楷體"/>
        <family val="4"/>
        <charset val="136"/>
      </rPr>
      <t>列</t>
    </r>
    <phoneticPr fontId="26" type="noConversion"/>
  </si>
  <si>
    <r>
      <t>3a.1.1.2</t>
    </r>
    <r>
      <rPr>
        <sz val="10"/>
        <rFont val="標楷體"/>
        <family val="4"/>
        <charset val="136"/>
      </rPr>
      <t>國外業務</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</si>
  <si>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(39)</t>
    </r>
    <r>
      <rPr>
        <sz val="10"/>
        <rFont val="標楷體"/>
        <family val="4"/>
        <charset val="136"/>
      </rPr>
      <t>列</t>
    </r>
    <phoneticPr fontId="26" type="noConversion"/>
  </si>
  <si>
    <r>
      <t xml:space="preserve">3a.1.2.1.1 </t>
    </r>
    <r>
      <rPr>
        <sz val="10"/>
        <rFont val="標楷體"/>
        <family val="4"/>
        <charset val="136"/>
      </rPr>
      <t>人壽保險</t>
    </r>
    <phoneticPr fontId="26" type="noConversion"/>
  </si>
  <si>
    <r>
      <t xml:space="preserve">3a.1.2.1.2 </t>
    </r>
    <r>
      <rPr>
        <sz val="10"/>
        <rFont val="標楷體"/>
        <family val="4"/>
        <charset val="136"/>
      </rPr>
      <t>傷害保險</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</si>
  <si>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(4)</t>
    </r>
    <r>
      <rPr>
        <sz val="10"/>
        <rFont val="標楷體"/>
        <family val="4"/>
        <charset val="136"/>
      </rPr>
      <t>列</t>
    </r>
    <phoneticPr fontId="26" type="noConversion"/>
  </si>
  <si>
    <r>
      <t xml:space="preserve">3a.1.2.1.6 </t>
    </r>
    <r>
      <rPr>
        <sz val="10"/>
        <rFont val="標楷體"/>
        <family val="4"/>
        <charset val="136"/>
      </rPr>
      <t>人壽保險</t>
    </r>
    <r>
      <rPr>
        <sz val="10"/>
        <rFont val="Book Antiqua"/>
        <family val="1"/>
      </rPr>
      <t>-</t>
    </r>
    <r>
      <rPr>
        <sz val="10"/>
        <rFont val="標楷體"/>
        <family val="4"/>
        <charset val="136"/>
      </rPr>
      <t>超過一年之人身保險業務</t>
    </r>
  </si>
  <si>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(7)</t>
    </r>
    <r>
      <rPr>
        <sz val="10"/>
        <rFont val="標楷體"/>
        <family val="4"/>
        <charset val="136"/>
      </rPr>
      <t>列</t>
    </r>
  </si>
  <si>
    <r>
      <t xml:space="preserve">3a.1.2.1.7 </t>
    </r>
    <r>
      <rPr>
        <sz val="10"/>
        <rFont val="標楷體"/>
        <family val="4"/>
        <charset val="136"/>
      </rPr>
      <t>年金保險</t>
    </r>
    <r>
      <rPr>
        <sz val="10"/>
        <rFont val="Book Antiqua"/>
        <family val="1"/>
      </rPr>
      <t>-</t>
    </r>
    <r>
      <rPr>
        <sz val="10"/>
        <rFont val="標楷體"/>
        <family val="4"/>
        <charset val="136"/>
      </rPr>
      <t>超過一年之人身保險業務</t>
    </r>
  </si>
  <si>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(8)</t>
    </r>
    <r>
      <rPr>
        <sz val="10"/>
        <rFont val="標楷體"/>
        <family val="4"/>
        <charset val="136"/>
      </rPr>
      <t>列</t>
    </r>
  </si>
  <si>
    <r>
      <t xml:space="preserve">3a.1.2.2.2 </t>
    </r>
    <r>
      <rPr>
        <sz val="10"/>
        <rFont val="標楷體"/>
        <family val="4"/>
        <charset val="136"/>
      </rPr>
      <t>傷害保險</t>
    </r>
    <phoneticPr fontId="26" type="noConversion"/>
  </si>
  <si>
    <r>
      <t xml:space="preserve">3a.2.1.1 </t>
    </r>
    <r>
      <rPr>
        <sz val="10"/>
        <rFont val="標楷體"/>
        <family val="4"/>
        <charset val="136"/>
      </rPr>
      <t>國內業務</t>
    </r>
    <phoneticPr fontId="26" type="noConversion"/>
  </si>
  <si>
    <r>
      <t xml:space="preserve">3a.2.2.2 </t>
    </r>
    <r>
      <rPr>
        <sz val="10"/>
        <rFont val="標楷體"/>
        <family val="4"/>
        <charset val="136"/>
      </rPr>
      <t>國外業務</t>
    </r>
    <phoneticPr fontId="26" type="noConversion"/>
  </si>
  <si>
    <r>
      <t>3b.1.1</t>
    </r>
    <r>
      <rPr>
        <sz val="10"/>
        <rFont val="標楷體"/>
        <family val="4"/>
        <charset val="136"/>
      </rPr>
      <t>財產保險業</t>
    </r>
    <phoneticPr fontId="26" type="noConversion"/>
  </si>
  <si>
    <r>
      <t xml:space="preserve">3b.1.1.1.1   </t>
    </r>
    <r>
      <rPr>
        <sz val="10"/>
        <rFont val="標楷體"/>
        <family val="4"/>
        <charset val="136"/>
      </rPr>
      <t>一年期住宅火災保險</t>
    </r>
    <phoneticPr fontId="26" type="noConversion"/>
  </si>
  <si>
    <r>
      <t xml:space="preserve">3b.1.1.1.6   </t>
    </r>
    <r>
      <rPr>
        <sz val="10"/>
        <rFont val="標楷體"/>
        <family val="4"/>
        <charset val="136"/>
      </rPr>
      <t>貨物運輸保險</t>
    </r>
    <phoneticPr fontId="26" type="noConversion"/>
  </si>
  <si>
    <r>
      <t xml:space="preserve">3b.1.1.1.13 </t>
    </r>
    <r>
      <rPr>
        <sz val="10"/>
        <rFont val="標楷體"/>
        <family val="4"/>
        <charset val="136"/>
      </rPr>
      <t>一般商業汽車責任保險</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</si>
  <si>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(33)</t>
    </r>
    <r>
      <rPr>
        <sz val="10"/>
        <rFont val="標楷體"/>
        <family val="4"/>
        <charset val="136"/>
      </rPr>
      <t>列</t>
    </r>
    <phoneticPr fontId="26" type="noConversion"/>
  </si>
  <si>
    <r>
      <t xml:space="preserve">3b.1.1.2.8 </t>
    </r>
    <r>
      <rPr>
        <sz val="10"/>
        <rFont val="標楷體"/>
        <family val="4"/>
        <charset val="136"/>
      </rPr>
      <t>其他財產保險</t>
    </r>
    <phoneticPr fontId="26" type="noConversion"/>
  </si>
  <si>
    <r>
      <t>3b.1.2.1</t>
    </r>
    <r>
      <rPr>
        <sz val="10"/>
        <rFont val="標楷體"/>
        <family val="4"/>
        <charset val="136"/>
      </rPr>
      <t>國內業務</t>
    </r>
    <phoneticPr fontId="26"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</si>
  <si>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(5)</t>
    </r>
    <r>
      <rPr>
        <sz val="10"/>
        <rFont val="標楷體"/>
        <family val="4"/>
        <charset val="136"/>
      </rPr>
      <t>列</t>
    </r>
    <phoneticPr fontId="26"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</si>
  <si>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(6)</t>
    </r>
    <r>
      <rPr>
        <sz val="10"/>
        <rFont val="標楷體"/>
        <family val="4"/>
        <charset val="136"/>
      </rPr>
      <t>列</t>
    </r>
    <phoneticPr fontId="26" type="noConversion"/>
  </si>
  <si>
    <r>
      <t xml:space="preserve">3b.1.2.1.6 </t>
    </r>
    <r>
      <rPr>
        <sz val="10"/>
        <rFont val="標楷體"/>
        <family val="4"/>
        <charset val="136"/>
      </rPr>
      <t>人壽保險</t>
    </r>
    <r>
      <rPr>
        <sz val="10"/>
        <rFont val="Book Antiqua"/>
        <family val="1"/>
      </rPr>
      <t>-</t>
    </r>
    <r>
      <rPr>
        <sz val="10"/>
        <rFont val="標楷體"/>
        <family val="4"/>
        <charset val="136"/>
      </rPr>
      <t>超過一年之人身保險業務</t>
    </r>
  </si>
  <si>
    <r>
      <t xml:space="preserve">3b.1.2.1.7 </t>
    </r>
    <r>
      <rPr>
        <sz val="10"/>
        <rFont val="標楷體"/>
        <family val="4"/>
        <charset val="136"/>
      </rPr>
      <t>年金保險</t>
    </r>
    <r>
      <rPr>
        <sz val="10"/>
        <rFont val="Book Antiqua"/>
        <family val="1"/>
      </rPr>
      <t>-</t>
    </r>
    <r>
      <rPr>
        <sz val="10"/>
        <rFont val="標楷體"/>
        <family val="4"/>
        <charset val="136"/>
      </rPr>
      <t>超過一年之人身保險業務</t>
    </r>
  </si>
  <si>
    <r>
      <t xml:space="preserve">3b.1.2.2.2 </t>
    </r>
    <r>
      <rPr>
        <sz val="10"/>
        <rFont val="標楷體"/>
        <family val="4"/>
        <charset val="136"/>
      </rPr>
      <t>傷害保險</t>
    </r>
    <phoneticPr fontId="26" type="noConversion"/>
  </si>
  <si>
    <r>
      <t xml:space="preserve">3b.2.1.1 </t>
    </r>
    <r>
      <rPr>
        <sz val="10"/>
        <rFont val="標楷體"/>
        <family val="4"/>
        <charset val="136"/>
      </rPr>
      <t>國內業務</t>
    </r>
    <phoneticPr fontId="26" type="noConversion"/>
  </si>
  <si>
    <r>
      <rPr>
        <sz val="10"/>
        <rFont val="標楷體"/>
        <family val="4"/>
        <charset val="136"/>
      </rPr>
      <t>「表</t>
    </r>
    <r>
      <rPr>
        <sz val="10"/>
        <rFont val="Book Antiqua"/>
        <family val="1"/>
      </rPr>
      <t>22-4</t>
    </r>
    <r>
      <rPr>
        <sz val="10"/>
        <rFont val="標楷體"/>
        <family val="4"/>
        <charset val="136"/>
      </rPr>
      <t>：自留保費明細表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26" type="noConversion"/>
  </si>
  <si>
    <r>
      <t xml:space="preserve">3b.3 </t>
    </r>
    <r>
      <rPr>
        <sz val="10"/>
        <rFont val="標楷體"/>
        <family val="4"/>
        <charset val="136"/>
      </rPr>
      <t>公司與市場差異性調整</t>
    </r>
    <phoneticPr fontId="26" type="noConversion"/>
  </si>
  <si>
    <r>
      <rPr>
        <sz val="10"/>
        <rFont val="標楷體"/>
        <family val="4"/>
        <charset val="136"/>
      </rPr>
      <t>註</t>
    </r>
    <r>
      <rPr>
        <sz val="10"/>
        <rFont val="Book Antiqua"/>
        <family val="1"/>
      </rPr>
      <t>2</t>
    </r>
    <r>
      <rPr>
        <sz val="10"/>
        <rFont val="標楷體"/>
        <family val="4"/>
        <charset val="136"/>
      </rPr>
      <t>：超過一年之人身保險業務之再保賠款及攤回再保賠款包含賠款與給付。</t>
    </r>
    <phoneticPr fontId="26" type="noConversion"/>
  </si>
  <si>
    <r>
      <rPr>
        <sz val="10"/>
        <rFont val="標楷體"/>
        <family val="4"/>
        <charset val="136"/>
      </rPr>
      <t>註</t>
    </r>
    <r>
      <rPr>
        <sz val="10"/>
        <rFont val="Book Antiqua"/>
        <family val="1"/>
      </rPr>
      <t>3</t>
    </r>
    <r>
      <rPr>
        <sz val="10"/>
        <rFont val="標楷體"/>
        <family val="4"/>
        <charset val="136"/>
      </rPr>
      <t>：除特別說明為「超過一年之人身保險業務」者，其他皆為短年期。</t>
    </r>
    <phoneticPr fontId="26" type="noConversion"/>
  </si>
  <si>
    <r>
      <rPr>
        <sz val="10"/>
        <rFont val="標楷體"/>
        <family val="4"/>
        <charset val="136"/>
      </rPr>
      <t>「表</t>
    </r>
    <r>
      <rPr>
        <sz val="10"/>
        <rFont val="Book Antiqua"/>
        <family val="1"/>
      </rPr>
      <t>30-6-1</t>
    </r>
    <r>
      <rPr>
        <sz val="10"/>
        <rFont val="標楷體"/>
        <family val="4"/>
        <charset val="136"/>
      </rPr>
      <t>：超過一年之人身保險業務利率風險計算表」人壽保險－超過一年之人身保險業務淨自留風險資本第</t>
    </r>
    <r>
      <rPr>
        <sz val="10"/>
        <rFont val="Book Antiqua"/>
        <family val="1"/>
      </rPr>
      <t>(11)</t>
    </r>
    <r>
      <rPr>
        <sz val="10"/>
        <rFont val="標楷體"/>
        <family val="4"/>
        <charset val="136"/>
      </rPr>
      <t>欄</t>
    </r>
    <phoneticPr fontId="26" type="noConversion"/>
  </si>
  <si>
    <r>
      <rPr>
        <sz val="10"/>
        <rFont val="標楷體"/>
        <family val="4"/>
        <charset val="136"/>
      </rPr>
      <t>「表</t>
    </r>
    <r>
      <rPr>
        <sz val="10"/>
        <rFont val="Book Antiqua"/>
        <family val="1"/>
      </rPr>
      <t>30-6-1</t>
    </r>
    <r>
      <rPr>
        <sz val="10"/>
        <rFont val="標楷體"/>
        <family val="4"/>
        <charset val="136"/>
      </rPr>
      <t>：超過一年之人身保險業務利率風險計算表」年金保險－超過一年之人身保險業務淨自留風險資本第</t>
    </r>
    <r>
      <rPr>
        <sz val="10"/>
        <rFont val="Book Antiqua"/>
        <family val="1"/>
      </rPr>
      <t>(11)</t>
    </r>
    <r>
      <rPr>
        <sz val="10"/>
        <rFont val="標楷體"/>
        <family val="4"/>
        <charset val="136"/>
      </rPr>
      <t>欄</t>
    </r>
    <phoneticPr fontId="26" type="noConversion"/>
  </si>
  <si>
    <r>
      <rPr>
        <sz val="10"/>
        <rFont val="標楷體"/>
        <family val="4"/>
        <charset val="136"/>
      </rPr>
      <t>表</t>
    </r>
    <r>
      <rPr>
        <sz val="10"/>
        <rFont val="Book Antiqua"/>
        <family val="1"/>
      </rPr>
      <t>30-6-1</t>
    </r>
    <r>
      <rPr>
        <sz val="10"/>
        <rFont val="標楷體"/>
        <family val="4"/>
        <charset val="136"/>
      </rPr>
      <t>：超過一年之人身保險業務利率風險計算表</t>
    </r>
    <phoneticPr fontId="26" type="noConversion"/>
  </si>
  <si>
    <r>
      <rPr>
        <sz val="10"/>
        <rFont val="標楷體"/>
        <family val="4"/>
        <charset val="136"/>
      </rPr>
      <t xml:space="preserve">列
號
</t>
    </r>
    <phoneticPr fontId="26" type="noConversion"/>
  </si>
  <si>
    <r>
      <rPr>
        <sz val="10"/>
        <rFont val="標楷體"/>
        <family val="4"/>
        <charset val="136"/>
      </rPr>
      <t>保單預定利率</t>
    </r>
    <r>
      <rPr>
        <sz val="10"/>
        <rFont val="Book Antiqua"/>
        <family val="1"/>
      </rPr>
      <t>(</t>
    </r>
    <r>
      <rPr>
        <sz val="10"/>
        <rFont val="標楷體"/>
        <family val="4"/>
        <charset val="136"/>
      </rPr>
      <t>註</t>
    </r>
    <r>
      <rPr>
        <sz val="10"/>
        <rFont val="Book Antiqua"/>
        <family val="1"/>
      </rPr>
      <t>1)</t>
    </r>
    <phoneticPr fontId="26" type="noConversion"/>
  </si>
  <si>
    <r>
      <rPr>
        <sz val="10"/>
        <rFont val="標楷體"/>
        <family val="4"/>
        <charset val="136"/>
      </rPr>
      <t>分紅利率</t>
    </r>
    <r>
      <rPr>
        <sz val="10"/>
        <rFont val="Book Antiqua"/>
        <family val="1"/>
      </rPr>
      <t>/</t>
    </r>
    <r>
      <rPr>
        <sz val="10"/>
        <rFont val="標楷體"/>
        <family val="4"/>
        <charset val="136"/>
      </rPr>
      <t xml:space="preserve">宣告利率
</t>
    </r>
    <r>
      <rPr>
        <sz val="10"/>
        <rFont val="Book Antiqua"/>
        <family val="1"/>
      </rPr>
      <t>(</t>
    </r>
    <r>
      <rPr>
        <sz val="10"/>
        <rFont val="標楷體"/>
        <family val="4"/>
        <charset val="136"/>
      </rPr>
      <t>註</t>
    </r>
    <r>
      <rPr>
        <sz val="10"/>
        <rFont val="Book Antiqua"/>
        <family val="1"/>
      </rPr>
      <t>2)</t>
    </r>
    <phoneticPr fontId="26" type="noConversion"/>
  </si>
  <si>
    <r>
      <rPr>
        <sz val="10"/>
        <rFont val="標楷體"/>
        <family val="4"/>
        <charset val="136"/>
      </rPr>
      <t>註</t>
    </r>
    <r>
      <rPr>
        <sz val="10"/>
        <rFont val="Book Antiqua"/>
        <family val="1"/>
      </rPr>
      <t>1</t>
    </r>
    <r>
      <rPr>
        <sz val="10"/>
        <rFont val="標楷體"/>
        <family val="4"/>
        <charset val="136"/>
      </rPr>
      <t>：保單預定利率依簽單公司資訊填列</t>
    </r>
    <phoneticPr fontId="26" type="noConversion"/>
  </si>
  <si>
    <r>
      <rPr>
        <sz val="10"/>
        <rFont val="標楷體"/>
        <family val="4"/>
        <charset val="136"/>
      </rPr>
      <t>註</t>
    </r>
    <r>
      <rPr>
        <sz val="10"/>
        <rFont val="Book Antiqua"/>
        <family val="1"/>
      </rPr>
      <t>2</t>
    </r>
    <r>
      <rPr>
        <sz val="10"/>
        <rFont val="標楷體"/>
        <family val="4"/>
        <charset val="136"/>
      </rPr>
      <t>：分紅及宣告利率依分入再保合約條件填列，若再保合約未約定，則依簽單公司資訊填列</t>
    </r>
    <phoneticPr fontId="26" type="noConversion"/>
  </si>
  <si>
    <r>
      <rPr>
        <sz val="10"/>
        <rFont val="標楷體"/>
        <family val="4"/>
        <charset val="136"/>
      </rPr>
      <t>註</t>
    </r>
    <r>
      <rPr>
        <sz val="10"/>
        <rFont val="Book Antiqua"/>
        <family val="1"/>
      </rPr>
      <t>4</t>
    </r>
    <r>
      <rPr>
        <sz val="10"/>
        <rFont val="標楷體"/>
        <family val="4"/>
        <charset val="136"/>
      </rPr>
      <t>：依轉再保險合約約定之條件或實際給付報酬率填列</t>
    </r>
    <phoneticPr fontId="26" type="noConversion"/>
  </si>
  <si>
    <r>
      <rPr>
        <sz val="10"/>
        <rFont val="標楷體"/>
        <family val="4"/>
        <charset val="136"/>
      </rPr>
      <t>註</t>
    </r>
    <r>
      <rPr>
        <sz val="10"/>
        <rFont val="Book Antiqua"/>
        <family val="1"/>
      </rPr>
      <t>6</t>
    </r>
    <r>
      <rPr>
        <sz val="10"/>
        <rFont val="標楷體"/>
        <family val="4"/>
        <charset val="136"/>
      </rPr>
      <t>：商品種類依下表「商品種類代號表」填寫商品代號。</t>
    </r>
    <phoneticPr fontId="26" type="noConversion"/>
  </si>
  <si>
    <r>
      <rPr>
        <sz val="10"/>
        <rFont val="標楷體"/>
        <family val="4"/>
        <charset val="136"/>
      </rPr>
      <t>商品種類代號表</t>
    </r>
    <phoneticPr fontId="26" type="noConversion"/>
  </si>
  <si>
    <r>
      <rPr>
        <sz val="10"/>
        <rFont val="標楷體"/>
        <family val="4"/>
        <charset val="136"/>
      </rPr>
      <t>商品種類</t>
    </r>
    <phoneticPr fontId="26" type="noConversion"/>
  </si>
  <si>
    <r>
      <rPr>
        <sz val="10"/>
        <rFont val="標楷體"/>
        <family val="4"/>
        <charset val="136"/>
      </rPr>
      <t>表</t>
    </r>
    <r>
      <rPr>
        <sz val="10"/>
        <rFont val="Book Antiqua"/>
        <family val="1"/>
      </rPr>
      <t>30-8-3</t>
    </r>
    <r>
      <rPr>
        <sz val="10"/>
        <rFont val="標楷體"/>
        <family val="4"/>
        <charset val="136"/>
      </rPr>
      <t>：不動產投資採市價評價計入自有資本調整計算表</t>
    </r>
    <phoneticPr fontId="7" type="noConversion"/>
  </si>
  <si>
    <r>
      <rPr>
        <sz val="10"/>
        <rFont val="標楷體"/>
        <family val="4"/>
        <charset val="136"/>
      </rPr>
      <t>自有資本調整計算表</t>
    </r>
    <phoneticPr fontId="7" type="noConversion"/>
  </si>
  <si>
    <r>
      <rPr>
        <sz val="10"/>
        <rFont val="標楷體"/>
        <family val="4"/>
        <charset val="136"/>
      </rPr>
      <t>列號</t>
    </r>
    <phoneticPr fontId="7" type="noConversion"/>
  </si>
  <si>
    <r>
      <rPr>
        <sz val="10"/>
        <rFont val="標楷體"/>
        <family val="4"/>
        <charset val="136"/>
      </rPr>
      <t>實收資本額</t>
    </r>
    <phoneticPr fontId="26" type="noConversion"/>
  </si>
  <si>
    <r>
      <rPr>
        <sz val="10"/>
        <rFont val="標楷體"/>
        <family val="4"/>
        <charset val="136"/>
      </rPr>
      <t>特別準備</t>
    </r>
    <r>
      <rPr>
        <sz val="10"/>
        <rFont val="Book Antiqua"/>
        <family val="1"/>
      </rPr>
      <t>(</t>
    </r>
    <r>
      <rPr>
        <sz val="10"/>
        <rFont val="標楷體"/>
        <family val="4"/>
        <charset val="136"/>
      </rPr>
      <t>負債</t>
    </r>
    <r>
      <rPr>
        <sz val="10"/>
        <rFont val="Book Antiqua"/>
        <family val="1"/>
      </rPr>
      <t>)-</t>
    </r>
    <r>
      <rPr>
        <sz val="10"/>
        <rFont val="標楷體"/>
        <family val="4"/>
        <charset val="136"/>
      </rPr>
      <t>不動產增值利益</t>
    </r>
    <r>
      <rPr>
        <sz val="10"/>
        <rFont val="Book Antiqua"/>
        <family val="1"/>
      </rPr>
      <t>(</t>
    </r>
    <r>
      <rPr>
        <sz val="10"/>
        <rFont val="標楷體"/>
        <family val="4"/>
        <charset val="136"/>
      </rPr>
      <t>註</t>
    </r>
    <r>
      <rPr>
        <sz val="10"/>
        <rFont val="Book Antiqua"/>
        <family val="1"/>
      </rPr>
      <t>11)</t>
    </r>
    <phoneticPr fontId="26" type="noConversion"/>
  </si>
  <si>
    <r>
      <rPr>
        <sz val="10"/>
        <rFont val="華康仿宋體W6"/>
        <family val="3"/>
        <charset val="136"/>
      </rPr>
      <t>投資用國外不動產</t>
    </r>
    <r>
      <rPr>
        <sz val="10"/>
        <rFont val="Book Antiqua"/>
        <family val="1"/>
      </rPr>
      <t>--</t>
    </r>
    <r>
      <rPr>
        <sz val="10"/>
        <rFont val="華康仿宋體W6"/>
        <family val="3"/>
        <charset val="136"/>
      </rPr>
      <t>已開發國家</t>
    </r>
    <phoneticPr fontId="26" type="noConversion"/>
  </si>
  <si>
    <r>
      <rPr>
        <sz val="10"/>
        <rFont val="華康仿宋體W6"/>
        <family val="3"/>
        <charset val="136"/>
      </rPr>
      <t>投資用國外不動產</t>
    </r>
    <r>
      <rPr>
        <sz val="10"/>
        <rFont val="Book Antiqua"/>
        <family val="1"/>
      </rPr>
      <t>--</t>
    </r>
    <r>
      <rPr>
        <sz val="10"/>
        <rFont val="華康仿宋體W6"/>
        <family val="3"/>
        <charset val="136"/>
      </rPr>
      <t>新興市場</t>
    </r>
    <phoneticPr fontId="26" type="noConversion"/>
  </si>
  <si>
    <r>
      <rPr>
        <sz val="10"/>
        <rFont val="標楷體"/>
        <family val="4"/>
        <charset val="136"/>
      </rPr>
      <t>投資用國外不動產</t>
    </r>
    <r>
      <rPr>
        <sz val="10"/>
        <rFont val="Book Antiqua"/>
        <family val="1"/>
      </rPr>
      <t>--</t>
    </r>
    <r>
      <rPr>
        <sz val="10"/>
        <rFont val="標楷體"/>
        <family val="4"/>
        <charset val="136"/>
      </rPr>
      <t>已開發國家</t>
    </r>
    <phoneticPr fontId="29" type="noConversion"/>
  </si>
  <si>
    <r>
      <rPr>
        <sz val="10"/>
        <rFont val="標楷體"/>
        <family val="4"/>
        <charset val="136"/>
      </rPr>
      <t>投資用國外不動產</t>
    </r>
    <r>
      <rPr>
        <sz val="10"/>
        <rFont val="Book Antiqua"/>
        <family val="1"/>
      </rPr>
      <t>--</t>
    </r>
    <r>
      <rPr>
        <sz val="10"/>
        <rFont val="標楷體"/>
        <family val="4"/>
        <charset val="136"/>
      </rPr>
      <t>新興市場</t>
    </r>
    <phoneticPr fontId="29" type="noConversion"/>
  </si>
  <si>
    <r>
      <t>D.</t>
    </r>
    <r>
      <rPr>
        <sz val="10"/>
        <rFont val="標楷體"/>
        <family val="4"/>
        <charset val="136"/>
      </rPr>
      <t>投資用國外不動產</t>
    </r>
    <r>
      <rPr>
        <sz val="10"/>
        <rFont val="Book Antiqua"/>
        <family val="1"/>
      </rPr>
      <t>-</t>
    </r>
    <r>
      <rPr>
        <sz val="10"/>
        <rFont val="標楷體"/>
        <family val="4"/>
        <charset val="136"/>
      </rPr>
      <t>已開發國家</t>
    </r>
    <r>
      <rPr>
        <sz val="10"/>
        <rFont val="Book Antiqua"/>
        <family val="1"/>
      </rPr>
      <t>,E.</t>
    </r>
    <r>
      <rPr>
        <sz val="10"/>
        <rFont val="標楷體"/>
        <family val="4"/>
        <charset val="136"/>
      </rPr>
      <t>投資用國外不動產</t>
    </r>
    <r>
      <rPr>
        <sz val="10"/>
        <rFont val="Book Antiqua"/>
        <family val="1"/>
      </rPr>
      <t>-</t>
    </r>
    <r>
      <rPr>
        <sz val="10"/>
        <rFont val="標楷體"/>
        <family val="4"/>
        <charset val="136"/>
      </rPr>
      <t>新興市場</t>
    </r>
    <r>
      <rPr>
        <sz val="10"/>
        <rFont val="Book Antiqua"/>
        <family val="1"/>
      </rPr>
      <t>,F.</t>
    </r>
    <r>
      <rPr>
        <sz val="10"/>
        <rFont val="標楷體"/>
        <family val="4"/>
        <charset val="136"/>
      </rPr>
      <t>五年內取自關係人</t>
    </r>
    <r>
      <rPr>
        <sz val="10"/>
        <rFont val="Book Antiqua"/>
        <family val="1"/>
      </rPr>
      <t>-</t>
    </r>
    <r>
      <rPr>
        <sz val="10"/>
        <rFont val="標楷體"/>
        <family val="4"/>
        <charset val="136"/>
      </rPr>
      <t>具控制與從屬關係</t>
    </r>
    <r>
      <rPr>
        <sz val="10"/>
        <rFont val="Book Antiqua"/>
        <family val="1"/>
      </rPr>
      <t>-</t>
    </r>
    <r>
      <rPr>
        <sz val="10"/>
        <rFont val="標楷體"/>
        <family val="4"/>
        <charset val="136"/>
      </rPr>
      <t>具收益性不動產</t>
    </r>
    <r>
      <rPr>
        <sz val="10"/>
        <rFont val="Book Antiqua"/>
        <family val="1"/>
      </rPr>
      <t>,</t>
    </r>
    <phoneticPr fontId="29" type="noConversion"/>
  </si>
  <si>
    <r>
      <t xml:space="preserve">佔總自留賠款準備金比例 </t>
    </r>
    <r>
      <rPr>
        <i/>
        <sz val="10"/>
        <rFont val="標楷體"/>
        <family val="4"/>
        <charset val="136"/>
      </rPr>
      <t>Z</t>
    </r>
    <r>
      <rPr>
        <i/>
        <vertAlign val="subscript"/>
        <sz val="10"/>
        <rFont val="標楷體"/>
        <family val="4"/>
        <charset val="136"/>
      </rPr>
      <t>i</t>
    </r>
    <phoneticPr fontId="26" type="noConversion"/>
  </si>
  <si>
    <r>
      <t>Z</t>
    </r>
    <r>
      <rPr>
        <i/>
        <vertAlign val="subscript"/>
        <sz val="10"/>
        <rFont val="標楷體"/>
        <family val="4"/>
        <charset val="136"/>
      </rPr>
      <t>i</t>
    </r>
    <r>
      <rPr>
        <i/>
        <vertAlign val="superscript"/>
        <sz val="10"/>
        <rFont val="標楷體"/>
        <family val="4"/>
        <charset val="136"/>
      </rPr>
      <t>2</t>
    </r>
    <phoneticPr fontId="26" type="noConversion"/>
  </si>
  <si>
    <t>3a.1.2.1.3 健康保險(一年期與長期)</t>
    <phoneticPr fontId="26" type="noConversion"/>
  </si>
  <si>
    <t>3a.1.2.2.3 健康保險(一年期與長期)</t>
    <phoneticPr fontId="26" type="noConversion"/>
  </si>
  <si>
    <r>
      <t xml:space="preserve">佔總自留保費比例 </t>
    </r>
    <r>
      <rPr>
        <i/>
        <sz val="10"/>
        <rFont val="標楷體"/>
        <family val="4"/>
        <charset val="136"/>
      </rPr>
      <t>Z</t>
    </r>
    <r>
      <rPr>
        <i/>
        <vertAlign val="subscript"/>
        <sz val="10"/>
        <rFont val="標楷體"/>
        <family val="4"/>
        <charset val="136"/>
      </rPr>
      <t>i</t>
    </r>
    <phoneticPr fontId="26" type="noConversion"/>
  </si>
  <si>
    <t>3b.1.2.1.3 健康保險(一年期與長期)</t>
    <phoneticPr fontId="26" type="noConversion"/>
  </si>
  <si>
    <t>3b.1.2.2.3 健康保險(一年期與長期)</t>
    <phoneticPr fontId="26" type="noConversion"/>
  </si>
  <si>
    <r>
      <t xml:space="preserve">1/48 </t>
    </r>
    <r>
      <rPr>
        <sz val="10"/>
        <rFont val="標楷體"/>
        <family val="4"/>
        <charset val="136"/>
      </rPr>
      <t>≦</t>
    </r>
    <r>
      <rPr>
        <sz val="10"/>
        <rFont val="Arial"/>
        <family val="2"/>
      </rPr>
      <t xml:space="preserve"> H &lt; 1/36</t>
    </r>
    <phoneticPr fontId="26" type="noConversion"/>
  </si>
  <si>
    <r>
      <t xml:space="preserve">1/36 </t>
    </r>
    <r>
      <rPr>
        <sz val="10"/>
        <rFont val="標楷體"/>
        <family val="4"/>
        <charset val="136"/>
      </rPr>
      <t>≦</t>
    </r>
    <r>
      <rPr>
        <sz val="10"/>
        <rFont val="Arial"/>
        <family val="2"/>
      </rPr>
      <t xml:space="preserve"> H &lt; 1/28</t>
    </r>
    <phoneticPr fontId="26" type="noConversion"/>
  </si>
  <si>
    <r>
      <t xml:space="preserve">1/28 </t>
    </r>
    <r>
      <rPr>
        <sz val="10"/>
        <rFont val="標楷體"/>
        <family val="4"/>
        <charset val="136"/>
      </rPr>
      <t>≦</t>
    </r>
    <r>
      <rPr>
        <sz val="10"/>
        <rFont val="Arial"/>
        <family val="2"/>
      </rPr>
      <t xml:space="preserve"> H &lt; 1/20</t>
    </r>
    <phoneticPr fontId="26" type="noConversion"/>
  </si>
  <si>
    <r>
      <t xml:space="preserve">1/20 </t>
    </r>
    <r>
      <rPr>
        <sz val="10"/>
        <rFont val="標楷體"/>
        <family val="4"/>
        <charset val="136"/>
      </rPr>
      <t>≦</t>
    </r>
    <r>
      <rPr>
        <sz val="10"/>
        <rFont val="Arial"/>
        <family val="2"/>
      </rPr>
      <t xml:space="preserve"> H &lt; 1/12</t>
    </r>
    <phoneticPr fontId="26" type="noConversion"/>
  </si>
  <si>
    <r>
      <t xml:space="preserve">1/12 </t>
    </r>
    <r>
      <rPr>
        <sz val="10"/>
        <rFont val="標楷體"/>
        <family val="4"/>
        <charset val="136"/>
      </rPr>
      <t>≦</t>
    </r>
    <r>
      <rPr>
        <sz val="10"/>
        <rFont val="Arial"/>
        <family val="2"/>
      </rPr>
      <t xml:space="preserve"> H &lt; 1/  5</t>
    </r>
    <phoneticPr fontId="26" type="noConversion"/>
  </si>
  <si>
    <r>
      <t xml:space="preserve">1/ 5 </t>
    </r>
    <r>
      <rPr>
        <sz val="10"/>
        <rFont val="標楷體"/>
        <family val="4"/>
        <charset val="136"/>
      </rPr>
      <t>≦</t>
    </r>
    <r>
      <rPr>
        <sz val="10"/>
        <rFont val="Arial"/>
        <family val="2"/>
      </rPr>
      <t xml:space="preserve"> H &lt;     1  </t>
    </r>
    <phoneticPr fontId="26" type="noConversion"/>
  </si>
  <si>
    <t>取得時間
(主排序-遞減)</t>
    <phoneticPr fontId="29" type="noConversion"/>
  </si>
  <si>
    <r>
      <rPr>
        <sz val="10"/>
        <rFont val="標楷體"/>
        <family val="4"/>
        <charset val="136"/>
      </rPr>
      <t>已開發國家</t>
    </r>
    <phoneticPr fontId="29" type="noConversion"/>
  </si>
  <si>
    <r>
      <rPr>
        <sz val="10"/>
        <rFont val="標楷體"/>
        <family val="4"/>
        <charset val="136"/>
      </rPr>
      <t>新興市場</t>
    </r>
    <phoneticPr fontId="29" type="noConversion"/>
  </si>
  <si>
    <r>
      <rPr>
        <sz val="10"/>
        <rFont val="標楷體"/>
        <family val="4"/>
        <charset val="136"/>
      </rPr>
      <t>合</t>
    </r>
    <r>
      <rPr>
        <sz val="10"/>
        <rFont val="Book Antiqua"/>
        <family val="1"/>
      </rPr>
      <t xml:space="preserve"> </t>
    </r>
    <r>
      <rPr>
        <sz val="10"/>
        <rFont val="標楷體"/>
        <family val="4"/>
        <charset val="136"/>
      </rPr>
      <t>計</t>
    </r>
    <phoneticPr fontId="29" type="noConversion"/>
  </si>
  <si>
    <r>
      <rPr>
        <sz val="10"/>
        <rFont val="標楷體"/>
        <family val="4"/>
        <charset val="136"/>
      </rPr>
      <t>種類請依序填列</t>
    </r>
    <r>
      <rPr>
        <sz val="10"/>
        <rFont val="Book Antiqua"/>
        <family val="1"/>
      </rPr>
      <t xml:space="preserve"> A.</t>
    </r>
    <r>
      <rPr>
        <sz val="10"/>
        <rFont val="標楷體"/>
        <family val="4"/>
        <charset val="136"/>
      </rPr>
      <t>土地</t>
    </r>
    <r>
      <rPr>
        <sz val="10"/>
        <rFont val="Book Antiqua"/>
        <family val="1"/>
      </rPr>
      <t>, B.</t>
    </r>
    <r>
      <rPr>
        <sz val="10"/>
        <rFont val="標楷體"/>
        <family val="4"/>
        <charset val="136"/>
      </rPr>
      <t>房屋</t>
    </r>
    <r>
      <rPr>
        <sz val="10"/>
        <rFont val="Book Antiqua"/>
        <family val="1"/>
      </rPr>
      <t>, C.</t>
    </r>
    <r>
      <rPr>
        <sz val="10"/>
        <rFont val="標楷體"/>
        <family val="4"/>
        <charset val="136"/>
      </rPr>
      <t>預付房地款</t>
    </r>
    <r>
      <rPr>
        <sz val="10"/>
        <rFont val="Book Antiqua"/>
        <family val="1"/>
      </rPr>
      <t>, D.</t>
    </r>
    <r>
      <rPr>
        <sz val="10"/>
        <rFont val="標楷體"/>
        <family val="4"/>
        <charset val="136"/>
      </rPr>
      <t>投資特定目的事業預付款</t>
    </r>
    <r>
      <rPr>
        <sz val="10"/>
        <rFont val="Book Antiqua"/>
        <family val="1"/>
      </rPr>
      <t>, E.</t>
    </r>
    <r>
      <rPr>
        <sz val="10"/>
        <rFont val="標楷體"/>
        <family val="4"/>
        <charset val="136"/>
      </rPr>
      <t>其他。</t>
    </r>
  </si>
  <si>
    <r>
      <rPr>
        <sz val="10"/>
        <rFont val="標楷體"/>
        <family val="4"/>
        <charset val="136"/>
      </rPr>
      <t>取得年月日填寫方式為</t>
    </r>
    <r>
      <rPr>
        <sz val="10"/>
        <rFont val="Book Antiqua"/>
        <family val="1"/>
      </rPr>
      <t>2005/06/25,</t>
    </r>
    <r>
      <rPr>
        <sz val="10"/>
        <rFont val="標楷體"/>
        <family val="4"/>
        <charset val="136"/>
      </rPr>
      <t>以權狀登記日為準。</t>
    </r>
  </si>
  <si>
    <r>
      <rPr>
        <sz val="10"/>
        <rFont val="標楷體"/>
        <family val="4"/>
        <charset val="136"/>
      </rPr>
      <t>使用種類請依序填列</t>
    </r>
    <r>
      <rPr>
        <sz val="10"/>
        <rFont val="Book Antiqua"/>
        <family val="1"/>
      </rPr>
      <t xml:space="preserve"> A.</t>
    </r>
    <r>
      <rPr>
        <sz val="10"/>
        <rFont val="標楷體"/>
        <family val="4"/>
        <charset val="136"/>
      </rPr>
      <t>自用</t>
    </r>
    <r>
      <rPr>
        <sz val="10"/>
        <rFont val="Book Antiqua"/>
        <family val="1"/>
      </rPr>
      <t>, B.</t>
    </r>
    <r>
      <rPr>
        <sz val="10"/>
        <rFont val="標楷體"/>
        <family val="4"/>
        <charset val="136"/>
      </rPr>
      <t>投資用</t>
    </r>
    <r>
      <rPr>
        <sz val="10"/>
        <rFont val="Book Antiqua"/>
        <family val="1"/>
      </rPr>
      <t>, C.</t>
    </r>
    <r>
      <rPr>
        <sz val="10"/>
        <rFont val="標楷體"/>
        <family val="4"/>
        <charset val="136"/>
      </rPr>
      <t>其他</t>
    </r>
    <r>
      <rPr>
        <sz val="10"/>
        <rFont val="Book Antiqua"/>
        <family val="1"/>
      </rPr>
      <t>,</t>
    </r>
    <r>
      <rPr>
        <sz val="10"/>
        <rFont val="標楷體"/>
        <family val="4"/>
        <charset val="136"/>
      </rPr>
      <t>若不動產有分屬投資或自用或使用人不同者</t>
    </r>
    <r>
      <rPr>
        <sz val="10"/>
        <rFont val="Book Antiqua"/>
        <family val="1"/>
      </rPr>
      <t>,</t>
    </r>
    <r>
      <rPr>
        <sz val="10"/>
        <rFont val="標楷體"/>
        <family val="4"/>
        <charset val="136"/>
      </rPr>
      <t>均分別列示</t>
    </r>
    <r>
      <rPr>
        <sz val="10"/>
        <rFont val="Book Antiqua"/>
        <family val="1"/>
      </rPr>
      <t>(</t>
    </r>
    <r>
      <rPr>
        <sz val="10"/>
        <rFont val="標楷體"/>
        <family val="4"/>
        <charset val="136"/>
      </rPr>
      <t>建造工程於建造前已決定其使用目的且經提報董事會決議者</t>
    </r>
    <r>
      <rPr>
        <sz val="10"/>
        <rFont val="Book Antiqua"/>
        <family val="1"/>
      </rPr>
      <t>,</t>
    </r>
    <r>
      <rPr>
        <sz val="10"/>
        <rFont val="標楷體"/>
        <family val="4"/>
        <charset val="136"/>
      </rPr>
      <t>其使用目的為投資用者歸入其他不動產投資項目中</t>
    </r>
    <r>
      <rPr>
        <sz val="10"/>
        <rFont val="Book Antiqua"/>
        <family val="1"/>
      </rPr>
      <t>,</t>
    </r>
    <r>
      <rPr>
        <sz val="10"/>
        <rFont val="標楷體"/>
        <family val="4"/>
        <charset val="136"/>
      </rPr>
      <t>其使用目的為自用者歸入自用不動產項目中</t>
    </r>
    <r>
      <rPr>
        <sz val="10"/>
        <rFont val="Book Antiqua"/>
        <family val="1"/>
      </rPr>
      <t>,</t>
    </r>
    <r>
      <rPr>
        <sz val="10"/>
        <rFont val="標楷體"/>
        <family val="4"/>
        <charset val="136"/>
      </rPr>
      <t>預付房地款</t>
    </r>
    <r>
      <rPr>
        <sz val="10"/>
        <rFont val="Book Antiqua"/>
        <family val="1"/>
      </rPr>
      <t>,</t>
    </r>
    <r>
      <rPr>
        <sz val="10"/>
        <rFont val="標楷體"/>
        <family val="4"/>
        <charset val="136"/>
      </rPr>
      <t>於購置前已決定其使用目的為供營業用</t>
    </r>
    <r>
      <rPr>
        <sz val="10"/>
        <rFont val="Book Antiqua"/>
        <family val="1"/>
      </rPr>
      <t>,</t>
    </r>
    <r>
      <rPr>
        <sz val="10"/>
        <rFont val="標楷體"/>
        <family val="4"/>
        <charset val="136"/>
      </rPr>
      <t>經提報董事會決議者</t>
    </r>
    <r>
      <rPr>
        <sz val="10"/>
        <rFont val="Book Antiqua"/>
        <family val="1"/>
      </rPr>
      <t>,</t>
    </r>
    <r>
      <rPr>
        <sz val="10"/>
        <rFont val="標楷體"/>
        <family val="4"/>
        <charset val="136"/>
      </rPr>
      <t>歸入自用不動產項目中</t>
    </r>
    <r>
      <rPr>
        <sz val="10"/>
        <rFont val="Book Antiqua"/>
        <family val="1"/>
      </rPr>
      <t>)</t>
    </r>
    <r>
      <rPr>
        <sz val="10"/>
        <rFont val="標楷體"/>
        <family val="4"/>
        <charset val="136"/>
      </rPr>
      <t>。</t>
    </r>
    <phoneticPr fontId="29" type="noConversion"/>
  </si>
  <si>
    <r>
      <rPr>
        <sz val="10"/>
        <rFont val="標楷體"/>
        <family val="4"/>
        <charset val="136"/>
      </rPr>
      <t>持有資產幣別請填該幣別代號如</t>
    </r>
    <r>
      <rPr>
        <sz val="10"/>
        <rFont val="Book Antiqua"/>
        <family val="1"/>
      </rPr>
      <t>USD,</t>
    </r>
    <r>
      <rPr>
        <sz val="10"/>
        <rFont val="標楷體"/>
        <family val="4"/>
        <charset val="136"/>
      </rPr>
      <t>若投資新興市場而按已開發國家幣別計價者，請將該幣別增加一碼如</t>
    </r>
    <r>
      <rPr>
        <sz val="10"/>
        <rFont val="Book Antiqua"/>
        <family val="1"/>
      </rPr>
      <t>USD-1</t>
    </r>
    <r>
      <rPr>
        <sz val="10"/>
        <rFont val="標楷體"/>
        <family val="4"/>
        <charset val="136"/>
      </rPr>
      <t>。</t>
    </r>
    <phoneticPr fontId="29" type="noConversion"/>
  </si>
  <si>
    <r>
      <rPr>
        <sz val="10"/>
        <rFont val="標楷體"/>
        <family val="4"/>
        <charset val="136"/>
      </rPr>
      <t>本表第</t>
    </r>
    <r>
      <rPr>
        <sz val="10"/>
        <rFont val="Book Antiqua"/>
        <family val="1"/>
      </rPr>
      <t>(9)</t>
    </r>
    <r>
      <rPr>
        <sz val="10"/>
        <rFont val="標楷體"/>
        <family val="4"/>
        <charset val="136"/>
      </rPr>
      <t>欄第</t>
    </r>
    <r>
      <rPr>
        <sz val="10"/>
        <rFont val="Book Antiqua"/>
        <family val="1"/>
      </rPr>
      <t>(</t>
    </r>
    <r>
      <rPr>
        <sz val="10"/>
        <rFont val="標楷體"/>
        <family val="4"/>
        <charset val="136"/>
      </rPr>
      <t>合計</t>
    </r>
    <r>
      <rPr>
        <sz val="10"/>
        <rFont val="Book Antiqua"/>
        <family val="1"/>
      </rPr>
      <t>)</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(11)</t>
    </r>
    <r>
      <rPr>
        <sz val="10"/>
        <rFont val="標楷體"/>
        <family val="4"/>
        <charset val="136"/>
      </rPr>
      <t>欄第</t>
    </r>
    <r>
      <rPr>
        <sz val="10"/>
        <rFont val="Book Antiqua"/>
        <family val="1"/>
      </rPr>
      <t>(14)</t>
    </r>
    <r>
      <rPr>
        <sz val="10"/>
        <rFont val="標楷體"/>
        <family val="4"/>
        <charset val="136"/>
      </rPr>
      <t>列之金額相一致。</t>
    </r>
    <phoneticPr fontId="29"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</si>
  <si>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t>
    </r>
    <r>
      <rPr>
        <sz val="10"/>
        <rFont val="標楷體"/>
        <family val="4"/>
        <charset val="136"/>
      </rPr>
      <t>合計</t>
    </r>
    <r>
      <rPr>
        <sz val="10"/>
        <rFont val="Book Antiqua"/>
        <family val="1"/>
      </rPr>
      <t>)</t>
    </r>
    <r>
      <rPr>
        <sz val="10"/>
        <rFont val="標楷體"/>
        <family val="4"/>
        <charset val="136"/>
      </rPr>
      <t>列之金額應與表</t>
    </r>
    <r>
      <rPr>
        <sz val="10"/>
        <rFont val="Book Antiqua"/>
        <family val="1"/>
      </rPr>
      <t>10-3</t>
    </r>
    <r>
      <rPr>
        <sz val="10"/>
        <rFont val="標楷體"/>
        <family val="4"/>
        <charset val="136"/>
      </rPr>
      <t>：關係人股票投資明細表第</t>
    </r>
    <r>
      <rPr>
        <sz val="10"/>
        <rFont val="Book Antiqua"/>
        <family val="1"/>
      </rPr>
      <t>(6</t>
    </r>
    <r>
      <rPr>
        <sz val="10"/>
        <rFont val="標楷體"/>
        <family val="4"/>
        <charset val="136"/>
      </rPr>
      <t>＋</t>
    </r>
    <r>
      <rPr>
        <sz val="10"/>
        <rFont val="Book Antiqua"/>
        <family val="1"/>
      </rPr>
      <t>7)</t>
    </r>
    <r>
      <rPr>
        <sz val="10"/>
        <rFont val="標楷體"/>
        <family val="4"/>
        <charset val="136"/>
      </rPr>
      <t>欄第</t>
    </r>
    <r>
      <rPr>
        <sz val="10"/>
        <rFont val="Book Antiqua"/>
        <family val="1"/>
      </rPr>
      <t>(31)</t>
    </r>
    <r>
      <rPr>
        <sz val="10"/>
        <rFont val="標楷體"/>
        <family val="4"/>
        <charset val="136"/>
      </rPr>
      <t>列</t>
    </r>
    <r>
      <rPr>
        <sz val="10"/>
        <rFont val="Book Antiqua"/>
        <family val="1"/>
      </rPr>
      <t xml:space="preserve"> </t>
    </r>
    <r>
      <rPr>
        <sz val="10"/>
        <rFont val="標楷體"/>
        <family val="4"/>
        <charset val="136"/>
      </rPr>
      <t>之金額相一致。</t>
    </r>
    <phoneticPr fontId="29" type="noConversion"/>
  </si>
  <si>
    <t>屬保險期間超過一年之人身保險並認列分出責任準備之再保險業務，在備註(14)欄註記為「L」。</t>
    <phoneticPr fontId="26" type="noConversion"/>
  </si>
  <si>
    <t>「表30-4-1：再保險資產風險資本額計算表(不含保險期間超過一年之人身保險並認列分出責任準備之再保險業務)」第(2)欄第(8)列+「表30-4-2：再保險資產風險資本額計算表(保險期間超過一年之人身保險並認列分出責任準備之再保險業務)」第(2)欄第(8)列</t>
    <phoneticPr fontId="29" type="noConversion"/>
  </si>
  <si>
    <t>單位：新台幣元</t>
    <phoneticPr fontId="26" type="noConversion"/>
  </si>
  <si>
    <t>應列入本表計算風險資本額之再保險資產
(註)</t>
    <phoneticPr fontId="26" type="noConversion"/>
  </si>
  <si>
    <t>風險係數</t>
    <phoneticPr fontId="26" type="noConversion"/>
  </si>
  <si>
    <t>再保險資產風險資本額</t>
    <phoneticPr fontId="26" type="noConversion"/>
  </si>
  <si>
    <t>Moody's</t>
    <phoneticPr fontId="26" type="noConversion"/>
  </si>
  <si>
    <t>(4)</t>
    <phoneticPr fontId="29" type="noConversion"/>
  </si>
  <si>
    <t>合 計</t>
    <phoneticPr fontId="29" type="noConversion"/>
  </si>
  <si>
    <t>註：</t>
    <phoneticPr fontId="26" type="noConversion"/>
  </si>
  <si>
    <t>並請依規定扣除催收款及非許認資產後之金額填列，其中若再保險人係屬未適格再保險人時，請依規定再扣除該未適格再保險人之相關再保險資產後之金額填列。</t>
    <phoneticPr fontId="26" type="noConversion"/>
  </si>
  <si>
    <t>分出保費不足及分出負債適足準備項目，若無法拆分至各再保險人時，指定為最差信評等級(投資等級Baa)，</t>
    <phoneticPr fontId="26" type="noConversion"/>
  </si>
  <si>
    <t>或按已有的各信用評等分配之比例予以拆分。</t>
    <phoneticPr fontId="29" type="noConversion"/>
  </si>
  <si>
    <t>若再保險人為國內共保組織請分別依下列信用評等級予以填列：</t>
    <phoneticPr fontId="26" type="noConversion"/>
  </si>
  <si>
    <t>(1)住宅地震保險共保--&gt;Aaa、(2)強制汽車責任保險共保--&gt;Aa、(3)其他--&gt;A。</t>
    <phoneticPr fontId="29" type="noConversion"/>
  </si>
  <si>
    <t>若再保險人為國內依法設立之保險公司且未有信用評等者，請依該再保險人最近一期已公告之RBC比率等級予以填列：</t>
    <phoneticPr fontId="26" type="noConversion"/>
  </si>
  <si>
    <t>強制汽機車責任險共保業務係依據「強制汽車責任保險各種準備金管理辦法」之規定提存。</t>
    <phoneticPr fontId="29" type="noConversion"/>
  </si>
  <si>
    <t>(19)</t>
    <phoneticPr fontId="26" type="noConversion"/>
  </si>
  <si>
    <t>(21)</t>
    <phoneticPr fontId="26" type="noConversion"/>
  </si>
  <si>
    <t>(22)</t>
    <phoneticPr fontId="26" type="noConversion"/>
  </si>
  <si>
    <t>(23)</t>
    <phoneticPr fontId="26" type="noConversion"/>
  </si>
  <si>
    <t>(24)</t>
    <phoneticPr fontId="26" type="noConversion"/>
  </si>
  <si>
    <t>6</t>
    <phoneticPr fontId="26" type="noConversion"/>
  </si>
  <si>
    <t>(27)</t>
    <phoneticPr fontId="26"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</si>
  <si>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以約定之美元兌台幣之匯率賣出美元遠期契約，以進行美元資產之匯率避險者，即屬於標準避險。以匯率選擇權作為標準避險者，</t>
    </r>
    <r>
      <rPr>
        <b/>
        <sz val="10"/>
        <rFont val="標楷體"/>
        <family val="4"/>
        <charset val="136"/>
      </rPr>
      <t>該選擇權之執行價格不得低於財務報表日</t>
    </r>
    <r>
      <rPr>
        <sz val="10"/>
        <rFont val="Book Antiqua"/>
        <family val="1"/>
      </rPr>
      <t>(6</t>
    </r>
    <r>
      <rPr>
        <sz val="10"/>
        <rFont val="標楷體"/>
        <family val="4"/>
        <charset val="136"/>
      </rPr>
      <t>月</t>
    </r>
    <r>
      <rPr>
        <sz val="10"/>
        <rFont val="Book Antiqua"/>
        <family val="1"/>
      </rPr>
      <t>30</t>
    </r>
    <r>
      <rPr>
        <sz val="10"/>
        <rFont val="標楷體"/>
        <family val="4"/>
        <charset val="136"/>
      </rPr>
      <t>日或</t>
    </r>
    <r>
      <rPr>
        <sz val="10"/>
        <rFont val="Book Antiqua"/>
        <family val="1"/>
      </rPr>
      <t>12</t>
    </r>
    <r>
      <rPr>
        <sz val="10"/>
        <rFont val="標楷體"/>
        <family val="4"/>
        <charset val="136"/>
      </rPr>
      <t>月</t>
    </r>
    <r>
      <rPr>
        <sz val="10"/>
        <rFont val="Book Antiqua"/>
        <family val="1"/>
      </rPr>
      <t>31</t>
    </r>
    <r>
      <rPr>
        <sz val="10"/>
        <rFont val="標楷體"/>
        <family val="4"/>
        <charset val="136"/>
      </rPr>
      <t>日</t>
    </r>
    <r>
      <rPr>
        <sz val="10"/>
        <rFont val="Book Antiqua"/>
        <family val="1"/>
      </rPr>
      <t>)</t>
    </r>
    <r>
      <rPr>
        <b/>
        <sz val="10"/>
        <rFont val="標楷體"/>
        <family val="4"/>
        <charset val="136"/>
      </rPr>
      <t>收盤匯率之</t>
    </r>
    <r>
      <rPr>
        <b/>
        <sz val="10"/>
        <rFont val="Book Antiqua"/>
        <family val="1"/>
      </rPr>
      <t>95%</t>
    </r>
    <r>
      <rPr>
        <sz val="10"/>
        <rFont val="標楷體"/>
        <family val="4"/>
        <charset val="136"/>
      </rPr>
      <t>。</t>
    </r>
    <phoneticPr fontId="29" type="noConversion"/>
  </si>
  <si>
    <r>
      <rPr>
        <sz val="10"/>
        <rFont val="標楷體"/>
        <family val="4"/>
        <charset val="136"/>
      </rPr>
      <t>期貨與遠期</t>
    </r>
    <phoneticPr fontId="26" type="noConversion"/>
  </si>
  <si>
    <r>
      <rPr>
        <sz val="10"/>
        <rFont val="標楷體"/>
        <family val="4"/>
        <charset val="136"/>
      </rPr>
      <t>交換</t>
    </r>
    <phoneticPr fontId="26" type="noConversion"/>
  </si>
  <si>
    <r>
      <rPr>
        <sz val="10"/>
        <rFont val="標楷體"/>
        <family val="4"/>
        <charset val="136"/>
      </rPr>
      <t>買入選擇權</t>
    </r>
    <phoneticPr fontId="26" type="noConversion"/>
  </si>
  <si>
    <r>
      <rPr>
        <sz val="10"/>
        <rFont val="標楷體"/>
        <family val="4"/>
        <charset val="136"/>
      </rPr>
      <t>賣出選擇權</t>
    </r>
    <phoneticPr fontId="26" type="noConversion"/>
  </si>
  <si>
    <r>
      <rPr>
        <sz val="10"/>
        <rFont val="標楷體"/>
        <family val="4"/>
        <charset val="136"/>
      </rPr>
      <t>其他</t>
    </r>
    <phoneticPr fontId="26" type="noConversion"/>
  </si>
  <si>
    <r>
      <rPr>
        <sz val="10"/>
        <rFont val="標楷體"/>
        <family val="4"/>
        <charset val="136"/>
      </rPr>
      <t>本表所稱匯率</t>
    </r>
    <r>
      <rPr>
        <sz val="10"/>
        <rFont val="Book Antiqua"/>
        <family val="1"/>
      </rPr>
      <t>(</t>
    </r>
    <r>
      <rPr>
        <sz val="10"/>
        <rFont val="標楷體"/>
        <family val="4"/>
        <charset val="136"/>
      </rPr>
      <t>標準避險</t>
    </r>
    <r>
      <rPr>
        <sz val="10"/>
        <rFont val="Book Antiqua"/>
        <family val="1"/>
      </rPr>
      <t>)</t>
    </r>
    <r>
      <rPr>
        <sz val="10"/>
        <rFont val="標楷體"/>
        <family val="4"/>
        <charset val="136"/>
      </rPr>
      <t>係指該匯率衍生性商品標的物之幣別與被避險資產之幣別相同，並且該衍生性商品結算或執行後最終持有幣別為台幣者。例如</t>
    </r>
    <r>
      <rPr>
        <sz val="10"/>
        <rFont val="Book Antiqua"/>
        <family val="1"/>
      </rPr>
      <t>:</t>
    </r>
    <r>
      <rPr>
        <sz val="10"/>
        <rFont val="標楷體"/>
        <family val="4"/>
        <charset val="136"/>
      </rPr>
      <t>以約定之美元兌台幣之匯率賣出美元遠期契約，以進行美元資產之匯率避險者，即屬於標準避險</t>
    </r>
    <phoneticPr fontId="26" type="noConversion"/>
  </si>
  <si>
    <r>
      <rPr>
        <sz val="10"/>
        <rFont val="標楷體"/>
        <family val="4"/>
        <charset val="136"/>
      </rPr>
      <t>本表所稱匯率</t>
    </r>
    <r>
      <rPr>
        <sz val="10"/>
        <rFont val="Book Antiqua"/>
        <family val="1"/>
      </rPr>
      <t>(</t>
    </r>
    <r>
      <rPr>
        <sz val="10"/>
        <rFont val="標楷體"/>
        <family val="4"/>
        <charset val="136"/>
      </rPr>
      <t>非標準避險</t>
    </r>
    <r>
      <rPr>
        <sz val="10"/>
        <rFont val="Book Antiqua"/>
        <family val="1"/>
      </rPr>
      <t>)</t>
    </r>
    <r>
      <rPr>
        <sz val="10"/>
        <rFont val="標楷體"/>
        <family val="4"/>
        <charset val="136"/>
      </rPr>
      <t>係指該匯率衍生性商品之標的物幣別與被避險資產之幣別不同，或該衍生性商品結算或執行後最終持有幣別非為台幣者。</t>
    </r>
    <phoneticPr fontId="26" type="noConversion"/>
  </si>
  <si>
    <r>
      <rPr>
        <sz val="10"/>
        <rFont val="標楷體"/>
        <family val="4"/>
        <charset val="136"/>
      </rPr>
      <t>權益證券相關小計</t>
    </r>
    <phoneticPr fontId="26" type="noConversion"/>
  </si>
  <si>
    <t>抵減50%金額</t>
    <phoneticPr fontId="26" type="noConversion"/>
  </si>
  <si>
    <t>抵減65%金額</t>
    <phoneticPr fontId="26" type="noConversion"/>
  </si>
  <si>
    <t>抵減金額總計</t>
    <phoneticPr fontId="26" type="noConversion"/>
  </si>
  <si>
    <t>國內上市普通股股票半年收盤平均價之15%</t>
    <phoneticPr fontId="26" type="noConversion"/>
  </si>
  <si>
    <t>是否已提供平均避險比率均超過15％之證明文件
(註5)</t>
    <phoneticPr fontId="26" type="noConversion"/>
  </si>
  <si>
    <t>可扣抵風險資本金額(註6)</t>
    <phoneticPr fontId="26" type="noConversion"/>
  </si>
  <si>
    <t>(12)</t>
    <phoneticPr fontId="26" type="noConversion"/>
  </si>
  <si>
    <t>(13)</t>
    <phoneticPr fontId="29" type="noConversion"/>
  </si>
  <si>
    <t>(16)</t>
    <phoneticPr fontId="29" type="noConversion"/>
  </si>
  <si>
    <t>國內上市普通股股票風險資本扣抵計算表</t>
    <phoneticPr fontId="26" type="noConversion"/>
  </si>
  <si>
    <t>表30-4-2：再保險資產風險資本額計算表(保險期間超過一年之人身保險並認列分出責任準備之再保險業務)</t>
    <phoneticPr fontId="29" type="noConversion"/>
  </si>
  <si>
    <t>請按表19-4第(13)欄合計數(保險期間超過一年之人身保險並認列分出責任準備之再保險業務)依再保險人別的信用評等予以分類，</t>
    <phoneticPr fontId="26" type="noConversion"/>
  </si>
  <si>
    <t>除不動產增值相關項目以外之當期自有資本總額</t>
    <phoneticPr fontId="29" type="noConversion"/>
  </si>
  <si>
    <r>
      <rPr>
        <sz val="10"/>
        <rFont val="標楷體"/>
        <family val="4"/>
        <charset val="136"/>
      </rPr>
      <t>第</t>
    </r>
    <r>
      <rPr>
        <sz val="10"/>
        <rFont val="Book Antiqua"/>
        <family val="1"/>
      </rPr>
      <t>(8)</t>
    </r>
    <r>
      <rPr>
        <sz val="10"/>
        <rFont val="標楷體"/>
        <family val="4"/>
        <charset val="136"/>
      </rPr>
      <t>欄到第</t>
    </r>
    <r>
      <rPr>
        <sz val="10"/>
        <rFont val="Book Antiqua"/>
        <family val="1"/>
      </rPr>
      <t>(12)</t>
    </r>
    <r>
      <rPr>
        <sz val="10"/>
        <rFont val="標楷體"/>
        <family val="4"/>
        <charset val="136"/>
      </rPr>
      <t>欄、及第</t>
    </r>
    <r>
      <rPr>
        <sz val="10"/>
        <rFont val="Book Antiqua"/>
        <family val="1"/>
      </rPr>
      <t>(15)</t>
    </r>
    <r>
      <rPr>
        <sz val="10"/>
        <rFont val="標楷體"/>
        <family val="4"/>
        <charset val="136"/>
      </rPr>
      <t>欄金額單位請以新臺幣元填列。</t>
    </r>
    <phoneticPr fontId="29" type="noConversion"/>
  </si>
  <si>
    <r>
      <rPr>
        <sz val="10"/>
        <rFont val="標楷體"/>
        <family val="4"/>
        <charset val="136"/>
      </rPr>
      <t>表</t>
    </r>
    <r>
      <rPr>
        <sz val="10"/>
        <rFont val="Book Antiqua"/>
        <family val="1"/>
      </rPr>
      <t>16-1-1</t>
    </r>
    <r>
      <rPr>
        <sz val="10"/>
        <rFont val="標楷體"/>
        <family val="4"/>
        <charset val="136"/>
      </rPr>
      <t>：衍生性商品餘額明細表</t>
    </r>
    <r>
      <rPr>
        <sz val="10"/>
        <rFont val="Book Antiqua"/>
        <family val="1"/>
      </rPr>
      <t>--</t>
    </r>
    <r>
      <rPr>
        <sz val="10"/>
        <rFont val="標楷體"/>
        <family val="4"/>
        <charset val="136"/>
      </rPr>
      <t>期貨與遠期契約</t>
    </r>
    <phoneticPr fontId="26" type="noConversion"/>
  </si>
  <si>
    <r>
      <rPr>
        <sz val="11"/>
        <rFont val="標楷體"/>
        <family val="4"/>
        <charset val="136"/>
      </rPr>
      <t>被避險資產</t>
    </r>
    <r>
      <rPr>
        <sz val="11"/>
        <rFont val="新細明體"/>
        <family val="1"/>
        <charset val="136"/>
      </rPr>
      <t>β</t>
    </r>
    <r>
      <rPr>
        <sz val="11"/>
        <rFont val="標楷體"/>
        <family val="4"/>
        <charset val="136"/>
      </rPr>
      <t>值</t>
    </r>
    <r>
      <rPr>
        <sz val="11"/>
        <rFont val="Book Antiqua"/>
        <family val="1"/>
      </rPr>
      <t>(</t>
    </r>
    <r>
      <rPr>
        <sz val="11"/>
        <rFont val="標楷體"/>
        <family val="4"/>
        <charset val="136"/>
      </rPr>
      <t>註</t>
    </r>
    <r>
      <rPr>
        <sz val="11"/>
        <rFont val="Book Antiqua"/>
        <family val="1"/>
      </rPr>
      <t>3)</t>
    </r>
    <phoneticPr fontId="26" type="noConversion"/>
  </si>
  <si>
    <r>
      <rPr>
        <sz val="11"/>
        <rFont val="標楷體"/>
        <family val="4"/>
        <charset val="136"/>
      </rPr>
      <t>被避險資產成分股支數</t>
    </r>
    <r>
      <rPr>
        <sz val="11"/>
        <rFont val="Book Antiqua"/>
        <family val="1"/>
      </rPr>
      <t>(</t>
    </r>
    <r>
      <rPr>
        <sz val="11"/>
        <rFont val="標楷體"/>
        <family val="4"/>
        <charset val="136"/>
      </rPr>
      <t>註</t>
    </r>
    <r>
      <rPr>
        <sz val="11"/>
        <rFont val="Book Antiqua"/>
        <family val="1"/>
      </rPr>
      <t>3)</t>
    </r>
    <phoneticPr fontId="26" type="noConversion"/>
  </si>
  <si>
    <r>
      <rPr>
        <sz val="11"/>
        <rFont val="標楷體"/>
        <family val="4"/>
        <charset val="136"/>
      </rPr>
      <t>被避險資產為臺灣</t>
    </r>
    <r>
      <rPr>
        <sz val="11"/>
        <rFont val="Book Antiqua"/>
        <family val="1"/>
      </rPr>
      <t>50</t>
    </r>
    <r>
      <rPr>
        <sz val="11"/>
        <rFont val="標楷體"/>
        <family val="4"/>
        <charset val="136"/>
      </rPr>
      <t>成分股支數</t>
    </r>
    <r>
      <rPr>
        <sz val="11"/>
        <rFont val="Book Antiqua"/>
        <family val="1"/>
      </rPr>
      <t>(</t>
    </r>
    <r>
      <rPr>
        <sz val="11"/>
        <rFont val="標楷體"/>
        <family val="4"/>
        <charset val="136"/>
      </rPr>
      <t>註</t>
    </r>
    <r>
      <rPr>
        <sz val="11"/>
        <rFont val="Book Antiqua"/>
        <family val="1"/>
      </rPr>
      <t>3)</t>
    </r>
    <phoneticPr fontId="26" type="noConversion"/>
  </si>
  <si>
    <r>
      <rPr>
        <sz val="12"/>
        <rFont val="標楷體"/>
        <family val="4"/>
        <charset val="136"/>
      </rPr>
      <t>權益證券相關</t>
    </r>
    <r>
      <rPr>
        <sz val="12"/>
        <rFont val="Book Antiqua"/>
        <family val="1"/>
      </rPr>
      <t>(</t>
    </r>
    <r>
      <rPr>
        <sz val="12"/>
        <rFont val="標楷體"/>
        <family val="4"/>
        <charset val="136"/>
      </rPr>
      <t>可扣抵風險資本</t>
    </r>
    <r>
      <rPr>
        <sz val="12"/>
        <rFont val="Book Antiqua"/>
        <family val="1"/>
      </rPr>
      <t>)</t>
    </r>
    <phoneticPr fontId="26" type="noConversion"/>
  </si>
  <si>
    <r>
      <rPr>
        <sz val="11"/>
        <rFont val="標楷體"/>
        <family val="4"/>
        <charset val="136"/>
      </rPr>
      <t>被避險資產組合成分股支數</t>
    </r>
    <r>
      <rPr>
        <sz val="11"/>
        <rFont val="Book Antiqua"/>
        <family val="1"/>
      </rPr>
      <t>30~70</t>
    </r>
    <r>
      <rPr>
        <sz val="11"/>
        <rFont val="標楷體"/>
        <family val="4"/>
        <charset val="136"/>
      </rPr>
      <t>支</t>
    </r>
    <r>
      <rPr>
        <sz val="11"/>
        <rFont val="Book Antiqua"/>
        <family val="1"/>
      </rPr>
      <t>(</t>
    </r>
    <r>
      <rPr>
        <sz val="11"/>
        <rFont val="標楷體"/>
        <family val="4"/>
        <charset val="136"/>
      </rPr>
      <t>風險抵減</t>
    </r>
    <r>
      <rPr>
        <sz val="11"/>
        <rFont val="Book Antiqua"/>
        <family val="1"/>
      </rPr>
      <t>50%)</t>
    </r>
    <phoneticPr fontId="26" type="noConversion"/>
  </si>
  <si>
    <r>
      <rPr>
        <sz val="10"/>
        <rFont val="標楷體"/>
        <family val="4"/>
        <charset val="136"/>
      </rPr>
      <t>臺股期貨</t>
    </r>
    <phoneticPr fontId="26" type="noConversion"/>
  </si>
  <si>
    <r>
      <rPr>
        <sz val="10"/>
        <rFont val="標楷體"/>
        <family val="4"/>
        <charset val="136"/>
      </rPr>
      <t>發行量加權股價指數</t>
    </r>
    <phoneticPr fontId="26" type="noConversion"/>
  </si>
  <si>
    <r>
      <rPr>
        <sz val="10"/>
        <rFont val="標楷體"/>
        <family val="4"/>
        <charset val="136"/>
      </rPr>
      <t>證券組合</t>
    </r>
    <phoneticPr fontId="26" type="noConversion"/>
  </si>
  <si>
    <r>
      <rPr>
        <sz val="11"/>
        <rFont val="標楷體"/>
        <family val="4"/>
        <charset val="136"/>
      </rPr>
      <t>被避險資產組合成分股支數</t>
    </r>
    <r>
      <rPr>
        <sz val="11"/>
        <rFont val="Book Antiqua"/>
        <family val="1"/>
      </rPr>
      <t>70(</t>
    </r>
    <r>
      <rPr>
        <sz val="11"/>
        <rFont val="標楷體"/>
        <family val="4"/>
        <charset val="136"/>
      </rPr>
      <t>含</t>
    </r>
    <r>
      <rPr>
        <sz val="11"/>
        <rFont val="Book Antiqua"/>
        <family val="1"/>
      </rPr>
      <t>)</t>
    </r>
    <r>
      <rPr>
        <sz val="11"/>
        <rFont val="標楷體"/>
        <family val="4"/>
        <charset val="136"/>
      </rPr>
      <t>支以上</t>
    </r>
    <r>
      <rPr>
        <sz val="11"/>
        <rFont val="Book Antiqua"/>
        <family val="1"/>
      </rPr>
      <t>(</t>
    </r>
    <r>
      <rPr>
        <sz val="11"/>
        <rFont val="標楷體"/>
        <family val="4"/>
        <charset val="136"/>
      </rPr>
      <t>風險抵減</t>
    </r>
    <r>
      <rPr>
        <sz val="11"/>
        <rFont val="Book Antiqua"/>
        <family val="1"/>
      </rPr>
      <t>65%)</t>
    </r>
    <phoneticPr fontId="26" type="noConversion"/>
  </si>
  <si>
    <r>
      <rPr>
        <sz val="11"/>
        <rFont val="標楷體"/>
        <family val="4"/>
        <charset val="136"/>
      </rPr>
      <t>權益證券相關</t>
    </r>
    <r>
      <rPr>
        <sz val="11"/>
        <rFont val="Book Antiqua"/>
        <family val="1"/>
      </rPr>
      <t>(</t>
    </r>
    <r>
      <rPr>
        <sz val="11"/>
        <rFont val="標楷體"/>
        <family val="4"/>
        <charset val="136"/>
      </rPr>
      <t>不可扣抵風險資本</t>
    </r>
    <r>
      <rPr>
        <sz val="11"/>
        <rFont val="Book Antiqua"/>
        <family val="1"/>
      </rPr>
      <t>)</t>
    </r>
    <phoneticPr fontId="26" type="noConversion"/>
  </si>
  <si>
    <r>
      <rPr>
        <sz val="10"/>
        <rFont val="標楷體"/>
        <family val="4"/>
        <charset val="136"/>
      </rPr>
      <t>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 xml:space="preserve">之衍生性金融商品，衍生性金融商品交易須符合「保險業從事衍生性金融商品交易管理辦法」規定，且須為臺灣期貨交易所以「臺灣加權指數」為標的之期貨。
</t>
    </r>
    <phoneticPr fontId="26" type="noConversion"/>
  </si>
  <si>
    <r>
      <rPr>
        <sz val="10"/>
        <rFont val="標楷體"/>
        <family val="4"/>
        <charset val="136"/>
      </rPr>
      <t>保險業利用衍生性金融商品進行國內股票避險，於評價日符合下列條件：</t>
    </r>
    <phoneticPr fontId="26" type="noConversion"/>
  </si>
  <si>
    <r>
      <t>(1)</t>
    </r>
    <r>
      <rPr>
        <sz val="10"/>
        <rFont val="標楷體"/>
        <family val="4"/>
        <charset val="136"/>
      </rPr>
      <t>被避險之國內股票資產須符合</t>
    </r>
    <r>
      <rPr>
        <sz val="10"/>
        <rFont val="Book Antiqua"/>
        <family val="1"/>
      </rPr>
      <t>0.9</t>
    </r>
    <r>
      <rPr>
        <sz val="10"/>
        <rFont val="新細明體"/>
        <family val="1"/>
        <charset val="136"/>
      </rPr>
      <t>≦</t>
    </r>
    <r>
      <rPr>
        <sz val="10"/>
        <rFont val="Book Antiqua"/>
        <family val="1"/>
      </rPr>
      <t>β(Beta</t>
    </r>
    <r>
      <rPr>
        <sz val="10"/>
        <rFont val="新細明體"/>
        <family val="1"/>
        <charset val="136"/>
      </rPr>
      <t>值</t>
    </r>
    <r>
      <rPr>
        <sz val="10"/>
        <rFont val="Book Antiqua"/>
        <family val="1"/>
      </rPr>
      <t>)</t>
    </r>
    <r>
      <rPr>
        <sz val="10"/>
        <rFont val="新細明體"/>
        <family val="1"/>
        <charset val="136"/>
      </rPr>
      <t>≦</t>
    </r>
    <r>
      <rPr>
        <sz val="10"/>
        <rFont val="Book Antiqua"/>
        <family val="1"/>
      </rPr>
      <t>1.1</t>
    </r>
    <r>
      <rPr>
        <sz val="10"/>
        <rFont val="標楷體"/>
        <family val="4"/>
        <charset val="136"/>
      </rPr>
      <t>。</t>
    </r>
    <phoneticPr fontId="26" type="noConversion"/>
  </si>
  <si>
    <r>
      <t>(2)</t>
    </r>
    <r>
      <rPr>
        <sz val="10"/>
        <rFont val="標楷體"/>
        <family val="4"/>
        <charset val="136"/>
      </rPr>
      <t>被避險之國內股票資產中個股股票皆須為「臺灣</t>
    </r>
    <r>
      <rPr>
        <sz val="10"/>
        <rFont val="Book Antiqua"/>
        <family val="1"/>
      </rPr>
      <t>50</t>
    </r>
    <r>
      <rPr>
        <sz val="10"/>
        <rFont val="標楷體"/>
        <family val="4"/>
        <charset val="136"/>
      </rPr>
      <t>指數」、「臺灣中型</t>
    </r>
    <r>
      <rPr>
        <sz val="10"/>
        <rFont val="Book Antiqua"/>
        <family val="1"/>
      </rPr>
      <t>100</t>
    </r>
    <r>
      <rPr>
        <sz val="10"/>
        <rFont val="標楷體"/>
        <family val="4"/>
        <charset val="136"/>
      </rPr>
      <t>指數」或「摩根臺灣指數」中之成分股（以下簡稱三大指數成分股），其中「臺灣</t>
    </r>
    <r>
      <rPr>
        <sz val="10"/>
        <rFont val="Book Antiqua"/>
        <family val="1"/>
      </rPr>
      <t>50</t>
    </r>
    <r>
      <rPr>
        <sz val="10"/>
        <rFont val="標楷體"/>
        <family val="4"/>
        <charset val="136"/>
      </rPr>
      <t>指數」成分股支數所占比率不得低於</t>
    </r>
    <r>
      <rPr>
        <sz val="10"/>
        <rFont val="Book Antiqua"/>
        <family val="1"/>
      </rPr>
      <t>30</t>
    </r>
    <r>
      <rPr>
        <sz val="10"/>
        <rFont val="標楷體"/>
        <family val="4"/>
        <charset val="136"/>
      </rPr>
      <t>％。</t>
    </r>
    <phoneticPr fontId="26" type="noConversion"/>
  </si>
  <si>
    <r>
      <rPr>
        <sz val="10"/>
        <rFont val="標楷體"/>
        <family val="4"/>
        <charset val="136"/>
      </rPr>
      <t>從事本表所稱與權益證券相關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之衍生性金融商品交易者，其書面避險計畫之核准文件名稱應揭露於備註欄中。</t>
    </r>
    <phoneticPr fontId="26" type="noConversion"/>
  </si>
  <si>
    <r>
      <rPr>
        <sz val="10"/>
        <rFont val="標楷體"/>
        <family val="4"/>
        <charset val="136"/>
      </rPr>
      <t>表</t>
    </r>
    <r>
      <rPr>
        <sz val="10"/>
        <rFont val="Book Antiqua"/>
        <family val="1"/>
      </rPr>
      <t>16-1-3</t>
    </r>
    <r>
      <rPr>
        <sz val="10"/>
        <rFont val="標楷體"/>
        <family val="4"/>
        <charset val="136"/>
      </rPr>
      <t>：衍生性商品餘額明細表</t>
    </r>
    <r>
      <rPr>
        <sz val="10"/>
        <rFont val="Book Antiqua"/>
        <family val="1"/>
      </rPr>
      <t>--</t>
    </r>
    <r>
      <rPr>
        <sz val="10"/>
        <rFont val="標楷體"/>
        <family val="4"/>
        <charset val="136"/>
      </rPr>
      <t>買入選擇權</t>
    </r>
    <r>
      <rPr>
        <sz val="10"/>
        <rFont val="Book Antiqua"/>
        <family val="1"/>
      </rPr>
      <t>(</t>
    </r>
    <r>
      <rPr>
        <sz val="10"/>
        <rFont val="標楷體"/>
        <family val="4"/>
        <charset val="136"/>
      </rPr>
      <t>含認購《售》權證</t>
    </r>
    <r>
      <rPr>
        <sz val="10"/>
        <rFont val="Book Antiqua"/>
        <family val="1"/>
      </rPr>
      <t>)</t>
    </r>
    <phoneticPr fontId="26" type="noConversion"/>
  </si>
  <si>
    <r>
      <rPr>
        <sz val="11"/>
        <rFont val="標楷體"/>
        <family val="4"/>
        <charset val="136"/>
      </rPr>
      <t>臺指賣權</t>
    </r>
    <phoneticPr fontId="26" type="noConversion"/>
  </si>
  <si>
    <r>
      <rPr>
        <sz val="11"/>
        <rFont val="標楷體"/>
        <family val="4"/>
        <charset val="136"/>
      </rPr>
      <t>臺指賣權</t>
    </r>
  </si>
  <si>
    <r>
      <rPr>
        <sz val="10"/>
        <rFont val="標楷體"/>
        <family val="4"/>
        <charset val="136"/>
      </rPr>
      <t>本表所稱與權益證券相關</t>
    </r>
    <r>
      <rPr>
        <sz val="10"/>
        <rFont val="Book Antiqua"/>
        <family val="1"/>
      </rPr>
      <t>(</t>
    </r>
    <r>
      <rPr>
        <sz val="10"/>
        <rFont val="標楷體"/>
        <family val="4"/>
        <charset val="136"/>
      </rPr>
      <t>可扣抵風險資本</t>
    </r>
    <r>
      <rPr>
        <sz val="10"/>
        <rFont val="Book Antiqua"/>
        <family val="1"/>
      </rPr>
      <t>)</t>
    </r>
    <r>
      <rPr>
        <sz val="10"/>
        <rFont val="標楷體"/>
        <family val="4"/>
        <charset val="136"/>
      </rPr>
      <t>之衍生性金融商品，衍生性金融商品交易須符合「保險業從事衍生性金融商品交易管理辦法」規定，且須為臺灣期貨交易所以臺灣證券交易所發行量加權股價指數為標的之賣權。該選擇權之執行價格不得低於財務報表日</t>
    </r>
    <r>
      <rPr>
        <sz val="10"/>
        <rFont val="Book Antiqua"/>
        <family val="1"/>
      </rPr>
      <t>(6</t>
    </r>
    <r>
      <rPr>
        <sz val="10"/>
        <rFont val="標楷體"/>
        <family val="4"/>
        <charset val="136"/>
      </rPr>
      <t>月</t>
    </r>
    <r>
      <rPr>
        <sz val="10"/>
        <rFont val="Book Antiqua"/>
        <family val="1"/>
      </rPr>
      <t>30</t>
    </r>
    <r>
      <rPr>
        <sz val="10"/>
        <rFont val="標楷體"/>
        <family val="4"/>
        <charset val="136"/>
      </rPr>
      <t>日或</t>
    </r>
    <r>
      <rPr>
        <sz val="10"/>
        <rFont val="Book Antiqua"/>
        <family val="1"/>
      </rPr>
      <t>12</t>
    </r>
    <r>
      <rPr>
        <sz val="10"/>
        <rFont val="標楷體"/>
        <family val="4"/>
        <charset val="136"/>
      </rPr>
      <t>月</t>
    </r>
    <r>
      <rPr>
        <sz val="10"/>
        <rFont val="Book Antiqua"/>
        <family val="1"/>
      </rPr>
      <t>31</t>
    </r>
    <r>
      <rPr>
        <sz val="10"/>
        <rFont val="標楷體"/>
        <family val="4"/>
        <charset val="136"/>
      </rPr>
      <t>日</t>
    </r>
    <r>
      <rPr>
        <sz val="10"/>
        <rFont val="Book Antiqua"/>
        <family val="1"/>
      </rPr>
      <t>)</t>
    </r>
    <r>
      <rPr>
        <sz val="10"/>
        <rFont val="標楷體"/>
        <family val="4"/>
        <charset val="136"/>
      </rPr>
      <t>收盤價之</t>
    </r>
    <r>
      <rPr>
        <sz val="10"/>
        <rFont val="Book Antiqua"/>
        <family val="1"/>
      </rPr>
      <t>95%</t>
    </r>
    <r>
      <rPr>
        <sz val="10"/>
        <rFont val="標楷體"/>
        <family val="4"/>
        <charset val="136"/>
      </rPr>
      <t xml:space="preserve">。
</t>
    </r>
    <phoneticPr fontId="26" type="noConversion"/>
  </si>
  <si>
    <t>(24)</t>
    <phoneticPr fontId="26" type="noConversion"/>
  </si>
  <si>
    <t>(25)</t>
    <phoneticPr fontId="26" type="noConversion"/>
  </si>
  <si>
    <t>(26)</t>
    <phoneticPr fontId="26" type="noConversion"/>
  </si>
  <si>
    <r>
      <rPr>
        <sz val="10"/>
        <rFont val="標楷體"/>
        <family val="4"/>
        <charset val="136"/>
      </rPr>
      <t>被避險資產屬國外投資</t>
    </r>
    <r>
      <rPr>
        <sz val="10"/>
        <rFont val="Book Antiqua"/>
        <family val="1"/>
      </rPr>
      <t>(</t>
    </r>
    <r>
      <rPr>
        <sz val="10"/>
        <rFont val="標楷體"/>
        <family val="4"/>
        <charset val="136"/>
      </rPr>
      <t>已開發國家</t>
    </r>
    <r>
      <rPr>
        <sz val="10"/>
        <rFont val="Book Antiqua"/>
        <family val="1"/>
      </rPr>
      <t>)</t>
    </r>
    <phoneticPr fontId="26" type="noConversion"/>
  </si>
  <si>
    <r>
      <rPr>
        <sz val="10"/>
        <rFont val="標楷體"/>
        <family val="4"/>
        <charset val="136"/>
      </rPr>
      <t>權益證券相關</t>
    </r>
    <r>
      <rPr>
        <sz val="10"/>
        <rFont val="Book Antiqua"/>
        <family val="1"/>
      </rPr>
      <t>(</t>
    </r>
    <r>
      <rPr>
        <sz val="10"/>
        <rFont val="標楷體"/>
        <family val="4"/>
        <charset val="136"/>
      </rPr>
      <t>可扣抵風險資本</t>
    </r>
    <r>
      <rPr>
        <sz val="10"/>
        <rFont val="Book Antiqua"/>
        <family val="1"/>
      </rPr>
      <t>)</t>
    </r>
    <phoneticPr fontId="29" type="noConversion"/>
  </si>
  <si>
    <r>
      <rPr>
        <sz val="10"/>
        <rFont val="標楷體"/>
        <family val="4"/>
        <charset val="136"/>
      </rPr>
      <t>期貨</t>
    </r>
    <phoneticPr fontId="26" type="noConversion"/>
  </si>
  <si>
    <r>
      <rPr>
        <sz val="10"/>
        <rFont val="標楷體"/>
        <family val="4"/>
        <charset val="136"/>
      </rPr>
      <t>買入賣權</t>
    </r>
    <phoneticPr fontId="29" type="noConversion"/>
  </si>
  <si>
    <r>
      <rPr>
        <sz val="10"/>
        <rFont val="標楷體"/>
        <family val="4"/>
        <charset val="136"/>
      </rPr>
      <t>抵減</t>
    </r>
    <r>
      <rPr>
        <sz val="10"/>
        <rFont val="Book Antiqua"/>
        <family val="1"/>
      </rPr>
      <t>50%</t>
    </r>
    <r>
      <rPr>
        <sz val="10"/>
        <rFont val="標楷體"/>
        <family val="4"/>
        <charset val="136"/>
      </rPr>
      <t>避險小計</t>
    </r>
    <phoneticPr fontId="29" type="noConversion"/>
  </si>
  <si>
    <r>
      <rPr>
        <sz val="10"/>
        <rFont val="標楷體"/>
        <family val="4"/>
        <charset val="136"/>
      </rPr>
      <t>抵減</t>
    </r>
    <r>
      <rPr>
        <sz val="10"/>
        <rFont val="Book Antiqua"/>
        <family val="1"/>
      </rPr>
      <t>65%</t>
    </r>
    <r>
      <rPr>
        <sz val="10"/>
        <rFont val="標楷體"/>
        <family val="4"/>
        <charset val="136"/>
      </rPr>
      <t>避險小計</t>
    </r>
    <phoneticPr fontId="29" type="noConversion"/>
  </si>
  <si>
    <r>
      <rPr>
        <sz val="10"/>
        <rFont val="標楷體"/>
        <family val="4"/>
        <charset val="136"/>
      </rPr>
      <t>可扣抵風險資本避險小計</t>
    </r>
    <phoneticPr fontId="29" type="noConversion"/>
  </si>
  <si>
    <r>
      <rPr>
        <sz val="10"/>
        <rFont val="標楷體"/>
        <family val="4"/>
        <charset val="136"/>
      </rPr>
      <t>權益證券相關</t>
    </r>
    <r>
      <rPr>
        <sz val="10"/>
        <rFont val="Book Antiqua"/>
        <family val="1"/>
      </rPr>
      <t>(</t>
    </r>
    <r>
      <rPr>
        <sz val="10"/>
        <rFont val="標楷體"/>
        <family val="4"/>
        <charset val="136"/>
      </rPr>
      <t>不可扣抵風險資本</t>
    </r>
    <r>
      <rPr>
        <sz val="10"/>
        <rFont val="Book Antiqua"/>
        <family val="1"/>
      </rPr>
      <t>)</t>
    </r>
    <phoneticPr fontId="26" type="noConversion"/>
  </si>
  <si>
    <r>
      <rPr>
        <sz val="10"/>
        <rFont val="標楷體"/>
        <family val="4"/>
        <charset val="136"/>
      </rPr>
      <t>不可扣抵風險資本避險小計</t>
    </r>
    <phoneticPr fontId="26" type="noConversion"/>
  </si>
  <si>
    <r>
      <rPr>
        <sz val="10"/>
        <rFont val="華康仿宋體W6"/>
        <family val="3"/>
        <charset val="136"/>
      </rPr>
      <t>列號</t>
    </r>
    <phoneticPr fontId="26" type="noConversion"/>
  </si>
  <si>
    <r>
      <rPr>
        <sz val="10"/>
        <rFont val="標楷體"/>
        <family val="4"/>
        <charset val="136"/>
      </rPr>
      <t>符合「保險業以衍生性金融商品進行國內股票避險可扣抵風險資本額之認列方式及條件」之國內股票資產避險，其避險比率超過</t>
    </r>
    <r>
      <rPr>
        <sz val="10"/>
        <rFont val="Book Antiqua"/>
        <family val="1"/>
      </rPr>
      <t>15</t>
    </r>
    <r>
      <rPr>
        <sz val="10"/>
        <rFont val="標楷體"/>
        <family val="4"/>
        <charset val="136"/>
      </rPr>
      <t>％者，應提供當期</t>
    </r>
    <r>
      <rPr>
        <sz val="10"/>
        <rFont val="Book Antiqua"/>
        <family val="1"/>
      </rPr>
      <t>RBC</t>
    </r>
    <r>
      <rPr>
        <sz val="10"/>
        <rFont val="標楷體"/>
        <family val="4"/>
        <charset val="136"/>
      </rPr>
      <t>計算期間內每日平均避險比率均超過</t>
    </r>
    <r>
      <rPr>
        <sz val="10"/>
        <rFont val="Book Antiqua"/>
        <family val="1"/>
      </rPr>
      <t>15</t>
    </r>
    <r>
      <rPr>
        <sz val="10"/>
        <rFont val="標楷體"/>
        <family val="4"/>
        <charset val="136"/>
      </rPr>
      <t>％之證明文件。</t>
    </r>
    <phoneticPr fontId="29" type="noConversion"/>
  </si>
  <si>
    <r>
      <rPr>
        <sz val="10"/>
        <rFont val="標楷體"/>
        <family val="4"/>
        <charset val="136"/>
      </rPr>
      <t>未提供證明文件者，其可扣抵風險資本避險名目部位金額以國內上市普通股股票半年收盤平均價之</t>
    </r>
    <r>
      <rPr>
        <sz val="10"/>
        <rFont val="Book Antiqua"/>
        <family val="1"/>
      </rPr>
      <t>15%</t>
    </r>
    <r>
      <rPr>
        <sz val="10"/>
        <rFont val="標楷體"/>
        <family val="4"/>
        <charset val="136"/>
      </rPr>
      <t>為上限。</t>
    </r>
    <phoneticPr fontId="29" type="noConversion"/>
  </si>
  <si>
    <r>
      <rPr>
        <sz val="10"/>
        <rFont val="標楷體"/>
        <family val="4"/>
        <charset val="136"/>
      </rPr>
      <t>是否已提供平均避險比率均超過</t>
    </r>
    <r>
      <rPr>
        <sz val="10"/>
        <rFont val="Book Antiqua"/>
        <family val="1"/>
      </rPr>
      <t>15</t>
    </r>
    <r>
      <rPr>
        <sz val="10"/>
        <rFont val="標楷體"/>
        <family val="4"/>
        <charset val="136"/>
      </rPr>
      <t>％之證明文件，請填列</t>
    </r>
    <r>
      <rPr>
        <sz val="10"/>
        <rFont val="Book Antiqua"/>
        <family val="1"/>
      </rPr>
      <t>Y.</t>
    </r>
    <r>
      <rPr>
        <sz val="10"/>
        <rFont val="標楷體"/>
        <family val="4"/>
        <charset val="136"/>
      </rPr>
      <t>已提供平均避險比率均超過</t>
    </r>
    <r>
      <rPr>
        <sz val="10"/>
        <rFont val="Book Antiqua"/>
        <family val="1"/>
      </rPr>
      <t>15</t>
    </r>
    <r>
      <rPr>
        <sz val="10"/>
        <rFont val="標楷體"/>
        <family val="4"/>
        <charset val="136"/>
      </rPr>
      <t>％之證明文件</t>
    </r>
    <r>
      <rPr>
        <sz val="10"/>
        <rFont val="Book Antiqua"/>
        <family val="1"/>
      </rPr>
      <t>,N.</t>
    </r>
    <r>
      <rPr>
        <sz val="10"/>
        <rFont val="標楷體"/>
        <family val="4"/>
        <charset val="136"/>
      </rPr>
      <t>未提供平均避險比率均超過</t>
    </r>
    <r>
      <rPr>
        <sz val="10"/>
        <rFont val="Book Antiqua"/>
        <family val="1"/>
      </rPr>
      <t>15</t>
    </r>
    <r>
      <rPr>
        <sz val="10"/>
        <rFont val="標楷體"/>
        <family val="4"/>
        <charset val="136"/>
      </rPr>
      <t>％之證明文件。</t>
    </r>
    <phoneticPr fontId="29" type="noConversion"/>
  </si>
  <si>
    <r>
      <rPr>
        <sz val="10"/>
        <rFont val="標楷體"/>
        <family val="4"/>
        <charset val="136"/>
      </rPr>
      <t>本表第</t>
    </r>
    <r>
      <rPr>
        <sz val="10"/>
        <rFont val="Book Antiqua"/>
        <family val="1"/>
      </rPr>
      <t>(16)</t>
    </r>
    <r>
      <rPr>
        <sz val="10"/>
        <rFont val="標楷體"/>
        <family val="4"/>
        <charset val="136"/>
      </rPr>
      <t>欄第</t>
    </r>
    <r>
      <rPr>
        <sz val="10"/>
        <rFont val="Book Antiqua"/>
        <family val="1"/>
      </rPr>
      <t>(35)</t>
    </r>
    <r>
      <rPr>
        <sz val="10"/>
        <rFont val="標楷體"/>
        <family val="4"/>
        <charset val="136"/>
      </rPr>
      <t>列之金額係做為表</t>
    </r>
    <r>
      <rPr>
        <sz val="10"/>
        <rFont val="Book Antiqua"/>
        <family val="1"/>
      </rPr>
      <t>30-3</t>
    </r>
    <r>
      <rPr>
        <sz val="10"/>
        <rFont val="標楷體"/>
        <family val="4"/>
        <charset val="136"/>
      </rPr>
      <t>國內資產風險項下，上市普通股股票風險之扣抵額</t>
    </r>
    <phoneticPr fontId="26" type="noConversion"/>
  </si>
  <si>
    <t>表30-4-1：再保險資產風險資本額計算表(不含保險期間超過一年之人身保險並認列分出責任準備之再保險業務)</t>
    <phoneticPr fontId="29" type="noConversion"/>
  </si>
  <si>
    <t>請按表19-4第(13)欄合計數(不含保險期間超過一年之人身保險並認列分出責任準備之再保險業務)依再保險人別的信用評等予以分類，</t>
    <phoneticPr fontId="26" type="noConversion"/>
  </si>
  <si>
    <r>
      <rPr>
        <sz val="10"/>
        <rFont val="標楷體"/>
        <family val="4"/>
        <charset val="136"/>
      </rPr>
      <t>表</t>
    </r>
    <r>
      <rPr>
        <sz val="10"/>
        <rFont val="Book Antiqua"/>
        <family val="1"/>
      </rPr>
      <t>30-5</t>
    </r>
    <r>
      <rPr>
        <sz val="10"/>
        <rFont val="標楷體"/>
        <family val="4"/>
        <charset val="136"/>
      </rPr>
      <t>：</t>
    </r>
    <r>
      <rPr>
        <sz val="10"/>
        <rFont val="Book Antiqua"/>
        <family val="1"/>
      </rPr>
      <t>R3</t>
    </r>
    <r>
      <rPr>
        <sz val="10"/>
        <rFont val="標楷體"/>
        <family val="4"/>
        <charset val="136"/>
      </rPr>
      <t>：核保風險計算表</t>
    </r>
    <phoneticPr fontId="26" type="noConversion"/>
  </si>
  <si>
    <r>
      <rPr>
        <sz val="10"/>
        <rFont val="標楷體"/>
        <family val="4"/>
        <charset val="136"/>
      </rPr>
      <t>單位：新台幣元</t>
    </r>
    <r>
      <rPr>
        <sz val="10"/>
        <rFont val="Book Antiqua"/>
        <family val="1"/>
      </rPr>
      <t>,%</t>
    </r>
    <phoneticPr fontId="14" type="noConversion"/>
  </si>
  <si>
    <r>
      <rPr>
        <b/>
        <sz val="10"/>
        <rFont val="標楷體"/>
        <family val="4"/>
        <charset val="136"/>
      </rPr>
      <t>前一年度自</t>
    </r>
    <r>
      <rPr>
        <b/>
        <sz val="10"/>
        <rFont val="Book Antiqua"/>
        <family val="1"/>
      </rPr>
      <t>7/1</t>
    </r>
    <r>
      <rPr>
        <b/>
        <sz val="10"/>
        <rFont val="標楷體"/>
        <family val="4"/>
        <charset val="136"/>
      </rPr>
      <t>至</t>
    </r>
    <r>
      <rPr>
        <b/>
        <sz val="10"/>
        <rFont val="Book Antiqua"/>
        <family val="1"/>
      </rPr>
      <t>12/31</t>
    </r>
    <r>
      <rPr>
        <b/>
        <sz val="10"/>
        <rFont val="標楷體"/>
        <family val="4"/>
        <charset val="136"/>
      </rPr>
      <t>之金額</t>
    </r>
    <r>
      <rPr>
        <b/>
        <sz val="10"/>
        <rFont val="Book Antiqua"/>
        <family val="1"/>
      </rPr>
      <t>(</t>
    </r>
    <r>
      <rPr>
        <b/>
        <sz val="10"/>
        <rFont val="標楷體"/>
        <family val="4"/>
        <charset val="136"/>
      </rPr>
      <t>註</t>
    </r>
    <r>
      <rPr>
        <b/>
        <sz val="10"/>
        <rFont val="Book Antiqua"/>
        <family val="1"/>
      </rPr>
      <t>1)</t>
    </r>
    <phoneticPr fontId="26" type="noConversion"/>
  </si>
  <si>
    <r>
      <t xml:space="preserve">R3a </t>
    </r>
    <r>
      <rPr>
        <sz val="10"/>
        <rFont val="標楷體"/>
        <family val="4"/>
        <charset val="136"/>
      </rPr>
      <t>準備金風險</t>
    </r>
    <phoneticPr fontId="26" type="noConversion"/>
  </si>
  <si>
    <r>
      <t>3a.1</t>
    </r>
    <r>
      <rPr>
        <sz val="10"/>
        <rFont val="標楷體"/>
        <family val="4"/>
        <charset val="136"/>
      </rPr>
      <t>自留賠款準備金風險</t>
    </r>
    <r>
      <rPr>
        <sz val="10"/>
        <rFont val="Book Antiqua"/>
        <family val="1"/>
      </rPr>
      <t>--</t>
    </r>
    <r>
      <rPr>
        <sz val="10"/>
        <rFont val="標楷體"/>
        <family val="4"/>
        <charset val="136"/>
      </rPr>
      <t>比例性業務</t>
    </r>
    <phoneticPr fontId="26" type="noConversion"/>
  </si>
  <si>
    <r>
      <t>3a.1.1</t>
    </r>
    <r>
      <rPr>
        <sz val="10"/>
        <rFont val="標楷體"/>
        <family val="4"/>
        <charset val="136"/>
      </rPr>
      <t>財產保險業</t>
    </r>
    <phoneticPr fontId="26" type="noConversion"/>
  </si>
  <si>
    <r>
      <t>3a.1.1.1</t>
    </r>
    <r>
      <rPr>
        <sz val="10"/>
        <rFont val="標楷體"/>
        <family val="4"/>
        <charset val="136"/>
      </rPr>
      <t>國內業務</t>
    </r>
    <phoneticPr fontId="26" type="noConversion"/>
  </si>
  <si>
    <r>
      <t xml:space="preserve">3a.1.1.1.1   </t>
    </r>
    <r>
      <rPr>
        <sz val="10"/>
        <rFont val="標楷體"/>
        <family val="4"/>
        <charset val="136"/>
      </rPr>
      <t>一年期住宅火災保險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</si>
  <si>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t>
    </r>
    <r>
      <rPr>
        <sz val="10"/>
        <rFont val="標楷體"/>
        <family val="4"/>
        <charset val="136"/>
      </rPr>
      <t>列</t>
    </r>
    <phoneticPr fontId="26" type="noConversion"/>
  </si>
  <si>
    <r>
      <t xml:space="preserve">3a.1.1.1.2   </t>
    </r>
    <r>
      <rPr>
        <sz val="10"/>
        <rFont val="標楷體"/>
        <family val="4"/>
        <charset val="136"/>
      </rPr>
      <t>長期住宅火災保險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</si>
  <si>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t>
    </r>
    <r>
      <rPr>
        <sz val="10"/>
        <rFont val="標楷體"/>
        <family val="4"/>
        <charset val="136"/>
      </rPr>
      <t>列</t>
    </r>
    <phoneticPr fontId="26" type="noConversion"/>
  </si>
  <si>
    <r>
      <t xml:space="preserve">3a.1.1.1.3   </t>
    </r>
    <r>
      <rPr>
        <sz val="10"/>
        <rFont val="標楷體"/>
        <family val="4"/>
        <charset val="136"/>
      </rPr>
      <t>一年期商業火災保險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</si>
  <si>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(4)</t>
    </r>
    <r>
      <rPr>
        <sz val="10"/>
        <rFont val="標楷體"/>
        <family val="4"/>
        <charset val="136"/>
      </rPr>
      <t>列</t>
    </r>
    <phoneticPr fontId="26" type="noConversion"/>
  </si>
  <si>
    <r>
      <t xml:space="preserve">3a.1.1.1.4   </t>
    </r>
    <r>
      <rPr>
        <sz val="10"/>
        <rFont val="標楷體"/>
        <family val="4"/>
        <charset val="136"/>
      </rPr>
      <t>長期商業火災保險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</si>
  <si>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(5)</t>
    </r>
    <r>
      <rPr>
        <sz val="10"/>
        <rFont val="標楷體"/>
        <family val="4"/>
        <charset val="136"/>
      </rPr>
      <t>列</t>
    </r>
    <phoneticPr fontId="26" type="noConversion"/>
  </si>
  <si>
    <r>
      <t xml:space="preserve">3a.1.1.1.5   </t>
    </r>
    <r>
      <rPr>
        <sz val="10"/>
        <rFont val="標楷體"/>
        <family val="4"/>
        <charset val="136"/>
      </rPr>
      <t>內陸運輸保險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</si>
  <si>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(6)</t>
    </r>
    <r>
      <rPr>
        <sz val="10"/>
        <rFont val="標楷體"/>
        <family val="4"/>
        <charset val="136"/>
      </rPr>
      <t>列</t>
    </r>
    <phoneticPr fontId="26" type="noConversion"/>
  </si>
  <si>
    <r>
      <t xml:space="preserve">3a.1.1.1.6   </t>
    </r>
    <r>
      <rPr>
        <sz val="10"/>
        <rFont val="標楷體"/>
        <family val="4"/>
        <charset val="136"/>
      </rPr>
      <t>貨物運輸保險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</si>
  <si>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(7)</t>
    </r>
    <r>
      <rPr>
        <sz val="10"/>
        <rFont val="標楷體"/>
        <family val="4"/>
        <charset val="136"/>
      </rPr>
      <t>列</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</si>
  <si>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(8)</t>
    </r>
    <r>
      <rPr>
        <sz val="10"/>
        <rFont val="標楷體"/>
        <family val="4"/>
        <charset val="136"/>
      </rPr>
      <t>列</t>
    </r>
    <phoneticPr fontId="26" type="noConversion"/>
  </si>
  <si>
    <r>
      <t xml:space="preserve">3a.1.1.1.8   </t>
    </r>
    <r>
      <rPr>
        <sz val="10"/>
        <rFont val="標楷體"/>
        <family val="4"/>
        <charset val="136"/>
      </rPr>
      <t>漁船保險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</si>
  <si>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(9)</t>
    </r>
    <r>
      <rPr>
        <sz val="10"/>
        <rFont val="標楷體"/>
        <family val="4"/>
        <charset val="136"/>
      </rPr>
      <t>列</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</si>
  <si>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(10)</t>
    </r>
    <r>
      <rPr>
        <sz val="10"/>
        <rFont val="標楷體"/>
        <family val="4"/>
        <charset val="136"/>
      </rPr>
      <t>列</t>
    </r>
    <phoneticPr fontId="26" type="noConversion"/>
  </si>
  <si>
    <r>
      <t xml:space="preserve">3a.1.1.1.10 </t>
    </r>
    <r>
      <rPr>
        <sz val="10"/>
        <rFont val="標楷體"/>
        <family val="4"/>
        <charset val="136"/>
      </rPr>
      <t>一般自用汽車財產損失保險</t>
    </r>
    <r>
      <rPr>
        <sz val="10"/>
        <rFont val="Book Antiqua"/>
        <family val="1"/>
      </rPr>
      <t xml:space="preserve"> </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</si>
  <si>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(11)</t>
    </r>
    <r>
      <rPr>
        <sz val="10"/>
        <rFont val="標楷體"/>
        <family val="4"/>
        <charset val="136"/>
      </rPr>
      <t>列</t>
    </r>
    <phoneticPr fontId="26" type="noConversion"/>
  </si>
  <si>
    <r>
      <t xml:space="preserve">3a.1.1.1.11 </t>
    </r>
    <r>
      <rPr>
        <sz val="10"/>
        <rFont val="標楷體"/>
        <family val="4"/>
        <charset val="136"/>
      </rPr>
      <t>一般商業汽車財產損失保險</t>
    </r>
    <phoneticPr fontId="26" type="noConversion"/>
  </si>
  <si>
    <r>
      <t xml:space="preserve">3a.1.1.1.12 </t>
    </r>
    <r>
      <rPr>
        <sz val="10"/>
        <rFont val="標楷體"/>
        <family val="4"/>
        <charset val="136"/>
      </rPr>
      <t>一般自用汽車責任保險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</si>
  <si>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(13)</t>
    </r>
    <r>
      <rPr>
        <sz val="10"/>
        <rFont val="標楷體"/>
        <family val="4"/>
        <charset val="136"/>
      </rPr>
      <t>列</t>
    </r>
    <phoneticPr fontId="26" type="noConversion"/>
  </si>
  <si>
    <r>
      <t xml:space="preserve">3a.1.1.1.13 </t>
    </r>
    <r>
      <rPr>
        <sz val="10"/>
        <rFont val="標楷體"/>
        <family val="4"/>
        <charset val="136"/>
      </rPr>
      <t>一般商業汽車責任保險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</si>
  <si>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(14)</t>
    </r>
    <r>
      <rPr>
        <sz val="10"/>
        <rFont val="標楷體"/>
        <family val="4"/>
        <charset val="136"/>
      </rPr>
      <t>列</t>
    </r>
    <phoneticPr fontId="26" type="noConversion"/>
  </si>
  <si>
    <r>
      <t xml:space="preserve">3a.1.1.1.14 </t>
    </r>
    <r>
      <rPr>
        <sz val="10"/>
        <rFont val="標楷體"/>
        <family val="4"/>
        <charset val="136"/>
      </rPr>
      <t>強制自用汽車責任保險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</si>
  <si>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(15)</t>
    </r>
    <r>
      <rPr>
        <sz val="10"/>
        <rFont val="標楷體"/>
        <family val="4"/>
        <charset val="136"/>
      </rPr>
      <t>列</t>
    </r>
    <phoneticPr fontId="26" type="noConversion"/>
  </si>
  <si>
    <r>
      <t xml:space="preserve">3a.1.1.1.15 </t>
    </r>
    <r>
      <rPr>
        <sz val="10"/>
        <rFont val="標楷體"/>
        <family val="4"/>
        <charset val="136"/>
      </rPr>
      <t>強制商業汽車責任保險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</si>
  <si>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(16)</t>
    </r>
    <r>
      <rPr>
        <sz val="10"/>
        <rFont val="標楷體"/>
        <family val="4"/>
        <charset val="136"/>
      </rPr>
      <t>列</t>
    </r>
    <phoneticPr fontId="26" type="noConversion"/>
  </si>
  <si>
    <r>
      <t xml:space="preserve">3a.1.1.1.16 </t>
    </r>
    <r>
      <rPr>
        <sz val="10"/>
        <rFont val="標楷體"/>
        <family val="4"/>
        <charset val="136"/>
      </rPr>
      <t>強制機車責任保險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</si>
  <si>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(17)</t>
    </r>
    <r>
      <rPr>
        <sz val="10"/>
        <rFont val="標楷體"/>
        <family val="4"/>
        <charset val="136"/>
      </rPr>
      <t>列</t>
    </r>
    <phoneticPr fontId="26" type="noConversion"/>
  </si>
  <si>
    <r>
      <t xml:space="preserve">3a.1.1.1.17 </t>
    </r>
    <r>
      <rPr>
        <sz val="10"/>
        <rFont val="標楷體"/>
        <family val="4"/>
        <charset val="136"/>
      </rPr>
      <t>一般責任保險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</si>
  <si>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(18)</t>
    </r>
    <r>
      <rPr>
        <sz val="10"/>
        <rFont val="標楷體"/>
        <family val="4"/>
        <charset val="136"/>
      </rPr>
      <t>列</t>
    </r>
    <phoneticPr fontId="26" type="noConversion"/>
  </si>
  <si>
    <r>
      <t xml:space="preserve">3a.1.1.1.18 </t>
    </r>
    <r>
      <rPr>
        <sz val="10"/>
        <rFont val="標楷體"/>
        <family val="4"/>
        <charset val="136"/>
      </rPr>
      <t>專業責任保險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</si>
  <si>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(19)</t>
    </r>
    <r>
      <rPr>
        <sz val="10"/>
        <rFont val="標楷體"/>
        <family val="4"/>
        <charset val="136"/>
      </rPr>
      <t>列</t>
    </r>
    <phoneticPr fontId="26" type="noConversion"/>
  </si>
  <si>
    <r>
      <t xml:space="preserve">3a.1.1.1.19 </t>
    </r>
    <r>
      <rPr>
        <sz val="10"/>
        <rFont val="標楷體"/>
        <family val="4"/>
        <charset val="136"/>
      </rPr>
      <t>工程保險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</si>
  <si>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(20)</t>
    </r>
    <r>
      <rPr>
        <sz val="10"/>
        <rFont val="標楷體"/>
        <family val="4"/>
        <charset val="136"/>
      </rPr>
      <t>列</t>
    </r>
    <phoneticPr fontId="26" type="noConversion"/>
  </si>
  <si>
    <r>
      <t xml:space="preserve">3a.1.1.1.20 </t>
    </r>
    <r>
      <rPr>
        <sz val="10"/>
        <rFont val="標楷體"/>
        <family val="4"/>
        <charset val="136"/>
      </rPr>
      <t>核能保險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</si>
  <si>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(22)</t>
    </r>
    <r>
      <rPr>
        <sz val="10"/>
        <rFont val="標楷體"/>
        <family val="4"/>
        <charset val="136"/>
      </rPr>
      <t>列</t>
    </r>
    <phoneticPr fontId="26" type="noConversion"/>
  </si>
  <si>
    <r>
      <t xml:space="preserve">3a.1.1.1.22 </t>
    </r>
    <r>
      <rPr>
        <sz val="10"/>
        <rFont val="標楷體"/>
        <family val="4"/>
        <charset val="136"/>
      </rPr>
      <t>信用保險</t>
    </r>
    <phoneticPr fontId="26" type="noConversion"/>
  </si>
  <si>
    <r>
      <t xml:space="preserve">3a.1.1.1.23 </t>
    </r>
    <r>
      <rPr>
        <sz val="10"/>
        <rFont val="標楷體"/>
        <family val="4"/>
        <charset val="136"/>
      </rPr>
      <t>其他財產保險</t>
    </r>
    <phoneticPr fontId="26" type="noConversion"/>
  </si>
  <si>
    <r>
      <t xml:space="preserve">3a.1.1.1.24 </t>
    </r>
    <r>
      <rPr>
        <sz val="10"/>
        <rFont val="標楷體"/>
        <family val="4"/>
        <charset val="136"/>
      </rPr>
      <t>傷害保險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</si>
  <si>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(25)</t>
    </r>
    <r>
      <rPr>
        <sz val="10"/>
        <rFont val="標楷體"/>
        <family val="4"/>
        <charset val="136"/>
      </rPr>
      <t>列</t>
    </r>
    <phoneticPr fontId="26" type="noConversion"/>
  </si>
  <si>
    <r>
      <t xml:space="preserve">3a.1.1.1.25 </t>
    </r>
    <r>
      <rPr>
        <sz val="10"/>
        <rFont val="標楷體"/>
        <family val="4"/>
        <charset val="136"/>
      </rPr>
      <t>非政策性地震險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</si>
  <si>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(26)</t>
    </r>
    <r>
      <rPr>
        <sz val="10"/>
        <rFont val="標楷體"/>
        <family val="4"/>
        <charset val="136"/>
      </rPr>
      <t>列</t>
    </r>
    <phoneticPr fontId="26" type="noConversion"/>
  </si>
  <si>
    <r>
      <t xml:space="preserve">3a.1.1.1.26 </t>
    </r>
    <r>
      <rPr>
        <sz val="10"/>
        <rFont val="標楷體"/>
        <family val="4"/>
        <charset val="136"/>
      </rPr>
      <t>個人綜合保險</t>
    </r>
    <phoneticPr fontId="26" type="noConversion"/>
  </si>
  <si>
    <r>
      <t xml:space="preserve">3a.1.1.1.27 </t>
    </r>
    <r>
      <rPr>
        <sz val="10"/>
        <rFont val="標楷體"/>
        <family val="4"/>
        <charset val="136"/>
      </rPr>
      <t>商業綜合保險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</si>
  <si>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(28)</t>
    </r>
    <r>
      <rPr>
        <sz val="10"/>
        <rFont val="標楷體"/>
        <family val="4"/>
        <charset val="136"/>
      </rPr>
      <t>列</t>
    </r>
    <phoneticPr fontId="26" type="noConversion"/>
  </si>
  <si>
    <r>
      <t xml:space="preserve">3a.1.1.1.28 </t>
    </r>
    <r>
      <rPr>
        <sz val="10"/>
        <rFont val="標楷體"/>
        <family val="4"/>
        <charset val="136"/>
      </rPr>
      <t>颱風、洪水保險</t>
    </r>
    <phoneticPr fontId="26" type="noConversion"/>
  </si>
  <si>
    <r>
      <t xml:space="preserve">3a.1.1.1.29 </t>
    </r>
    <r>
      <rPr>
        <sz val="10"/>
        <rFont val="標楷體"/>
        <family val="4"/>
        <charset val="136"/>
      </rPr>
      <t>政策性住宅地震基本保險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</si>
  <si>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(30)</t>
    </r>
    <r>
      <rPr>
        <sz val="10"/>
        <rFont val="標楷體"/>
        <family val="4"/>
        <charset val="136"/>
      </rPr>
      <t>列</t>
    </r>
    <phoneticPr fontId="26" type="noConversion"/>
  </si>
  <si>
    <r>
      <t xml:space="preserve">3a.1.1.1.30 </t>
    </r>
    <r>
      <rPr>
        <sz val="10"/>
        <rFont val="標楷體"/>
        <family val="4"/>
        <charset val="136"/>
      </rPr>
      <t>健康保險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</si>
  <si>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(31)</t>
    </r>
    <r>
      <rPr>
        <sz val="10"/>
        <rFont val="標楷體"/>
        <family val="4"/>
        <charset val="136"/>
      </rPr>
      <t>列</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</si>
  <si>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(33)</t>
    </r>
    <r>
      <rPr>
        <sz val="10"/>
        <rFont val="標楷體"/>
        <family val="4"/>
        <charset val="136"/>
      </rPr>
      <t>列</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</si>
  <si>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(34)</t>
    </r>
    <r>
      <rPr>
        <sz val="10"/>
        <rFont val="標楷體"/>
        <family val="4"/>
        <charset val="136"/>
      </rPr>
      <t>列</t>
    </r>
    <phoneticPr fontId="26" type="noConversion"/>
  </si>
  <si>
    <r>
      <t xml:space="preserve">3a.1.1.2.3 </t>
    </r>
    <r>
      <rPr>
        <sz val="10"/>
        <rFont val="標楷體"/>
        <family val="4"/>
        <charset val="136"/>
      </rPr>
      <t>船體保險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</si>
  <si>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(35)</t>
    </r>
    <r>
      <rPr>
        <sz val="10"/>
        <rFont val="標楷體"/>
        <family val="4"/>
        <charset val="136"/>
      </rPr>
      <t>列</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</si>
  <si>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(36)</t>
    </r>
    <r>
      <rPr>
        <sz val="10"/>
        <rFont val="標楷體"/>
        <family val="4"/>
        <charset val="136"/>
      </rPr>
      <t>列</t>
    </r>
    <phoneticPr fontId="26" type="noConversion"/>
  </si>
  <si>
    <r>
      <t xml:space="preserve">3a.1.1.2.5 </t>
    </r>
    <r>
      <rPr>
        <sz val="10"/>
        <rFont val="標楷體"/>
        <family val="4"/>
        <charset val="136"/>
      </rPr>
      <t>汽車保險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</si>
  <si>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(37)</t>
    </r>
    <r>
      <rPr>
        <sz val="10"/>
        <rFont val="標楷體"/>
        <family val="4"/>
        <charset val="136"/>
      </rPr>
      <t>列</t>
    </r>
    <phoneticPr fontId="26" type="noConversion"/>
  </si>
  <si>
    <r>
      <t xml:space="preserve">3a.1.1.2.6 </t>
    </r>
    <r>
      <rPr>
        <sz val="10"/>
        <rFont val="標楷體"/>
        <family val="4"/>
        <charset val="136"/>
      </rPr>
      <t>航空保險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</si>
  <si>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(38)</t>
    </r>
    <r>
      <rPr>
        <sz val="10"/>
        <rFont val="標楷體"/>
        <family val="4"/>
        <charset val="136"/>
      </rPr>
      <t>列</t>
    </r>
    <phoneticPr fontId="26" type="noConversion"/>
  </si>
  <si>
    <r>
      <t xml:space="preserve">3a.1.1.2.7 </t>
    </r>
    <r>
      <rPr>
        <sz val="10"/>
        <rFont val="標楷體"/>
        <family val="4"/>
        <charset val="136"/>
      </rPr>
      <t>工程保險</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</si>
  <si>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(40)</t>
    </r>
    <r>
      <rPr>
        <sz val="10"/>
        <rFont val="標楷體"/>
        <family val="4"/>
        <charset val="136"/>
      </rPr>
      <t>列</t>
    </r>
    <phoneticPr fontId="26" type="noConversion"/>
  </si>
  <si>
    <r>
      <t>3a.1.2</t>
    </r>
    <r>
      <rPr>
        <sz val="10"/>
        <rFont val="標楷體"/>
        <family val="4"/>
        <charset val="136"/>
      </rPr>
      <t>人身保險業</t>
    </r>
    <phoneticPr fontId="26" type="noConversion"/>
  </si>
  <si>
    <r>
      <t>3a.1.2.1</t>
    </r>
    <r>
      <rPr>
        <sz val="10"/>
        <rFont val="標楷體"/>
        <family val="4"/>
        <charset val="136"/>
      </rPr>
      <t>國內業務</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</si>
  <si>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(2)</t>
    </r>
    <r>
      <rPr>
        <sz val="10"/>
        <rFont val="標楷體"/>
        <family val="4"/>
        <charset val="136"/>
      </rPr>
      <t>列</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</si>
  <si>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(3)</t>
    </r>
    <r>
      <rPr>
        <sz val="10"/>
        <rFont val="標楷體"/>
        <family val="4"/>
        <charset val="136"/>
      </rPr>
      <t>列</t>
    </r>
    <phoneticPr fontId="26" type="noConversion"/>
  </si>
  <si>
    <r>
      <t xml:space="preserve">3a.1.2.1.3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6" type="noConversion"/>
  </si>
  <si>
    <r>
      <t xml:space="preserve">3a.1.2.1.4 </t>
    </r>
    <r>
      <rPr>
        <sz val="10"/>
        <rFont val="標楷體"/>
        <family val="4"/>
        <charset val="136"/>
      </rPr>
      <t>年金保險</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</si>
  <si>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(5)</t>
    </r>
    <r>
      <rPr>
        <sz val="10"/>
        <rFont val="標楷體"/>
        <family val="4"/>
        <charset val="136"/>
      </rPr>
      <t>列</t>
    </r>
    <phoneticPr fontId="26" type="noConversion"/>
  </si>
  <si>
    <r>
      <t xml:space="preserve">3a.1.2.1.5 </t>
    </r>
    <r>
      <rPr>
        <sz val="10"/>
        <rFont val="標楷體"/>
        <family val="4"/>
        <charset val="136"/>
      </rPr>
      <t>財務再保險</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</si>
  <si>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(6)</t>
    </r>
    <r>
      <rPr>
        <sz val="10"/>
        <rFont val="標楷體"/>
        <family val="4"/>
        <charset val="136"/>
      </rPr>
      <t>列</t>
    </r>
    <phoneticPr fontId="26" type="noConversion"/>
  </si>
  <si>
    <r>
      <t>3a.1.2.2</t>
    </r>
    <r>
      <rPr>
        <sz val="10"/>
        <rFont val="標楷體"/>
        <family val="4"/>
        <charset val="136"/>
      </rPr>
      <t>國外業務</t>
    </r>
    <phoneticPr fontId="26" type="noConversion"/>
  </si>
  <si>
    <r>
      <t xml:space="preserve">3a.1.2.2.1 </t>
    </r>
    <r>
      <rPr>
        <sz val="10"/>
        <rFont val="標楷體"/>
        <family val="4"/>
        <charset val="136"/>
      </rPr>
      <t>人壽保險</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</si>
  <si>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(10)</t>
    </r>
    <r>
      <rPr>
        <sz val="10"/>
        <rFont val="標楷體"/>
        <family val="4"/>
        <charset val="136"/>
      </rPr>
      <t>列</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</si>
  <si>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(11)</t>
    </r>
    <r>
      <rPr>
        <sz val="10"/>
        <rFont val="標楷體"/>
        <family val="4"/>
        <charset val="136"/>
      </rPr>
      <t>列</t>
    </r>
    <phoneticPr fontId="26" type="noConversion"/>
  </si>
  <si>
    <r>
      <t xml:space="preserve">3a.1.2.2.3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</si>
  <si>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(12)</t>
    </r>
    <r>
      <rPr>
        <sz val="10"/>
        <rFont val="標楷體"/>
        <family val="4"/>
        <charset val="136"/>
      </rPr>
      <t>列</t>
    </r>
    <phoneticPr fontId="26" type="noConversion"/>
  </si>
  <si>
    <r>
      <t xml:space="preserve">3a.1.2.2.4 </t>
    </r>
    <r>
      <rPr>
        <sz val="10"/>
        <rFont val="標楷體"/>
        <family val="4"/>
        <charset val="136"/>
      </rPr>
      <t>年金保險</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</si>
  <si>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(13)</t>
    </r>
    <r>
      <rPr>
        <sz val="10"/>
        <rFont val="標楷體"/>
        <family val="4"/>
        <charset val="136"/>
      </rPr>
      <t>列</t>
    </r>
    <phoneticPr fontId="26" type="noConversion"/>
  </si>
  <si>
    <r>
      <t xml:space="preserve">3a.1.2.2.5 </t>
    </r>
    <r>
      <rPr>
        <sz val="10"/>
        <rFont val="標楷體"/>
        <family val="4"/>
        <charset val="136"/>
      </rPr>
      <t>財務再保險</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</si>
  <si>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(9)</t>
    </r>
    <r>
      <rPr>
        <sz val="10"/>
        <rFont val="標楷體"/>
        <family val="4"/>
        <charset val="136"/>
      </rPr>
      <t>欄第</t>
    </r>
    <r>
      <rPr>
        <sz val="10"/>
        <rFont val="Book Antiqua"/>
        <family val="1"/>
      </rPr>
      <t>(14)</t>
    </r>
    <r>
      <rPr>
        <sz val="10"/>
        <rFont val="標楷體"/>
        <family val="4"/>
        <charset val="136"/>
      </rPr>
      <t>列</t>
    </r>
    <phoneticPr fontId="26" type="noConversion"/>
  </si>
  <si>
    <r>
      <t>3a.2</t>
    </r>
    <r>
      <rPr>
        <sz val="10"/>
        <rFont val="標楷體"/>
        <family val="4"/>
        <charset val="136"/>
      </rPr>
      <t>自留賠款準備金風險</t>
    </r>
    <r>
      <rPr>
        <sz val="10"/>
        <rFont val="Book Antiqua"/>
        <family val="1"/>
      </rPr>
      <t>--</t>
    </r>
    <r>
      <rPr>
        <sz val="10"/>
        <rFont val="標楷體"/>
        <family val="4"/>
        <charset val="136"/>
      </rPr>
      <t>非比例性業務</t>
    </r>
    <phoneticPr fontId="26" type="noConversion"/>
  </si>
  <si>
    <r>
      <t>3a.2.1</t>
    </r>
    <r>
      <rPr>
        <sz val="10"/>
        <rFont val="標楷體"/>
        <family val="4"/>
        <charset val="136"/>
      </rPr>
      <t>財產保險業</t>
    </r>
    <phoneticPr fontId="26" type="noConversion"/>
  </si>
  <si>
    <r>
      <t xml:space="preserve">3a.2.1.2 </t>
    </r>
    <r>
      <rPr>
        <sz val="10"/>
        <rFont val="標楷體"/>
        <family val="4"/>
        <charset val="136"/>
      </rPr>
      <t>國外業務</t>
    </r>
    <phoneticPr fontId="26" type="noConversion"/>
  </si>
  <si>
    <r>
      <t>3a.2.2</t>
    </r>
    <r>
      <rPr>
        <sz val="10"/>
        <rFont val="標楷體"/>
        <family val="4"/>
        <charset val="136"/>
      </rPr>
      <t>人身保險業</t>
    </r>
    <phoneticPr fontId="26" type="noConversion"/>
  </si>
  <si>
    <r>
      <t xml:space="preserve">3a.2.2.1 </t>
    </r>
    <r>
      <rPr>
        <sz val="10"/>
        <rFont val="標楷體"/>
        <family val="4"/>
        <charset val="136"/>
      </rPr>
      <t>國內業務</t>
    </r>
    <phoneticPr fontId="26" type="noConversion"/>
  </si>
  <si>
    <r>
      <t xml:space="preserve">3a.3 </t>
    </r>
    <r>
      <rPr>
        <sz val="10"/>
        <rFont val="標楷體"/>
        <family val="4"/>
        <charset val="136"/>
      </rPr>
      <t>公司與市場差異性調整</t>
    </r>
    <phoneticPr fontId="26" type="noConversion"/>
  </si>
  <si>
    <r>
      <t xml:space="preserve">3a.4 </t>
    </r>
    <r>
      <rPr>
        <sz val="10"/>
        <rFont val="標楷體"/>
        <family val="4"/>
        <charset val="136"/>
      </rPr>
      <t>損失集中調整</t>
    </r>
    <phoneticPr fontId="26" type="noConversion"/>
  </si>
  <si>
    <r>
      <t xml:space="preserve">3a.5 </t>
    </r>
    <r>
      <rPr>
        <sz val="10"/>
        <rFont val="標楷體"/>
        <family val="4"/>
        <charset val="136"/>
      </rPr>
      <t>成長風險</t>
    </r>
    <phoneticPr fontId="26" type="noConversion"/>
  </si>
  <si>
    <r>
      <t xml:space="preserve">  </t>
    </r>
    <r>
      <rPr>
        <sz val="10"/>
        <rFont val="標楷體"/>
        <family val="4"/>
        <charset val="136"/>
      </rPr>
      <t>【自留賠款準備金風險】合計</t>
    </r>
    <phoneticPr fontId="26" type="noConversion"/>
  </si>
  <si>
    <r>
      <t xml:space="preserve">R3b </t>
    </r>
    <r>
      <rPr>
        <sz val="10"/>
        <rFont val="標楷體"/>
        <family val="4"/>
        <charset val="136"/>
      </rPr>
      <t>保費風險</t>
    </r>
    <phoneticPr fontId="26" type="noConversion"/>
  </si>
  <si>
    <r>
      <t xml:space="preserve">3b.1 </t>
    </r>
    <r>
      <rPr>
        <sz val="10"/>
        <rFont val="標楷體"/>
        <family val="4"/>
        <charset val="136"/>
      </rPr>
      <t>自留保費風險</t>
    </r>
    <r>
      <rPr>
        <sz val="10"/>
        <rFont val="Book Antiqua"/>
        <family val="1"/>
      </rPr>
      <t>-</t>
    </r>
    <r>
      <rPr>
        <sz val="10"/>
        <rFont val="標楷體"/>
        <family val="4"/>
        <charset val="136"/>
      </rPr>
      <t>比例性業務</t>
    </r>
    <phoneticPr fontId="26" type="noConversion"/>
  </si>
  <si>
    <r>
      <t>3b.1.1.1</t>
    </r>
    <r>
      <rPr>
        <sz val="10"/>
        <rFont val="標楷體"/>
        <family val="4"/>
        <charset val="136"/>
      </rPr>
      <t>國內業務</t>
    </r>
    <phoneticPr fontId="26" type="noConversion"/>
  </si>
  <si>
    <r>
      <t xml:space="preserve">3b.1.1.1.2   </t>
    </r>
    <r>
      <rPr>
        <sz val="10"/>
        <rFont val="標楷體"/>
        <family val="4"/>
        <charset val="136"/>
      </rPr>
      <t>長期住宅火災保險</t>
    </r>
    <phoneticPr fontId="26" type="noConversion"/>
  </si>
  <si>
    <r>
      <t xml:space="preserve">3b.1.1.1.3   </t>
    </r>
    <r>
      <rPr>
        <sz val="10"/>
        <rFont val="標楷體"/>
        <family val="4"/>
        <charset val="136"/>
      </rPr>
      <t>一年期商業火災保險</t>
    </r>
    <phoneticPr fontId="26" type="noConversion"/>
  </si>
  <si>
    <r>
      <t xml:space="preserve">3b.1.1.1.4   </t>
    </r>
    <r>
      <rPr>
        <sz val="10"/>
        <rFont val="標楷體"/>
        <family val="4"/>
        <charset val="136"/>
      </rPr>
      <t>長期商業火災保險</t>
    </r>
    <phoneticPr fontId="26" type="noConversion"/>
  </si>
  <si>
    <r>
      <t xml:space="preserve">3b.1.1.1.5   </t>
    </r>
    <r>
      <rPr>
        <sz val="10"/>
        <rFont val="標楷體"/>
        <family val="4"/>
        <charset val="136"/>
      </rPr>
      <t>內陸運輸保險</t>
    </r>
    <phoneticPr fontId="26" type="noConversion"/>
  </si>
  <si>
    <r>
      <t xml:space="preserve">3b.1.1.1.7   </t>
    </r>
    <r>
      <rPr>
        <sz val="10"/>
        <rFont val="標楷體"/>
        <family val="4"/>
        <charset val="136"/>
      </rPr>
      <t>船體保險</t>
    </r>
    <phoneticPr fontId="26" type="noConversion"/>
  </si>
  <si>
    <r>
      <t xml:space="preserve">3b.1.1.1.8   </t>
    </r>
    <r>
      <rPr>
        <sz val="10"/>
        <rFont val="標楷體"/>
        <family val="4"/>
        <charset val="136"/>
      </rPr>
      <t>漁船保險</t>
    </r>
    <phoneticPr fontId="26" type="noConversion"/>
  </si>
  <si>
    <r>
      <t xml:space="preserve">3b.1.1.1.9   </t>
    </r>
    <r>
      <rPr>
        <sz val="10"/>
        <rFont val="標楷體"/>
        <family val="4"/>
        <charset val="136"/>
      </rPr>
      <t>航空保險</t>
    </r>
    <phoneticPr fontId="26" type="noConversion"/>
  </si>
  <si>
    <r>
      <t xml:space="preserve">3b.1.1.1.10 </t>
    </r>
    <r>
      <rPr>
        <sz val="10"/>
        <rFont val="標楷體"/>
        <family val="4"/>
        <charset val="136"/>
      </rPr>
      <t>一般自用汽車財產損失保險</t>
    </r>
    <r>
      <rPr>
        <sz val="10"/>
        <rFont val="Book Antiqua"/>
        <family val="1"/>
      </rPr>
      <t xml:space="preserve"> </t>
    </r>
    <phoneticPr fontId="26" type="noConversion"/>
  </si>
  <si>
    <r>
      <t xml:space="preserve">3b.1.1.1.11 </t>
    </r>
    <r>
      <rPr>
        <sz val="10"/>
        <rFont val="標楷體"/>
        <family val="4"/>
        <charset val="136"/>
      </rPr>
      <t>一般商業汽車財產損失保險</t>
    </r>
    <phoneticPr fontId="26" type="noConversion"/>
  </si>
  <si>
    <r>
      <t xml:space="preserve">3b.1.1.1.12 </t>
    </r>
    <r>
      <rPr>
        <sz val="10"/>
        <rFont val="標楷體"/>
        <family val="4"/>
        <charset val="136"/>
      </rPr>
      <t>一般自用汽車責任保險</t>
    </r>
    <phoneticPr fontId="26" type="noConversion"/>
  </si>
  <si>
    <r>
      <t xml:space="preserve">3b.1.1.1.14 </t>
    </r>
    <r>
      <rPr>
        <sz val="10"/>
        <rFont val="標楷體"/>
        <family val="4"/>
        <charset val="136"/>
      </rPr>
      <t>強制自用汽車責任保險</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</si>
  <si>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(15)</t>
    </r>
    <r>
      <rPr>
        <sz val="10"/>
        <rFont val="標楷體"/>
        <family val="4"/>
        <charset val="136"/>
      </rPr>
      <t>列</t>
    </r>
    <phoneticPr fontId="26" type="noConversion"/>
  </si>
  <si>
    <r>
      <t xml:space="preserve">3b.1.1.1.15 </t>
    </r>
    <r>
      <rPr>
        <sz val="10"/>
        <rFont val="標楷體"/>
        <family val="4"/>
        <charset val="136"/>
      </rPr>
      <t>強制商業汽車責任保險</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</si>
  <si>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(16)</t>
    </r>
    <r>
      <rPr>
        <sz val="10"/>
        <rFont val="標楷體"/>
        <family val="4"/>
        <charset val="136"/>
      </rPr>
      <t>列</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</si>
  <si>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(17)</t>
    </r>
    <r>
      <rPr>
        <sz val="10"/>
        <rFont val="標楷體"/>
        <family val="4"/>
        <charset val="136"/>
      </rPr>
      <t>列</t>
    </r>
    <phoneticPr fontId="26" type="noConversion"/>
  </si>
  <si>
    <r>
      <t xml:space="preserve">3b.1.1.1.17 </t>
    </r>
    <r>
      <rPr>
        <sz val="10"/>
        <rFont val="標楷體"/>
        <family val="4"/>
        <charset val="136"/>
      </rPr>
      <t>一般責任保險</t>
    </r>
    <phoneticPr fontId="26" type="noConversion"/>
  </si>
  <si>
    <r>
      <t xml:space="preserve">3b.1.1.1.18 </t>
    </r>
    <r>
      <rPr>
        <sz val="10"/>
        <rFont val="標楷體"/>
        <family val="4"/>
        <charset val="136"/>
      </rPr>
      <t>專業責任保險</t>
    </r>
    <phoneticPr fontId="26" type="noConversion"/>
  </si>
  <si>
    <r>
      <t xml:space="preserve">3b.1.1.1.19 </t>
    </r>
    <r>
      <rPr>
        <sz val="10"/>
        <rFont val="標楷體"/>
        <family val="4"/>
        <charset val="136"/>
      </rPr>
      <t>工程保險</t>
    </r>
    <phoneticPr fontId="26" type="noConversion"/>
  </si>
  <si>
    <r>
      <t xml:space="preserve">3b.1.1.1.20 </t>
    </r>
    <r>
      <rPr>
        <sz val="10"/>
        <rFont val="標楷體"/>
        <family val="4"/>
        <charset val="136"/>
      </rPr>
      <t>核能保險</t>
    </r>
    <phoneticPr fontId="26" type="noConversion"/>
  </si>
  <si>
    <r>
      <t xml:space="preserve">3b.1.1.1.21 </t>
    </r>
    <r>
      <rPr>
        <sz val="10"/>
        <rFont val="標楷體"/>
        <family val="4"/>
        <charset val="136"/>
      </rPr>
      <t>保證保險</t>
    </r>
    <phoneticPr fontId="26" type="noConversion"/>
  </si>
  <si>
    <r>
      <t xml:space="preserve">3b.1.1.1.22 </t>
    </r>
    <r>
      <rPr>
        <sz val="10"/>
        <rFont val="標楷體"/>
        <family val="4"/>
        <charset val="136"/>
      </rPr>
      <t>信用保險</t>
    </r>
    <phoneticPr fontId="26" type="noConversion"/>
  </si>
  <si>
    <r>
      <t xml:space="preserve">3b.1.1.1.23 </t>
    </r>
    <r>
      <rPr>
        <sz val="10"/>
        <rFont val="標楷體"/>
        <family val="4"/>
        <charset val="136"/>
      </rPr>
      <t>其他財產保險</t>
    </r>
    <phoneticPr fontId="26" type="noConversion"/>
  </si>
  <si>
    <r>
      <t xml:space="preserve">3b.1.1.1.24 </t>
    </r>
    <r>
      <rPr>
        <sz val="10"/>
        <rFont val="標楷體"/>
        <family val="4"/>
        <charset val="136"/>
      </rPr>
      <t>傷害保險</t>
    </r>
    <phoneticPr fontId="26" type="noConversion"/>
  </si>
  <si>
    <r>
      <t xml:space="preserve">3b.1.1.1.25 </t>
    </r>
    <r>
      <rPr>
        <sz val="10"/>
        <rFont val="標楷體"/>
        <family val="4"/>
        <charset val="136"/>
      </rPr>
      <t>非政策性地震險</t>
    </r>
    <phoneticPr fontId="26" type="noConversion"/>
  </si>
  <si>
    <r>
      <t xml:space="preserve">3b.1.1.1.26 </t>
    </r>
    <r>
      <rPr>
        <sz val="10"/>
        <rFont val="標楷體"/>
        <family val="4"/>
        <charset val="136"/>
      </rPr>
      <t>個人綜合保險</t>
    </r>
    <phoneticPr fontId="26" type="noConversion"/>
  </si>
  <si>
    <r>
      <t xml:space="preserve">3b.1.1.1.27 </t>
    </r>
    <r>
      <rPr>
        <sz val="10"/>
        <rFont val="標楷體"/>
        <family val="4"/>
        <charset val="136"/>
      </rPr>
      <t>商業綜合保險</t>
    </r>
    <phoneticPr fontId="26" type="noConversion"/>
  </si>
  <si>
    <r>
      <t>3b.1.1.1.28</t>
    </r>
    <r>
      <rPr>
        <sz val="10"/>
        <rFont val="標楷體"/>
        <family val="4"/>
        <charset val="136"/>
      </rPr>
      <t>颱風、洪水保險</t>
    </r>
    <phoneticPr fontId="26" type="noConversion"/>
  </si>
  <si>
    <r>
      <t xml:space="preserve">3b.1.1.1.29 </t>
    </r>
    <r>
      <rPr>
        <sz val="10"/>
        <rFont val="標楷體"/>
        <family val="4"/>
        <charset val="136"/>
      </rPr>
      <t>政策性住宅地震基本保險</t>
    </r>
    <phoneticPr fontId="26" type="noConversion"/>
  </si>
  <si>
    <r>
      <t xml:space="preserve">3b.1.1.1.30 </t>
    </r>
    <r>
      <rPr>
        <sz val="10"/>
        <rFont val="標楷體"/>
        <family val="4"/>
        <charset val="136"/>
      </rPr>
      <t>健康保險</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</si>
  <si>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(31)</t>
    </r>
    <r>
      <rPr>
        <sz val="10"/>
        <rFont val="標楷體"/>
        <family val="4"/>
        <charset val="136"/>
      </rPr>
      <t>列</t>
    </r>
    <phoneticPr fontId="26" type="noConversion"/>
  </si>
  <si>
    <r>
      <t>3b.1.1.2</t>
    </r>
    <r>
      <rPr>
        <sz val="10"/>
        <rFont val="標楷體"/>
        <family val="4"/>
        <charset val="136"/>
      </rPr>
      <t>國外業務</t>
    </r>
    <phoneticPr fontId="26" type="noConversion"/>
  </si>
  <si>
    <r>
      <t xml:space="preserve">3b.1.1.2.1 </t>
    </r>
    <r>
      <rPr>
        <sz val="10"/>
        <rFont val="標楷體"/>
        <family val="4"/>
        <charset val="136"/>
      </rPr>
      <t>火災保險</t>
    </r>
    <phoneticPr fontId="26" type="noConversion"/>
  </si>
  <si>
    <r>
      <t xml:space="preserve">3b.1.1.2.2 </t>
    </r>
    <r>
      <rPr>
        <sz val="10"/>
        <rFont val="標楷體"/>
        <family val="4"/>
        <charset val="136"/>
      </rPr>
      <t>貨物海上保險</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</si>
  <si>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(34)</t>
    </r>
    <r>
      <rPr>
        <sz val="10"/>
        <rFont val="標楷體"/>
        <family val="4"/>
        <charset val="136"/>
      </rPr>
      <t>列</t>
    </r>
    <phoneticPr fontId="26" type="noConversion"/>
  </si>
  <si>
    <r>
      <t xml:space="preserve">3b.1.1.2.3 </t>
    </r>
    <r>
      <rPr>
        <sz val="10"/>
        <rFont val="標楷體"/>
        <family val="4"/>
        <charset val="136"/>
      </rPr>
      <t>船體保險</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</si>
  <si>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(35)</t>
    </r>
    <r>
      <rPr>
        <sz val="10"/>
        <rFont val="標楷體"/>
        <family val="4"/>
        <charset val="136"/>
      </rPr>
      <t>列</t>
    </r>
    <phoneticPr fontId="26" type="noConversion"/>
  </si>
  <si>
    <r>
      <t xml:space="preserve">3b.1.1.2.4 </t>
    </r>
    <r>
      <rPr>
        <sz val="10"/>
        <rFont val="標楷體"/>
        <family val="4"/>
        <charset val="136"/>
      </rPr>
      <t>漁船保險</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</si>
  <si>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(36)</t>
    </r>
    <r>
      <rPr>
        <sz val="10"/>
        <rFont val="標楷體"/>
        <family val="4"/>
        <charset val="136"/>
      </rPr>
      <t>列</t>
    </r>
    <phoneticPr fontId="26" type="noConversion"/>
  </si>
  <si>
    <r>
      <t xml:space="preserve">3b.1.1.2.5 </t>
    </r>
    <r>
      <rPr>
        <sz val="10"/>
        <rFont val="標楷體"/>
        <family val="4"/>
        <charset val="136"/>
      </rPr>
      <t>汽車保險</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</si>
  <si>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(37)</t>
    </r>
    <r>
      <rPr>
        <sz val="10"/>
        <rFont val="標楷體"/>
        <family val="4"/>
        <charset val="136"/>
      </rPr>
      <t>列</t>
    </r>
    <phoneticPr fontId="26" type="noConversion"/>
  </si>
  <si>
    <r>
      <t xml:space="preserve">3b.1.1.2.6 </t>
    </r>
    <r>
      <rPr>
        <sz val="10"/>
        <rFont val="標楷體"/>
        <family val="4"/>
        <charset val="136"/>
      </rPr>
      <t>航空保險</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</si>
  <si>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(38)</t>
    </r>
    <r>
      <rPr>
        <sz val="10"/>
        <rFont val="標楷體"/>
        <family val="4"/>
        <charset val="136"/>
      </rPr>
      <t>列</t>
    </r>
    <phoneticPr fontId="26" type="noConversion"/>
  </si>
  <si>
    <r>
      <t xml:space="preserve">3b.1.1.2.7 </t>
    </r>
    <r>
      <rPr>
        <sz val="10"/>
        <rFont val="標楷體"/>
        <family val="4"/>
        <charset val="136"/>
      </rPr>
      <t>工程保險</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</si>
  <si>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(39)</t>
    </r>
    <r>
      <rPr>
        <sz val="10"/>
        <rFont val="標楷體"/>
        <family val="4"/>
        <charset val="136"/>
      </rPr>
      <t>列</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</si>
  <si>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(3)</t>
    </r>
    <r>
      <rPr>
        <sz val="10"/>
        <rFont val="標楷體"/>
        <family val="4"/>
        <charset val="136"/>
      </rPr>
      <t>欄第</t>
    </r>
    <r>
      <rPr>
        <sz val="10"/>
        <rFont val="Book Antiqua"/>
        <family val="1"/>
      </rPr>
      <t>(40)</t>
    </r>
    <r>
      <rPr>
        <sz val="10"/>
        <rFont val="標楷體"/>
        <family val="4"/>
        <charset val="136"/>
      </rPr>
      <t>列</t>
    </r>
    <phoneticPr fontId="26" type="noConversion"/>
  </si>
  <si>
    <r>
      <t>3b.1.2</t>
    </r>
    <r>
      <rPr>
        <sz val="10"/>
        <rFont val="標楷體"/>
        <family val="4"/>
        <charset val="136"/>
      </rPr>
      <t>人身保險業</t>
    </r>
    <phoneticPr fontId="26" type="noConversion"/>
  </si>
  <si>
    <r>
      <t xml:space="preserve">3b.1.2.1.1 </t>
    </r>
    <r>
      <rPr>
        <sz val="10"/>
        <rFont val="標楷體"/>
        <family val="4"/>
        <charset val="136"/>
      </rPr>
      <t>人壽保險</t>
    </r>
    <phoneticPr fontId="26"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</si>
  <si>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(2)</t>
    </r>
    <r>
      <rPr>
        <sz val="10"/>
        <rFont val="標楷體"/>
        <family val="4"/>
        <charset val="136"/>
      </rPr>
      <t>列</t>
    </r>
    <phoneticPr fontId="26" type="noConversion"/>
  </si>
  <si>
    <r>
      <t xml:space="preserve">3b.1.2.1.2 </t>
    </r>
    <r>
      <rPr>
        <sz val="10"/>
        <rFont val="標楷體"/>
        <family val="4"/>
        <charset val="136"/>
      </rPr>
      <t>傷害保險</t>
    </r>
    <phoneticPr fontId="26"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</si>
  <si>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(3)</t>
    </r>
    <r>
      <rPr>
        <sz val="10"/>
        <rFont val="標楷體"/>
        <family val="4"/>
        <charset val="136"/>
      </rPr>
      <t>列</t>
    </r>
    <phoneticPr fontId="26" type="noConversion"/>
  </si>
  <si>
    <r>
      <t xml:space="preserve">3b.1.2.1.3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6"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</si>
  <si>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(4)</t>
    </r>
    <r>
      <rPr>
        <sz val="10"/>
        <rFont val="標楷體"/>
        <family val="4"/>
        <charset val="136"/>
      </rPr>
      <t>列</t>
    </r>
    <phoneticPr fontId="26" type="noConversion"/>
  </si>
  <si>
    <r>
      <t xml:space="preserve">3b.1.2.1.4 </t>
    </r>
    <r>
      <rPr>
        <sz val="10"/>
        <rFont val="標楷體"/>
        <family val="4"/>
        <charset val="136"/>
      </rPr>
      <t>年金保險</t>
    </r>
    <phoneticPr fontId="26" type="noConversion"/>
  </si>
  <si>
    <r>
      <t xml:space="preserve">3b.1.2.1.5 </t>
    </r>
    <r>
      <rPr>
        <sz val="10"/>
        <rFont val="標楷體"/>
        <family val="4"/>
        <charset val="136"/>
      </rPr>
      <t>財務再保險</t>
    </r>
    <phoneticPr fontId="26" type="noConversion"/>
  </si>
  <si>
    <r>
      <t>3b.1.2.2</t>
    </r>
    <r>
      <rPr>
        <sz val="10"/>
        <rFont val="標楷體"/>
        <family val="4"/>
        <charset val="136"/>
      </rPr>
      <t>國外業務</t>
    </r>
    <phoneticPr fontId="26" type="noConversion"/>
  </si>
  <si>
    <r>
      <t xml:space="preserve">3b.1.2.2.1 </t>
    </r>
    <r>
      <rPr>
        <sz val="10"/>
        <rFont val="標楷體"/>
        <family val="4"/>
        <charset val="136"/>
      </rPr>
      <t>人壽保險</t>
    </r>
    <phoneticPr fontId="26"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</si>
  <si>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(10)</t>
    </r>
    <r>
      <rPr>
        <sz val="10"/>
        <rFont val="標楷體"/>
        <family val="4"/>
        <charset val="136"/>
      </rPr>
      <t>列</t>
    </r>
    <phoneticPr fontId="26"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</si>
  <si>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(11)</t>
    </r>
    <r>
      <rPr>
        <sz val="10"/>
        <rFont val="標楷體"/>
        <family val="4"/>
        <charset val="136"/>
      </rPr>
      <t>列</t>
    </r>
    <phoneticPr fontId="26" type="noConversion"/>
  </si>
  <si>
    <r>
      <t xml:space="preserve">3b.1.2.2.3 </t>
    </r>
    <r>
      <rPr>
        <sz val="10"/>
        <rFont val="標楷體"/>
        <family val="4"/>
        <charset val="136"/>
      </rPr>
      <t>健康保險</t>
    </r>
    <r>
      <rPr>
        <sz val="10"/>
        <rFont val="Book Antiqua"/>
        <family val="1"/>
      </rPr>
      <t>(</t>
    </r>
    <r>
      <rPr>
        <sz val="10"/>
        <rFont val="標楷體"/>
        <family val="4"/>
        <charset val="136"/>
      </rPr>
      <t>一年期與長期</t>
    </r>
    <r>
      <rPr>
        <sz val="10"/>
        <rFont val="Book Antiqua"/>
        <family val="1"/>
      </rPr>
      <t>)</t>
    </r>
    <phoneticPr fontId="26"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</si>
  <si>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(12)</t>
    </r>
    <r>
      <rPr>
        <sz val="10"/>
        <rFont val="標楷體"/>
        <family val="4"/>
        <charset val="136"/>
      </rPr>
      <t>列</t>
    </r>
    <phoneticPr fontId="26" type="noConversion"/>
  </si>
  <si>
    <r>
      <t xml:space="preserve">3b.1.2.2.4 </t>
    </r>
    <r>
      <rPr>
        <sz val="10"/>
        <rFont val="標楷體"/>
        <family val="4"/>
        <charset val="136"/>
      </rPr>
      <t>年金保險</t>
    </r>
    <phoneticPr fontId="26"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</si>
  <si>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(13)</t>
    </r>
    <r>
      <rPr>
        <sz val="10"/>
        <rFont val="標楷體"/>
        <family val="4"/>
        <charset val="136"/>
      </rPr>
      <t>列</t>
    </r>
    <phoneticPr fontId="26" type="noConversion"/>
  </si>
  <si>
    <r>
      <t xml:space="preserve">3b.1.2.2.5 </t>
    </r>
    <r>
      <rPr>
        <sz val="10"/>
        <rFont val="標楷體"/>
        <family val="4"/>
        <charset val="136"/>
      </rPr>
      <t>財務再保險</t>
    </r>
    <phoneticPr fontId="26" type="noConversion"/>
  </si>
  <si>
    <r>
      <rPr>
        <sz val="10"/>
        <rFont val="標楷體"/>
        <family val="4"/>
        <charset val="136"/>
      </rPr>
      <t>「表</t>
    </r>
    <r>
      <rPr>
        <sz val="10"/>
        <rFont val="Book Antiqua"/>
        <family val="1"/>
      </rPr>
      <t>23-2</t>
    </r>
    <r>
      <rPr>
        <sz val="10"/>
        <rFont val="標楷體"/>
        <family val="4"/>
        <charset val="136"/>
      </rPr>
      <t>：未滿期保費準備金及自留滿期保費計算比較表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(4)</t>
    </r>
    <r>
      <rPr>
        <sz val="10"/>
        <rFont val="標楷體"/>
        <family val="4"/>
        <charset val="136"/>
      </rPr>
      <t>欄第</t>
    </r>
    <r>
      <rPr>
        <sz val="10"/>
        <rFont val="Book Antiqua"/>
        <family val="1"/>
      </rPr>
      <t>(14)</t>
    </r>
    <r>
      <rPr>
        <sz val="10"/>
        <rFont val="標楷體"/>
        <family val="4"/>
        <charset val="136"/>
      </rPr>
      <t>列</t>
    </r>
    <phoneticPr fontId="26" type="noConversion"/>
  </si>
  <si>
    <r>
      <t>3b.2</t>
    </r>
    <r>
      <rPr>
        <sz val="10"/>
        <rFont val="標楷體"/>
        <family val="4"/>
        <charset val="136"/>
      </rPr>
      <t>自留保費風險</t>
    </r>
    <r>
      <rPr>
        <sz val="10"/>
        <rFont val="Book Antiqua"/>
        <family val="1"/>
      </rPr>
      <t>--</t>
    </r>
    <r>
      <rPr>
        <sz val="10"/>
        <rFont val="標楷體"/>
        <family val="4"/>
        <charset val="136"/>
      </rPr>
      <t>非比例性業務</t>
    </r>
    <phoneticPr fontId="26" type="noConversion"/>
  </si>
  <si>
    <r>
      <t>3b.2.1</t>
    </r>
    <r>
      <rPr>
        <sz val="10"/>
        <rFont val="標楷體"/>
        <family val="4"/>
        <charset val="136"/>
      </rPr>
      <t>財產保險業</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</si>
  <si>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(1)</t>
    </r>
    <r>
      <rPr>
        <sz val="10"/>
        <rFont val="標楷體"/>
        <family val="4"/>
        <charset val="136"/>
      </rPr>
      <t>列</t>
    </r>
    <phoneticPr fontId="26" type="noConversion"/>
  </si>
  <si>
    <r>
      <t xml:space="preserve">3b.2.1.2 </t>
    </r>
    <r>
      <rPr>
        <sz val="10"/>
        <rFont val="標楷體"/>
        <family val="4"/>
        <charset val="136"/>
      </rPr>
      <t>國外業務</t>
    </r>
    <phoneticPr fontId="26" type="noConversion"/>
  </si>
  <si>
    <r>
      <rPr>
        <sz val="10"/>
        <rFont val="標楷體"/>
        <family val="4"/>
        <charset val="136"/>
      </rPr>
      <t>「表</t>
    </r>
    <r>
      <rPr>
        <sz val="10"/>
        <rFont val="Book Antiqua"/>
        <family val="1"/>
      </rPr>
      <t>22-3</t>
    </r>
    <r>
      <rPr>
        <sz val="10"/>
        <rFont val="標楷體"/>
        <family val="4"/>
        <charset val="136"/>
      </rPr>
      <t>：自留保費明細表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(31)</t>
    </r>
    <r>
      <rPr>
        <sz val="10"/>
        <rFont val="標楷體"/>
        <family val="4"/>
        <charset val="136"/>
      </rPr>
      <t>列</t>
    </r>
    <phoneticPr fontId="26" type="noConversion"/>
  </si>
  <si>
    <r>
      <t>3b.2.2</t>
    </r>
    <r>
      <rPr>
        <sz val="10"/>
        <rFont val="標楷體"/>
        <family val="4"/>
        <charset val="136"/>
      </rPr>
      <t>人身保險業</t>
    </r>
    <phoneticPr fontId="26" type="noConversion"/>
  </si>
  <si>
    <r>
      <t xml:space="preserve">3b.2.2.1 </t>
    </r>
    <r>
      <rPr>
        <sz val="10"/>
        <rFont val="標楷體"/>
        <family val="4"/>
        <charset val="136"/>
      </rPr>
      <t>國內業務</t>
    </r>
    <phoneticPr fontId="26" type="noConversion"/>
  </si>
  <si>
    <r>
      <t xml:space="preserve">3b.2.2.2 </t>
    </r>
    <r>
      <rPr>
        <sz val="10"/>
        <rFont val="標楷體"/>
        <family val="4"/>
        <charset val="136"/>
      </rPr>
      <t>國外業務</t>
    </r>
    <phoneticPr fontId="26" type="noConversion"/>
  </si>
  <si>
    <r>
      <rPr>
        <sz val="10"/>
        <rFont val="標楷體"/>
        <family val="4"/>
        <charset val="136"/>
      </rPr>
      <t>「表</t>
    </r>
    <r>
      <rPr>
        <sz val="10"/>
        <rFont val="Book Antiqua"/>
        <family val="1"/>
      </rPr>
      <t>22-4</t>
    </r>
    <r>
      <rPr>
        <sz val="10"/>
        <rFont val="標楷體"/>
        <family val="4"/>
        <charset val="136"/>
      </rPr>
      <t>：自留保費明細表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(6)</t>
    </r>
    <r>
      <rPr>
        <sz val="10"/>
        <rFont val="標楷體"/>
        <family val="4"/>
        <charset val="136"/>
      </rPr>
      <t>欄第</t>
    </r>
    <r>
      <rPr>
        <sz val="10"/>
        <rFont val="Book Antiqua"/>
        <family val="1"/>
      </rPr>
      <t>(7)</t>
    </r>
    <r>
      <rPr>
        <sz val="10"/>
        <rFont val="標楷體"/>
        <family val="4"/>
        <charset val="136"/>
      </rPr>
      <t>列</t>
    </r>
    <phoneticPr fontId="26" type="noConversion"/>
  </si>
  <si>
    <r>
      <t xml:space="preserve">3b.4 </t>
    </r>
    <r>
      <rPr>
        <sz val="10"/>
        <rFont val="標楷體"/>
        <family val="4"/>
        <charset val="136"/>
      </rPr>
      <t>損失集中調整</t>
    </r>
    <phoneticPr fontId="26" type="noConversion"/>
  </si>
  <si>
    <r>
      <t xml:space="preserve">3b.5 </t>
    </r>
    <r>
      <rPr>
        <sz val="10"/>
        <rFont val="標楷體"/>
        <family val="4"/>
        <charset val="136"/>
      </rPr>
      <t>成長風險</t>
    </r>
    <phoneticPr fontId="26" type="noConversion"/>
  </si>
  <si>
    <r>
      <t xml:space="preserve">  </t>
    </r>
    <r>
      <rPr>
        <sz val="10"/>
        <rFont val="標楷體"/>
        <family val="4"/>
        <charset val="136"/>
      </rPr>
      <t>【保費風險】合計</t>
    </r>
    <phoneticPr fontId="26" type="noConversion"/>
  </si>
  <si>
    <r>
      <rPr>
        <b/>
        <sz val="10"/>
        <rFont val="標楷體"/>
        <family val="4"/>
        <charset val="136"/>
      </rPr>
      <t>《核保風險》總計</t>
    </r>
    <phoneticPr fontId="26" type="noConversion"/>
  </si>
  <si>
    <t>上列調整數係指反映以半年平均價基礎認列未實現損益之影響金額(請保留詳細工作表，以利查核)</t>
    <phoneticPr fontId="29" type="noConversion"/>
  </si>
  <si>
    <r>
      <rPr>
        <sz val="10"/>
        <rFont val="華康仿宋體W6"/>
        <family val="3"/>
        <charset val="136"/>
      </rPr>
      <t>請依調整後收益率填列。</t>
    </r>
    <phoneticPr fontId="29" type="noConversion"/>
  </si>
  <si>
    <r>
      <rPr>
        <sz val="10"/>
        <rFont val="華康仿宋體W6"/>
        <family val="3"/>
        <charset val="136"/>
      </rPr>
      <t>調整後資金運用收益率</t>
    </r>
    <r>
      <rPr>
        <sz val="10"/>
        <rFont val="Book Antiqua"/>
        <family val="1"/>
      </rPr>
      <t>=</t>
    </r>
    <r>
      <rPr>
        <sz val="10"/>
        <rFont val="華康仿宋體W6"/>
        <family val="3"/>
        <charset val="136"/>
      </rPr>
      <t>２</t>
    </r>
    <r>
      <rPr>
        <sz val="10"/>
        <rFont val="Book Antiqua"/>
        <family val="1"/>
      </rPr>
      <t>×(</t>
    </r>
    <r>
      <rPr>
        <sz val="10"/>
        <rFont val="華康仿宋體W6"/>
        <family val="3"/>
        <charset val="136"/>
      </rPr>
      <t>本期投資收益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r>
      <rPr>
        <sz val="10"/>
        <rFont val="Book Antiqua"/>
        <family val="1"/>
      </rPr>
      <t>[</t>
    </r>
    <r>
      <rPr>
        <sz val="10"/>
        <rFont val="華康仿宋體W6"/>
        <family val="3"/>
        <charset val="136"/>
      </rPr>
      <t>前期期末資金運用數＊</t>
    </r>
    <r>
      <rPr>
        <sz val="10"/>
        <rFont val="Book Antiqua"/>
        <family val="1"/>
      </rPr>
      <t>+</t>
    </r>
    <r>
      <rPr>
        <sz val="10"/>
        <rFont val="華康仿宋體W6"/>
        <family val="3"/>
        <charset val="136"/>
      </rPr>
      <t>本期期末資金運用數＊－</t>
    </r>
    <r>
      <rPr>
        <sz val="10"/>
        <rFont val="Book Antiqua"/>
        <family val="1"/>
      </rPr>
      <t>(</t>
    </r>
    <r>
      <rPr>
        <sz val="10"/>
        <rFont val="華康仿宋體W6"/>
        <family val="3"/>
        <charset val="136"/>
      </rPr>
      <t>本期投資收益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phoneticPr fontId="29" type="noConversion"/>
  </si>
  <si>
    <r>
      <rPr>
        <sz val="10"/>
        <rFont val="華康仿宋體W6"/>
        <family val="3"/>
        <charset val="136"/>
      </rPr>
      <t>下半年計算公式</t>
    </r>
    <r>
      <rPr>
        <sz val="10"/>
        <rFont val="Book Antiqua"/>
        <family val="1"/>
      </rPr>
      <t xml:space="preserve"> : </t>
    </r>
    <phoneticPr fontId="29" type="noConversion"/>
  </si>
  <si>
    <r>
      <rPr>
        <sz val="10"/>
        <rFont val="華康仿宋體W6"/>
        <family val="3"/>
        <charset val="136"/>
      </rPr>
      <t>下半年資金運用收益率</t>
    </r>
    <r>
      <rPr>
        <sz val="10"/>
        <rFont val="Book Antiqua"/>
        <family val="1"/>
      </rPr>
      <t>=</t>
    </r>
    <r>
      <rPr>
        <sz val="10"/>
        <rFont val="華康仿宋體W6"/>
        <family val="3"/>
        <charset val="136"/>
      </rPr>
      <t>２</t>
    </r>
    <r>
      <rPr>
        <sz val="10"/>
        <rFont val="Book Antiqua"/>
        <family val="1"/>
      </rPr>
      <t>×(</t>
    </r>
    <r>
      <rPr>
        <sz val="10"/>
        <rFont val="華康仿宋體W6"/>
        <family val="3"/>
        <charset val="136"/>
      </rPr>
      <t>下半年投資收益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r>
      <rPr>
        <sz val="10"/>
        <rFont val="Book Antiqua"/>
        <family val="1"/>
      </rPr>
      <t>[</t>
    </r>
    <r>
      <rPr>
        <sz val="10"/>
        <rFont val="華康仿宋體W6"/>
        <family val="3"/>
        <charset val="136"/>
      </rPr>
      <t>上半年期末資金運用數＊</t>
    </r>
    <r>
      <rPr>
        <sz val="10"/>
        <rFont val="Book Antiqua"/>
        <family val="1"/>
      </rPr>
      <t>+</t>
    </r>
    <r>
      <rPr>
        <sz val="10"/>
        <rFont val="華康仿宋體W6"/>
        <family val="3"/>
        <charset val="136"/>
      </rPr>
      <t>下半年期末資金運用數＊－</t>
    </r>
    <r>
      <rPr>
        <sz val="10"/>
        <rFont val="Book Antiqua"/>
        <family val="1"/>
      </rPr>
      <t>(</t>
    </r>
    <r>
      <rPr>
        <sz val="10"/>
        <rFont val="華康仿宋體W6"/>
        <family val="3"/>
        <charset val="136"/>
      </rPr>
      <t>下半年投資收益</t>
    </r>
    <r>
      <rPr>
        <sz val="10"/>
        <rFont val="Book Antiqua"/>
        <family val="1"/>
      </rPr>
      <t>+</t>
    </r>
    <r>
      <rPr>
        <sz val="10"/>
        <rFont val="華康仿宋體W6"/>
        <family val="3"/>
        <charset val="136"/>
      </rPr>
      <t>調整數</t>
    </r>
    <r>
      <rPr>
        <sz val="10"/>
        <rFont val="Book Antiqua"/>
        <family val="1"/>
      </rPr>
      <t>)]</t>
    </r>
    <r>
      <rPr>
        <sz val="10"/>
        <rFont val="華康仿宋體W6"/>
        <family val="3"/>
        <charset val="136"/>
      </rPr>
      <t>，</t>
    </r>
    <phoneticPr fontId="29" type="noConversion"/>
  </si>
  <si>
    <t>(3)=(1)*(2)</t>
    <phoneticPr fontId="29" type="noConversion"/>
  </si>
  <si>
    <t>再保險股份有限公司    年度報表</t>
    <phoneticPr fontId="26" type="noConversion"/>
  </si>
  <si>
    <r>
      <rPr>
        <sz val="10"/>
        <rFont val="標楷體"/>
        <family val="4"/>
        <charset val="136"/>
      </rPr>
      <t>註</t>
    </r>
    <r>
      <rPr>
        <sz val="10"/>
        <rFont val="Book Antiqua"/>
        <family val="1"/>
      </rPr>
      <t>5</t>
    </r>
    <r>
      <rPr>
        <sz val="10"/>
        <rFont val="標楷體"/>
        <family val="4"/>
        <charset val="136"/>
      </rPr>
      <t>：無區隔資投報率採「表</t>
    </r>
    <r>
      <rPr>
        <sz val="10"/>
        <rFont val="Book Antiqua"/>
        <family val="1"/>
      </rPr>
      <t>30-8-6</t>
    </r>
    <r>
      <rPr>
        <sz val="10"/>
        <rFont val="標楷體"/>
        <family val="4"/>
        <charset val="136"/>
      </rPr>
      <t>最近五年度資金運用收益率平均數」。</t>
    </r>
    <r>
      <rPr>
        <sz val="10"/>
        <color indexed="10"/>
        <rFont val="標楷體"/>
        <family val="4"/>
        <charset val="136"/>
      </rPr>
      <t/>
    </r>
    <phoneticPr fontId="26" type="noConversion"/>
  </si>
  <si>
    <t>表30-5-1：超過一年之人身保險業務風險計算表</t>
    <phoneticPr fontId="26" type="noConversion"/>
  </si>
  <si>
    <t>VHQ-KY</t>
  </si>
  <si>
    <t>IET-KY</t>
  </si>
  <si>
    <t>jpp-KY</t>
  </si>
  <si>
    <t>TPK-KY</t>
  </si>
  <si>
    <t>GIS-KY</t>
  </si>
  <si>
    <t>(12)</t>
    <phoneticPr fontId="26" type="noConversion"/>
  </si>
  <si>
    <t>異常業務損失準備</t>
    <phoneticPr fontId="26" type="noConversion"/>
  </si>
  <si>
    <r>
      <rPr>
        <sz val="10"/>
        <rFont val="標楷體"/>
        <family val="4"/>
        <charset val="136"/>
      </rPr>
      <t>註</t>
    </r>
    <r>
      <rPr>
        <sz val="10"/>
        <rFont val="Book Antiqua"/>
        <family val="1"/>
      </rPr>
      <t>3</t>
    </r>
    <r>
      <rPr>
        <sz val="10"/>
        <rFont val="標楷體"/>
        <family val="4"/>
        <charset val="136"/>
      </rPr>
      <t>：係針對自留業務部分計算投資報酬率。自由分紅保單之投資報酬率係指最近</t>
    </r>
    <r>
      <rPr>
        <sz val="10"/>
        <rFont val="Book Antiqua"/>
        <family val="1"/>
      </rPr>
      <t>5</t>
    </r>
    <r>
      <rPr>
        <sz val="10"/>
        <rFont val="標楷體"/>
        <family val="4"/>
        <charset val="136"/>
      </rPr>
      <t>年實際資金運用狀況之平均投資報酬率；若專設帳簿設置未達</t>
    </r>
    <r>
      <rPr>
        <sz val="10"/>
        <rFont val="Book Antiqua"/>
        <family val="1"/>
      </rPr>
      <t>5</t>
    </r>
    <r>
      <rPr>
        <sz val="10"/>
        <rFont val="標楷體"/>
        <family val="4"/>
        <charset val="136"/>
      </rPr>
      <t>年，則採設置至今之平均投資報酬率（請保留詳細工作表，以利查核）。</t>
    </r>
    <phoneticPr fontId="26" type="noConversion"/>
  </si>
  <si>
    <r>
      <t>__</t>
    </r>
    <r>
      <rPr>
        <sz val="10"/>
        <rFont val="華康仿宋體W6"/>
        <family val="3"/>
        <charset val="136"/>
      </rPr>
      <t xml:space="preserve">年下半年
</t>
    </r>
    <r>
      <rPr>
        <sz val="10"/>
        <rFont val="Book Antiqua"/>
        <family val="1"/>
      </rPr>
      <t>(</t>
    </r>
    <r>
      <rPr>
        <sz val="10"/>
        <rFont val="華康仿宋體W6"/>
        <family val="3"/>
        <charset val="136"/>
      </rPr>
      <t>註</t>
    </r>
    <r>
      <rPr>
        <sz val="10"/>
        <rFont val="Book Antiqua"/>
        <family val="1"/>
      </rPr>
      <t>1)</t>
    </r>
    <phoneticPr fontId="29" type="noConversion"/>
  </si>
  <si>
    <r>
      <rPr>
        <sz val="10"/>
        <rFont val="華康仿宋體W6"/>
        <family val="3"/>
        <charset val="136"/>
      </rPr>
      <t>調整後資金運用收益率</t>
    </r>
    <r>
      <rPr>
        <sz val="10"/>
        <rFont val="Book Antiqua"/>
        <family val="1"/>
      </rPr>
      <t>(</t>
    </r>
    <r>
      <rPr>
        <sz val="10"/>
        <rFont val="華康仿宋體W6"/>
        <family val="3"/>
        <charset val="136"/>
      </rPr>
      <t>註</t>
    </r>
    <r>
      <rPr>
        <sz val="10"/>
        <rFont val="Book Antiqua"/>
        <family val="1"/>
      </rPr>
      <t>2)</t>
    </r>
    <phoneticPr fontId="29" type="noConversion"/>
  </si>
  <si>
    <t>待分配予業主之資產</t>
    <phoneticPr fontId="29"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</si>
  <si>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t>
    </r>
    <r>
      <rPr>
        <sz val="10"/>
        <rFont val="標楷體"/>
        <family val="4"/>
        <charset val="136"/>
      </rPr>
      <t>列</t>
    </r>
    <phoneticPr fontId="26" type="noConversion"/>
  </si>
  <si>
    <r>
      <rPr>
        <sz val="10"/>
        <rFont val="標楷體"/>
        <family val="4"/>
        <charset val="136"/>
      </rPr>
      <t>「表</t>
    </r>
    <r>
      <rPr>
        <sz val="10"/>
        <rFont val="Book Antiqua"/>
        <family val="1"/>
      </rPr>
      <t>24-1</t>
    </r>
    <r>
      <rPr>
        <sz val="10"/>
        <rFont val="標楷體"/>
        <family val="4"/>
        <charset val="136"/>
      </rPr>
      <t>：賠款準備金分析表</t>
    </r>
    <r>
      <rPr>
        <sz val="10"/>
        <rFont val="Book Antiqua"/>
        <family val="1"/>
      </rPr>
      <t>(</t>
    </r>
    <r>
      <rPr>
        <sz val="10"/>
        <rFont val="標楷體"/>
        <family val="4"/>
        <charset val="136"/>
      </rPr>
      <t>財產再保險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(32)</t>
    </r>
    <r>
      <rPr>
        <sz val="10"/>
        <rFont val="標楷體"/>
        <family val="4"/>
        <charset val="136"/>
      </rPr>
      <t>列</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</si>
  <si>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t>
    </r>
    <r>
      <rPr>
        <sz val="10"/>
        <rFont val="標楷體"/>
        <family val="4"/>
        <charset val="136"/>
      </rPr>
      <t>列</t>
    </r>
    <phoneticPr fontId="26" type="noConversion"/>
  </si>
  <si>
    <r>
      <rPr>
        <sz val="10"/>
        <rFont val="標楷體"/>
        <family val="4"/>
        <charset val="136"/>
      </rPr>
      <t>「表</t>
    </r>
    <r>
      <rPr>
        <sz val="10"/>
        <rFont val="Book Antiqua"/>
        <family val="1"/>
      </rPr>
      <t>24-2</t>
    </r>
    <r>
      <rPr>
        <sz val="10"/>
        <rFont val="標楷體"/>
        <family val="4"/>
        <charset val="136"/>
      </rPr>
      <t>：賠款準備金分析表</t>
    </r>
    <r>
      <rPr>
        <sz val="10"/>
        <rFont val="Book Antiqua"/>
        <family val="1"/>
      </rPr>
      <t>(</t>
    </r>
    <r>
      <rPr>
        <sz val="10"/>
        <rFont val="標楷體"/>
        <family val="4"/>
        <charset val="136"/>
      </rPr>
      <t>人身再保險</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(9)</t>
    </r>
    <r>
      <rPr>
        <sz val="10"/>
        <rFont val="標楷體"/>
        <family val="4"/>
        <charset val="136"/>
      </rPr>
      <t>列</t>
    </r>
    <phoneticPr fontId="26" type="noConversion"/>
  </si>
  <si>
    <t xml:space="preserve">    減：未適格再保險盈餘調整數</t>
    <phoneticPr fontId="29" type="noConversion"/>
  </si>
  <si>
    <t xml:space="preserve">    減：淨認許資產調整數</t>
    <phoneticPr fontId="26" type="noConversion"/>
  </si>
  <si>
    <t xml:space="preserve">    加：遞延所得稅負債調整數</t>
    <phoneticPr fontId="26" type="noConversion"/>
  </si>
  <si>
    <t>淨認許權益</t>
    <phoneticPr fontId="26" type="noConversion"/>
  </si>
  <si>
    <r>
      <t xml:space="preserve">3a.1.1.2.1 </t>
    </r>
    <r>
      <rPr>
        <sz val="10"/>
        <rFont val="標楷體"/>
        <family val="4"/>
        <charset val="136"/>
      </rPr>
      <t>火災保險</t>
    </r>
    <phoneticPr fontId="26" type="noConversion"/>
  </si>
  <si>
    <r>
      <t xml:space="preserve">3a.1.1.2.2 </t>
    </r>
    <r>
      <rPr>
        <sz val="10"/>
        <rFont val="標楷體"/>
        <family val="4"/>
        <charset val="136"/>
      </rPr>
      <t>貨物海上保險</t>
    </r>
    <phoneticPr fontId="26" type="noConversion"/>
  </si>
  <si>
    <r>
      <t xml:space="preserve">3a.1.1.2.4 </t>
    </r>
    <r>
      <rPr>
        <sz val="10"/>
        <rFont val="標楷體"/>
        <family val="4"/>
        <charset val="136"/>
      </rPr>
      <t>漁船保險</t>
    </r>
    <phoneticPr fontId="26" type="noConversion"/>
  </si>
  <si>
    <r>
      <t xml:space="preserve">3a.1.1.2.8 </t>
    </r>
    <r>
      <rPr>
        <sz val="10"/>
        <rFont val="標楷體"/>
        <family val="4"/>
        <charset val="136"/>
      </rPr>
      <t>其他財產保險</t>
    </r>
    <phoneticPr fontId="26" type="noConversion"/>
  </si>
  <si>
    <t>(3)</t>
    <phoneticPr fontId="26" type="noConversion"/>
  </si>
  <si>
    <t>(4)</t>
    <phoneticPr fontId="26" type="noConversion"/>
  </si>
  <si>
    <t>(5)</t>
    <phoneticPr fontId="26" type="noConversion"/>
  </si>
  <si>
    <t>(6)</t>
    <phoneticPr fontId="26" type="noConversion"/>
  </si>
  <si>
    <t>(7)</t>
    <phoneticPr fontId="26" type="noConversion"/>
  </si>
  <si>
    <t>(8)</t>
    <phoneticPr fontId="26" type="noConversion"/>
  </si>
  <si>
    <t>(9)</t>
    <phoneticPr fontId="26" type="noConversion"/>
  </si>
  <si>
    <t>(10)</t>
    <phoneticPr fontId="26" type="noConversion"/>
  </si>
  <si>
    <r>
      <rPr>
        <sz val="10"/>
        <rFont val="標楷體"/>
        <family val="4"/>
        <charset val="136"/>
      </rPr>
      <t>衍生性商品標的屬國外投資</t>
    </r>
    <r>
      <rPr>
        <sz val="10"/>
        <rFont val="Book Antiqua"/>
        <family val="1"/>
      </rPr>
      <t>(</t>
    </r>
    <r>
      <rPr>
        <sz val="10"/>
        <rFont val="標楷體"/>
        <family val="4"/>
        <charset val="136"/>
      </rPr>
      <t>已開發國家</t>
    </r>
    <r>
      <rPr>
        <sz val="10"/>
        <rFont val="Book Antiqua"/>
        <family val="1"/>
      </rPr>
      <t>)</t>
    </r>
    <phoneticPr fontId="26" type="noConversion"/>
  </si>
  <si>
    <t>前期計入自有資本調整數</t>
    <phoneticPr fontId="26" type="noConversion"/>
  </si>
  <si>
    <t>(5)</t>
    <phoneticPr fontId="29" type="noConversion"/>
  </si>
  <si>
    <t>(6)</t>
    <phoneticPr fontId="29" type="noConversion"/>
  </si>
  <si>
    <t>(7)</t>
    <phoneticPr fontId="29" type="noConversion"/>
  </si>
  <si>
    <t>(8)</t>
    <phoneticPr fontId="29" type="noConversion"/>
  </si>
  <si>
    <t>(9)</t>
    <phoneticPr fontId="29" type="noConversion"/>
  </si>
  <si>
    <r>
      <rPr>
        <sz val="10"/>
        <rFont val="標楷體"/>
        <family val="4"/>
        <charset val="136"/>
      </rPr>
      <t>其超過部分應優先由「得計入自有資本之不動產投資評價調整數」中扣除，如有不足再由「列入負債項下特別準備</t>
    </r>
    <r>
      <rPr>
        <sz val="10"/>
        <rFont val="Book Antiqua"/>
        <family val="1"/>
      </rPr>
      <t>-</t>
    </r>
    <r>
      <rPr>
        <sz val="10"/>
        <rFont val="標楷體"/>
        <family val="4"/>
        <charset val="136"/>
      </rPr>
      <t>不動產增值利益」中扣除。</t>
    </r>
    <phoneticPr fontId="29" type="noConversion"/>
  </si>
  <si>
    <r>
      <rPr>
        <sz val="10"/>
        <rFont val="標楷體"/>
        <family val="4"/>
        <charset val="136"/>
      </rPr>
      <t>不動產投資採用市價重新評價得計入自有資本之最大金額</t>
    </r>
    <phoneticPr fontId="26" type="noConversion"/>
  </si>
  <si>
    <t>(11)</t>
    <phoneticPr fontId="26" type="noConversion"/>
  </si>
  <si>
    <t>列號</t>
    <phoneticPr fontId="29" type="noConversion"/>
  </si>
  <si>
    <t>帳載總額</t>
    <phoneticPr fontId="26" type="noConversion"/>
  </si>
  <si>
    <t>帳載金額</t>
    <phoneticPr fontId="26" type="noConversion"/>
  </si>
  <si>
    <t>帳載金額%</t>
    <phoneticPr fontId="26" type="noConversion"/>
  </si>
  <si>
    <t>淨認許資產</t>
    <phoneticPr fontId="29" type="noConversion"/>
  </si>
  <si>
    <t>帳載金額</t>
    <phoneticPr fontId="29" type="noConversion"/>
  </si>
  <si>
    <t xml:space="preserve">    應收票據--非關係人</t>
    <phoneticPr fontId="26" type="noConversion"/>
  </si>
  <si>
    <t xml:space="preserve">    應付票據-關係人</t>
    <phoneticPr fontId="26" type="noConversion"/>
  </si>
  <si>
    <t xml:space="preserve">    　應收票據--關係人(具控制與從屬關係)</t>
    <phoneticPr fontId="29" type="noConversion"/>
  </si>
  <si>
    <t xml:space="preserve">    應付保險賠款與給付</t>
    <phoneticPr fontId="26" type="noConversion"/>
  </si>
  <si>
    <t xml:space="preserve">    應收票據--催收款項</t>
    <phoneticPr fontId="26" type="noConversion"/>
  </si>
  <si>
    <t xml:space="preserve">    應收保費--催收款項</t>
    <phoneticPr fontId="26" type="noConversion"/>
  </si>
  <si>
    <t>本期所得稅負債</t>
    <phoneticPr fontId="29" type="noConversion"/>
  </si>
  <si>
    <t xml:space="preserve">    應收利息及收益--催收款項</t>
    <phoneticPr fontId="26" type="noConversion"/>
  </si>
  <si>
    <t>與待出售資產直接相關之負債</t>
    <phoneticPr fontId="29" type="noConversion"/>
  </si>
  <si>
    <t xml:space="preserve">    其他應收款--催收款項</t>
    <phoneticPr fontId="26" type="noConversion"/>
  </si>
  <si>
    <t>透過損益按公允價值衡量之金融負債</t>
    <phoneticPr fontId="29" type="noConversion"/>
  </si>
  <si>
    <t>本期所得稅資產</t>
    <phoneticPr fontId="29" type="noConversion"/>
  </si>
  <si>
    <t>避險之金融負債</t>
    <phoneticPr fontId="29" type="noConversion"/>
  </si>
  <si>
    <t xml:space="preserve">    公司股票(評價調整＄                    )</t>
    <phoneticPr fontId="29" type="noConversion"/>
  </si>
  <si>
    <t xml:space="preserve">    受益憑證</t>
    <phoneticPr fontId="29" type="noConversion"/>
  </si>
  <si>
    <t xml:space="preserve">    賠款準備</t>
    <phoneticPr fontId="26" type="noConversion"/>
  </si>
  <si>
    <t xml:space="preserve">    抵繳存出保證金</t>
    <phoneticPr fontId="29" type="noConversion"/>
  </si>
  <si>
    <t xml:space="preserve">    國外投資(屬股票部分之評價調整＄                    )</t>
    <phoneticPr fontId="29" type="noConversion"/>
  </si>
  <si>
    <t xml:space="preserve">    衍生性商品交易</t>
    <phoneticPr fontId="29" type="noConversion"/>
  </si>
  <si>
    <t xml:space="preserve">    其他投資</t>
    <phoneticPr fontId="29" type="noConversion"/>
  </si>
  <si>
    <t>透過其他綜合損益按公允價值衡量之金融資產</t>
    <phoneticPr fontId="29" type="noConversion"/>
  </si>
  <si>
    <t xml:space="preserve">    公債、庫券及儲蓄券</t>
    <phoneticPr fontId="29" type="noConversion"/>
  </si>
  <si>
    <t>具金融商品性質之保險契約準備</t>
    <phoneticPr fontId="29" type="noConversion"/>
  </si>
  <si>
    <t>負債準備</t>
    <phoneticPr fontId="29" type="noConversion"/>
  </si>
  <si>
    <t xml:space="preserve">    其他負債準備</t>
    <phoneticPr fontId="29" type="noConversion"/>
  </si>
  <si>
    <t xml:space="preserve">    專案運用公共及社會福利事業投資</t>
    <phoneticPr fontId="29" type="noConversion"/>
  </si>
  <si>
    <t>按攤銷後成本衡量之金融資產</t>
    <phoneticPr fontId="29" type="noConversion"/>
  </si>
  <si>
    <t>遞延所得稅負債-認許</t>
    <phoneticPr fontId="29" type="noConversion"/>
  </si>
  <si>
    <t xml:space="preserve">    公司股票</t>
    <phoneticPr fontId="29" type="noConversion"/>
  </si>
  <si>
    <t xml:space="preserve">        自用</t>
    <phoneticPr fontId="26" type="noConversion"/>
  </si>
  <si>
    <t xml:space="preserve">    公司債</t>
    <phoneticPr fontId="29" type="noConversion"/>
  </si>
  <si>
    <t>　  存入保證金</t>
    <phoneticPr fontId="29" type="noConversion"/>
  </si>
  <si>
    <t>避險之金融資產</t>
    <phoneticPr fontId="29" type="noConversion"/>
  </si>
  <si>
    <t>採用權益法之投資</t>
    <phoneticPr fontId="29" type="noConversion"/>
  </si>
  <si>
    <t xml:space="preserve">    營業損失準備</t>
    <phoneticPr fontId="26" type="noConversion"/>
  </si>
  <si>
    <t xml:space="preserve">    其他什項負債</t>
    <phoneticPr fontId="29" type="noConversion"/>
  </si>
  <si>
    <t xml:space="preserve">    墊繳保費</t>
    <phoneticPr fontId="26" type="noConversion"/>
  </si>
  <si>
    <t xml:space="preserve">    擔保放款</t>
    <phoneticPr fontId="26" type="noConversion"/>
  </si>
  <si>
    <t xml:space="preserve">    投資型保險商品負債</t>
    <phoneticPr fontId="29" type="noConversion"/>
  </si>
  <si>
    <t xml:space="preserve">    催收款項</t>
    <phoneticPr fontId="26" type="noConversion"/>
  </si>
  <si>
    <t xml:space="preserve">    勞退年金保險商品負債</t>
    <phoneticPr fontId="29" type="noConversion"/>
  </si>
  <si>
    <t>再保險合約資產</t>
    <phoneticPr fontId="29" type="noConversion"/>
  </si>
  <si>
    <t xml:space="preserve">    應收再保往來款項</t>
    <phoneticPr fontId="26" type="noConversion"/>
  </si>
  <si>
    <t xml:space="preserve">    分出未滿期保費準備</t>
    <phoneticPr fontId="29" type="noConversion"/>
  </si>
  <si>
    <t xml:space="preserve">    分出賠款準備</t>
    <phoneticPr fontId="29" type="noConversion"/>
  </si>
  <si>
    <t xml:space="preserve">    預收股本</t>
    <phoneticPr fontId="29" type="noConversion"/>
  </si>
  <si>
    <t>資本公積</t>
    <phoneticPr fontId="26" type="noConversion"/>
  </si>
  <si>
    <t xml:space="preserve">    土地</t>
    <phoneticPr fontId="26" type="noConversion"/>
  </si>
  <si>
    <t xml:space="preserve">    資本公積--發行股票溢價</t>
    <phoneticPr fontId="26" type="noConversion"/>
  </si>
  <si>
    <t xml:space="preserve">    土地改良物</t>
    <phoneticPr fontId="26" type="noConversion"/>
  </si>
  <si>
    <t xml:space="preserve">    資本公積--庫藏股票交易</t>
    <phoneticPr fontId="26" type="noConversion"/>
  </si>
  <si>
    <t xml:space="preserve">    租賃權益改良</t>
    <phoneticPr fontId="29" type="noConversion"/>
  </si>
  <si>
    <t xml:space="preserve">    資本公積--受領股東贈與</t>
    <phoneticPr fontId="26" type="noConversion"/>
  </si>
  <si>
    <t xml:space="preserve">    房屋及建築</t>
    <phoneticPr fontId="26" type="noConversion"/>
  </si>
  <si>
    <t xml:space="preserve">    資本公積--員工認股權</t>
    <phoneticPr fontId="29" type="noConversion"/>
  </si>
  <si>
    <t xml:space="preserve">    辦公及其他設備</t>
    <phoneticPr fontId="26" type="noConversion"/>
  </si>
  <si>
    <t xml:space="preserve">    資本公積--認股權</t>
    <phoneticPr fontId="29" type="noConversion"/>
  </si>
  <si>
    <t xml:space="preserve">    資本公積--其他</t>
    <phoneticPr fontId="29" type="noConversion"/>
  </si>
  <si>
    <t>無形資產</t>
    <phoneticPr fontId="26" type="noConversion"/>
  </si>
  <si>
    <t xml:space="preserve">    電腦軟體成本</t>
    <phoneticPr fontId="29" type="noConversion"/>
  </si>
  <si>
    <t xml:space="preserve">    遞延退休金成本</t>
    <phoneticPr fontId="26" type="noConversion"/>
  </si>
  <si>
    <t xml:space="preserve">    未分配保留盈餘(待彌補虧損)</t>
    <phoneticPr fontId="29" type="noConversion"/>
  </si>
  <si>
    <t xml:space="preserve">    其他無形資產</t>
    <phoneticPr fontId="29" type="noConversion"/>
  </si>
  <si>
    <t>遞延所得稅資產</t>
    <phoneticPr fontId="29" type="noConversion"/>
  </si>
  <si>
    <t>其他權益</t>
    <phoneticPr fontId="29" type="noConversion"/>
  </si>
  <si>
    <t>其他資產</t>
    <phoneticPr fontId="26" type="noConversion"/>
  </si>
  <si>
    <t xml:space="preserve">    國外營運機構財務報表換算之兌換差額</t>
    <phoneticPr fontId="26" type="noConversion"/>
  </si>
  <si>
    <t xml:space="preserve">    透過其他綜合損益按公允價值衡量之金融資產損益</t>
    <phoneticPr fontId="29" type="noConversion"/>
  </si>
  <si>
    <t xml:space="preserve">    避險工具之利益及損失</t>
    <phoneticPr fontId="29" type="noConversion"/>
  </si>
  <si>
    <t xml:space="preserve">    確定福利計畫之再衡量數</t>
    <phoneticPr fontId="29" type="noConversion"/>
  </si>
  <si>
    <t xml:space="preserve">    雜項資產</t>
    <phoneticPr fontId="29" type="noConversion"/>
  </si>
  <si>
    <t xml:space="preserve">    不動產重估增值</t>
    <phoneticPr fontId="29" type="noConversion"/>
  </si>
  <si>
    <t xml:space="preserve">    存出保證金</t>
    <phoneticPr fontId="26" type="noConversion"/>
  </si>
  <si>
    <t xml:space="preserve">    採用覆蓋法重分類之其他綜合損益</t>
    <phoneticPr fontId="29" type="noConversion"/>
  </si>
  <si>
    <t xml:space="preserve">    暫付及待結轉款項</t>
    <phoneticPr fontId="29" type="noConversion"/>
  </si>
  <si>
    <t xml:space="preserve">    與待出售非流動資產直接相關之權益</t>
    <phoneticPr fontId="29" type="noConversion"/>
  </si>
  <si>
    <t xml:space="preserve">    存出再保責任準備金</t>
    <phoneticPr fontId="26" type="noConversion"/>
  </si>
  <si>
    <t xml:space="preserve">    庫藏股票(成本)</t>
    <phoneticPr fontId="26" type="noConversion"/>
  </si>
  <si>
    <t xml:space="preserve">    遞延費用</t>
    <phoneticPr fontId="26" type="noConversion"/>
  </si>
  <si>
    <t xml:space="preserve">    其他權益-其他</t>
    <phoneticPr fontId="29" type="noConversion"/>
  </si>
  <si>
    <t>權益合計</t>
    <phoneticPr fontId="26" type="noConversion"/>
  </si>
  <si>
    <t>分離帳戶保險商品資產</t>
    <phoneticPr fontId="29" type="noConversion"/>
  </si>
  <si>
    <r>
      <t>__</t>
    </r>
    <r>
      <rPr>
        <sz val="10"/>
        <rFont val="標楷體"/>
        <family val="4"/>
        <charset val="136"/>
      </rPr>
      <t>年度
投資損益</t>
    </r>
    <phoneticPr fontId="29" type="noConversion"/>
  </si>
  <si>
    <t>(33)</t>
  </si>
  <si>
    <t>(37)</t>
    <phoneticPr fontId="29" type="noConversion"/>
  </si>
  <si>
    <t>(22)=(21)-(20)</t>
    <phoneticPr fontId="29" type="noConversion"/>
  </si>
  <si>
    <r>
      <rPr>
        <b/>
        <sz val="10"/>
        <rFont val="標楷體"/>
        <family val="4"/>
        <charset val="136"/>
      </rPr>
      <t>風險係數</t>
    </r>
    <phoneticPr fontId="26" type="noConversion"/>
  </si>
  <si>
    <r>
      <t xml:space="preserve"> 4.1 </t>
    </r>
    <r>
      <rPr>
        <sz val="10"/>
        <rFont val="標楷體"/>
        <family val="4"/>
        <charset val="136"/>
      </rPr>
      <t>長期住宅火險未滿期保費準備金</t>
    </r>
    <phoneticPr fontId="26" type="noConversion"/>
  </si>
  <si>
    <r>
      <t xml:space="preserve"> 4.2 </t>
    </r>
    <r>
      <rPr>
        <sz val="10"/>
        <rFont val="標楷體"/>
        <family val="4"/>
        <charset val="136"/>
      </rPr>
      <t>長期商業火險未滿期保費準備金</t>
    </r>
    <phoneticPr fontId="26" type="noConversion"/>
  </si>
  <si>
    <r>
      <t xml:space="preserve"> 4.3 </t>
    </r>
    <r>
      <rPr>
        <sz val="10"/>
        <rFont val="標楷體"/>
        <family val="4"/>
        <charset val="136"/>
      </rPr>
      <t>還本型火險責任準備金</t>
    </r>
    <phoneticPr fontId="26" type="noConversion"/>
  </si>
  <si>
    <r>
      <t xml:space="preserve">4.3.1 </t>
    </r>
    <r>
      <rPr>
        <sz val="10"/>
        <rFont val="標楷體"/>
        <family val="4"/>
        <charset val="136"/>
      </rPr>
      <t>還本型長期住宅火險責任準備金</t>
    </r>
    <phoneticPr fontId="26" type="noConversion"/>
  </si>
  <si>
    <r>
      <t xml:space="preserve">4.3.2 </t>
    </r>
    <r>
      <rPr>
        <sz val="10"/>
        <rFont val="標楷體"/>
        <family val="4"/>
        <charset val="136"/>
      </rPr>
      <t>還本型長期商業火險責任準備金</t>
    </r>
    <phoneticPr fontId="26" type="noConversion"/>
  </si>
  <si>
    <r>
      <t xml:space="preserve"> 4.4 </t>
    </r>
    <r>
      <rPr>
        <sz val="10"/>
        <rFont val="標楷體"/>
        <family val="4"/>
        <charset val="136"/>
      </rPr>
      <t>還本型火險未滿期保費準備金</t>
    </r>
    <phoneticPr fontId="26" type="noConversion"/>
  </si>
  <si>
    <r>
      <t xml:space="preserve">4.4.1 </t>
    </r>
    <r>
      <rPr>
        <sz val="10"/>
        <rFont val="標楷體"/>
        <family val="4"/>
        <charset val="136"/>
      </rPr>
      <t>還本型長期住宅火險未滿期保費準備金</t>
    </r>
    <phoneticPr fontId="26" type="noConversion"/>
  </si>
  <si>
    <r>
      <t xml:space="preserve">4.4.2 </t>
    </r>
    <r>
      <rPr>
        <sz val="10"/>
        <rFont val="標楷體"/>
        <family val="4"/>
        <charset val="136"/>
      </rPr>
      <t>還本型長期商業火險未滿期保費準備金</t>
    </r>
    <phoneticPr fontId="26" type="noConversion"/>
  </si>
  <si>
    <r>
      <t xml:space="preserve"> 4.5</t>
    </r>
    <r>
      <rPr>
        <sz val="10"/>
        <rFont val="標楷體"/>
        <family val="4"/>
        <charset val="136"/>
      </rPr>
      <t>超過一年之人身保險業務</t>
    </r>
    <phoneticPr fontId="26" type="noConversion"/>
  </si>
  <si>
    <r>
      <t xml:space="preserve">    4.5.1</t>
    </r>
    <r>
      <rPr>
        <sz val="10"/>
        <rFont val="標楷體"/>
        <family val="4"/>
        <charset val="136"/>
      </rPr>
      <t>人壽保險－超過一年之人身保險業務</t>
    </r>
    <phoneticPr fontId="26" type="noConversion"/>
  </si>
  <si>
    <r>
      <t xml:space="preserve">    4.5.2</t>
    </r>
    <r>
      <rPr>
        <sz val="10"/>
        <rFont val="標楷體"/>
        <family val="4"/>
        <charset val="136"/>
      </rPr>
      <t>年金保險－超過一年之人身保險業務</t>
    </r>
    <phoneticPr fontId="26" type="noConversion"/>
  </si>
  <si>
    <r>
      <rPr>
        <sz val="10"/>
        <rFont val="標楷體"/>
        <family val="4"/>
        <charset val="136"/>
      </rPr>
      <t>特別盈餘公積</t>
    </r>
    <r>
      <rPr>
        <sz val="10"/>
        <rFont val="Book Antiqua"/>
        <family val="1"/>
      </rPr>
      <t>-</t>
    </r>
    <r>
      <rPr>
        <sz val="10"/>
        <rFont val="標楷體"/>
        <family val="4"/>
        <charset val="136"/>
      </rPr>
      <t>不動產增值利益</t>
    </r>
    <r>
      <rPr>
        <sz val="10"/>
        <rFont val="Book Antiqua"/>
        <family val="1"/>
      </rPr>
      <t>(</t>
    </r>
    <r>
      <rPr>
        <sz val="10"/>
        <rFont val="標楷體"/>
        <family val="4"/>
        <charset val="136"/>
      </rPr>
      <t>註</t>
    </r>
    <r>
      <rPr>
        <sz val="10"/>
        <rFont val="Book Antiqua"/>
        <family val="1"/>
      </rPr>
      <t>13)</t>
    </r>
    <phoneticPr fontId="26" type="noConversion"/>
  </si>
  <si>
    <r>
      <rPr>
        <sz val="10"/>
        <rFont val="標楷體"/>
        <family val="4"/>
        <charset val="136"/>
      </rPr>
      <t>得計入自有資本之最大金額</t>
    </r>
    <phoneticPr fontId="26" type="noConversion"/>
  </si>
  <si>
    <r>
      <rPr>
        <sz val="10"/>
        <rFont val="標楷體"/>
        <family val="4"/>
        <charset val="136"/>
      </rPr>
      <t xml:space="preserve">計入自有資本調整數
</t>
    </r>
    <r>
      <rPr>
        <sz val="10"/>
        <rFont val="Book Antiqua"/>
        <family val="1"/>
      </rPr>
      <t>( Min ( Max( (1), (3), (4) ), (7) ) )</t>
    </r>
    <phoneticPr fontId="26" type="noConversion"/>
  </si>
  <si>
    <r>
      <rPr>
        <sz val="10"/>
        <rFont val="標楷體"/>
        <family val="4"/>
        <charset val="136"/>
      </rPr>
      <t>得計入自有資本之不動產投資評價調整數</t>
    </r>
    <r>
      <rPr>
        <sz val="10"/>
        <rFont val="Book Antiqua"/>
        <family val="1"/>
      </rPr>
      <t>(</t>
    </r>
    <r>
      <rPr>
        <sz val="10"/>
        <rFont val="標楷體"/>
        <family val="4"/>
        <charset val="136"/>
      </rPr>
      <t>註</t>
    </r>
    <r>
      <rPr>
        <sz val="10"/>
        <rFont val="Book Antiqua"/>
        <family val="1"/>
      </rPr>
      <t>12)</t>
    </r>
    <phoneticPr fontId="26" type="noConversion"/>
  </si>
  <si>
    <r>
      <rPr>
        <sz val="10"/>
        <rFont val="標楷體"/>
        <family val="4"/>
        <charset val="136"/>
      </rPr>
      <t>實收資本額</t>
    </r>
    <r>
      <rPr>
        <sz val="10"/>
        <rFont val="Book Antiqua"/>
        <family val="1"/>
      </rPr>
      <t>50%</t>
    </r>
    <phoneticPr fontId="26" type="noConversion"/>
  </si>
  <si>
    <r>
      <rPr>
        <sz val="10"/>
        <rFont val="標楷體"/>
        <family val="4"/>
        <charset val="136"/>
      </rPr>
      <t xml:space="preserve">調整比率
</t>
    </r>
    <r>
      <rPr>
        <sz val="10"/>
        <rFont val="Book Antiqua"/>
        <family val="1"/>
      </rPr>
      <t>(9)/(10)</t>
    </r>
    <phoneticPr fontId="26" type="noConversion"/>
  </si>
  <si>
    <r>
      <rPr>
        <sz val="10"/>
        <rFont val="標楷體"/>
        <family val="4"/>
        <charset val="136"/>
      </rPr>
      <t xml:space="preserve">得計入自有資本之不動產投資評價調整數
</t>
    </r>
    <r>
      <rPr>
        <sz val="10"/>
        <rFont val="Book Antiqua"/>
        <family val="1"/>
      </rPr>
      <t>(10)×(11)</t>
    </r>
    <phoneticPr fontId="26" type="noConversion"/>
  </si>
  <si>
    <r>
      <rPr>
        <sz val="10"/>
        <rFont val="標楷體"/>
        <family val="4"/>
        <charset val="136"/>
      </rPr>
      <t>金</t>
    </r>
    <r>
      <rPr>
        <sz val="10"/>
        <rFont val="Book Antiqua"/>
        <family val="1"/>
      </rPr>
      <t xml:space="preserve"> </t>
    </r>
    <r>
      <rPr>
        <sz val="10"/>
        <rFont val="標楷體"/>
        <family val="4"/>
        <charset val="136"/>
      </rPr>
      <t xml:space="preserve">額
</t>
    </r>
    <r>
      <rPr>
        <sz val="10"/>
        <rFont val="Book Antiqua"/>
        <family val="1"/>
      </rPr>
      <t>(13)</t>
    </r>
    <phoneticPr fontId="29"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</si>
  <si>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(2)</t>
    </r>
    <r>
      <rPr>
        <sz val="10"/>
        <rFont val="標楷體"/>
        <family val="4"/>
        <charset val="136"/>
      </rPr>
      <t>列之金額應等於「表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(2+3)</t>
    </r>
    <r>
      <rPr>
        <sz val="10"/>
        <rFont val="標楷體"/>
        <family val="4"/>
        <charset val="136"/>
      </rPr>
      <t>列之合計數。</t>
    </r>
    <phoneticPr fontId="29"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</si>
  <si>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(3)</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(4)</t>
    </r>
    <r>
      <rPr>
        <sz val="10"/>
        <rFont val="標楷體"/>
        <family val="4"/>
        <charset val="136"/>
      </rPr>
      <t>列之金額一致。</t>
    </r>
    <phoneticPr fontId="29"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</si>
  <si>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(4)</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(5)</t>
    </r>
    <r>
      <rPr>
        <sz val="10"/>
        <rFont val="標楷體"/>
        <family val="4"/>
        <charset val="136"/>
      </rPr>
      <t>列之金額一致。</t>
    </r>
    <phoneticPr fontId="29"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</si>
  <si>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(6)</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(11)</t>
    </r>
    <r>
      <rPr>
        <sz val="10"/>
        <rFont val="標楷體"/>
        <family val="4"/>
        <charset val="136"/>
      </rPr>
      <t>列之金額一致。</t>
    </r>
    <phoneticPr fontId="29"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</si>
  <si>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(7)</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(12)</t>
    </r>
    <r>
      <rPr>
        <sz val="10"/>
        <rFont val="標楷體"/>
        <family val="4"/>
        <charset val="136"/>
      </rPr>
      <t>列之金額一致。</t>
    </r>
    <phoneticPr fontId="29"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</si>
  <si>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(9)</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(15)</t>
    </r>
    <r>
      <rPr>
        <sz val="10"/>
        <rFont val="標楷體"/>
        <family val="4"/>
        <charset val="136"/>
      </rPr>
      <t>列之金額一致。</t>
    </r>
    <phoneticPr fontId="29"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</si>
  <si>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(10)</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(16)</t>
    </r>
    <r>
      <rPr>
        <sz val="10"/>
        <rFont val="標楷體"/>
        <family val="4"/>
        <charset val="136"/>
      </rPr>
      <t>列之金額一致。</t>
    </r>
    <phoneticPr fontId="29"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</si>
  <si>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(11)</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(17)</t>
    </r>
    <r>
      <rPr>
        <sz val="10"/>
        <rFont val="標楷體"/>
        <family val="4"/>
        <charset val="136"/>
      </rPr>
      <t>列之金額一致。</t>
    </r>
    <phoneticPr fontId="26" type="noConversion"/>
  </si>
  <si>
    <r>
      <rPr>
        <sz val="10"/>
        <rFont val="標楷體"/>
        <family val="4"/>
        <charset val="136"/>
      </rPr>
      <t>本表第</t>
    </r>
    <r>
      <rPr>
        <sz val="10"/>
        <rFont val="Book Antiqua"/>
        <family val="1"/>
      </rPr>
      <t>(10)</t>
    </r>
    <r>
      <rPr>
        <sz val="10"/>
        <rFont val="標楷體"/>
        <family val="4"/>
        <charset val="136"/>
      </rPr>
      <t>欄第</t>
    </r>
    <r>
      <rPr>
        <sz val="10"/>
        <rFont val="Book Antiqua"/>
        <family val="1"/>
      </rPr>
      <t>(12)</t>
    </r>
    <r>
      <rPr>
        <sz val="10"/>
        <rFont val="標楷體"/>
        <family val="4"/>
        <charset val="136"/>
      </rPr>
      <t>列之金額應與「表</t>
    </r>
    <r>
      <rPr>
        <sz val="10"/>
        <rFont val="Book Antiqua"/>
        <family val="1"/>
      </rPr>
      <t>13-2</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(21)</t>
    </r>
    <r>
      <rPr>
        <sz val="10"/>
        <rFont val="標楷體"/>
        <family val="4"/>
        <charset val="136"/>
      </rPr>
      <t>欄第</t>
    </r>
    <r>
      <rPr>
        <sz val="10"/>
        <rFont val="Book Antiqua"/>
        <family val="1"/>
      </rPr>
      <t>(18)</t>
    </r>
    <r>
      <rPr>
        <sz val="10"/>
        <rFont val="標楷體"/>
        <family val="4"/>
        <charset val="136"/>
      </rPr>
      <t>列之金額一致。</t>
    </r>
    <phoneticPr fontId="26" type="noConversion"/>
  </si>
  <si>
    <r>
      <rPr>
        <sz val="10"/>
        <rFont val="標楷體"/>
        <family val="4"/>
        <charset val="136"/>
      </rPr>
      <t>「得計入自有資本之不動產投資評價調整數」與「列入負債項下特別準備</t>
    </r>
    <r>
      <rPr>
        <sz val="10"/>
        <rFont val="Book Antiqua"/>
        <family val="1"/>
      </rPr>
      <t>-</t>
    </r>
    <r>
      <rPr>
        <sz val="10"/>
        <rFont val="標楷體"/>
        <family val="4"/>
        <charset val="136"/>
      </rPr>
      <t>不動產增值利益」，得計入自有資本之金額，以不超過當期自有資本總額之</t>
    </r>
    <r>
      <rPr>
        <sz val="10"/>
        <rFont val="Book Antiqua"/>
        <family val="1"/>
      </rPr>
      <t xml:space="preserve"> 50% </t>
    </r>
    <r>
      <rPr>
        <sz val="10"/>
        <rFont val="標楷體"/>
        <family val="4"/>
        <charset val="136"/>
      </rPr>
      <t>或實收資本額之</t>
    </r>
    <r>
      <rPr>
        <sz val="10"/>
        <rFont val="Book Antiqua"/>
        <family val="1"/>
      </rPr>
      <t xml:space="preserve"> 50% </t>
    </r>
    <r>
      <rPr>
        <sz val="10"/>
        <rFont val="標楷體"/>
        <family val="4"/>
        <charset val="136"/>
      </rPr>
      <t>為限，</t>
    </r>
    <phoneticPr fontId="29" type="noConversion"/>
  </si>
  <si>
    <r>
      <rPr>
        <sz val="10"/>
        <rFont val="標楷體"/>
        <family val="4"/>
        <charset val="136"/>
      </rPr>
      <t>如自有資本非因不動產價格波動之因素下降時，得認列為自有資本之投資性不動產增值利益得維持前期已認列為自有資本之數額</t>
    </r>
    <r>
      <rPr>
        <sz val="10"/>
        <rFont val="Book Antiqua"/>
        <family val="1"/>
      </rPr>
      <t>(</t>
    </r>
    <r>
      <rPr>
        <sz val="10"/>
        <rFont val="標楷體"/>
        <family val="4"/>
        <charset val="136"/>
      </rPr>
      <t>除非實際之投資性不動產增值利益下跌</t>
    </r>
    <r>
      <rPr>
        <sz val="10"/>
        <rFont val="Book Antiqua"/>
        <family val="1"/>
      </rPr>
      <t>)</t>
    </r>
    <r>
      <rPr>
        <sz val="10"/>
        <rFont val="標楷體"/>
        <family val="4"/>
        <charset val="136"/>
      </rPr>
      <t>。</t>
    </r>
    <phoneticPr fontId="29" type="noConversion"/>
  </si>
  <si>
    <r>
      <rPr>
        <sz val="10"/>
        <rFont val="標楷體"/>
        <family val="4"/>
        <charset val="136"/>
      </rPr>
      <t>本表第</t>
    </r>
    <r>
      <rPr>
        <sz val="10"/>
        <rFont val="Book Antiqua"/>
        <family val="1"/>
      </rPr>
      <t>(13)</t>
    </r>
    <r>
      <rPr>
        <sz val="10"/>
        <rFont val="標楷體"/>
        <family val="4"/>
        <charset val="136"/>
      </rPr>
      <t>欄第</t>
    </r>
    <r>
      <rPr>
        <sz val="10"/>
        <rFont val="Book Antiqua"/>
        <family val="1"/>
      </rPr>
      <t>(15)</t>
    </r>
    <r>
      <rPr>
        <sz val="10"/>
        <rFont val="標楷體"/>
        <family val="4"/>
        <charset val="136"/>
      </rPr>
      <t>列之金額應等於「表</t>
    </r>
    <r>
      <rPr>
        <sz val="10"/>
        <rFont val="Book Antiqua"/>
        <family val="1"/>
      </rPr>
      <t>13-1</t>
    </r>
    <r>
      <rPr>
        <sz val="10"/>
        <rFont val="標楷體"/>
        <family val="4"/>
        <charset val="136"/>
      </rPr>
      <t>：不動產餘額明細表</t>
    </r>
    <r>
      <rPr>
        <sz val="10"/>
        <rFont val="Book Antiqua"/>
        <family val="1"/>
      </rPr>
      <t>(</t>
    </r>
    <r>
      <rPr>
        <sz val="10"/>
        <rFont val="標楷體"/>
        <family val="4"/>
        <charset val="136"/>
      </rPr>
      <t>總計</t>
    </r>
    <r>
      <rPr>
        <sz val="10"/>
        <rFont val="Book Antiqua"/>
        <family val="1"/>
      </rPr>
      <t>)</t>
    </r>
    <r>
      <rPr>
        <sz val="10"/>
        <rFont val="標楷體"/>
        <family val="4"/>
        <charset val="136"/>
      </rPr>
      <t>」第</t>
    </r>
    <r>
      <rPr>
        <sz val="10"/>
        <rFont val="Book Antiqua"/>
        <family val="1"/>
      </rPr>
      <t>(20)</t>
    </r>
    <r>
      <rPr>
        <sz val="10"/>
        <rFont val="標楷體"/>
        <family val="4"/>
        <charset val="136"/>
      </rPr>
      <t>欄之合計數。</t>
    </r>
    <phoneticPr fontId="29" type="noConversion"/>
  </si>
  <si>
    <t>(6)</t>
    <phoneticPr fontId="26" type="noConversion"/>
  </si>
  <si>
    <r>
      <rPr>
        <sz val="10"/>
        <rFont val="標楷體"/>
        <family val="4"/>
        <charset val="136"/>
      </rPr>
      <t>透過損益按公允價值衡量之金融資產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29" type="noConversion"/>
  </si>
  <si>
    <r>
      <t>ETF-</t>
    </r>
    <r>
      <rPr>
        <sz val="10"/>
        <rFont val="標楷體"/>
        <family val="4"/>
        <charset val="136"/>
      </rPr>
      <t>股票型</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9-1)</t>
    </r>
    <phoneticPr fontId="29" type="noConversion"/>
  </si>
  <si>
    <r>
      <rPr>
        <sz val="10"/>
        <rFont val="標楷體"/>
        <family val="4"/>
        <charset val="136"/>
      </rPr>
      <t>股票型共同基金</t>
    </r>
    <r>
      <rPr>
        <sz val="10"/>
        <rFont val="Book Antiqua"/>
        <family val="1"/>
      </rPr>
      <t>(</t>
    </r>
    <r>
      <rPr>
        <sz val="10"/>
        <rFont val="標楷體"/>
        <family val="4"/>
        <charset val="136"/>
      </rPr>
      <t>小計</t>
    </r>
    <r>
      <rPr>
        <sz val="10"/>
        <rFont val="Book Antiqua"/>
        <family val="1"/>
      </rPr>
      <t>)
(</t>
    </r>
    <r>
      <rPr>
        <sz val="10"/>
        <rFont val="標楷體"/>
        <family val="4"/>
        <charset val="136"/>
      </rPr>
      <t>來源</t>
    </r>
    <r>
      <rPr>
        <sz val="10"/>
        <rFont val="Book Antiqua"/>
        <family val="1"/>
      </rPr>
      <t>:</t>
    </r>
    <r>
      <rPr>
        <sz val="10"/>
        <rFont val="標楷體"/>
        <family val="4"/>
        <charset val="136"/>
      </rPr>
      <t>表</t>
    </r>
    <r>
      <rPr>
        <sz val="10"/>
        <rFont val="Book Antiqua"/>
        <family val="1"/>
      </rPr>
      <t>12-1)</t>
    </r>
    <phoneticPr fontId="29" type="noConversion"/>
  </si>
  <si>
    <t>列號</t>
    <phoneticPr fontId="32" type="noConversion"/>
  </si>
  <si>
    <t>股票種類
(未上市上櫃股票)</t>
    <phoneticPr fontId="29" type="noConversion"/>
  </si>
  <si>
    <t>取得成本</t>
    <phoneticPr fontId="29" type="noConversion"/>
  </si>
  <si>
    <t>帳載金額</t>
    <phoneticPr fontId="29" type="noConversion"/>
  </si>
  <si>
    <t>最近淨值金額</t>
    <phoneticPr fontId="29" type="noConversion"/>
  </si>
  <si>
    <t>未實現評價利益(損失)</t>
    <phoneticPr fontId="29" type="noConversion"/>
  </si>
  <si>
    <t>非認許資產</t>
    <phoneticPr fontId="29" type="noConversion"/>
  </si>
  <si>
    <t>自有資本調整數</t>
    <phoneticPr fontId="29" type="noConversion"/>
  </si>
  <si>
    <t>(8)</t>
    <phoneticPr fontId="32" type="noConversion"/>
  </si>
  <si>
    <t>(9)</t>
    <phoneticPr fontId="32" type="noConversion"/>
  </si>
  <si>
    <t>(10)</t>
    <phoneticPr fontId="32" type="noConversion"/>
  </si>
  <si>
    <t>(11)</t>
    <phoneticPr fontId="32" type="noConversion"/>
  </si>
  <si>
    <t>(12)</t>
    <phoneticPr fontId="32" type="noConversion"/>
  </si>
  <si>
    <t>(13)</t>
    <phoneticPr fontId="32" type="noConversion"/>
  </si>
  <si>
    <t>未實現評價利益</t>
    <phoneticPr fontId="32" type="noConversion"/>
  </si>
  <si>
    <t>&gt;非認許資產</t>
    <phoneticPr fontId="32" type="noConversion"/>
  </si>
  <si>
    <t>≦非認許資產</t>
    <phoneticPr fontId="32" type="noConversion"/>
  </si>
  <si>
    <t>未實現評價損失</t>
    <phoneticPr fontId="32" type="noConversion"/>
  </si>
  <si>
    <t>未實現評價利益</t>
    <phoneticPr fontId="32" type="noConversion"/>
  </si>
  <si>
    <t>&gt;非認許資產</t>
    <phoneticPr fontId="32" type="noConversion"/>
  </si>
  <si>
    <t>合計</t>
    <phoneticPr fontId="32" type="noConversion"/>
  </si>
  <si>
    <t>ETF</t>
  </si>
  <si>
    <r>
      <rPr>
        <sz val="10"/>
        <rFont val="標楷體"/>
        <family val="4"/>
        <charset val="136"/>
      </rPr>
      <t>本表第</t>
    </r>
    <r>
      <rPr>
        <sz val="10"/>
        <rFont val="Book Antiqua"/>
        <family val="1"/>
      </rPr>
      <t>(5)</t>
    </r>
    <r>
      <rPr>
        <sz val="10"/>
        <rFont val="標楷體"/>
        <family val="4"/>
        <charset val="136"/>
      </rPr>
      <t>欄第</t>
    </r>
    <r>
      <rPr>
        <sz val="10"/>
        <rFont val="Book Antiqua"/>
        <family val="1"/>
      </rPr>
      <t>(1)</t>
    </r>
    <r>
      <rPr>
        <sz val="10"/>
        <rFont val="標楷體"/>
        <family val="4"/>
        <charset val="136"/>
      </rPr>
      <t>列之金額應與「表</t>
    </r>
    <r>
      <rPr>
        <sz val="10"/>
        <rFont val="Book Antiqua"/>
        <family val="1"/>
      </rPr>
      <t>25-3</t>
    </r>
    <r>
      <rPr>
        <sz val="10"/>
        <rFont val="標楷體"/>
        <family val="4"/>
        <charset val="136"/>
      </rPr>
      <t>：帳列負債之特別準備明細」第</t>
    </r>
    <r>
      <rPr>
        <sz val="10"/>
        <rFont val="Book Antiqua"/>
        <family val="1"/>
      </rPr>
      <t>(1)</t>
    </r>
    <r>
      <rPr>
        <sz val="10"/>
        <rFont val="標楷體"/>
        <family val="4"/>
        <charset val="136"/>
      </rPr>
      <t>欄第</t>
    </r>
    <r>
      <rPr>
        <sz val="10"/>
        <rFont val="Book Antiqua"/>
        <family val="1"/>
      </rPr>
      <t>(4)</t>
    </r>
    <r>
      <rPr>
        <sz val="10"/>
        <rFont val="標楷體"/>
        <family val="4"/>
        <charset val="136"/>
      </rPr>
      <t>列之金額一致。</t>
    </r>
    <phoneticPr fontId="29" type="noConversion"/>
  </si>
  <si>
    <t xml:space="preserve"> (5)  過去三年內的平均保費成長率 = [(1d)+(2d)+(3d)]/3</t>
    <phoneticPr fontId="43" type="noConversion"/>
  </si>
  <si>
    <t>(23)</t>
    <phoneticPr fontId="32" type="noConversion"/>
  </si>
  <si>
    <t>(35)=
(33)-(34)</t>
    <phoneticPr fontId="26" type="noConversion"/>
  </si>
  <si>
    <t>(36)</t>
    <phoneticPr fontId="29" type="noConversion"/>
  </si>
  <si>
    <t>分離帳戶保險商品資產及負債於產險業不適用免填，但欄位請勿移動</t>
    <phoneticPr fontId="29" type="noConversion"/>
  </si>
  <si>
    <t>非認許資產之評定依「保險業計算資本適足率之資產認許標準及評價原則」辦理，認許資產及淨認資產之相關資料僅(半)年度填寫。</t>
    <phoneticPr fontId="29" type="noConversion"/>
  </si>
  <si>
    <t>(評價項目)</t>
    <phoneticPr fontId="29" type="noConversion"/>
  </si>
  <si>
    <r>
      <t xml:space="preserve">         </t>
    </r>
    <r>
      <rPr>
        <sz val="10"/>
        <rFont val="標楷體"/>
        <family val="4"/>
        <charset val="136"/>
      </rPr>
      <t>保費不足準備</t>
    </r>
    <phoneticPr fontId="29" type="noConversion"/>
  </si>
  <si>
    <r>
      <t xml:space="preserve">         </t>
    </r>
    <r>
      <rPr>
        <sz val="10"/>
        <rFont val="標楷體"/>
        <family val="4"/>
        <charset val="136"/>
      </rPr>
      <t>負債適足準備</t>
    </r>
    <phoneticPr fontId="29" type="noConversion"/>
  </si>
  <si>
    <r>
      <t xml:space="preserve">         </t>
    </r>
    <r>
      <rPr>
        <sz val="10"/>
        <rFont val="標楷體"/>
        <family val="4"/>
        <charset val="136"/>
      </rPr>
      <t>其他準備</t>
    </r>
    <phoneticPr fontId="29" type="noConversion"/>
  </si>
  <si>
    <r>
      <t xml:space="preserve">         </t>
    </r>
    <r>
      <rPr>
        <sz val="10"/>
        <rFont val="標楷體"/>
        <family val="4"/>
        <charset val="136"/>
      </rPr>
      <t>遞延手續費收入</t>
    </r>
    <phoneticPr fontId="29" type="noConversion"/>
  </si>
  <si>
    <t>評價科目包含金融資產評價調整、累計折舊、累計減損、備抵損失。</t>
    <phoneticPr fontId="29" type="noConversion"/>
  </si>
  <si>
    <r>
      <rPr>
        <sz val="10"/>
        <rFont val="標楷體"/>
        <family val="4"/>
        <charset val="136"/>
      </rPr>
      <t>直接業管費用</t>
    </r>
    <phoneticPr fontId="29" type="noConversion"/>
  </si>
  <si>
    <r>
      <rPr>
        <sz val="10"/>
        <rFont val="標楷體"/>
        <family val="4"/>
        <charset val="136"/>
      </rPr>
      <t>比較增減</t>
    </r>
    <phoneticPr fontId="29" type="noConversion"/>
  </si>
  <si>
    <r>
      <t>__</t>
    </r>
    <r>
      <rPr>
        <sz val="10"/>
        <rFont val="標楷體"/>
        <family val="4"/>
        <charset val="136"/>
      </rPr>
      <t>下半年度資金運用收益</t>
    </r>
    <phoneticPr fontId="29" type="noConversion"/>
  </si>
  <si>
    <r>
      <t>__</t>
    </r>
    <r>
      <rPr>
        <sz val="10"/>
        <rFont val="標楷體"/>
        <family val="4"/>
        <charset val="136"/>
      </rPr>
      <t>年上半年度投資損益</t>
    </r>
    <phoneticPr fontId="29" type="noConversion"/>
  </si>
  <si>
    <r>
      <t>__</t>
    </r>
    <r>
      <rPr>
        <sz val="10"/>
        <rFont val="標楷體"/>
        <family val="4"/>
        <charset val="136"/>
      </rPr>
      <t>年下半年度投資損益</t>
    </r>
    <phoneticPr fontId="29" type="noConversion"/>
  </si>
  <si>
    <t>備抵損失_未催收</t>
    <phoneticPr fontId="26" type="noConversion"/>
  </si>
  <si>
    <t>備抵損失_催收款項</t>
    <phoneticPr fontId="26" type="noConversion"/>
  </si>
  <si>
    <t>備抵損失_未催收</t>
    <phoneticPr fontId="26" type="noConversion"/>
  </si>
  <si>
    <t>備抵損失_催收款項</t>
    <phoneticPr fontId="26" type="noConversion"/>
  </si>
  <si>
    <t>如為上半年度報表時, 自留滿期賠款(25)=(3)+(9)-(12)+(15)+(21)-(24)+(6)+(18)</t>
    <phoneticPr fontId="29" type="noConversion"/>
  </si>
  <si>
    <r>
      <rPr>
        <sz val="10"/>
        <rFont val="標楷體"/>
        <family val="4"/>
        <charset val="136"/>
      </rPr>
      <t>表</t>
    </r>
    <r>
      <rPr>
        <sz val="10"/>
        <rFont val="Book Antiqua"/>
        <family val="1"/>
      </rPr>
      <t>30-8-5</t>
    </r>
    <r>
      <rPr>
        <sz val="10"/>
        <rFont val="標楷體"/>
        <family val="4"/>
        <charset val="136"/>
      </rPr>
      <t>：認列未實現評價損益檢討計算表</t>
    </r>
    <phoneticPr fontId="29" type="noConversion"/>
  </si>
  <si>
    <t>股票種類
(上市上櫃股票)</t>
    <phoneticPr fontId="29" type="noConversion"/>
  </si>
  <si>
    <r>
      <rPr>
        <sz val="10"/>
        <rFont val="標楷體"/>
        <family val="4"/>
        <charset val="136"/>
      </rPr>
      <t>最近市價或淨值總金額</t>
    </r>
    <phoneticPr fontId="29" type="noConversion"/>
  </si>
  <si>
    <r>
      <rPr>
        <sz val="10"/>
        <rFont val="標楷體"/>
        <family val="4"/>
        <charset val="136"/>
      </rPr>
      <t>半年收盤平均價</t>
    </r>
    <phoneticPr fontId="29" type="noConversion"/>
  </si>
  <si>
    <r>
      <rPr>
        <sz val="10"/>
        <rFont val="標楷體"/>
        <family val="4"/>
        <charset val="136"/>
      </rPr>
      <t>未實現評價利益</t>
    </r>
    <r>
      <rPr>
        <sz val="10"/>
        <rFont val="Book Antiqua"/>
        <family val="1"/>
      </rPr>
      <t>(</t>
    </r>
    <r>
      <rPr>
        <sz val="10"/>
        <rFont val="標楷體"/>
        <family val="4"/>
        <charset val="136"/>
      </rPr>
      <t>損失</t>
    </r>
    <r>
      <rPr>
        <sz val="10"/>
        <rFont val="Book Antiqua"/>
        <family val="1"/>
      </rPr>
      <t>)</t>
    </r>
    <phoneticPr fontId="29" type="noConversion"/>
  </si>
  <si>
    <r>
      <rPr>
        <sz val="10"/>
        <rFont val="標楷體"/>
        <family val="4"/>
        <charset val="136"/>
      </rPr>
      <t>最近市價或淨值基礎</t>
    </r>
    <phoneticPr fontId="29" type="noConversion"/>
  </si>
  <si>
    <r>
      <rPr>
        <sz val="10"/>
        <rFont val="標楷體"/>
        <family val="4"/>
        <charset val="136"/>
      </rPr>
      <t>半年收盤平均價基礎</t>
    </r>
    <phoneticPr fontId="29" type="noConversion"/>
  </si>
  <si>
    <r>
      <rPr>
        <sz val="10"/>
        <rFont val="標楷體"/>
        <family val="4"/>
        <charset val="136"/>
      </rPr>
      <t>透過其他綜合損益按公允價值衡量之金融資產</t>
    </r>
    <r>
      <rPr>
        <sz val="10"/>
        <rFont val="Book Antiqua"/>
        <family val="1"/>
      </rPr>
      <t xml:space="preserve">
(</t>
    </r>
    <r>
      <rPr>
        <sz val="10"/>
        <rFont val="標楷體"/>
        <family val="4"/>
        <charset val="136"/>
      </rPr>
      <t>來源</t>
    </r>
    <r>
      <rPr>
        <sz val="10"/>
        <rFont val="Book Antiqua"/>
        <family val="1"/>
      </rPr>
      <t>:</t>
    </r>
    <r>
      <rPr>
        <sz val="10"/>
        <rFont val="標楷體"/>
        <family val="4"/>
        <charset val="136"/>
      </rPr>
      <t>表</t>
    </r>
    <r>
      <rPr>
        <sz val="10"/>
        <rFont val="Book Antiqua"/>
        <family val="1"/>
      </rPr>
      <t>10-1)</t>
    </r>
    <phoneticPr fontId="29" type="noConversion"/>
  </si>
  <si>
    <t>15-1</t>
    <phoneticPr fontId="29" type="noConversion"/>
  </si>
  <si>
    <t>15-2</t>
  </si>
  <si>
    <t>15-3</t>
  </si>
  <si>
    <t>申請展延期限(年)以申請展延核准日為起算日，於滿一年後記入1次，若展延期限超過1年者則繼續累計加計次數。</t>
    <phoneticPr fontId="29" type="noConversion"/>
  </si>
  <si>
    <t>申請展延期限(年)</t>
    <phoneticPr fontId="29" type="noConversion"/>
  </si>
  <si>
    <t>使用權資產</t>
    <phoneticPr fontId="29" type="noConversion"/>
  </si>
  <si>
    <t>70-1</t>
    <phoneticPr fontId="26" type="noConversion"/>
  </si>
  <si>
    <t>租賃負債</t>
    <phoneticPr fontId="29" type="noConversion"/>
  </si>
  <si>
    <t>(22)=
Σ[(2)~(21)]</t>
    <phoneticPr fontId="32" type="noConversion"/>
  </si>
  <si>
    <r>
      <rPr>
        <sz val="10"/>
        <rFont val="標楷體"/>
        <family val="4"/>
        <charset val="136"/>
      </rPr>
      <t>表</t>
    </r>
    <r>
      <rPr>
        <sz val="10"/>
        <rFont val="Times New Roman"/>
        <family val="1"/>
      </rPr>
      <t>06</t>
    </r>
    <r>
      <rPr>
        <sz val="10"/>
        <rFont val="標楷體"/>
        <family val="4"/>
        <charset val="136"/>
      </rPr>
      <t>：資金運用收益表</t>
    </r>
    <phoneticPr fontId="29" type="noConversion"/>
  </si>
  <si>
    <r>
      <rPr>
        <sz val="10"/>
        <rFont val="標楷體"/>
        <family val="4"/>
        <charset val="136"/>
      </rPr>
      <t>單位：新台幣元</t>
    </r>
    <r>
      <rPr>
        <sz val="10"/>
        <rFont val="Times New Roman"/>
        <family val="1"/>
      </rPr>
      <t>,%</t>
    </r>
    <phoneticPr fontId="29" type="noConversion"/>
  </si>
  <si>
    <r>
      <rPr>
        <sz val="10"/>
        <rFont val="標楷體"/>
        <family val="4"/>
        <charset val="136"/>
      </rPr>
      <t>其他綜合損益</t>
    </r>
    <phoneticPr fontId="32" type="noConversion"/>
  </si>
  <si>
    <r>
      <rPr>
        <sz val="10"/>
        <rFont val="標楷體"/>
        <family val="4"/>
        <charset val="136"/>
      </rPr>
      <t>未分配盈餘</t>
    </r>
    <phoneticPr fontId="32" type="noConversion"/>
  </si>
  <si>
    <r>
      <rPr>
        <sz val="10"/>
        <rFont val="標楷體"/>
        <family val="4"/>
        <charset val="136"/>
      </rPr>
      <t>本期投資損益</t>
    </r>
    <phoneticPr fontId="29" type="noConversion"/>
  </si>
  <si>
    <r>
      <rPr>
        <sz val="10"/>
        <rFont val="標楷體"/>
        <family val="4"/>
        <charset val="136"/>
      </rPr>
      <t>上期投資損益</t>
    </r>
    <phoneticPr fontId="29" type="noConversion"/>
  </si>
  <si>
    <r>
      <rPr>
        <sz val="10"/>
        <rFont val="標楷體"/>
        <family val="4"/>
        <charset val="136"/>
      </rPr>
      <t>資金運用收益率</t>
    </r>
    <r>
      <rPr>
        <sz val="10"/>
        <rFont val="Times New Roman"/>
        <family val="1"/>
      </rPr>
      <t>(</t>
    </r>
    <r>
      <rPr>
        <sz val="10"/>
        <rFont val="標楷體"/>
        <family val="4"/>
        <charset val="136"/>
      </rPr>
      <t>最近五年度</t>
    </r>
    <r>
      <rPr>
        <sz val="10"/>
        <rFont val="Times New Roman"/>
        <family val="1"/>
      </rPr>
      <t>)</t>
    </r>
    <phoneticPr fontId="29" type="noConversion"/>
  </si>
  <si>
    <r>
      <rPr>
        <sz val="10"/>
        <rFont val="標楷體"/>
        <family val="4"/>
        <charset val="136"/>
      </rPr>
      <t>利息收入</t>
    </r>
    <phoneticPr fontId="32" type="noConversion"/>
  </si>
  <si>
    <r>
      <rPr>
        <sz val="10"/>
        <rFont val="標楷體"/>
        <family val="4"/>
        <charset val="136"/>
      </rPr>
      <t>透過損益按公允價值衡量之金融資產損益</t>
    </r>
    <phoneticPr fontId="32" type="noConversion"/>
  </si>
  <si>
    <r>
      <rPr>
        <sz val="10"/>
        <rFont val="標楷體"/>
        <family val="4"/>
        <charset val="136"/>
      </rPr>
      <t>除列按攤銷後成本衡量之金融資產淨損益</t>
    </r>
    <phoneticPr fontId="32" type="noConversion"/>
  </si>
  <si>
    <r>
      <rPr>
        <sz val="10"/>
        <rFont val="標楷體"/>
        <family val="4"/>
        <charset val="136"/>
      </rPr>
      <t>採用權益法認列之關聯企業及合資損益之份額</t>
    </r>
    <phoneticPr fontId="32" type="noConversion"/>
  </si>
  <si>
    <r>
      <rPr>
        <sz val="10"/>
        <rFont val="標楷體"/>
        <family val="4"/>
        <charset val="136"/>
      </rPr>
      <t>兌換損益</t>
    </r>
    <phoneticPr fontId="32" type="noConversion"/>
  </si>
  <si>
    <r>
      <rPr>
        <sz val="10"/>
        <rFont val="標楷體"/>
        <family val="4"/>
        <charset val="136"/>
      </rPr>
      <t>投資性不動產損益</t>
    </r>
    <phoneticPr fontId="32" type="noConversion"/>
  </si>
  <si>
    <r>
      <rPr>
        <sz val="10"/>
        <rFont val="標楷體"/>
        <family val="4"/>
        <charset val="136"/>
      </rPr>
      <t>投資之預期信用減損損失及迴轉利益</t>
    </r>
    <phoneticPr fontId="32" type="noConversion"/>
  </si>
  <si>
    <r>
      <rPr>
        <sz val="10"/>
        <rFont val="標楷體"/>
        <family val="4"/>
        <charset val="136"/>
      </rPr>
      <t>其他投資減損損失及迴轉利益</t>
    </r>
    <phoneticPr fontId="32" type="noConversion"/>
  </si>
  <si>
    <r>
      <rPr>
        <sz val="10"/>
        <rFont val="標楷體"/>
        <family val="4"/>
        <charset val="136"/>
      </rPr>
      <t>金融資產重分類損益</t>
    </r>
    <phoneticPr fontId="32" type="noConversion"/>
  </si>
  <si>
    <r>
      <rPr>
        <sz val="10"/>
        <rFont val="標楷體"/>
        <family val="4"/>
        <charset val="136"/>
      </rPr>
      <t>其他淨投資損益</t>
    </r>
    <phoneticPr fontId="32" type="noConversion"/>
  </si>
  <si>
    <r>
      <rPr>
        <sz val="10"/>
        <rFont val="標楷體"/>
        <family val="4"/>
        <charset val="136"/>
      </rPr>
      <t>採用覆蓋法之重分類損益</t>
    </r>
    <phoneticPr fontId="32" type="noConversion"/>
  </si>
  <si>
    <r>
      <rPr>
        <sz val="10"/>
        <rFont val="標楷體"/>
        <family val="4"/>
        <charset val="136"/>
      </rPr>
      <t>透過其他綜合損益按公允價值衡量之權益工具評價損益</t>
    </r>
    <phoneticPr fontId="32" type="noConversion"/>
  </si>
  <si>
    <r>
      <rPr>
        <sz val="10"/>
        <rFont val="標楷體"/>
        <family val="4"/>
        <charset val="136"/>
      </rPr>
      <t>透過其他綜合損益按公允價值衡量之債務工具損益</t>
    </r>
    <phoneticPr fontId="32" type="noConversion"/>
  </si>
  <si>
    <r>
      <rPr>
        <sz val="10"/>
        <rFont val="標楷體"/>
        <family val="4"/>
        <charset val="136"/>
      </rPr>
      <t>避險工具之利益及損失</t>
    </r>
    <phoneticPr fontId="32" type="noConversion"/>
  </si>
  <si>
    <r>
      <rPr>
        <sz val="10"/>
        <rFont val="標楷體"/>
        <family val="4"/>
        <charset val="136"/>
      </rPr>
      <t>採用權益法之關聯企業及合資其他綜合損益之份額</t>
    </r>
    <phoneticPr fontId="32" type="noConversion"/>
  </si>
  <si>
    <r>
      <rPr>
        <sz val="10"/>
        <rFont val="標楷體"/>
        <family val="4"/>
        <charset val="136"/>
      </rPr>
      <t>採用覆蓋法之重分類其他綜合損益</t>
    </r>
    <phoneticPr fontId="32" type="noConversion"/>
  </si>
  <si>
    <r>
      <rPr>
        <sz val="10"/>
        <rFont val="標楷體"/>
        <family val="4"/>
        <charset val="136"/>
      </rPr>
      <t>透過其他綜合損益按公允價值衡量之權益工具處分損益</t>
    </r>
    <phoneticPr fontId="32" type="noConversion"/>
  </si>
  <si>
    <r>
      <rPr>
        <sz val="10"/>
        <rFont val="標楷體"/>
        <family val="4"/>
        <charset val="136"/>
      </rPr>
      <t>其他</t>
    </r>
    <phoneticPr fontId="32" type="noConversion"/>
  </si>
  <si>
    <r>
      <rPr>
        <sz val="10"/>
        <rFont val="標楷體"/>
        <family val="4"/>
        <charset val="136"/>
      </rPr>
      <t>本</t>
    </r>
    <r>
      <rPr>
        <sz val="10"/>
        <rFont val="Times New Roman"/>
        <family val="1"/>
      </rPr>
      <t>(</t>
    </r>
    <r>
      <rPr>
        <sz val="10"/>
        <rFont val="標楷體"/>
        <family val="4"/>
        <charset val="136"/>
      </rPr>
      <t>半</t>
    </r>
    <r>
      <rPr>
        <sz val="10"/>
        <rFont val="Times New Roman"/>
        <family val="1"/>
      </rPr>
      <t>)</t>
    </r>
    <r>
      <rPr>
        <sz val="10"/>
        <rFont val="標楷體"/>
        <family val="4"/>
        <charset val="136"/>
      </rPr>
      <t>年累積</t>
    </r>
    <phoneticPr fontId="29" type="noConversion"/>
  </si>
  <si>
    <r>
      <t>__</t>
    </r>
    <r>
      <rPr>
        <sz val="10"/>
        <rFont val="標楷體"/>
        <family val="4"/>
        <charset val="136"/>
      </rPr>
      <t>年下半年資金運用收益率</t>
    </r>
    <phoneticPr fontId="29" type="noConversion"/>
  </si>
  <si>
    <r>
      <rPr>
        <sz val="10"/>
        <rFont val="標楷體"/>
        <family val="4"/>
        <charset val="136"/>
      </rPr>
      <t>抵</t>
    </r>
    <r>
      <rPr>
        <sz val="10"/>
        <rFont val="Times New Roman"/>
        <family val="1"/>
      </rPr>
      <t>(</t>
    </r>
    <r>
      <rPr>
        <sz val="10"/>
        <rFont val="標楷體"/>
        <family val="4"/>
        <charset val="136"/>
      </rPr>
      <t>質</t>
    </r>
    <r>
      <rPr>
        <sz val="10"/>
        <rFont val="Times New Roman"/>
        <family val="1"/>
      </rPr>
      <t>)</t>
    </r>
    <r>
      <rPr>
        <sz val="10"/>
        <rFont val="標楷體"/>
        <family val="4"/>
        <charset val="136"/>
      </rPr>
      <t>押放款</t>
    </r>
    <phoneticPr fontId="29" type="noConversion"/>
  </si>
  <si>
    <r>
      <rPr>
        <sz val="10"/>
        <rFont val="標楷體"/>
        <family val="4"/>
        <charset val="136"/>
      </rPr>
      <t>受益憑證</t>
    </r>
    <r>
      <rPr>
        <sz val="10"/>
        <rFont val="Times New Roman"/>
        <family val="1"/>
      </rPr>
      <t>(</t>
    </r>
    <r>
      <rPr>
        <sz val="10"/>
        <rFont val="標楷體"/>
        <family val="4"/>
        <charset val="136"/>
      </rPr>
      <t>基金</t>
    </r>
    <r>
      <rPr>
        <sz val="10"/>
        <rFont val="Times New Roman"/>
        <family val="1"/>
      </rPr>
      <t>)</t>
    </r>
    <phoneticPr fontId="29" type="noConversion"/>
  </si>
  <si>
    <r>
      <rPr>
        <sz val="10"/>
        <rFont val="標楷體"/>
        <family val="4"/>
        <charset val="136"/>
      </rPr>
      <t>本表不含分離帳戶保險商品之專設帳簿資產</t>
    </r>
    <phoneticPr fontId="29" type="noConversion"/>
  </si>
  <si>
    <r>
      <rPr>
        <sz val="10"/>
        <rFont val="標楷體"/>
        <family val="4"/>
        <charset val="136"/>
      </rPr>
      <t>直接業管費用含該類投資非金融資產減損損失及迴轉利益、折舊費用、稅負、及其他因本項交易所衍生直接成本，如委託投資機構操作費用、保管費用或操作匯率、指數</t>
    </r>
    <r>
      <rPr>
        <sz val="10"/>
        <rFont val="Times New Roman"/>
        <family val="1"/>
      </rPr>
      <t>…</t>
    </r>
    <r>
      <rPr>
        <sz val="10"/>
        <rFont val="標楷體"/>
        <family val="4"/>
        <charset val="136"/>
      </rPr>
      <t>避險投資交易所衍生之相關費用等</t>
    </r>
    <r>
      <rPr>
        <sz val="10"/>
        <rFont val="Times New Roman"/>
        <family val="1"/>
      </rPr>
      <t>(</t>
    </r>
    <r>
      <rPr>
        <sz val="10"/>
        <rFont val="標楷體"/>
        <family val="4"/>
        <charset val="136"/>
      </rPr>
      <t>成本分攤由公司採一致性原則核實攤列</t>
    </r>
    <r>
      <rPr>
        <sz val="10"/>
        <rFont val="Times New Roman"/>
        <family val="1"/>
      </rPr>
      <t>)</t>
    </r>
    <phoneticPr fontId="32" type="noConversion"/>
  </si>
  <si>
    <r>
      <rPr>
        <sz val="10"/>
        <rFont val="標楷體"/>
        <family val="4"/>
        <charset val="136"/>
      </rPr>
      <t>所稱本期及上期於填報</t>
    </r>
    <r>
      <rPr>
        <sz val="10"/>
        <rFont val="Times New Roman"/>
        <family val="1"/>
      </rPr>
      <t>(</t>
    </r>
    <r>
      <rPr>
        <sz val="10"/>
        <rFont val="標楷體"/>
        <family val="4"/>
        <charset val="136"/>
      </rPr>
      <t>半</t>
    </r>
    <r>
      <rPr>
        <sz val="10"/>
        <rFont val="Times New Roman"/>
        <family val="1"/>
      </rPr>
      <t>)</t>
    </r>
    <r>
      <rPr>
        <sz val="10"/>
        <rFont val="標楷體"/>
        <family val="4"/>
        <charset val="136"/>
      </rPr>
      <t>年報時係指本</t>
    </r>
    <r>
      <rPr>
        <sz val="10"/>
        <rFont val="Times New Roman"/>
        <family val="1"/>
      </rPr>
      <t>(</t>
    </r>
    <r>
      <rPr>
        <sz val="10"/>
        <rFont val="標楷體"/>
        <family val="4"/>
        <charset val="136"/>
      </rPr>
      <t>半</t>
    </r>
    <r>
      <rPr>
        <sz val="10"/>
        <rFont val="Times New Roman"/>
        <family val="1"/>
      </rPr>
      <t>)</t>
    </r>
    <r>
      <rPr>
        <sz val="10"/>
        <rFont val="標楷體"/>
        <family val="4"/>
        <charset val="136"/>
      </rPr>
      <t>年度及上</t>
    </r>
    <r>
      <rPr>
        <sz val="10"/>
        <rFont val="Times New Roman"/>
        <family val="1"/>
      </rPr>
      <t>(</t>
    </r>
    <r>
      <rPr>
        <sz val="10"/>
        <rFont val="標楷體"/>
        <family val="4"/>
        <charset val="136"/>
      </rPr>
      <t>半</t>
    </r>
    <r>
      <rPr>
        <sz val="10"/>
        <rFont val="Times New Roman"/>
        <family val="1"/>
      </rPr>
      <t>)</t>
    </r>
    <r>
      <rPr>
        <sz val="10"/>
        <rFont val="標楷體"/>
        <family val="4"/>
        <charset val="136"/>
      </rPr>
      <t>年度餘額</t>
    </r>
    <phoneticPr fontId="26" type="noConversion"/>
  </si>
  <si>
    <r>
      <rPr>
        <sz val="10"/>
        <rFont val="標楷體"/>
        <family val="4"/>
        <charset val="136"/>
      </rPr>
      <t>資金運用收益率</t>
    </r>
    <r>
      <rPr>
        <sz val="10"/>
        <rFont val="Times New Roman"/>
        <family val="1"/>
      </rPr>
      <t>=</t>
    </r>
    <r>
      <rPr>
        <sz val="10"/>
        <rFont val="標楷體"/>
        <family val="4"/>
        <charset val="136"/>
      </rPr>
      <t>２</t>
    </r>
    <r>
      <rPr>
        <sz val="10"/>
        <rFont val="Times New Roman"/>
        <family val="1"/>
      </rPr>
      <t>×</t>
    </r>
    <r>
      <rPr>
        <sz val="10"/>
        <rFont val="標楷體"/>
        <family val="4"/>
        <charset val="136"/>
      </rPr>
      <t>本期投資收益／（前期期末資金運用數＊</t>
    </r>
    <r>
      <rPr>
        <sz val="10"/>
        <rFont val="Times New Roman"/>
        <family val="1"/>
      </rPr>
      <t>+</t>
    </r>
    <r>
      <rPr>
        <sz val="10"/>
        <rFont val="標楷體"/>
        <family val="4"/>
        <charset val="136"/>
      </rPr>
      <t>本期期末資金運用數＊－本期投資收益），當期間未滿一年</t>
    </r>
    <r>
      <rPr>
        <sz val="10"/>
        <rFont val="Times New Roman"/>
        <family val="1"/>
      </rPr>
      <t>(</t>
    </r>
    <r>
      <rPr>
        <sz val="10"/>
        <rFont val="標楷體"/>
        <family val="4"/>
        <charset val="136"/>
      </rPr>
      <t>半年</t>
    </r>
    <r>
      <rPr>
        <sz val="10"/>
        <rFont val="Times New Roman"/>
        <family val="1"/>
      </rPr>
      <t>)</t>
    </r>
    <r>
      <rPr>
        <sz val="10"/>
        <rFont val="標楷體"/>
        <family val="4"/>
        <charset val="136"/>
      </rPr>
      <t>者，請按其期間予以年化</t>
    </r>
    <r>
      <rPr>
        <sz val="10"/>
        <rFont val="Times New Roman"/>
        <family val="1"/>
      </rPr>
      <t>(</t>
    </r>
    <r>
      <rPr>
        <sz val="10"/>
        <rFont val="標楷體"/>
        <family val="4"/>
        <charset val="136"/>
      </rPr>
      <t>半年化</t>
    </r>
    <r>
      <rPr>
        <sz val="10"/>
        <rFont val="Times New Roman"/>
        <family val="1"/>
      </rPr>
      <t>)</t>
    </r>
    <r>
      <rPr>
        <sz val="10"/>
        <rFont val="標楷體"/>
        <family val="4"/>
        <charset val="136"/>
      </rPr>
      <t>收益率</t>
    </r>
    <r>
      <rPr>
        <sz val="10"/>
        <rFont val="Times New Roman"/>
        <family val="1"/>
      </rPr>
      <t>;</t>
    </r>
    <phoneticPr fontId="29" type="noConversion"/>
  </si>
  <si>
    <r>
      <rPr>
        <sz val="10"/>
        <rFont val="標楷體"/>
        <family val="4"/>
        <charset val="136"/>
      </rPr>
      <t>本表與財務業務指標計算表所列資金運用</t>
    </r>
    <r>
      <rPr>
        <sz val="10"/>
        <rFont val="Times New Roman"/>
        <family val="1"/>
      </rPr>
      <t>(</t>
    </r>
    <r>
      <rPr>
        <sz val="10"/>
        <rFont val="標楷體"/>
        <family val="4"/>
        <charset val="136"/>
      </rPr>
      <t>淨</t>
    </r>
    <r>
      <rPr>
        <sz val="10"/>
        <rFont val="Times New Roman"/>
        <family val="1"/>
      </rPr>
      <t>)</t>
    </r>
    <r>
      <rPr>
        <sz val="10"/>
        <rFont val="標楷體"/>
        <family val="4"/>
        <charset val="136"/>
      </rPr>
      <t>收益率計算基礎不同。</t>
    </r>
    <phoneticPr fontId="29" type="noConversion"/>
  </si>
  <si>
    <r>
      <rPr>
        <sz val="10"/>
        <rFont val="標楷體"/>
        <family val="4"/>
        <charset val="136"/>
      </rPr>
      <t>各項標的資金運用收益率</t>
    </r>
    <r>
      <rPr>
        <sz val="10"/>
        <rFont val="Times New Roman"/>
        <family val="1"/>
      </rPr>
      <t>=</t>
    </r>
    <r>
      <rPr>
        <sz val="10"/>
        <rFont val="標楷體"/>
        <family val="4"/>
        <charset val="136"/>
      </rPr>
      <t>２</t>
    </r>
    <r>
      <rPr>
        <sz val="10"/>
        <rFont val="Times New Roman"/>
        <family val="1"/>
      </rPr>
      <t>×</t>
    </r>
    <r>
      <rPr>
        <sz val="10"/>
        <rFont val="標楷體"/>
        <family val="4"/>
        <charset val="136"/>
      </rPr>
      <t>該項標的本期投資收益／（該項標的前期期末資金運用數＊</t>
    </r>
    <r>
      <rPr>
        <sz val="10"/>
        <rFont val="Times New Roman"/>
        <family val="1"/>
      </rPr>
      <t>+</t>
    </r>
    <r>
      <rPr>
        <sz val="10"/>
        <rFont val="標楷體"/>
        <family val="4"/>
        <charset val="136"/>
      </rPr>
      <t>該項標的本期期末資金運用數＊－該項標的本期投資收益），當期間未滿一年</t>
    </r>
    <r>
      <rPr>
        <sz val="10"/>
        <rFont val="Times New Roman"/>
        <family val="1"/>
      </rPr>
      <t>(</t>
    </r>
    <r>
      <rPr>
        <sz val="10"/>
        <rFont val="標楷體"/>
        <family val="4"/>
        <charset val="136"/>
      </rPr>
      <t>半年</t>
    </r>
    <r>
      <rPr>
        <sz val="10"/>
        <rFont val="Times New Roman"/>
        <family val="1"/>
      </rPr>
      <t>)</t>
    </r>
    <r>
      <rPr>
        <sz val="10"/>
        <rFont val="標楷體"/>
        <family val="4"/>
        <charset val="136"/>
      </rPr>
      <t>者，</t>
    </r>
    <phoneticPr fontId="29" type="noConversion"/>
  </si>
  <si>
    <r>
      <rPr>
        <sz val="10"/>
        <rFont val="標楷體"/>
        <family val="4"/>
        <charset val="136"/>
      </rPr>
      <t>請按其期間予以年化</t>
    </r>
    <r>
      <rPr>
        <sz val="10"/>
        <rFont val="Times New Roman"/>
        <family val="1"/>
      </rPr>
      <t>(</t>
    </r>
    <r>
      <rPr>
        <sz val="10"/>
        <rFont val="標楷體"/>
        <family val="4"/>
        <charset val="136"/>
      </rPr>
      <t>半年化</t>
    </r>
    <r>
      <rPr>
        <sz val="10"/>
        <rFont val="Times New Roman"/>
        <family val="1"/>
      </rPr>
      <t>)</t>
    </r>
    <r>
      <rPr>
        <sz val="10"/>
        <rFont val="標楷體"/>
        <family val="4"/>
        <charset val="136"/>
      </rPr>
      <t>收益率，填列最近</t>
    </r>
    <r>
      <rPr>
        <sz val="10"/>
        <rFont val="Times New Roman"/>
        <family val="1"/>
      </rPr>
      <t>5</t>
    </r>
    <r>
      <rPr>
        <sz val="10"/>
        <rFont val="標楷體"/>
        <family val="4"/>
        <charset val="136"/>
      </rPr>
      <t>年度之資本運用收益率。</t>
    </r>
    <phoneticPr fontId="29" type="noConversion"/>
  </si>
  <si>
    <r>
      <rPr>
        <sz val="10"/>
        <rFont val="標楷體"/>
        <family val="4"/>
        <charset val="136"/>
      </rPr>
      <t>＊係指投資性不動產後續衡量未採用公允價值模式之資金運用數</t>
    </r>
    <phoneticPr fontId="29" type="noConversion"/>
  </si>
  <si>
    <r>
      <rPr>
        <sz val="10"/>
        <rFont val="標楷體"/>
        <family val="4"/>
        <charset val="136"/>
      </rPr>
      <t>淨投資損益</t>
    </r>
    <phoneticPr fontId="32" type="noConversion"/>
  </si>
  <si>
    <r>
      <rPr>
        <sz val="10"/>
        <rFont val="標楷體"/>
        <family val="4"/>
        <charset val="136"/>
      </rPr>
      <t>透過其他綜合損益按公允價值衡量之金融資產已實現損益</t>
    </r>
    <phoneticPr fontId="32" type="noConversion"/>
  </si>
  <si>
    <r>
      <rPr>
        <b/>
        <sz val="12"/>
        <rFont val="標楷體"/>
        <family val="4"/>
        <charset val="136"/>
      </rPr>
      <t>列號</t>
    </r>
    <phoneticPr fontId="26" type="noConversion"/>
  </si>
  <si>
    <r>
      <rPr>
        <b/>
        <sz val="12"/>
        <rFont val="標楷體"/>
        <family val="4"/>
        <charset val="136"/>
      </rPr>
      <t>資產項目</t>
    </r>
    <phoneticPr fontId="26" type="noConversion"/>
  </si>
  <si>
    <r>
      <rPr>
        <b/>
        <sz val="12"/>
        <rFont val="標楷體"/>
        <family val="4"/>
        <charset val="136"/>
      </rPr>
      <t>基準係數</t>
    </r>
    <phoneticPr fontId="26" type="noConversion"/>
  </si>
  <si>
    <r>
      <rPr>
        <b/>
        <sz val="12"/>
        <rFont val="標楷體"/>
        <family val="4"/>
        <charset val="136"/>
      </rPr>
      <t>計算</t>
    </r>
    <r>
      <rPr>
        <b/>
        <sz val="12"/>
        <rFont val="Times New Roman"/>
        <family val="1"/>
      </rPr>
      <t>β</t>
    </r>
    <r>
      <rPr>
        <b/>
        <sz val="12"/>
        <rFont val="標楷體"/>
        <family val="4"/>
        <charset val="136"/>
      </rPr>
      <t>值後係數</t>
    </r>
    <phoneticPr fontId="26" type="noConversion"/>
  </si>
  <si>
    <r>
      <rPr>
        <b/>
        <sz val="12"/>
        <rFont val="標楷體"/>
        <family val="4"/>
        <charset val="136"/>
      </rPr>
      <t>係數上限</t>
    </r>
    <phoneticPr fontId="26" type="noConversion"/>
  </si>
  <si>
    <r>
      <rPr>
        <b/>
        <sz val="12"/>
        <rFont val="標楷體"/>
        <family val="4"/>
        <charset val="136"/>
      </rPr>
      <t>調整後風險係數</t>
    </r>
    <phoneticPr fontId="26" type="noConversion"/>
  </si>
  <si>
    <t>(4) = (2) + (3)</t>
    <phoneticPr fontId="26" type="noConversion"/>
  </si>
  <si>
    <t xml:space="preserve"> (9) = max{min[(7),(6)],(8)}</t>
    <phoneticPr fontId="26" type="noConversion"/>
  </si>
  <si>
    <r>
      <rPr>
        <sz val="12"/>
        <rFont val="標楷體"/>
        <family val="4"/>
        <charset val="136"/>
      </rPr>
      <t>未擔任被投資公司之董監事</t>
    </r>
    <phoneticPr fontId="26" type="noConversion"/>
  </si>
  <si>
    <r>
      <rPr>
        <sz val="12"/>
        <rFont val="標楷體"/>
        <family val="4"/>
        <charset val="136"/>
      </rPr>
      <t>上櫃普通股</t>
    </r>
    <phoneticPr fontId="26" type="noConversion"/>
  </si>
  <si>
    <r>
      <rPr>
        <sz val="12"/>
        <rFont val="標楷體"/>
        <family val="4"/>
        <charset val="136"/>
      </rPr>
      <t>股票型共同基金</t>
    </r>
  </si>
  <si>
    <r>
      <rPr>
        <b/>
        <sz val="12"/>
        <rFont val="標楷體"/>
        <family val="4"/>
        <charset val="136"/>
      </rPr>
      <t>合計</t>
    </r>
    <phoneticPr fontId="29" type="noConversion"/>
  </si>
  <si>
    <r>
      <rPr>
        <sz val="12"/>
        <rFont val="標楷體"/>
        <family val="4"/>
        <charset val="136"/>
      </rPr>
      <t>表</t>
    </r>
    <r>
      <rPr>
        <sz val="12"/>
        <rFont val="Times New Roman"/>
        <family val="1"/>
      </rPr>
      <t>30-8-1</t>
    </r>
    <r>
      <rPr>
        <sz val="12"/>
        <rFont val="標楷體"/>
        <family val="4"/>
        <charset val="136"/>
      </rPr>
      <t>：發行負債型特別股明細表（自</t>
    </r>
    <r>
      <rPr>
        <sz val="12"/>
        <rFont val="Times New Roman"/>
        <family val="1"/>
      </rPr>
      <t>97</t>
    </r>
    <r>
      <rPr>
        <sz val="12"/>
        <rFont val="標楷體"/>
        <family val="4"/>
        <charset val="136"/>
      </rPr>
      <t>年</t>
    </r>
    <r>
      <rPr>
        <sz val="12"/>
        <rFont val="Times New Roman"/>
        <family val="1"/>
      </rPr>
      <t>11</t>
    </r>
    <r>
      <rPr>
        <sz val="12"/>
        <rFont val="標楷體"/>
        <family val="4"/>
        <charset val="136"/>
      </rPr>
      <t>月</t>
    </r>
    <r>
      <rPr>
        <sz val="12"/>
        <rFont val="Times New Roman"/>
        <family val="1"/>
      </rPr>
      <t>15</t>
    </r>
    <r>
      <rPr>
        <sz val="12"/>
        <rFont val="標楷體"/>
        <family val="4"/>
        <charset val="136"/>
      </rPr>
      <t>日起發行者</t>
    </r>
    <r>
      <rPr>
        <sz val="12"/>
        <rFont val="Times New Roman"/>
        <family val="1"/>
      </rPr>
      <t>)</t>
    </r>
    <phoneticPr fontId="26" type="noConversion"/>
  </si>
  <si>
    <r>
      <rPr>
        <b/>
        <sz val="12"/>
        <rFont val="標楷體"/>
        <family val="4"/>
        <charset val="136"/>
      </rPr>
      <t>列號</t>
    </r>
  </si>
  <si>
    <r>
      <rPr>
        <b/>
        <sz val="12"/>
        <rFont val="標楷體"/>
        <family val="4"/>
        <charset val="136"/>
      </rPr>
      <t>與本公司關係</t>
    </r>
    <phoneticPr fontId="26" type="noConversion"/>
  </si>
  <si>
    <r>
      <rPr>
        <b/>
        <sz val="12"/>
        <rFont val="標楷體"/>
        <family val="4"/>
        <charset val="136"/>
      </rPr>
      <t>募集方式</t>
    </r>
    <phoneticPr fontId="29" type="noConversion"/>
  </si>
  <si>
    <r>
      <rPr>
        <b/>
        <sz val="12"/>
        <rFont val="標楷體"/>
        <family val="4"/>
        <charset val="136"/>
      </rPr>
      <t>發行日</t>
    </r>
    <phoneticPr fontId="26" type="noConversion"/>
  </si>
  <si>
    <r>
      <rPr>
        <b/>
        <sz val="12"/>
        <rFont val="標楷體"/>
        <family val="4"/>
        <charset val="136"/>
      </rPr>
      <t>剩餘年限</t>
    </r>
    <phoneticPr fontId="26" type="noConversion"/>
  </si>
  <si>
    <r>
      <rPr>
        <b/>
        <sz val="12"/>
        <rFont val="標楷體"/>
        <family val="4"/>
        <charset val="136"/>
      </rPr>
      <t>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26" type="noConversion"/>
  </si>
  <si>
    <r>
      <rPr>
        <b/>
        <sz val="12"/>
        <rFont val="標楷體"/>
        <family val="4"/>
        <charset val="136"/>
      </rPr>
      <t>計入自有資本比例</t>
    </r>
    <phoneticPr fontId="26" type="noConversion"/>
  </si>
  <si>
    <r>
      <rPr>
        <b/>
        <sz val="12"/>
        <rFont val="標楷體"/>
        <family val="4"/>
        <charset val="136"/>
      </rPr>
      <t>備註</t>
    </r>
    <phoneticPr fontId="26" type="noConversion"/>
  </si>
  <si>
    <r>
      <rPr>
        <sz val="12"/>
        <rFont val="標楷體"/>
        <family val="4"/>
        <charset val="136"/>
      </rPr>
      <t>單位：新台幣元</t>
    </r>
    <r>
      <rPr>
        <sz val="12"/>
        <rFont val="Times New Roman"/>
        <family val="1"/>
      </rPr>
      <t xml:space="preserve">, </t>
    </r>
    <r>
      <rPr>
        <sz val="12"/>
        <rFont val="標楷體"/>
        <family val="4"/>
        <charset val="136"/>
      </rPr>
      <t>％</t>
    </r>
    <phoneticPr fontId="29" type="noConversion"/>
  </si>
  <si>
    <r>
      <rPr>
        <b/>
        <sz val="12"/>
        <rFont val="標楷體"/>
        <family val="4"/>
        <charset val="136"/>
      </rPr>
      <t>合計</t>
    </r>
  </si>
  <si>
    <t>MSCI World Gross Total Return USD Index</t>
  </si>
  <si>
    <t>MSCI Emerging Markets Gross Total Return USD Index</t>
  </si>
  <si>
    <t>未適格再保險未滿期保費準備之提存，請依保險業會計系統擇一方式計算之，其方式為：1. 逐項提存法  2. 簡易提存法，並於備註欄註明提存方式。</t>
    <phoneticPr fontId="14" type="noConversion"/>
  </si>
  <si>
    <t>未適格再保險未滿期保費準備之提存，請依保險業會計系統擇一方式計算之，其方式為：1. 逐項提存法  2. 簡易提存法，並於備註欄註明提存方式。</t>
    <phoneticPr fontId="14" type="noConversion"/>
  </si>
  <si>
    <r>
      <rPr>
        <sz val="10"/>
        <rFont val="標楷體"/>
        <family val="4"/>
        <charset val="136"/>
      </rPr>
      <t>本表之本期投資損益及上期投資損益均不含外匯價格變動準備金淨變動</t>
    </r>
    <phoneticPr fontId="29" type="noConversion"/>
  </si>
  <si>
    <r>
      <rPr>
        <sz val="10"/>
        <rFont val="標楷體"/>
        <family val="4"/>
        <charset val="136"/>
      </rPr>
      <t>表</t>
    </r>
    <r>
      <rPr>
        <sz val="10"/>
        <rFont val="Book Antiqua"/>
        <family val="1"/>
      </rPr>
      <t>13-1</t>
    </r>
    <r>
      <rPr>
        <sz val="10"/>
        <rFont val="標楷體"/>
        <family val="4"/>
        <charset val="136"/>
      </rPr>
      <t>：不動產餘額明細表</t>
    </r>
    <phoneticPr fontId="29" type="noConversion"/>
  </si>
  <si>
    <r>
      <rPr>
        <sz val="10"/>
        <rFont val="標楷體"/>
        <family val="4"/>
        <charset val="136"/>
      </rPr>
      <t>首次採用國際會計準則調整數</t>
    </r>
    <phoneticPr fontId="32" type="noConversion"/>
  </si>
  <si>
    <r>
      <rPr>
        <sz val="10"/>
        <rFont val="標楷體"/>
        <family val="4"/>
        <charset val="136"/>
      </rPr>
      <t>後續衡量採用公允價值模式之影響金額</t>
    </r>
    <phoneticPr fontId="32" type="noConversion"/>
  </si>
  <si>
    <r>
      <rPr>
        <sz val="10"/>
        <rFont val="標楷體"/>
        <family val="4"/>
        <charset val="136"/>
      </rPr>
      <t>得計入自有資本之最大金額</t>
    </r>
    <phoneticPr fontId="29" type="noConversion"/>
  </si>
  <si>
    <r>
      <rPr>
        <sz val="10"/>
        <rFont val="標楷體"/>
        <family val="4"/>
        <charset val="136"/>
      </rPr>
      <t>抵減項目於房屋部分指累計折舊、累計減損及建物增值稅</t>
    </r>
    <r>
      <rPr>
        <sz val="10"/>
        <rFont val="Book Antiqua"/>
        <family val="1"/>
      </rPr>
      <t>,</t>
    </r>
    <r>
      <rPr>
        <sz val="10"/>
        <rFont val="標楷體"/>
        <family val="4"/>
        <charset val="136"/>
      </rPr>
      <t>土地部分指土地增值稅準備及累計減損；以及不動產採用國際財務報導準則第</t>
    </r>
    <r>
      <rPr>
        <sz val="10"/>
        <rFont val="Book Antiqua"/>
        <family val="1"/>
      </rPr>
      <t xml:space="preserve">16 </t>
    </r>
    <r>
      <rPr>
        <sz val="10"/>
        <rFont val="標楷體"/>
        <family val="4"/>
        <charset val="136"/>
      </rPr>
      <t>號「租賃」</t>
    </r>
    <r>
      <rPr>
        <sz val="10"/>
        <rFont val="Book Antiqua"/>
        <family val="1"/>
      </rPr>
      <t>(IFRS 16)</t>
    </r>
    <r>
      <rPr>
        <sz val="10"/>
        <rFont val="標楷體"/>
        <family val="4"/>
        <charset val="136"/>
      </rPr>
      <t>產生之租賃負債。有「不動產採用</t>
    </r>
    <r>
      <rPr>
        <sz val="10"/>
        <rFont val="Book Antiqua"/>
        <family val="1"/>
      </rPr>
      <t>IFRS16</t>
    </r>
    <r>
      <rPr>
        <sz val="10"/>
        <rFont val="標楷體"/>
        <family val="4"/>
        <charset val="136"/>
      </rPr>
      <t>產生之租賃負債」抵減項目者，應於備註欄位註明抵減金額數。</t>
    </r>
    <phoneticPr fontId="26" type="noConversion"/>
  </si>
  <si>
    <t>「表03：資產負債表」第(7)欄第(60+62)列</t>
    <phoneticPr fontId="26" type="noConversion"/>
  </si>
  <si>
    <r>
      <rPr>
        <sz val="10"/>
        <rFont val="標楷體"/>
        <family val="4"/>
        <charset val="136"/>
      </rPr>
      <t>「表</t>
    </r>
    <r>
      <rPr>
        <sz val="10"/>
        <rFont val="Book Antiqua"/>
        <family val="1"/>
      </rPr>
      <t>03</t>
    </r>
    <r>
      <rPr>
        <sz val="10"/>
        <rFont val="標楷體"/>
        <family val="4"/>
        <charset val="136"/>
      </rPr>
      <t>：資產負債表」第</t>
    </r>
    <r>
      <rPr>
        <sz val="10"/>
        <rFont val="Book Antiqua"/>
        <family val="1"/>
      </rPr>
      <t>(7)</t>
    </r>
    <r>
      <rPr>
        <sz val="10"/>
        <rFont val="標楷體"/>
        <family val="4"/>
        <charset val="136"/>
      </rPr>
      <t>欄第</t>
    </r>
    <r>
      <rPr>
        <sz val="10"/>
        <rFont val="Book Antiqua"/>
        <family val="1"/>
      </rPr>
      <t>(98-63-64-65-66-67-92)</t>
    </r>
    <r>
      <rPr>
        <sz val="10"/>
        <rFont val="標楷體"/>
        <family val="4"/>
        <charset val="136"/>
      </rPr>
      <t>列</t>
    </r>
    <r>
      <rPr>
        <sz val="10"/>
        <rFont val="Book Antiqua"/>
        <family val="1"/>
      </rPr>
      <t>-</t>
    </r>
    <r>
      <rPr>
        <sz val="10"/>
        <rFont val="標楷體"/>
        <family val="4"/>
        <charset val="136"/>
      </rPr>
      <t>「表</t>
    </r>
    <r>
      <rPr>
        <sz val="10"/>
        <rFont val="Book Antiqua"/>
        <family val="1"/>
      </rPr>
      <t>30-8-3</t>
    </r>
    <r>
      <rPr>
        <sz val="10"/>
        <rFont val="標楷體"/>
        <family val="4"/>
        <charset val="136"/>
      </rPr>
      <t>：不動產投資採市價評價計入自有資本調整計算表」第</t>
    </r>
    <r>
      <rPr>
        <sz val="10"/>
        <rFont val="Book Antiqua"/>
        <family val="1"/>
      </rPr>
      <t>(13)</t>
    </r>
    <r>
      <rPr>
        <sz val="10"/>
        <rFont val="標楷體"/>
        <family val="4"/>
        <charset val="136"/>
      </rPr>
      <t>欄第</t>
    </r>
    <r>
      <rPr>
        <sz val="10"/>
        <rFont val="Book Antiqua"/>
        <family val="1"/>
      </rPr>
      <t>(15)</t>
    </r>
    <r>
      <rPr>
        <sz val="10"/>
        <rFont val="標楷體"/>
        <family val="4"/>
        <charset val="136"/>
      </rPr>
      <t>列</t>
    </r>
    <phoneticPr fontId="26" type="noConversion"/>
  </si>
  <si>
    <r>
      <rPr>
        <sz val="10"/>
        <rFont val="標楷體"/>
        <family val="4"/>
        <charset val="136"/>
      </rPr>
      <t>本表第</t>
    </r>
    <r>
      <rPr>
        <sz val="10"/>
        <rFont val="Times New Roman"/>
        <family val="1"/>
      </rPr>
      <t>(1)</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03</t>
    </r>
    <r>
      <rPr>
        <sz val="10"/>
        <rFont val="標楷體"/>
        <family val="4"/>
        <charset val="136"/>
      </rPr>
      <t>資產負債表第</t>
    </r>
    <r>
      <rPr>
        <sz val="10"/>
        <rFont val="Times New Roman"/>
        <family val="1"/>
      </rPr>
      <t>(4)</t>
    </r>
    <r>
      <rPr>
        <sz val="10"/>
        <rFont val="標楷體"/>
        <family val="4"/>
        <charset val="136"/>
      </rPr>
      <t>欄第</t>
    </r>
    <r>
      <rPr>
        <sz val="10"/>
        <rFont val="Times New Roman"/>
        <family val="1"/>
      </rPr>
      <t>(59)</t>
    </r>
    <r>
      <rPr>
        <sz val="10"/>
        <rFont val="標楷體"/>
        <family val="4"/>
        <charset val="136"/>
      </rPr>
      <t>列之金額相一致。</t>
    </r>
    <phoneticPr fontId="26" type="noConversion"/>
  </si>
  <si>
    <r>
      <rPr>
        <sz val="10"/>
        <rFont val="標楷體"/>
        <family val="4"/>
        <charset val="136"/>
      </rPr>
      <t>本表第</t>
    </r>
    <r>
      <rPr>
        <sz val="10"/>
        <rFont val="Times New Roman"/>
        <family val="1"/>
      </rPr>
      <t>(2)</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03</t>
    </r>
    <r>
      <rPr>
        <sz val="10"/>
        <rFont val="標楷體"/>
        <family val="4"/>
        <charset val="136"/>
      </rPr>
      <t>資產負債表第</t>
    </r>
    <r>
      <rPr>
        <sz val="10"/>
        <rFont val="Times New Roman"/>
        <family val="1"/>
      </rPr>
      <t>(6)</t>
    </r>
    <r>
      <rPr>
        <sz val="10"/>
        <rFont val="標楷體"/>
        <family val="4"/>
        <charset val="136"/>
      </rPr>
      <t>欄第</t>
    </r>
    <r>
      <rPr>
        <sz val="10"/>
        <rFont val="Times New Roman"/>
        <family val="1"/>
      </rPr>
      <t>(59)</t>
    </r>
    <r>
      <rPr>
        <sz val="10"/>
        <rFont val="標楷體"/>
        <family val="4"/>
        <charset val="136"/>
      </rPr>
      <t>列之金額相一致。</t>
    </r>
    <phoneticPr fontId="26" type="noConversion"/>
  </si>
  <si>
    <r>
      <rPr>
        <sz val="10"/>
        <rFont val="標楷體"/>
        <family val="4"/>
        <charset val="136"/>
      </rPr>
      <t>本表第</t>
    </r>
    <r>
      <rPr>
        <sz val="10"/>
        <rFont val="Times New Roman"/>
        <family val="1"/>
      </rPr>
      <t>(3)</t>
    </r>
    <r>
      <rPr>
        <sz val="10"/>
        <rFont val="標楷體"/>
        <family val="4"/>
        <charset val="136"/>
      </rPr>
      <t>欄第</t>
    </r>
    <r>
      <rPr>
        <sz val="10"/>
        <rFont val="Times New Roman"/>
        <family val="1"/>
      </rPr>
      <t>(6)</t>
    </r>
    <r>
      <rPr>
        <sz val="10"/>
        <rFont val="標楷體"/>
        <family val="4"/>
        <charset val="136"/>
      </rPr>
      <t>列之金額應與表</t>
    </r>
    <r>
      <rPr>
        <sz val="10"/>
        <rFont val="Times New Roman"/>
        <family val="1"/>
      </rPr>
      <t>03</t>
    </r>
    <r>
      <rPr>
        <sz val="10"/>
        <rFont val="標楷體"/>
        <family val="4"/>
        <charset val="136"/>
      </rPr>
      <t>資產負債表第</t>
    </r>
    <r>
      <rPr>
        <sz val="10"/>
        <rFont val="Times New Roman"/>
        <family val="1"/>
      </rPr>
      <t>(7)</t>
    </r>
    <r>
      <rPr>
        <sz val="10"/>
        <rFont val="標楷體"/>
        <family val="4"/>
        <charset val="136"/>
      </rPr>
      <t>欄第</t>
    </r>
    <r>
      <rPr>
        <sz val="10"/>
        <rFont val="Times New Roman"/>
        <family val="1"/>
      </rPr>
      <t>(59)</t>
    </r>
    <r>
      <rPr>
        <sz val="10"/>
        <rFont val="標楷體"/>
        <family val="4"/>
        <charset val="136"/>
      </rPr>
      <t>列之金額相一致。</t>
    </r>
    <phoneticPr fontId="26" type="noConversion"/>
  </si>
  <si>
    <r>
      <t>___</t>
    </r>
    <r>
      <rPr>
        <sz val="12"/>
        <rFont val="標楷體"/>
        <family val="4"/>
        <charset val="136"/>
      </rPr>
      <t>年第</t>
    </r>
    <r>
      <rPr>
        <sz val="12"/>
        <rFont val="Times New Roman"/>
        <family val="1"/>
      </rPr>
      <t>__</t>
    </r>
    <r>
      <rPr>
        <sz val="12"/>
        <rFont val="標楷體"/>
        <family val="4"/>
        <charset val="136"/>
      </rPr>
      <t>次發行小計</t>
    </r>
    <phoneticPr fontId="29" type="noConversion"/>
  </si>
  <si>
    <r>
      <rPr>
        <sz val="12"/>
        <rFont val="標楷體"/>
        <family val="4"/>
        <charset val="136"/>
      </rPr>
      <t>填表說明：</t>
    </r>
    <phoneticPr fontId="26" type="noConversion"/>
  </si>
  <si>
    <r>
      <t xml:space="preserve">(1) </t>
    </r>
    <r>
      <rPr>
        <sz val="12"/>
        <rFont val="標楷體"/>
        <family val="4"/>
        <charset val="136"/>
      </rPr>
      <t>與本公司之關係請填</t>
    </r>
    <r>
      <rPr>
        <sz val="12"/>
        <rFont val="Times New Roman"/>
        <family val="1"/>
      </rPr>
      <t>A.</t>
    </r>
    <r>
      <rPr>
        <sz val="12"/>
        <rFont val="標楷體"/>
        <family val="4"/>
        <charset val="136"/>
      </rPr>
      <t>保險業負責人</t>
    </r>
    <r>
      <rPr>
        <sz val="12"/>
        <rFont val="Times New Roman"/>
        <family val="1"/>
      </rPr>
      <t>(</t>
    </r>
    <r>
      <rPr>
        <sz val="12"/>
        <rFont val="標楷體"/>
        <family val="4"/>
        <charset val="136"/>
      </rPr>
      <t>依據保險業負責人應具備資格條件準則</t>
    </r>
    <r>
      <rPr>
        <sz val="12"/>
        <rFont val="Times New Roman"/>
        <family val="1"/>
      </rPr>
      <t>), B.</t>
    </r>
    <r>
      <rPr>
        <sz val="12"/>
        <rFont val="標楷體"/>
        <family val="4"/>
        <charset val="136"/>
      </rPr>
      <t>主要股東</t>
    </r>
    <r>
      <rPr>
        <sz val="12"/>
        <rFont val="Times New Roman"/>
        <family val="1"/>
      </rPr>
      <t>(</t>
    </r>
    <r>
      <rPr>
        <sz val="12"/>
        <rFont val="標楷體"/>
        <family val="4"/>
        <charset val="136"/>
      </rPr>
      <t>係指具有本公司已發行股</t>
    </r>
  </si>
  <si>
    <r>
      <rPr>
        <sz val="12"/>
        <rFont val="標楷體"/>
        <family val="4"/>
        <charset val="136"/>
      </rPr>
      <t>份總數</t>
    </r>
    <r>
      <rPr>
        <sz val="12"/>
        <rFont val="Times New Roman"/>
        <family val="1"/>
      </rPr>
      <t>10%</t>
    </r>
    <r>
      <rPr>
        <sz val="12"/>
        <rFont val="標楷體"/>
        <family val="4"/>
        <charset val="136"/>
      </rPr>
      <t>以上或前十大持股比率或有指派董監事之股東</t>
    </r>
    <r>
      <rPr>
        <sz val="12"/>
        <rFont val="Times New Roman"/>
        <family val="1"/>
      </rPr>
      <t>), C.</t>
    </r>
    <r>
      <rPr>
        <sz val="12"/>
        <rFont val="標楷體"/>
        <family val="4"/>
        <charset val="136"/>
      </rPr>
      <t>本公司對其有控制與從屬關係之公司</t>
    </r>
    <r>
      <rPr>
        <sz val="12"/>
        <rFont val="Times New Roman"/>
        <family val="1"/>
      </rPr>
      <t>(</t>
    </r>
    <r>
      <rPr>
        <sz val="12"/>
        <rFont val="標楷體"/>
        <family val="4"/>
        <charset val="136"/>
      </rPr>
      <t>請依公司法第六章</t>
    </r>
    <r>
      <rPr>
        <sz val="12"/>
        <rFont val="Times New Roman"/>
        <family val="1"/>
      </rPr>
      <t xml:space="preserve"> </t>
    </r>
    <phoneticPr fontId="29" type="noConversion"/>
  </si>
  <si>
    <r>
      <rPr>
        <sz val="12"/>
        <rFont val="標楷體"/>
        <family val="4"/>
        <charset val="136"/>
      </rPr>
      <t>之一關係企業章規定</t>
    </r>
    <r>
      <rPr>
        <sz val="12"/>
        <rFont val="Times New Roman"/>
        <family val="1"/>
      </rPr>
      <t>), D.</t>
    </r>
    <r>
      <rPr>
        <sz val="12"/>
        <rFont val="標楷體"/>
        <family val="4"/>
        <charset val="136"/>
      </rPr>
      <t>同一關係企業</t>
    </r>
    <r>
      <rPr>
        <sz val="12"/>
        <rFont val="Times New Roman"/>
        <family val="1"/>
      </rPr>
      <t>, E.</t>
    </r>
    <r>
      <rPr>
        <sz val="12"/>
        <rFont val="標楷體"/>
        <family val="4"/>
        <charset val="136"/>
      </rPr>
      <t>其他</t>
    </r>
    <r>
      <rPr>
        <sz val="12"/>
        <rFont val="Times New Roman"/>
        <family val="1"/>
      </rPr>
      <t>;</t>
    </r>
    <r>
      <rPr>
        <sz val="12"/>
        <rFont val="標楷體"/>
        <family val="4"/>
        <charset val="136"/>
      </rPr>
      <t>若為多重身分者</t>
    </r>
    <r>
      <rPr>
        <sz val="12"/>
        <rFont val="Times New Roman"/>
        <family val="1"/>
      </rPr>
      <t xml:space="preserve">, </t>
    </r>
    <r>
      <rPr>
        <sz val="12"/>
        <rFont val="標楷體"/>
        <family val="4"/>
        <charset val="136"/>
      </rPr>
      <t>填寫方式如</t>
    </r>
    <r>
      <rPr>
        <sz val="12"/>
        <rFont val="Times New Roman"/>
        <family val="1"/>
      </rPr>
      <t>B;C</t>
    </r>
  </si>
  <si>
    <r>
      <t xml:space="preserve">(2) </t>
    </r>
    <r>
      <rPr>
        <sz val="12"/>
        <rFont val="標楷體"/>
        <family val="4"/>
        <charset val="136"/>
      </rPr>
      <t>是否為保險業實質互相投資，請填列</t>
    </r>
    <r>
      <rPr>
        <sz val="12"/>
        <rFont val="Times New Roman"/>
        <family val="1"/>
      </rPr>
      <t>Y.</t>
    </r>
    <r>
      <rPr>
        <sz val="12"/>
        <rFont val="標楷體"/>
        <family val="4"/>
        <charset val="136"/>
      </rPr>
      <t>為保險業實質互相投資之負債型特別股</t>
    </r>
    <r>
      <rPr>
        <sz val="12"/>
        <rFont val="Times New Roman"/>
        <family val="1"/>
      </rPr>
      <t>, N.</t>
    </r>
    <r>
      <rPr>
        <sz val="12"/>
        <rFont val="標楷體"/>
        <family val="4"/>
        <charset val="136"/>
      </rPr>
      <t>非「保險業實質互相投資之負債型特別股」</t>
    </r>
    <phoneticPr fontId="29" type="noConversion"/>
  </si>
  <si>
    <r>
      <t xml:space="preserve">(3) </t>
    </r>
    <r>
      <rPr>
        <sz val="12"/>
        <rFont val="標楷體"/>
        <family val="4"/>
        <charset val="136"/>
      </rPr>
      <t>募集方式請依序填</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phoneticPr fontId="29" type="noConversion"/>
  </si>
  <si>
    <r>
      <t xml:space="preserve">(4) </t>
    </r>
    <r>
      <rPr>
        <sz val="12"/>
        <rFont val="標楷體"/>
        <family val="4"/>
        <charset val="136"/>
      </rPr>
      <t>發行日及到期日，年月日填寫方式為</t>
    </r>
    <r>
      <rPr>
        <sz val="12"/>
        <rFont val="Times New Roman"/>
        <family val="1"/>
      </rPr>
      <t>2008/06/25</t>
    </r>
    <r>
      <rPr>
        <sz val="12"/>
        <rFont val="標楷體"/>
        <family val="4"/>
        <charset val="136"/>
      </rPr>
      <t>；到期日如為永久，按</t>
    </r>
    <r>
      <rPr>
        <sz val="12"/>
        <rFont val="Times New Roman"/>
        <family val="1"/>
      </rPr>
      <t>9999/99/99</t>
    </r>
    <r>
      <rPr>
        <sz val="12"/>
        <rFont val="標楷體"/>
        <family val="4"/>
        <charset val="136"/>
      </rPr>
      <t>填列</t>
    </r>
    <phoneticPr fontId="29" type="noConversion"/>
  </si>
  <si>
    <r>
      <t xml:space="preserve">(5) </t>
    </r>
    <r>
      <rPr>
        <sz val="12"/>
        <rFont val="標楷體"/>
        <family val="4"/>
        <charset val="136"/>
      </rPr>
      <t>是否為累積特別股，請填列</t>
    </r>
    <r>
      <rPr>
        <sz val="12"/>
        <rFont val="Times New Roman"/>
        <family val="1"/>
      </rPr>
      <t>Y.</t>
    </r>
    <r>
      <rPr>
        <sz val="12"/>
        <rFont val="標楷體"/>
        <family val="4"/>
        <charset val="136"/>
      </rPr>
      <t>累積特別股</t>
    </r>
    <r>
      <rPr>
        <sz val="12"/>
        <rFont val="Times New Roman"/>
        <family val="1"/>
      </rPr>
      <t>, N.</t>
    </r>
    <r>
      <rPr>
        <sz val="12"/>
        <rFont val="標楷體"/>
        <family val="4"/>
        <charset val="136"/>
      </rPr>
      <t>非累積特別股</t>
    </r>
    <phoneticPr fontId="29" type="noConversion"/>
  </si>
  <si>
    <r>
      <t xml:space="preserve">(6) </t>
    </r>
    <r>
      <rPr>
        <sz val="12"/>
        <rFont val="標楷體"/>
        <family val="4"/>
        <charset val="136"/>
      </rPr>
      <t>是否有利率加碼條件或其他提前贖回之誘因，請填列</t>
    </r>
    <r>
      <rPr>
        <sz val="12"/>
        <rFont val="Times New Roman"/>
        <family val="1"/>
      </rPr>
      <t>Y.</t>
    </r>
    <r>
      <rPr>
        <sz val="12"/>
        <rFont val="標楷體"/>
        <family val="4"/>
        <charset val="136"/>
      </rPr>
      <t>有</t>
    </r>
    <r>
      <rPr>
        <sz val="12"/>
        <rFont val="Times New Roman"/>
        <family val="1"/>
      </rPr>
      <t>, N.</t>
    </r>
    <r>
      <rPr>
        <sz val="12"/>
        <rFont val="標楷體"/>
        <family val="4"/>
        <charset val="136"/>
      </rPr>
      <t>無</t>
    </r>
    <phoneticPr fontId="29" type="noConversion"/>
  </si>
  <si>
    <r>
      <t xml:space="preserve">(7) </t>
    </r>
    <r>
      <rPr>
        <sz val="12"/>
        <rFont val="標楷體"/>
        <family val="4"/>
        <charset val="136"/>
      </rPr>
      <t>若有分次發行特別股者，應分別填報</t>
    </r>
    <phoneticPr fontId="29" type="noConversion"/>
  </si>
  <si>
    <r>
      <t>___</t>
    </r>
    <r>
      <rPr>
        <sz val="12"/>
        <rFont val="標楷體"/>
        <family val="4"/>
        <charset val="136"/>
      </rPr>
      <t>年第</t>
    </r>
    <r>
      <rPr>
        <sz val="12"/>
        <rFont val="Times New Roman"/>
        <family val="1"/>
      </rPr>
      <t>__</t>
    </r>
    <r>
      <rPr>
        <sz val="12"/>
        <rFont val="標楷體"/>
        <family val="4"/>
        <charset val="136"/>
      </rPr>
      <t>次發行特別股（原始發行金額</t>
    </r>
    <r>
      <rPr>
        <sz val="12"/>
        <rFont val="Times New Roman"/>
        <family val="1"/>
      </rPr>
      <t xml:space="preserve"> __________ </t>
    </r>
    <r>
      <rPr>
        <sz val="12"/>
        <rFont val="標楷體"/>
        <family val="4"/>
        <charset val="136"/>
      </rPr>
      <t>）</t>
    </r>
    <phoneticPr fontId="29" type="noConversion"/>
  </si>
  <si>
    <r>
      <rPr>
        <b/>
        <sz val="12"/>
        <rFont val="標楷體"/>
        <family val="4"/>
        <charset val="136"/>
      </rPr>
      <t>股東名稱</t>
    </r>
    <phoneticPr fontId="26" type="noConversion"/>
  </si>
  <si>
    <r>
      <rPr>
        <b/>
        <sz val="12"/>
        <rFont val="標楷體"/>
        <family val="4"/>
        <charset val="136"/>
      </rPr>
      <t>是否為保險業實質互相投資</t>
    </r>
    <phoneticPr fontId="26" type="noConversion"/>
  </si>
  <si>
    <r>
      <rPr>
        <b/>
        <sz val="12"/>
        <rFont val="標楷體"/>
        <family val="4"/>
        <charset val="136"/>
      </rPr>
      <t>到期日</t>
    </r>
    <phoneticPr fontId="26" type="noConversion"/>
  </si>
  <si>
    <r>
      <rPr>
        <b/>
        <sz val="12"/>
        <rFont val="標楷體"/>
        <family val="4"/>
        <charset val="136"/>
      </rPr>
      <t>是否為累積公司債</t>
    </r>
    <phoneticPr fontId="29" type="noConversion"/>
  </si>
  <si>
    <r>
      <rPr>
        <b/>
        <sz val="12"/>
        <rFont val="標楷體"/>
        <family val="4"/>
        <charset val="136"/>
      </rPr>
      <t>是否有利率加碼條件或其他提前贖回之誘因</t>
    </r>
    <phoneticPr fontId="29" type="noConversion"/>
  </si>
  <si>
    <r>
      <rPr>
        <b/>
        <sz val="12"/>
        <rFont val="標楷體"/>
        <family val="4"/>
        <charset val="136"/>
      </rPr>
      <t>計入自有資本金額</t>
    </r>
    <phoneticPr fontId="26" type="noConversion"/>
  </si>
  <si>
    <r>
      <rPr>
        <sz val="12"/>
        <rFont val="標楷體"/>
        <family val="4"/>
        <charset val="136"/>
      </rPr>
      <t>表</t>
    </r>
    <r>
      <rPr>
        <sz val="12"/>
        <rFont val="Times New Roman"/>
        <family val="1"/>
      </rPr>
      <t>30-8-2</t>
    </r>
    <r>
      <rPr>
        <sz val="12"/>
        <rFont val="標楷體"/>
        <family val="4"/>
        <charset val="136"/>
      </rPr>
      <t>：發行具資本性質債券明細表（自</t>
    </r>
    <r>
      <rPr>
        <sz val="12"/>
        <rFont val="Times New Roman"/>
        <family val="1"/>
      </rPr>
      <t>97</t>
    </r>
    <r>
      <rPr>
        <sz val="12"/>
        <rFont val="標楷體"/>
        <family val="4"/>
        <charset val="136"/>
      </rPr>
      <t>年</t>
    </r>
    <r>
      <rPr>
        <sz val="12"/>
        <rFont val="Times New Roman"/>
        <family val="1"/>
      </rPr>
      <t>11</t>
    </r>
    <r>
      <rPr>
        <sz val="12"/>
        <rFont val="標楷體"/>
        <family val="4"/>
        <charset val="136"/>
      </rPr>
      <t>月</t>
    </r>
    <r>
      <rPr>
        <sz val="12"/>
        <rFont val="Times New Roman"/>
        <family val="1"/>
      </rPr>
      <t>15</t>
    </r>
    <r>
      <rPr>
        <sz val="12"/>
        <rFont val="標楷體"/>
        <family val="4"/>
        <charset val="136"/>
      </rPr>
      <t>日起發行者）</t>
    </r>
    <phoneticPr fontId="26" type="noConversion"/>
  </si>
  <si>
    <r>
      <t>___</t>
    </r>
    <r>
      <rPr>
        <sz val="12"/>
        <rFont val="標楷體"/>
        <family val="4"/>
        <charset val="136"/>
      </rPr>
      <t>年第</t>
    </r>
    <r>
      <rPr>
        <sz val="12"/>
        <rFont val="Times New Roman"/>
        <family val="1"/>
      </rPr>
      <t>__</t>
    </r>
    <r>
      <rPr>
        <sz val="12"/>
        <rFont val="標楷體"/>
        <family val="4"/>
        <charset val="136"/>
      </rPr>
      <t>次發行公司債（原始發行金額</t>
    </r>
    <r>
      <rPr>
        <sz val="12"/>
        <rFont val="Times New Roman"/>
        <family val="1"/>
      </rPr>
      <t xml:space="preserve"> __________ </t>
    </r>
    <r>
      <rPr>
        <sz val="12"/>
        <rFont val="標楷體"/>
        <family val="4"/>
        <charset val="136"/>
      </rPr>
      <t>）</t>
    </r>
    <phoneticPr fontId="29" type="noConversion"/>
  </si>
  <si>
    <r>
      <rPr>
        <b/>
        <sz val="12"/>
        <rFont val="標楷體"/>
        <family val="4"/>
        <charset val="136"/>
      </rPr>
      <t>債權人名稱</t>
    </r>
    <phoneticPr fontId="26" type="noConversion"/>
  </si>
  <si>
    <r>
      <rPr>
        <b/>
        <sz val="12"/>
        <rFont val="標楷體"/>
        <family val="4"/>
        <charset val="136"/>
      </rPr>
      <t>募集方式</t>
    </r>
    <phoneticPr fontId="26" type="noConversion"/>
  </si>
  <si>
    <r>
      <rPr>
        <sz val="12"/>
        <rFont val="標楷體"/>
        <family val="4"/>
        <charset val="136"/>
      </rPr>
      <t>（原始發行金額</t>
    </r>
    <r>
      <rPr>
        <sz val="12"/>
        <rFont val="Times New Roman"/>
        <family val="1"/>
      </rPr>
      <t xml:space="preserve"> __________ </t>
    </r>
    <r>
      <rPr>
        <sz val="12"/>
        <rFont val="標楷體"/>
        <family val="4"/>
        <charset val="136"/>
      </rPr>
      <t>）</t>
    </r>
    <phoneticPr fontId="29" type="noConversion"/>
  </si>
  <si>
    <r>
      <rPr>
        <sz val="12"/>
        <rFont val="標楷體"/>
        <family val="4"/>
        <charset val="136"/>
      </rPr>
      <t>填表說明：</t>
    </r>
  </si>
  <si>
    <r>
      <t xml:space="preserve">(2) </t>
    </r>
    <r>
      <rPr>
        <sz val="12"/>
        <rFont val="標楷體"/>
        <family val="4"/>
        <charset val="136"/>
      </rPr>
      <t>是否為保險業實質互相投資，請填列</t>
    </r>
    <r>
      <rPr>
        <sz val="12"/>
        <rFont val="Times New Roman"/>
        <family val="1"/>
      </rPr>
      <t>Y.</t>
    </r>
    <r>
      <rPr>
        <sz val="12"/>
        <rFont val="標楷體"/>
        <family val="4"/>
        <charset val="136"/>
      </rPr>
      <t>為保險業實質互相投資之具資本性質債券</t>
    </r>
    <r>
      <rPr>
        <sz val="12"/>
        <rFont val="Times New Roman"/>
        <family val="1"/>
      </rPr>
      <t>, N.</t>
    </r>
    <r>
      <rPr>
        <sz val="12"/>
        <rFont val="標楷體"/>
        <family val="4"/>
        <charset val="136"/>
      </rPr>
      <t>非「保險業實質互相投資之具資本性質債券」</t>
    </r>
    <phoneticPr fontId="29" type="noConversion"/>
  </si>
  <si>
    <r>
      <t xml:space="preserve">(4) </t>
    </r>
    <r>
      <rPr>
        <sz val="12"/>
        <rFont val="標楷體"/>
        <family val="4"/>
        <charset val="136"/>
      </rPr>
      <t>發行日及到期日，年月日填寫方式為</t>
    </r>
    <r>
      <rPr>
        <sz val="12"/>
        <rFont val="Times New Roman"/>
        <family val="1"/>
      </rPr>
      <t>2008/06/25</t>
    </r>
    <r>
      <rPr>
        <sz val="12"/>
        <rFont val="標楷體"/>
        <family val="4"/>
        <charset val="136"/>
      </rPr>
      <t>；到期日如為永久，按</t>
    </r>
    <r>
      <rPr>
        <sz val="12"/>
        <rFont val="Times New Roman"/>
        <family val="1"/>
      </rPr>
      <t>9999/99/99</t>
    </r>
    <r>
      <rPr>
        <sz val="12"/>
        <rFont val="標楷體"/>
        <family val="4"/>
        <charset val="136"/>
      </rPr>
      <t>填列</t>
    </r>
  </si>
  <si>
    <r>
      <t xml:space="preserve">(5) </t>
    </r>
    <r>
      <rPr>
        <sz val="12"/>
        <rFont val="標楷體"/>
        <family val="4"/>
        <charset val="136"/>
      </rPr>
      <t>是否為累積公司債，請填列</t>
    </r>
    <r>
      <rPr>
        <sz val="12"/>
        <rFont val="Times New Roman"/>
        <family val="1"/>
      </rPr>
      <t>Y.</t>
    </r>
    <r>
      <rPr>
        <sz val="12"/>
        <rFont val="標楷體"/>
        <family val="4"/>
        <charset val="136"/>
      </rPr>
      <t>累積公司債</t>
    </r>
    <r>
      <rPr>
        <sz val="12"/>
        <rFont val="Times New Roman"/>
        <family val="1"/>
      </rPr>
      <t>, N.</t>
    </r>
    <r>
      <rPr>
        <sz val="12"/>
        <rFont val="標楷體"/>
        <family val="4"/>
        <charset val="136"/>
      </rPr>
      <t>非累積公司債</t>
    </r>
    <phoneticPr fontId="29" type="noConversion"/>
  </si>
  <si>
    <r>
      <t xml:space="preserve">(7) </t>
    </r>
    <r>
      <rPr>
        <sz val="12"/>
        <rFont val="標楷體"/>
        <family val="4"/>
        <charset val="136"/>
      </rPr>
      <t>若有分次發行公司債者，應分別填報</t>
    </r>
    <phoneticPr fontId="29" type="noConversion"/>
  </si>
  <si>
    <r>
      <rPr>
        <sz val="10"/>
        <rFont val="標楷體"/>
        <family val="4"/>
        <charset val="136"/>
      </rPr>
      <t>係依金管保財字第</t>
    </r>
    <r>
      <rPr>
        <sz val="10"/>
        <rFont val="Book Antiqua"/>
        <family val="1"/>
      </rPr>
      <t>10102515281</t>
    </r>
    <r>
      <rPr>
        <sz val="10"/>
        <rFont val="標楷體"/>
        <family val="4"/>
        <charset val="136"/>
      </rPr>
      <t>號函收回第</t>
    </r>
    <r>
      <rPr>
        <sz val="10"/>
        <rFont val="Book Antiqua"/>
        <family val="1"/>
      </rPr>
      <t>(5)</t>
    </r>
    <r>
      <rPr>
        <sz val="10"/>
        <rFont val="標楷體"/>
        <family val="4"/>
        <charset val="136"/>
      </rPr>
      <t>欄並提列於特別盈餘公積之金額</t>
    </r>
    <phoneticPr fontId="29" type="noConversion"/>
  </si>
  <si>
    <r>
      <rPr>
        <b/>
        <sz val="12"/>
        <rFont val="標楷體"/>
        <family val="4"/>
        <charset val="136"/>
      </rPr>
      <t>股票逆景氣循環措施調整項</t>
    </r>
    <r>
      <rPr>
        <b/>
        <sz val="12"/>
        <rFont val="Times New Roman"/>
        <family val="1"/>
      </rPr>
      <t xml:space="preserve"> × 0.85</t>
    </r>
  </si>
  <si>
    <r>
      <rPr>
        <b/>
        <sz val="12"/>
        <rFont val="標楷體"/>
        <family val="4"/>
        <charset val="136"/>
      </rPr>
      <t>股票逆景氣循環調整後係數</t>
    </r>
  </si>
  <si>
    <t>(6) = (4) * (5)</t>
    <phoneticPr fontId="26" type="noConversion"/>
  </si>
  <si>
    <t>(7) = (4) * 150%</t>
    <phoneticPr fontId="26" type="noConversion"/>
  </si>
  <si>
    <t>(8) = (4) * 75%</t>
    <phoneticPr fontId="26" type="noConversion"/>
  </si>
  <si>
    <r>
      <rPr>
        <sz val="12"/>
        <rFont val="標楷體"/>
        <family val="4"/>
        <charset val="136"/>
      </rPr>
      <t>國內股票</t>
    </r>
    <phoneticPr fontId="26" type="noConversion"/>
  </si>
  <si>
    <r>
      <rPr>
        <sz val="12"/>
        <rFont val="標楷體"/>
        <family val="4"/>
        <charset val="136"/>
      </rPr>
      <t>國內受益憑證</t>
    </r>
    <phoneticPr fontId="26" type="noConversion"/>
  </si>
  <si>
    <r>
      <rPr>
        <sz val="12"/>
        <rFont val="標楷體"/>
        <family val="4"/>
        <charset val="136"/>
      </rPr>
      <t>普通股</t>
    </r>
  </si>
  <si>
    <r>
      <rPr>
        <sz val="12"/>
        <rFont val="標楷體"/>
        <family val="4"/>
        <charset val="136"/>
      </rPr>
      <t>非固定收益特別股</t>
    </r>
  </si>
  <si>
    <r>
      <rPr>
        <sz val="12"/>
        <rFont val="標楷體"/>
        <family val="4"/>
        <charset val="136"/>
      </rPr>
      <t>表</t>
    </r>
    <r>
      <rPr>
        <sz val="12"/>
        <rFont val="Times New Roman"/>
        <family val="1"/>
      </rPr>
      <t>30-14</t>
    </r>
    <r>
      <rPr>
        <sz val="12"/>
        <rFont val="標楷體"/>
        <family val="4"/>
        <charset val="136"/>
      </rPr>
      <t>：公司</t>
    </r>
    <r>
      <rPr>
        <sz val="12"/>
        <rFont val="Times New Roman"/>
        <family val="1"/>
      </rPr>
      <t>β</t>
    </r>
    <r>
      <rPr>
        <sz val="12"/>
        <rFont val="標楷體"/>
        <family val="4"/>
        <charset val="136"/>
      </rPr>
      <t>值及股票逆景氣循環資產風險係數計算表</t>
    </r>
    <phoneticPr fontId="26" type="noConversion"/>
  </si>
  <si>
    <r>
      <t>______</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</si>
  <si>
    <r>
      <rPr>
        <sz val="12"/>
        <rFont val="標楷體"/>
        <family val="4"/>
        <charset val="136"/>
      </rPr>
      <t>資產負債表日</t>
    </r>
    <phoneticPr fontId="29" type="noConversion"/>
  </si>
  <si>
    <r>
      <rPr>
        <sz val="12"/>
        <rFont val="標楷體"/>
        <family val="4"/>
        <charset val="136"/>
      </rPr>
      <t>三年移動平均計算起始日</t>
    </r>
    <phoneticPr fontId="29" type="noConversion"/>
  </si>
  <si>
    <r>
      <rPr>
        <b/>
        <sz val="12"/>
        <rFont val="標楷體"/>
        <family val="4"/>
        <charset val="136"/>
      </rPr>
      <t>指數名稱</t>
    </r>
    <phoneticPr fontId="29" type="noConversion"/>
  </si>
  <si>
    <r>
      <rPr>
        <b/>
        <sz val="12"/>
        <rFont val="標楷體"/>
        <family val="4"/>
        <charset val="136"/>
      </rPr>
      <t>台灣證交所加權股價報酬指數</t>
    </r>
  </si>
  <si>
    <r>
      <rPr>
        <b/>
        <sz val="12"/>
        <rFont val="標楷體"/>
        <family val="4"/>
        <charset val="136"/>
      </rPr>
      <t>櫃買中心加權股價報酬指數</t>
    </r>
  </si>
  <si>
    <r>
      <rPr>
        <b/>
        <sz val="12"/>
        <rFont val="標楷體"/>
        <family val="4"/>
        <charset val="136"/>
      </rPr>
      <t>指數</t>
    </r>
    <phoneticPr fontId="29" type="noConversion"/>
  </si>
  <si>
    <r>
      <rPr>
        <b/>
        <sz val="12"/>
        <rFont val="標楷體"/>
        <family val="4"/>
        <charset val="136"/>
      </rPr>
      <t>日曆日</t>
    </r>
    <phoneticPr fontId="29" type="noConversion"/>
  </si>
  <si>
    <r>
      <rPr>
        <b/>
        <sz val="12"/>
        <rFont val="標楷體"/>
        <family val="4"/>
        <charset val="136"/>
      </rPr>
      <t>收盤價</t>
    </r>
    <phoneticPr fontId="29" type="noConversion"/>
  </si>
  <si>
    <r>
      <rPr>
        <b/>
        <sz val="12"/>
        <rFont val="標楷體"/>
        <family val="4"/>
        <charset val="136"/>
      </rPr>
      <t>收盤價</t>
    </r>
    <phoneticPr fontId="29" type="noConversion"/>
  </si>
  <si>
    <r>
      <rPr>
        <b/>
        <sz val="12"/>
        <rFont val="標楷體"/>
        <family val="4"/>
        <charset val="136"/>
      </rPr>
      <t>收盤價</t>
    </r>
    <phoneticPr fontId="29" type="noConversion"/>
  </si>
  <si>
    <r>
      <rPr>
        <b/>
        <sz val="12"/>
        <rFont val="標楷體"/>
        <family val="4"/>
        <charset val="136"/>
      </rPr>
      <t>資產負債表日收盤價</t>
    </r>
    <r>
      <rPr>
        <b/>
        <sz val="12"/>
        <rFont val="Times New Roman"/>
        <family val="1"/>
      </rPr>
      <t>(CI)</t>
    </r>
    <phoneticPr fontId="29" type="noConversion"/>
  </si>
  <si>
    <r>
      <rPr>
        <b/>
        <sz val="12"/>
        <rFont val="標楷體"/>
        <family val="4"/>
        <charset val="136"/>
      </rPr>
      <t>三年移動平均收盤價</t>
    </r>
    <r>
      <rPr>
        <b/>
        <sz val="12"/>
        <rFont val="Times New Roman"/>
        <family val="1"/>
      </rPr>
      <t>(AI</t>
    </r>
    <r>
      <rPr>
        <vertAlign val="subscript"/>
        <sz val="12"/>
        <rFont val="Times New Roman"/>
        <family val="1"/>
      </rPr>
      <t>3y</t>
    </r>
    <r>
      <rPr>
        <sz val="12"/>
        <rFont val="Times New Roman"/>
        <family val="1"/>
      </rPr>
      <t>)</t>
    </r>
    <phoneticPr fontId="29" type="noConversion"/>
  </si>
  <si>
    <r>
      <rPr>
        <b/>
        <sz val="12"/>
        <rFont val="標楷體"/>
        <family val="4"/>
        <charset val="136"/>
      </rPr>
      <t>調整項</t>
    </r>
    <r>
      <rPr>
        <b/>
        <sz val="12"/>
        <rFont val="Times New Roman"/>
        <family val="1"/>
      </rPr>
      <t xml:space="preserve"> × 0.85</t>
    </r>
  </si>
  <si>
    <r>
      <rPr>
        <sz val="12"/>
        <rFont val="標楷體"/>
        <family val="4"/>
        <charset val="136"/>
      </rPr>
      <t>單位：新台幣元</t>
    </r>
  </si>
  <si>
    <r>
      <rPr>
        <sz val="12"/>
        <rFont val="標楷體"/>
        <family val="4"/>
        <charset val="136"/>
      </rPr>
      <t>備註</t>
    </r>
  </si>
  <si>
    <r>
      <rPr>
        <sz val="12"/>
        <rFont val="標楷體"/>
        <family val="4"/>
        <charset val="136"/>
      </rPr>
      <t>公司</t>
    </r>
    <r>
      <rPr>
        <sz val="12"/>
        <rFont val="Times New Roman"/>
        <family val="1"/>
      </rPr>
      <t>beta</t>
    </r>
    <r>
      <rPr>
        <sz val="12"/>
        <rFont val="標楷體"/>
        <family val="4"/>
        <charset val="136"/>
      </rPr>
      <t>值</t>
    </r>
    <phoneticPr fontId="26" type="noConversion"/>
  </si>
  <si>
    <r>
      <rPr>
        <sz val="12"/>
        <rFont val="標楷體"/>
        <family val="4"/>
        <charset val="136"/>
      </rPr>
      <t>合計</t>
    </r>
  </si>
  <si>
    <r>
      <rPr>
        <sz val="12"/>
        <rFont val="標楷體"/>
        <family val="4"/>
        <charset val="136"/>
      </rPr>
      <t>係指依資產負債表日之收盤價計算之總市值</t>
    </r>
  </si>
  <si>
    <r>
      <rPr>
        <sz val="12"/>
        <rFont val="標楷體"/>
        <family val="4"/>
        <charset val="136"/>
      </rPr>
      <t>係指依資產負債表日前半年每日收盤價計算之算術平均價格</t>
    </r>
  </si>
  <si>
    <t xml:space="preserve"> </t>
    <phoneticPr fontId="26" type="noConversion"/>
  </si>
  <si>
    <r>
      <rPr>
        <b/>
        <sz val="12"/>
        <rFont val="標楷體"/>
        <family val="4"/>
        <charset val="136"/>
      </rPr>
      <t>證劵代號</t>
    </r>
  </si>
  <si>
    <r>
      <rPr>
        <b/>
        <sz val="12"/>
        <rFont val="標楷體"/>
        <family val="4"/>
        <charset val="136"/>
      </rPr>
      <t>證劵名稱</t>
    </r>
  </si>
  <si>
    <r>
      <rPr>
        <b/>
        <sz val="12"/>
        <rFont val="標楷體"/>
        <family val="4"/>
        <charset val="136"/>
      </rPr>
      <t>證劵種類</t>
    </r>
  </si>
  <si>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</si>
  <si>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</si>
  <si>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1)</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</si>
  <si>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</si>
  <si>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)beta</t>
    </r>
    <r>
      <rPr>
        <b/>
        <sz val="12"/>
        <rFont val="標楷體"/>
        <family val="4"/>
        <charset val="136"/>
      </rPr>
      <t>值</t>
    </r>
  </si>
  <si>
    <r>
      <rPr>
        <b/>
        <sz val="12"/>
        <rFont val="標楷體"/>
        <family val="4"/>
        <charset val="136"/>
      </rPr>
      <t>備註</t>
    </r>
  </si>
  <si>
    <t>5.2 ETF-債券型帳載價值-非控制與從屬關係</t>
    <phoneticPr fontId="26" type="noConversion"/>
  </si>
  <si>
    <t>6.1 ETF-其他型帳載價值-具控制與從屬關係</t>
    <phoneticPr fontId="26" type="noConversion"/>
  </si>
  <si>
    <t>6.2 ETF-其他型帳載價值-非控制與從屬關係</t>
    <phoneticPr fontId="26" type="noConversion"/>
  </si>
  <si>
    <t>7.1 ETN帳載價值-具控制與從屬關係</t>
    <phoneticPr fontId="26" type="noConversion"/>
  </si>
  <si>
    <t>7.2 ETN帳載價值-非控制與從屬關係</t>
    <phoneticPr fontId="26" type="noConversion"/>
  </si>
  <si>
    <r>
      <rPr>
        <b/>
        <sz val="12"/>
        <rFont val="標楷體"/>
        <family val="4"/>
        <charset val="136"/>
      </rPr>
      <t>個股</t>
    </r>
    <r>
      <rPr>
        <b/>
        <sz val="12"/>
        <rFont val="Times New Roman"/>
        <family val="1"/>
      </rPr>
      <t>(</t>
    </r>
    <r>
      <rPr>
        <b/>
        <sz val="12"/>
        <rFont val="標楷體"/>
        <family val="4"/>
        <charset val="136"/>
      </rPr>
      <t>基金</t>
    </r>
    <r>
      <rPr>
        <b/>
        <sz val="12"/>
        <rFont val="Times New Roman"/>
        <family val="1"/>
      </rPr>
      <t>)</t>
    </r>
    <r>
      <rPr>
        <b/>
        <sz val="12"/>
        <rFont val="標楷體"/>
        <family val="4"/>
        <charset val="136"/>
      </rPr>
      <t>投資佔率</t>
    </r>
    <phoneticPr fontId="26" type="noConversion"/>
  </si>
  <si>
    <r>
      <rPr>
        <sz val="12"/>
        <rFont val="標楷體"/>
        <family val="4"/>
        <charset val="136"/>
      </rPr>
      <t>元大富櫃</t>
    </r>
    <r>
      <rPr>
        <sz val="12"/>
        <rFont val="Times New Roman"/>
        <family val="1"/>
      </rPr>
      <t>50</t>
    </r>
  </si>
  <si>
    <r>
      <rPr>
        <sz val="12"/>
        <rFont val="標楷體"/>
        <family val="4"/>
        <charset val="136"/>
      </rPr>
      <t>茂生農經</t>
    </r>
  </si>
  <si>
    <r>
      <rPr>
        <sz val="12"/>
        <rFont val="標楷體"/>
        <family val="4"/>
        <charset val="136"/>
      </rPr>
      <t>上櫃股票</t>
    </r>
  </si>
  <si>
    <r>
      <rPr>
        <sz val="12"/>
        <rFont val="標楷體"/>
        <family val="4"/>
        <charset val="136"/>
      </rPr>
      <t>其祥</t>
    </r>
    <r>
      <rPr>
        <sz val="12"/>
        <rFont val="Times New Roman"/>
        <family val="1"/>
      </rPr>
      <t>-KY</t>
    </r>
  </si>
  <si>
    <r>
      <rPr>
        <sz val="12"/>
        <rFont val="標楷體"/>
        <family val="4"/>
        <charset val="136"/>
      </rPr>
      <t>安心</t>
    </r>
  </si>
  <si>
    <r>
      <rPr>
        <sz val="12"/>
        <rFont val="標楷體"/>
        <family val="4"/>
        <charset val="136"/>
      </rPr>
      <t>德麥</t>
    </r>
  </si>
  <si>
    <r>
      <rPr>
        <sz val="12"/>
        <rFont val="標楷體"/>
        <family val="4"/>
        <charset val="136"/>
      </rPr>
      <t>漢來美食</t>
    </r>
  </si>
  <si>
    <r>
      <rPr>
        <sz val="12"/>
        <rFont val="標楷體"/>
        <family val="4"/>
        <charset val="136"/>
      </rPr>
      <t>恩得利</t>
    </r>
  </si>
  <si>
    <r>
      <rPr>
        <sz val="12"/>
        <rFont val="標楷體"/>
        <family val="4"/>
        <charset val="136"/>
      </rPr>
      <t>台翰</t>
    </r>
  </si>
  <si>
    <r>
      <rPr>
        <sz val="12"/>
        <rFont val="標楷體"/>
        <family val="4"/>
        <charset val="136"/>
      </rPr>
      <t>精華</t>
    </r>
  </si>
  <si>
    <r>
      <rPr>
        <sz val="12"/>
        <rFont val="標楷體"/>
        <family val="4"/>
        <charset val="136"/>
      </rPr>
      <t>濱川</t>
    </r>
  </si>
  <si>
    <r>
      <rPr>
        <sz val="12"/>
        <rFont val="標楷體"/>
        <family val="4"/>
        <charset val="136"/>
      </rPr>
      <t>力肯</t>
    </r>
  </si>
  <si>
    <r>
      <rPr>
        <sz val="12"/>
        <rFont val="標楷體"/>
        <family val="4"/>
        <charset val="136"/>
      </rPr>
      <t>新麥</t>
    </r>
  </si>
  <si>
    <r>
      <rPr>
        <sz val="12"/>
        <rFont val="標楷體"/>
        <family val="4"/>
        <charset val="136"/>
      </rPr>
      <t>精剛</t>
    </r>
  </si>
  <si>
    <r>
      <rPr>
        <sz val="12"/>
        <rFont val="標楷體"/>
        <family val="4"/>
        <charset val="136"/>
      </rPr>
      <t>和勤</t>
    </r>
  </si>
  <si>
    <r>
      <rPr>
        <sz val="12"/>
        <rFont val="標楷體"/>
        <family val="4"/>
        <charset val="136"/>
      </rPr>
      <t>駿吉</t>
    </r>
    <r>
      <rPr>
        <sz val="12"/>
        <rFont val="Times New Roman"/>
        <family val="1"/>
      </rPr>
      <t>-KY</t>
    </r>
  </si>
  <si>
    <r>
      <rPr>
        <sz val="12"/>
        <rFont val="標楷體"/>
        <family val="4"/>
        <charset val="136"/>
      </rPr>
      <t>祺驊</t>
    </r>
  </si>
  <si>
    <r>
      <rPr>
        <sz val="12"/>
        <rFont val="標楷體"/>
        <family val="4"/>
        <charset val="136"/>
      </rPr>
      <t>川寶</t>
    </r>
  </si>
  <si>
    <r>
      <rPr>
        <sz val="12"/>
        <rFont val="標楷體"/>
        <family val="4"/>
        <charset val="136"/>
      </rPr>
      <t>直得</t>
    </r>
  </si>
  <si>
    <r>
      <rPr>
        <sz val="12"/>
        <rFont val="標楷體"/>
        <family val="4"/>
        <charset val="136"/>
      </rPr>
      <t>宏佳騰</t>
    </r>
  </si>
  <si>
    <r>
      <rPr>
        <sz val="12"/>
        <rFont val="標楷體"/>
        <family val="4"/>
        <charset val="136"/>
      </rPr>
      <t>台蠟</t>
    </r>
  </si>
  <si>
    <r>
      <rPr>
        <sz val="12"/>
        <rFont val="標楷體"/>
        <family val="4"/>
        <charset val="136"/>
      </rPr>
      <t>南光</t>
    </r>
  </si>
  <si>
    <r>
      <rPr>
        <sz val="12"/>
        <rFont val="標楷體"/>
        <family val="4"/>
        <charset val="136"/>
      </rPr>
      <t>生泰</t>
    </r>
  </si>
  <si>
    <r>
      <rPr>
        <sz val="12"/>
        <rFont val="標楷體"/>
        <family val="4"/>
        <charset val="136"/>
      </rPr>
      <t>合世</t>
    </r>
  </si>
  <si>
    <r>
      <rPr>
        <sz val="12"/>
        <rFont val="標楷體"/>
        <family val="4"/>
        <charset val="136"/>
      </rPr>
      <t>訊聯</t>
    </r>
  </si>
  <si>
    <r>
      <rPr>
        <sz val="12"/>
        <rFont val="標楷體"/>
        <family val="4"/>
        <charset val="136"/>
      </rPr>
      <t>光洋科</t>
    </r>
  </si>
  <si>
    <r>
      <rPr>
        <sz val="12"/>
        <rFont val="標楷體"/>
        <family val="4"/>
        <charset val="136"/>
      </rPr>
      <t>杏昌</t>
    </r>
  </si>
  <si>
    <r>
      <rPr>
        <sz val="12"/>
        <rFont val="標楷體"/>
        <family val="4"/>
        <charset val="136"/>
      </rPr>
      <t>金穎生技</t>
    </r>
  </si>
  <si>
    <r>
      <rPr>
        <sz val="12"/>
        <rFont val="標楷體"/>
        <family val="4"/>
        <charset val="136"/>
      </rPr>
      <t>易威</t>
    </r>
  </si>
  <si>
    <r>
      <rPr>
        <sz val="12"/>
        <rFont val="標楷體"/>
        <family val="4"/>
        <charset val="136"/>
      </rPr>
      <t>寶利徠</t>
    </r>
  </si>
  <si>
    <r>
      <rPr>
        <sz val="12"/>
        <rFont val="標楷體"/>
        <family val="4"/>
        <charset val="136"/>
      </rPr>
      <t>富喬</t>
    </r>
  </si>
  <si>
    <r>
      <rPr>
        <sz val="12"/>
        <rFont val="標楷體"/>
        <family val="4"/>
        <charset val="136"/>
      </rPr>
      <t>唐榮</t>
    </r>
  </si>
  <si>
    <r>
      <rPr>
        <sz val="12"/>
        <rFont val="標楷體"/>
        <family val="4"/>
        <charset val="136"/>
      </rPr>
      <t>風青</t>
    </r>
  </si>
  <si>
    <r>
      <rPr>
        <sz val="12"/>
        <rFont val="標楷體"/>
        <family val="4"/>
        <charset val="136"/>
      </rPr>
      <t>世鎧</t>
    </r>
  </si>
  <si>
    <r>
      <rPr>
        <sz val="12"/>
        <rFont val="標楷體"/>
        <family val="4"/>
        <charset val="136"/>
      </rPr>
      <t>晉椿</t>
    </r>
  </si>
  <si>
    <r>
      <rPr>
        <sz val="12"/>
        <rFont val="標楷體"/>
        <family val="4"/>
        <charset val="136"/>
      </rPr>
      <t>世豐</t>
    </r>
  </si>
  <si>
    <r>
      <rPr>
        <sz val="12"/>
        <rFont val="標楷體"/>
        <family val="4"/>
        <charset val="136"/>
      </rPr>
      <t>世德</t>
    </r>
  </si>
  <si>
    <r>
      <rPr>
        <sz val="12"/>
        <rFont val="標楷體"/>
        <family val="4"/>
        <charset val="136"/>
      </rPr>
      <t>精湛</t>
    </r>
  </si>
  <si>
    <r>
      <rPr>
        <sz val="12"/>
        <rFont val="標楷體"/>
        <family val="4"/>
        <charset val="136"/>
      </rPr>
      <t>大甲</t>
    </r>
  </si>
  <si>
    <r>
      <rPr>
        <sz val="12"/>
        <rFont val="標楷體"/>
        <family val="4"/>
        <charset val="136"/>
      </rPr>
      <t>泰茂</t>
    </r>
  </si>
  <si>
    <r>
      <rPr>
        <sz val="12"/>
        <rFont val="標楷體"/>
        <family val="4"/>
        <charset val="136"/>
      </rPr>
      <t>謚源</t>
    </r>
  </si>
  <si>
    <r>
      <rPr>
        <sz val="12"/>
        <rFont val="標楷體"/>
        <family val="4"/>
        <charset val="136"/>
      </rPr>
      <t>綠意</t>
    </r>
  </si>
  <si>
    <r>
      <rPr>
        <sz val="12"/>
        <rFont val="標楷體"/>
        <family val="4"/>
        <charset val="136"/>
      </rPr>
      <t>大車隊</t>
    </r>
  </si>
  <si>
    <r>
      <rPr>
        <sz val="12"/>
        <rFont val="標楷體"/>
        <family val="4"/>
        <charset val="136"/>
      </rPr>
      <t>正德</t>
    </r>
  </si>
  <si>
    <r>
      <rPr>
        <sz val="12"/>
        <rFont val="標楷體"/>
        <family val="4"/>
        <charset val="136"/>
      </rPr>
      <t>捷迅</t>
    </r>
  </si>
  <si>
    <r>
      <rPr>
        <sz val="12"/>
        <rFont val="標楷體"/>
        <family val="4"/>
        <charset val="136"/>
      </rPr>
      <t>晶悅</t>
    </r>
  </si>
  <si>
    <r>
      <rPr>
        <sz val="12"/>
        <rFont val="標楷體"/>
        <family val="4"/>
        <charset val="136"/>
      </rPr>
      <t>燦星旅</t>
    </r>
  </si>
  <si>
    <r>
      <rPr>
        <sz val="12"/>
        <rFont val="標楷體"/>
        <family val="4"/>
        <charset val="136"/>
      </rPr>
      <t>富驛</t>
    </r>
    <r>
      <rPr>
        <sz val="12"/>
        <rFont val="Times New Roman"/>
        <family val="1"/>
      </rPr>
      <t>-KY</t>
    </r>
  </si>
  <si>
    <r>
      <rPr>
        <sz val="12"/>
        <rFont val="標楷體"/>
        <family val="4"/>
        <charset val="136"/>
      </rPr>
      <t>雅茗</t>
    </r>
    <r>
      <rPr>
        <sz val="12"/>
        <rFont val="Times New Roman"/>
        <family val="1"/>
      </rPr>
      <t>-KY</t>
    </r>
  </si>
  <si>
    <r>
      <rPr>
        <sz val="12"/>
        <rFont val="標楷體"/>
        <family val="4"/>
        <charset val="136"/>
      </rPr>
      <t>瓦城</t>
    </r>
  </si>
  <si>
    <r>
      <rPr>
        <sz val="12"/>
        <rFont val="標楷體"/>
        <family val="4"/>
        <charset val="136"/>
      </rPr>
      <t>六角</t>
    </r>
  </si>
  <si>
    <r>
      <rPr>
        <sz val="12"/>
        <rFont val="標楷體"/>
        <family val="4"/>
        <charset val="136"/>
      </rPr>
      <t>易飛網</t>
    </r>
  </si>
  <si>
    <r>
      <rPr>
        <sz val="12"/>
        <rFont val="標楷體"/>
        <family val="4"/>
        <charset val="136"/>
      </rPr>
      <t>高野</t>
    </r>
  </si>
  <si>
    <r>
      <rPr>
        <sz val="12"/>
        <rFont val="標楷體"/>
        <family val="4"/>
        <charset val="136"/>
      </rPr>
      <t>天蔥</t>
    </r>
  </si>
  <si>
    <r>
      <rPr>
        <sz val="12"/>
        <rFont val="標楷體"/>
        <family val="4"/>
        <charset val="136"/>
      </rPr>
      <t>五福</t>
    </r>
  </si>
  <si>
    <r>
      <rPr>
        <sz val="12"/>
        <rFont val="標楷體"/>
        <family val="4"/>
        <charset val="136"/>
      </rPr>
      <t>滿心</t>
    </r>
  </si>
  <si>
    <r>
      <rPr>
        <sz val="12"/>
        <rFont val="標楷體"/>
        <family val="4"/>
        <charset val="136"/>
      </rPr>
      <t>東凌</t>
    </r>
    <r>
      <rPr>
        <sz val="12"/>
        <rFont val="Times New Roman"/>
        <family val="1"/>
      </rPr>
      <t>-KY</t>
    </r>
  </si>
  <si>
    <r>
      <rPr>
        <sz val="12"/>
        <rFont val="標楷體"/>
        <family val="4"/>
        <charset val="136"/>
      </rPr>
      <t>誠品生活</t>
    </r>
  </si>
  <si>
    <r>
      <rPr>
        <sz val="12"/>
        <rFont val="標楷體"/>
        <family val="4"/>
        <charset val="136"/>
      </rPr>
      <t>紅馬</t>
    </r>
    <r>
      <rPr>
        <sz val="12"/>
        <rFont val="Times New Roman"/>
        <family val="1"/>
      </rPr>
      <t>-KY</t>
    </r>
  </si>
  <si>
    <r>
      <rPr>
        <sz val="12"/>
        <rFont val="標楷體"/>
        <family val="4"/>
        <charset val="136"/>
      </rPr>
      <t>集雅社</t>
    </r>
  </si>
  <si>
    <r>
      <rPr>
        <sz val="12"/>
        <rFont val="標楷體"/>
        <family val="4"/>
        <charset val="136"/>
      </rPr>
      <t>泰偉</t>
    </r>
  </si>
  <si>
    <r>
      <rPr>
        <sz val="12"/>
        <rFont val="標楷體"/>
        <family val="4"/>
        <charset val="136"/>
      </rPr>
      <t>李洲</t>
    </r>
  </si>
  <si>
    <r>
      <rPr>
        <sz val="12"/>
        <rFont val="標楷體"/>
        <family val="4"/>
        <charset val="136"/>
      </rPr>
      <t>全域</t>
    </r>
  </si>
  <si>
    <r>
      <rPr>
        <sz val="12"/>
        <rFont val="標楷體"/>
        <family val="4"/>
        <charset val="136"/>
      </rPr>
      <t>協禧</t>
    </r>
  </si>
  <si>
    <r>
      <rPr>
        <sz val="12"/>
        <rFont val="標楷體"/>
        <family val="4"/>
        <charset val="136"/>
      </rPr>
      <t>凱柏實業</t>
    </r>
  </si>
  <si>
    <r>
      <rPr>
        <sz val="12"/>
        <rFont val="標楷體"/>
        <family val="4"/>
        <charset val="136"/>
      </rPr>
      <t>僑威</t>
    </r>
  </si>
  <si>
    <r>
      <rPr>
        <sz val="12"/>
        <rFont val="標楷體"/>
        <family val="4"/>
        <charset val="136"/>
      </rPr>
      <t>聯亞</t>
    </r>
  </si>
  <si>
    <r>
      <rPr>
        <sz val="12"/>
        <rFont val="標楷體"/>
        <family val="4"/>
        <charset val="136"/>
      </rPr>
      <t>網龍</t>
    </r>
  </si>
  <si>
    <r>
      <rPr>
        <sz val="12"/>
        <rFont val="標楷體"/>
        <family val="4"/>
        <charset val="136"/>
      </rPr>
      <t>新零售</t>
    </r>
  </si>
  <si>
    <r>
      <rPr>
        <sz val="12"/>
        <rFont val="標楷體"/>
        <family val="4"/>
        <charset val="136"/>
      </rPr>
      <t>華義</t>
    </r>
  </si>
  <si>
    <r>
      <rPr>
        <sz val="12"/>
        <rFont val="標楷體"/>
        <family val="4"/>
        <charset val="136"/>
      </rPr>
      <t>艾訊</t>
    </r>
  </si>
  <si>
    <r>
      <rPr>
        <sz val="12"/>
        <rFont val="標楷體"/>
        <family val="4"/>
        <charset val="136"/>
      </rPr>
      <t>元炬</t>
    </r>
  </si>
  <si>
    <r>
      <rPr>
        <sz val="12"/>
        <rFont val="標楷體"/>
        <family val="4"/>
        <charset val="136"/>
      </rPr>
      <t>鴻碩</t>
    </r>
  </si>
  <si>
    <r>
      <rPr>
        <sz val="12"/>
        <rFont val="標楷體"/>
        <family val="4"/>
        <charset val="136"/>
      </rPr>
      <t>港建</t>
    </r>
  </si>
  <si>
    <r>
      <rPr>
        <sz val="12"/>
        <rFont val="標楷體"/>
        <family val="4"/>
        <charset val="136"/>
      </rPr>
      <t>及成</t>
    </r>
  </si>
  <si>
    <r>
      <rPr>
        <sz val="12"/>
        <rFont val="標楷體"/>
        <family val="4"/>
        <charset val="136"/>
      </rPr>
      <t>穩懋</t>
    </r>
  </si>
  <si>
    <r>
      <rPr>
        <sz val="12"/>
        <rFont val="標楷體"/>
        <family val="4"/>
        <charset val="136"/>
      </rPr>
      <t>好德</t>
    </r>
  </si>
  <si>
    <r>
      <rPr>
        <sz val="12"/>
        <rFont val="標楷體"/>
        <family val="4"/>
        <charset val="136"/>
      </rPr>
      <t>寶島極</t>
    </r>
  </si>
  <si>
    <r>
      <rPr>
        <sz val="12"/>
        <rFont val="標楷體"/>
        <family val="4"/>
        <charset val="136"/>
      </rPr>
      <t>進階</t>
    </r>
  </si>
  <si>
    <r>
      <rPr>
        <sz val="12"/>
        <rFont val="標楷體"/>
        <family val="4"/>
        <charset val="136"/>
      </rPr>
      <t>笙泉</t>
    </r>
  </si>
  <si>
    <r>
      <rPr>
        <sz val="12"/>
        <rFont val="標楷體"/>
        <family val="4"/>
        <charset val="136"/>
      </rPr>
      <t>昇銳</t>
    </r>
  </si>
  <si>
    <r>
      <rPr>
        <sz val="12"/>
        <rFont val="標楷體"/>
        <family val="4"/>
        <charset val="136"/>
      </rPr>
      <t>弘塑</t>
    </r>
  </si>
  <si>
    <r>
      <rPr>
        <sz val="12"/>
        <rFont val="標楷體"/>
        <family val="4"/>
        <charset val="136"/>
      </rPr>
      <t>晶宏</t>
    </r>
  </si>
  <si>
    <r>
      <rPr>
        <sz val="12"/>
        <rFont val="標楷體"/>
        <family val="4"/>
        <charset val="136"/>
      </rPr>
      <t>新揚科</t>
    </r>
  </si>
  <si>
    <r>
      <rPr>
        <sz val="12"/>
        <rFont val="標楷體"/>
        <family val="4"/>
        <charset val="136"/>
      </rPr>
      <t>大綜</t>
    </r>
  </si>
  <si>
    <r>
      <rPr>
        <sz val="12"/>
        <rFont val="標楷體"/>
        <family val="4"/>
        <charset val="136"/>
      </rPr>
      <t>璟德</t>
    </r>
  </si>
  <si>
    <r>
      <rPr>
        <sz val="12"/>
        <rFont val="標楷體"/>
        <family val="4"/>
        <charset val="136"/>
      </rPr>
      <t>精確</t>
    </r>
  </si>
  <si>
    <r>
      <rPr>
        <sz val="12"/>
        <rFont val="標楷體"/>
        <family val="4"/>
        <charset val="136"/>
      </rPr>
      <t>波若威</t>
    </r>
  </si>
  <si>
    <r>
      <rPr>
        <sz val="12"/>
        <rFont val="標楷體"/>
        <family val="4"/>
        <charset val="136"/>
      </rPr>
      <t>亞信</t>
    </r>
  </si>
  <si>
    <r>
      <rPr>
        <sz val="12"/>
        <rFont val="標楷體"/>
        <family val="4"/>
        <charset val="136"/>
      </rPr>
      <t>新洲</t>
    </r>
  </si>
  <si>
    <r>
      <rPr>
        <sz val="12"/>
        <rFont val="標楷體"/>
        <family val="4"/>
        <charset val="136"/>
      </rPr>
      <t>基亞</t>
    </r>
  </si>
  <si>
    <r>
      <rPr>
        <sz val="12"/>
        <rFont val="標楷體"/>
        <family val="4"/>
        <charset val="136"/>
      </rPr>
      <t>公準</t>
    </r>
  </si>
  <si>
    <r>
      <rPr>
        <sz val="12"/>
        <rFont val="標楷體"/>
        <family val="4"/>
        <charset val="136"/>
      </rPr>
      <t>鑫龍騰</t>
    </r>
  </si>
  <si>
    <r>
      <rPr>
        <sz val="12"/>
        <rFont val="標楷體"/>
        <family val="4"/>
        <charset val="136"/>
      </rPr>
      <t>和進</t>
    </r>
  </si>
  <si>
    <r>
      <rPr>
        <sz val="12"/>
        <rFont val="標楷體"/>
        <family val="4"/>
        <charset val="136"/>
      </rPr>
      <t>樺晟</t>
    </r>
  </si>
  <si>
    <r>
      <rPr>
        <sz val="12"/>
        <rFont val="標楷體"/>
        <family val="4"/>
        <charset val="136"/>
      </rPr>
      <t>佰研</t>
    </r>
  </si>
  <si>
    <r>
      <rPr>
        <sz val="12"/>
        <rFont val="標楷體"/>
        <family val="4"/>
        <charset val="136"/>
      </rPr>
      <t>志豐</t>
    </r>
  </si>
  <si>
    <r>
      <rPr>
        <sz val="12"/>
        <rFont val="標楷體"/>
        <family val="4"/>
        <charset val="136"/>
      </rPr>
      <t>耀勝</t>
    </r>
  </si>
  <si>
    <r>
      <rPr>
        <sz val="12"/>
        <rFont val="標楷體"/>
        <family val="4"/>
        <charset val="136"/>
      </rPr>
      <t>順達科</t>
    </r>
  </si>
  <si>
    <r>
      <rPr>
        <sz val="12"/>
        <rFont val="標楷體"/>
        <family val="4"/>
        <charset val="136"/>
      </rPr>
      <t>茂訊</t>
    </r>
  </si>
  <si>
    <r>
      <rPr>
        <sz val="12"/>
        <rFont val="標楷體"/>
        <family val="4"/>
        <charset val="136"/>
      </rPr>
      <t>優群科</t>
    </r>
  </si>
  <si>
    <r>
      <rPr>
        <sz val="12"/>
        <rFont val="標楷體"/>
        <family val="4"/>
        <charset val="136"/>
      </rPr>
      <t>大學光</t>
    </r>
  </si>
  <si>
    <r>
      <rPr>
        <sz val="12"/>
        <rFont val="標楷體"/>
        <family val="4"/>
        <charset val="136"/>
      </rPr>
      <t>台嘉碩</t>
    </r>
  </si>
  <si>
    <r>
      <rPr>
        <sz val="12"/>
        <rFont val="標楷體"/>
        <family val="4"/>
        <charset val="136"/>
      </rPr>
      <t>三顧</t>
    </r>
  </si>
  <si>
    <r>
      <rPr>
        <sz val="12"/>
        <rFont val="標楷體"/>
        <family val="4"/>
        <charset val="136"/>
      </rPr>
      <t>至寶電</t>
    </r>
  </si>
  <si>
    <r>
      <rPr>
        <sz val="12"/>
        <rFont val="標楷體"/>
        <family val="4"/>
        <charset val="136"/>
      </rPr>
      <t>原相</t>
    </r>
  </si>
  <si>
    <r>
      <rPr>
        <sz val="12"/>
        <rFont val="標楷體"/>
        <family val="4"/>
        <charset val="136"/>
      </rPr>
      <t>金麗科</t>
    </r>
  </si>
  <si>
    <r>
      <rPr>
        <sz val="12"/>
        <rFont val="標楷體"/>
        <family val="4"/>
        <charset val="136"/>
      </rPr>
      <t>錦明</t>
    </r>
  </si>
  <si>
    <r>
      <rPr>
        <sz val="12"/>
        <rFont val="標楷體"/>
        <family val="4"/>
        <charset val="136"/>
      </rPr>
      <t>昱捷</t>
    </r>
  </si>
  <si>
    <r>
      <rPr>
        <sz val="12"/>
        <rFont val="標楷體"/>
        <family val="4"/>
        <charset val="136"/>
      </rPr>
      <t>光環</t>
    </r>
  </si>
  <si>
    <r>
      <rPr>
        <sz val="12"/>
        <rFont val="標楷體"/>
        <family val="4"/>
        <charset val="136"/>
      </rPr>
      <t>千如</t>
    </r>
  </si>
  <si>
    <r>
      <rPr>
        <sz val="12"/>
        <rFont val="標楷體"/>
        <family val="4"/>
        <charset val="136"/>
      </rPr>
      <t>海灣</t>
    </r>
  </si>
  <si>
    <r>
      <rPr>
        <sz val="12"/>
        <rFont val="標楷體"/>
        <family val="4"/>
        <charset val="136"/>
      </rPr>
      <t>鑫創</t>
    </r>
  </si>
  <si>
    <r>
      <rPr>
        <sz val="12"/>
        <rFont val="標楷體"/>
        <family val="4"/>
        <charset val="136"/>
      </rPr>
      <t>威剛</t>
    </r>
  </si>
  <si>
    <r>
      <rPr>
        <sz val="12"/>
        <rFont val="標楷體"/>
        <family val="4"/>
        <charset val="136"/>
      </rPr>
      <t>欣銓</t>
    </r>
  </si>
  <si>
    <r>
      <rPr>
        <sz val="12"/>
        <rFont val="標楷體"/>
        <family val="4"/>
        <charset val="136"/>
      </rPr>
      <t>台星科</t>
    </r>
  </si>
  <si>
    <r>
      <rPr>
        <sz val="12"/>
        <rFont val="標楷體"/>
        <family val="4"/>
        <charset val="136"/>
      </rPr>
      <t>海德威</t>
    </r>
  </si>
  <si>
    <r>
      <rPr>
        <sz val="12"/>
        <rFont val="標楷體"/>
        <family val="4"/>
        <charset val="136"/>
      </rPr>
      <t>東碩</t>
    </r>
  </si>
  <si>
    <r>
      <rPr>
        <sz val="12"/>
        <rFont val="標楷體"/>
        <family val="4"/>
        <charset val="136"/>
      </rPr>
      <t>宇環</t>
    </r>
  </si>
  <si>
    <r>
      <rPr>
        <sz val="12"/>
        <rFont val="標楷體"/>
        <family val="4"/>
        <charset val="136"/>
      </rPr>
      <t>太普高</t>
    </r>
  </si>
  <si>
    <r>
      <rPr>
        <sz val="12"/>
        <rFont val="標楷體"/>
        <family val="4"/>
        <charset val="136"/>
      </rPr>
      <t>微端</t>
    </r>
  </si>
  <si>
    <r>
      <rPr>
        <sz val="12"/>
        <rFont val="標楷體"/>
        <family val="4"/>
        <charset val="136"/>
      </rPr>
      <t>廣寰科</t>
    </r>
  </si>
  <si>
    <r>
      <rPr>
        <sz val="12"/>
        <rFont val="標楷體"/>
        <family val="4"/>
        <charset val="136"/>
      </rPr>
      <t>點晶</t>
    </r>
  </si>
  <si>
    <r>
      <rPr>
        <sz val="12"/>
        <rFont val="標楷體"/>
        <family val="4"/>
        <charset val="136"/>
      </rPr>
      <t>宜特</t>
    </r>
  </si>
  <si>
    <r>
      <rPr>
        <sz val="12"/>
        <rFont val="標楷體"/>
        <family val="4"/>
        <charset val="136"/>
      </rPr>
      <t>東浦</t>
    </r>
  </si>
  <si>
    <r>
      <rPr>
        <sz val="12"/>
        <rFont val="標楷體"/>
        <family val="4"/>
        <charset val="136"/>
      </rPr>
      <t>鈊象</t>
    </r>
  </si>
  <si>
    <r>
      <rPr>
        <sz val="12"/>
        <rFont val="標楷體"/>
        <family val="4"/>
        <charset val="136"/>
      </rPr>
      <t>英濟</t>
    </r>
  </si>
  <si>
    <r>
      <rPr>
        <sz val="12"/>
        <rFont val="標楷體"/>
        <family val="4"/>
        <charset val="136"/>
      </rPr>
      <t>杭特</t>
    </r>
  </si>
  <si>
    <r>
      <rPr>
        <sz val="12"/>
        <rFont val="標楷體"/>
        <family val="4"/>
        <charset val="136"/>
      </rPr>
      <t>岱稜</t>
    </r>
  </si>
  <si>
    <r>
      <rPr>
        <sz val="12"/>
        <rFont val="標楷體"/>
        <family val="4"/>
        <charset val="136"/>
      </rPr>
      <t>鼎天</t>
    </r>
  </si>
  <si>
    <r>
      <rPr>
        <sz val="12"/>
        <rFont val="標楷體"/>
        <family val="4"/>
        <charset val="136"/>
      </rPr>
      <t>佳穎</t>
    </r>
  </si>
  <si>
    <r>
      <rPr>
        <sz val="12"/>
        <rFont val="標楷體"/>
        <family val="4"/>
        <charset val="136"/>
      </rPr>
      <t>斐成</t>
    </r>
  </si>
  <si>
    <r>
      <rPr>
        <sz val="12"/>
        <rFont val="標楷體"/>
        <family val="4"/>
        <charset val="136"/>
      </rPr>
      <t>尼克森</t>
    </r>
  </si>
  <si>
    <r>
      <rPr>
        <sz val="12"/>
        <rFont val="標楷體"/>
        <family val="4"/>
        <charset val="136"/>
      </rPr>
      <t>建舜電</t>
    </r>
  </si>
  <si>
    <r>
      <rPr>
        <sz val="12"/>
        <rFont val="標楷體"/>
        <family val="4"/>
        <charset val="136"/>
      </rPr>
      <t>加百裕</t>
    </r>
  </si>
  <si>
    <r>
      <rPr>
        <sz val="12"/>
        <rFont val="標楷體"/>
        <family val="4"/>
        <charset val="136"/>
      </rPr>
      <t>雙鴻</t>
    </r>
  </si>
  <si>
    <r>
      <rPr>
        <sz val="12"/>
        <rFont val="標楷體"/>
        <family val="4"/>
        <charset val="136"/>
      </rPr>
      <t>旭品</t>
    </r>
  </si>
  <si>
    <r>
      <rPr>
        <sz val="12"/>
        <rFont val="標楷體"/>
        <family val="4"/>
        <charset val="136"/>
      </rPr>
      <t>幸康</t>
    </r>
  </si>
  <si>
    <r>
      <rPr>
        <sz val="12"/>
        <rFont val="標楷體"/>
        <family val="4"/>
        <charset val="136"/>
      </rPr>
      <t>泰谷</t>
    </r>
  </si>
  <si>
    <r>
      <rPr>
        <sz val="12"/>
        <rFont val="標楷體"/>
        <family val="4"/>
        <charset val="136"/>
      </rPr>
      <t>律勝</t>
    </r>
  </si>
  <si>
    <r>
      <rPr>
        <sz val="12"/>
        <rFont val="標楷體"/>
        <family val="4"/>
        <charset val="136"/>
      </rPr>
      <t>尚立</t>
    </r>
  </si>
  <si>
    <r>
      <rPr>
        <sz val="12"/>
        <rFont val="標楷體"/>
        <family val="4"/>
        <charset val="136"/>
      </rPr>
      <t>先進光</t>
    </r>
  </si>
  <si>
    <r>
      <rPr>
        <sz val="12"/>
        <rFont val="標楷體"/>
        <family val="4"/>
        <charset val="136"/>
      </rPr>
      <t>上詮</t>
    </r>
  </si>
  <si>
    <r>
      <rPr>
        <sz val="12"/>
        <rFont val="標楷體"/>
        <family val="4"/>
        <charset val="136"/>
      </rPr>
      <t>典範</t>
    </r>
  </si>
  <si>
    <r>
      <rPr>
        <sz val="12"/>
        <rFont val="標楷體"/>
        <family val="4"/>
        <charset val="136"/>
      </rPr>
      <t>熱映</t>
    </r>
  </si>
  <si>
    <r>
      <rPr>
        <sz val="12"/>
        <rFont val="標楷體"/>
        <family val="4"/>
        <charset val="136"/>
      </rPr>
      <t>精材</t>
    </r>
  </si>
  <si>
    <r>
      <rPr>
        <sz val="12"/>
        <rFont val="標楷體"/>
        <family val="4"/>
        <charset val="136"/>
      </rPr>
      <t>彬台</t>
    </r>
  </si>
  <si>
    <r>
      <rPr>
        <sz val="12"/>
        <rFont val="標楷體"/>
        <family val="4"/>
        <charset val="136"/>
      </rPr>
      <t>崇越電</t>
    </r>
  </si>
  <si>
    <r>
      <rPr>
        <sz val="12"/>
        <rFont val="標楷體"/>
        <family val="4"/>
        <charset val="136"/>
      </rPr>
      <t>旭軟</t>
    </r>
  </si>
  <si>
    <r>
      <rPr>
        <sz val="12"/>
        <rFont val="標楷體"/>
        <family val="4"/>
        <charset val="136"/>
      </rPr>
      <t>漢科</t>
    </r>
  </si>
  <si>
    <r>
      <rPr>
        <sz val="12"/>
        <rFont val="標楷體"/>
        <family val="4"/>
        <charset val="136"/>
      </rPr>
      <t>台興</t>
    </r>
  </si>
  <si>
    <r>
      <rPr>
        <sz val="12"/>
        <rFont val="標楷體"/>
        <family val="4"/>
        <charset val="136"/>
      </rPr>
      <t>哲固</t>
    </r>
  </si>
  <si>
    <r>
      <rPr>
        <sz val="12"/>
        <rFont val="標楷體"/>
        <family val="4"/>
        <charset val="136"/>
      </rPr>
      <t>類比科</t>
    </r>
  </si>
  <si>
    <r>
      <rPr>
        <sz val="12"/>
        <rFont val="標楷體"/>
        <family val="4"/>
        <charset val="136"/>
      </rPr>
      <t>聯一光</t>
    </r>
  </si>
  <si>
    <r>
      <rPr>
        <sz val="12"/>
        <rFont val="標楷體"/>
        <family val="4"/>
        <charset val="136"/>
      </rPr>
      <t>利機</t>
    </r>
  </si>
  <si>
    <r>
      <rPr>
        <sz val="12"/>
        <rFont val="標楷體"/>
        <family val="4"/>
        <charset val="136"/>
      </rPr>
      <t>由田</t>
    </r>
  </si>
  <si>
    <r>
      <rPr>
        <sz val="12"/>
        <rFont val="標楷體"/>
        <family val="4"/>
        <charset val="136"/>
      </rPr>
      <t>進泰電子</t>
    </r>
  </si>
  <si>
    <r>
      <rPr>
        <sz val="12"/>
        <rFont val="標楷體"/>
        <family val="4"/>
        <charset val="136"/>
      </rPr>
      <t>致振</t>
    </r>
  </si>
  <si>
    <r>
      <rPr>
        <sz val="12"/>
        <rFont val="標楷體"/>
        <family val="4"/>
        <charset val="136"/>
      </rPr>
      <t>安勤</t>
    </r>
  </si>
  <si>
    <r>
      <rPr>
        <sz val="12"/>
        <rFont val="標楷體"/>
        <family val="4"/>
        <charset val="136"/>
      </rPr>
      <t>力致</t>
    </r>
  </si>
  <si>
    <r>
      <rPr>
        <sz val="12"/>
        <rFont val="標楷體"/>
        <family val="4"/>
        <charset val="136"/>
      </rPr>
      <t>崧騰</t>
    </r>
  </si>
  <si>
    <r>
      <rPr>
        <sz val="12"/>
        <rFont val="標楷體"/>
        <family val="4"/>
        <charset val="136"/>
      </rPr>
      <t>森寶</t>
    </r>
  </si>
  <si>
    <r>
      <rPr>
        <sz val="12"/>
        <rFont val="標楷體"/>
        <family val="4"/>
        <charset val="136"/>
      </rPr>
      <t>單井</t>
    </r>
  </si>
  <si>
    <r>
      <rPr>
        <sz val="12"/>
        <rFont val="標楷體"/>
        <family val="4"/>
        <charset val="136"/>
      </rPr>
      <t>昇達科</t>
    </r>
  </si>
  <si>
    <r>
      <rPr>
        <sz val="12"/>
        <rFont val="標楷體"/>
        <family val="4"/>
        <charset val="136"/>
      </rPr>
      <t>長盛</t>
    </r>
  </si>
  <si>
    <r>
      <rPr>
        <sz val="12"/>
        <rFont val="標楷體"/>
        <family val="4"/>
        <charset val="136"/>
      </rPr>
      <t>陽程</t>
    </r>
  </si>
  <si>
    <r>
      <rPr>
        <sz val="12"/>
        <rFont val="標楷體"/>
        <family val="4"/>
        <charset val="136"/>
      </rPr>
      <t>環天科</t>
    </r>
  </si>
  <si>
    <r>
      <rPr>
        <sz val="12"/>
        <rFont val="標楷體"/>
        <family val="4"/>
        <charset val="136"/>
      </rPr>
      <t>位速</t>
    </r>
  </si>
  <si>
    <r>
      <rPr>
        <sz val="12"/>
        <rFont val="標楷體"/>
        <family val="4"/>
        <charset val="136"/>
      </rPr>
      <t>矽瑪</t>
    </r>
  </si>
  <si>
    <r>
      <rPr>
        <sz val="12"/>
        <rFont val="標楷體"/>
        <family val="4"/>
        <charset val="136"/>
      </rPr>
      <t>皇龍</t>
    </r>
  </si>
  <si>
    <r>
      <rPr>
        <sz val="12"/>
        <rFont val="標楷體"/>
        <family val="4"/>
        <charset val="136"/>
      </rPr>
      <t>亞帝歐</t>
    </r>
  </si>
  <si>
    <r>
      <rPr>
        <sz val="12"/>
        <rFont val="標楷體"/>
        <family val="4"/>
        <charset val="136"/>
      </rPr>
      <t>振維</t>
    </r>
  </si>
  <si>
    <r>
      <rPr>
        <sz val="12"/>
        <rFont val="標楷體"/>
        <family val="4"/>
        <charset val="136"/>
      </rPr>
      <t>鴻翊</t>
    </r>
  </si>
  <si>
    <r>
      <rPr>
        <sz val="12"/>
        <rFont val="標楷體"/>
        <family val="4"/>
        <charset val="136"/>
      </rPr>
      <t>御頂</t>
    </r>
  </si>
  <si>
    <r>
      <rPr>
        <sz val="12"/>
        <rFont val="標楷體"/>
        <family val="4"/>
        <charset val="136"/>
      </rPr>
      <t>迎輝</t>
    </r>
  </si>
  <si>
    <r>
      <rPr>
        <sz val="12"/>
        <rFont val="標楷體"/>
        <family val="4"/>
        <charset val="136"/>
      </rPr>
      <t>凡甲</t>
    </r>
  </si>
  <si>
    <r>
      <rPr>
        <sz val="12"/>
        <rFont val="標楷體"/>
        <family val="4"/>
        <charset val="136"/>
      </rPr>
      <t>聚積</t>
    </r>
  </si>
  <si>
    <r>
      <rPr>
        <sz val="12"/>
        <rFont val="標楷體"/>
        <family val="4"/>
        <charset val="136"/>
      </rPr>
      <t>力旺</t>
    </r>
  </si>
  <si>
    <r>
      <rPr>
        <sz val="12"/>
        <rFont val="標楷體"/>
        <family val="4"/>
        <charset val="136"/>
      </rPr>
      <t>先益</t>
    </r>
  </si>
  <si>
    <r>
      <rPr>
        <sz val="12"/>
        <rFont val="標楷體"/>
        <family val="4"/>
        <charset val="136"/>
      </rPr>
      <t>堡達</t>
    </r>
  </si>
  <si>
    <r>
      <rPr>
        <sz val="12"/>
        <rFont val="標楷體"/>
        <family val="4"/>
        <charset val="136"/>
      </rPr>
      <t>曜越</t>
    </r>
  </si>
  <si>
    <r>
      <rPr>
        <sz val="12"/>
        <rFont val="標楷體"/>
        <family val="4"/>
        <charset val="136"/>
      </rPr>
      <t>西柏</t>
    </r>
  </si>
  <si>
    <r>
      <rPr>
        <sz val="12"/>
        <rFont val="標楷體"/>
        <family val="4"/>
        <charset val="136"/>
      </rPr>
      <t>宇峻</t>
    </r>
  </si>
  <si>
    <r>
      <rPr>
        <sz val="12"/>
        <rFont val="標楷體"/>
        <family val="4"/>
        <charset val="136"/>
      </rPr>
      <t>兆利</t>
    </r>
  </si>
  <si>
    <r>
      <rPr>
        <sz val="12"/>
        <rFont val="標楷體"/>
        <family val="4"/>
        <charset val="136"/>
      </rPr>
      <t>世禾</t>
    </r>
  </si>
  <si>
    <r>
      <rPr>
        <sz val="12"/>
        <rFont val="標楷體"/>
        <family val="4"/>
        <charset val="136"/>
      </rPr>
      <t>同致</t>
    </r>
  </si>
  <si>
    <r>
      <rPr>
        <sz val="12"/>
        <rFont val="標楷體"/>
        <family val="4"/>
        <charset val="136"/>
      </rPr>
      <t>重鵬</t>
    </r>
  </si>
  <si>
    <r>
      <rPr>
        <sz val="12"/>
        <rFont val="標楷體"/>
        <family val="4"/>
        <charset val="136"/>
      </rPr>
      <t>禾瑞亞</t>
    </r>
  </si>
  <si>
    <r>
      <rPr>
        <sz val="12"/>
        <rFont val="標楷體"/>
        <family val="4"/>
        <charset val="136"/>
      </rPr>
      <t>神準</t>
    </r>
  </si>
  <si>
    <r>
      <rPr>
        <sz val="12"/>
        <rFont val="標楷體"/>
        <family val="4"/>
        <charset val="136"/>
      </rPr>
      <t>頂晶科</t>
    </r>
  </si>
  <si>
    <r>
      <rPr>
        <sz val="12"/>
        <rFont val="標楷體"/>
        <family val="4"/>
        <charset val="136"/>
      </rPr>
      <t>其陽</t>
    </r>
  </si>
  <si>
    <r>
      <rPr>
        <sz val="12"/>
        <rFont val="標楷體"/>
        <family val="4"/>
        <charset val="136"/>
      </rPr>
      <t>逸昌</t>
    </r>
  </si>
  <si>
    <r>
      <rPr>
        <sz val="12"/>
        <rFont val="標楷體"/>
        <family val="4"/>
        <charset val="136"/>
      </rPr>
      <t>大塚</t>
    </r>
  </si>
  <si>
    <r>
      <rPr>
        <sz val="12"/>
        <rFont val="標楷體"/>
        <family val="4"/>
        <charset val="136"/>
      </rPr>
      <t>泓格</t>
    </r>
  </si>
  <si>
    <r>
      <rPr>
        <sz val="12"/>
        <rFont val="標楷體"/>
        <family val="4"/>
        <charset val="136"/>
      </rPr>
      <t>友威科</t>
    </r>
  </si>
  <si>
    <r>
      <rPr>
        <sz val="12"/>
        <rFont val="標楷體"/>
        <family val="4"/>
        <charset val="136"/>
      </rPr>
      <t>博磊</t>
    </r>
  </si>
  <si>
    <r>
      <rPr>
        <sz val="12"/>
        <rFont val="標楷體"/>
        <family val="4"/>
        <charset val="136"/>
      </rPr>
      <t>閎康</t>
    </r>
  </si>
  <si>
    <r>
      <rPr>
        <sz val="12"/>
        <rFont val="標楷體"/>
        <family val="4"/>
        <charset val="136"/>
      </rPr>
      <t>磐儀</t>
    </r>
  </si>
  <si>
    <r>
      <rPr>
        <sz val="12"/>
        <rFont val="標楷體"/>
        <family val="4"/>
        <charset val="136"/>
      </rPr>
      <t>東林</t>
    </r>
  </si>
  <si>
    <r>
      <rPr>
        <sz val="12"/>
        <rFont val="標楷體"/>
        <family val="4"/>
        <charset val="136"/>
      </rPr>
      <t>鼎翰</t>
    </r>
  </si>
  <si>
    <r>
      <rPr>
        <sz val="12"/>
        <rFont val="標楷體"/>
        <family val="4"/>
        <charset val="136"/>
      </rPr>
      <t>安可</t>
    </r>
  </si>
  <si>
    <r>
      <rPr>
        <sz val="12"/>
        <rFont val="標楷體"/>
        <family val="4"/>
        <charset val="136"/>
      </rPr>
      <t>富晶通</t>
    </r>
  </si>
  <si>
    <r>
      <rPr>
        <sz val="12"/>
        <rFont val="標楷體"/>
        <family val="4"/>
        <charset val="136"/>
      </rPr>
      <t>光頡</t>
    </r>
  </si>
  <si>
    <r>
      <rPr>
        <sz val="12"/>
        <rFont val="標楷體"/>
        <family val="4"/>
        <charset val="136"/>
      </rPr>
      <t>西勝</t>
    </r>
  </si>
  <si>
    <r>
      <rPr>
        <sz val="12"/>
        <rFont val="標楷體"/>
        <family val="4"/>
        <charset val="136"/>
      </rPr>
      <t>盈正</t>
    </r>
  </si>
  <si>
    <r>
      <rPr>
        <sz val="12"/>
        <rFont val="標楷體"/>
        <family val="4"/>
        <charset val="136"/>
      </rPr>
      <t>地心引力</t>
    </r>
  </si>
  <si>
    <r>
      <rPr>
        <sz val="12"/>
        <rFont val="標楷體"/>
        <family val="4"/>
        <charset val="136"/>
      </rPr>
      <t>新鉅科</t>
    </r>
  </si>
  <si>
    <r>
      <rPr>
        <sz val="12"/>
        <rFont val="標楷體"/>
        <family val="4"/>
        <charset val="136"/>
      </rPr>
      <t>晟楠</t>
    </r>
  </si>
  <si>
    <r>
      <rPr>
        <sz val="12"/>
        <rFont val="標楷體"/>
        <family val="4"/>
        <charset val="136"/>
      </rPr>
      <t>研勤</t>
    </r>
  </si>
  <si>
    <r>
      <rPr>
        <sz val="12"/>
        <rFont val="標楷體"/>
        <family val="4"/>
        <charset val="136"/>
      </rPr>
      <t>駿熠電</t>
    </r>
  </si>
  <si>
    <r>
      <rPr>
        <sz val="12"/>
        <rFont val="標楷體"/>
        <family val="4"/>
        <charset val="136"/>
      </rPr>
      <t>艾恩特</t>
    </r>
  </si>
  <si>
    <r>
      <rPr>
        <sz val="12"/>
        <rFont val="標楷體"/>
        <family val="4"/>
        <charset val="136"/>
      </rPr>
      <t>精聯</t>
    </r>
  </si>
  <si>
    <r>
      <rPr>
        <sz val="12"/>
        <rFont val="標楷體"/>
        <family val="4"/>
        <charset val="136"/>
      </rPr>
      <t>鑫科</t>
    </r>
  </si>
  <si>
    <r>
      <rPr>
        <sz val="12"/>
        <rFont val="標楷體"/>
        <family val="4"/>
        <charset val="136"/>
      </rPr>
      <t>安瑞</t>
    </r>
    <r>
      <rPr>
        <sz val="12"/>
        <rFont val="Times New Roman"/>
        <family val="1"/>
      </rPr>
      <t>-KY</t>
    </r>
  </si>
  <si>
    <r>
      <rPr>
        <sz val="12"/>
        <rFont val="標楷體"/>
        <family val="4"/>
        <charset val="136"/>
      </rPr>
      <t>光耀</t>
    </r>
  </si>
  <si>
    <r>
      <rPr>
        <sz val="12"/>
        <rFont val="標楷體"/>
        <family val="4"/>
        <charset val="136"/>
      </rPr>
      <t>康聯訊</t>
    </r>
  </si>
  <si>
    <r>
      <rPr>
        <sz val="12"/>
        <rFont val="標楷體"/>
        <family val="4"/>
        <charset val="136"/>
      </rPr>
      <t>德微</t>
    </r>
  </si>
  <si>
    <r>
      <rPr>
        <sz val="12"/>
        <rFont val="標楷體"/>
        <family val="4"/>
        <charset val="136"/>
      </rPr>
      <t>家登</t>
    </r>
  </si>
  <si>
    <r>
      <rPr>
        <sz val="12"/>
        <rFont val="標楷體"/>
        <family val="4"/>
        <charset val="136"/>
      </rPr>
      <t>榮昌</t>
    </r>
  </si>
  <si>
    <r>
      <rPr>
        <sz val="12"/>
        <rFont val="標楷體"/>
        <family val="4"/>
        <charset val="136"/>
      </rPr>
      <t>元創精密</t>
    </r>
  </si>
  <si>
    <r>
      <rPr>
        <sz val="12"/>
        <rFont val="標楷體"/>
        <family val="4"/>
        <charset val="136"/>
      </rPr>
      <t>歐買尬</t>
    </r>
  </si>
  <si>
    <r>
      <rPr>
        <sz val="12"/>
        <rFont val="標楷體"/>
        <family val="4"/>
        <charset val="136"/>
      </rPr>
      <t>湧德</t>
    </r>
  </si>
  <si>
    <r>
      <rPr>
        <sz val="12"/>
        <rFont val="標楷體"/>
        <family val="4"/>
        <charset val="136"/>
      </rPr>
      <t>碩禾</t>
    </r>
  </si>
  <si>
    <r>
      <rPr>
        <sz val="12"/>
        <rFont val="標楷體"/>
        <family val="4"/>
        <charset val="136"/>
      </rPr>
      <t>營邦</t>
    </r>
  </si>
  <si>
    <r>
      <rPr>
        <sz val="12"/>
        <rFont val="標楷體"/>
        <family val="4"/>
        <charset val="136"/>
      </rPr>
      <t>漢磊</t>
    </r>
  </si>
  <si>
    <r>
      <rPr>
        <sz val="12"/>
        <rFont val="標楷體"/>
        <family val="4"/>
        <charset val="136"/>
      </rPr>
      <t>鑫聯大投控</t>
    </r>
  </si>
  <si>
    <r>
      <rPr>
        <sz val="12"/>
        <rFont val="標楷體"/>
        <family val="4"/>
        <charset val="136"/>
      </rPr>
      <t>連展投控</t>
    </r>
  </si>
  <si>
    <r>
      <rPr>
        <sz val="12"/>
        <rFont val="標楷體"/>
        <family val="4"/>
        <charset val="136"/>
      </rPr>
      <t>永日</t>
    </r>
  </si>
  <si>
    <r>
      <rPr>
        <sz val="12"/>
        <rFont val="標楷體"/>
        <family val="4"/>
        <charset val="136"/>
      </rPr>
      <t>東洋</t>
    </r>
  </si>
  <si>
    <r>
      <rPr>
        <sz val="12"/>
        <rFont val="標楷體"/>
        <family val="4"/>
        <charset val="136"/>
      </rPr>
      <t>邦特</t>
    </r>
  </si>
  <si>
    <r>
      <rPr>
        <sz val="12"/>
        <rFont val="標楷體"/>
        <family val="4"/>
        <charset val="136"/>
      </rPr>
      <t>濟生</t>
    </r>
  </si>
  <si>
    <r>
      <rPr>
        <sz val="12"/>
        <rFont val="標楷體"/>
        <family val="4"/>
        <charset val="136"/>
      </rPr>
      <t>聯上</t>
    </r>
  </si>
  <si>
    <r>
      <rPr>
        <sz val="12"/>
        <rFont val="標楷體"/>
        <family val="4"/>
        <charset val="136"/>
      </rPr>
      <t>健喬</t>
    </r>
  </si>
  <si>
    <r>
      <rPr>
        <sz val="12"/>
        <rFont val="標楷體"/>
        <family val="4"/>
        <charset val="136"/>
      </rPr>
      <t>明基醫</t>
    </r>
  </si>
  <si>
    <r>
      <rPr>
        <sz val="12"/>
        <rFont val="標楷體"/>
        <family val="4"/>
        <charset val="136"/>
      </rPr>
      <t>友華</t>
    </r>
  </si>
  <si>
    <r>
      <rPr>
        <sz val="12"/>
        <rFont val="標楷體"/>
        <family val="4"/>
        <charset val="136"/>
      </rPr>
      <t>優盛</t>
    </r>
  </si>
  <si>
    <r>
      <rPr>
        <sz val="12"/>
        <rFont val="標楷體"/>
        <family val="4"/>
        <charset val="136"/>
      </rPr>
      <t>晟德</t>
    </r>
  </si>
  <si>
    <r>
      <rPr>
        <sz val="12"/>
        <rFont val="標楷體"/>
        <family val="4"/>
        <charset val="136"/>
      </rPr>
      <t>太醫</t>
    </r>
  </si>
  <si>
    <r>
      <rPr>
        <sz val="12"/>
        <rFont val="標楷體"/>
        <family val="4"/>
        <charset val="136"/>
      </rPr>
      <t>天良</t>
    </r>
  </si>
  <si>
    <r>
      <rPr>
        <sz val="12"/>
        <rFont val="標楷體"/>
        <family val="4"/>
        <charset val="136"/>
      </rPr>
      <t>中天</t>
    </r>
  </si>
  <si>
    <r>
      <rPr>
        <sz val="12"/>
        <rFont val="標楷體"/>
        <family val="4"/>
        <charset val="136"/>
      </rPr>
      <t>聯合</t>
    </r>
  </si>
  <si>
    <r>
      <rPr>
        <sz val="12"/>
        <rFont val="標楷體"/>
        <family val="4"/>
        <charset val="136"/>
      </rPr>
      <t>健亞</t>
    </r>
  </si>
  <si>
    <r>
      <rPr>
        <sz val="12"/>
        <rFont val="標楷體"/>
        <family val="4"/>
        <charset val="136"/>
      </rPr>
      <t>晶宇</t>
    </r>
  </si>
  <si>
    <r>
      <rPr>
        <sz val="12"/>
        <rFont val="標楷體"/>
        <family val="4"/>
        <charset val="136"/>
      </rPr>
      <t>曜亞</t>
    </r>
  </si>
  <si>
    <r>
      <rPr>
        <sz val="12"/>
        <rFont val="標楷體"/>
        <family val="4"/>
        <charset val="136"/>
      </rPr>
      <t>馬光</t>
    </r>
    <r>
      <rPr>
        <sz val="12"/>
        <rFont val="Times New Roman"/>
        <family val="1"/>
      </rPr>
      <t>-KY</t>
    </r>
  </si>
  <si>
    <r>
      <rPr>
        <sz val="12"/>
        <rFont val="標楷體"/>
        <family val="4"/>
        <charset val="136"/>
      </rPr>
      <t>中裕</t>
    </r>
  </si>
  <si>
    <r>
      <rPr>
        <sz val="12"/>
        <rFont val="標楷體"/>
        <family val="4"/>
        <charset val="136"/>
      </rPr>
      <t>台微體</t>
    </r>
  </si>
  <si>
    <r>
      <rPr>
        <sz val="12"/>
        <rFont val="標楷體"/>
        <family val="4"/>
        <charset val="136"/>
      </rPr>
      <t>鈺緯</t>
    </r>
  </si>
  <si>
    <r>
      <rPr>
        <sz val="12"/>
        <rFont val="標楷體"/>
        <family val="4"/>
        <charset val="136"/>
      </rPr>
      <t>康樂</t>
    </r>
    <r>
      <rPr>
        <sz val="12"/>
        <rFont val="Times New Roman"/>
        <family val="1"/>
      </rPr>
      <t>-KY</t>
    </r>
  </si>
  <si>
    <r>
      <rPr>
        <sz val="12"/>
        <rFont val="標楷體"/>
        <family val="4"/>
        <charset val="136"/>
      </rPr>
      <t>太景</t>
    </r>
    <r>
      <rPr>
        <sz val="12"/>
        <rFont val="Times New Roman"/>
        <family val="1"/>
      </rPr>
      <t>*-KY</t>
    </r>
  </si>
  <si>
    <r>
      <rPr>
        <sz val="12"/>
        <rFont val="標楷體"/>
        <family val="4"/>
        <charset val="136"/>
      </rPr>
      <t>創源</t>
    </r>
  </si>
  <si>
    <r>
      <rPr>
        <sz val="12"/>
        <rFont val="標楷體"/>
        <family val="4"/>
        <charset val="136"/>
      </rPr>
      <t>聿新科</t>
    </r>
  </si>
  <si>
    <r>
      <rPr>
        <sz val="12"/>
        <rFont val="標楷體"/>
        <family val="4"/>
        <charset val="136"/>
      </rPr>
      <t>智擎</t>
    </r>
  </si>
  <si>
    <r>
      <rPr>
        <sz val="12"/>
        <rFont val="標楷體"/>
        <family val="4"/>
        <charset val="136"/>
      </rPr>
      <t>鐿鈦</t>
    </r>
  </si>
  <si>
    <r>
      <rPr>
        <sz val="12"/>
        <rFont val="標楷體"/>
        <family val="4"/>
        <charset val="136"/>
      </rPr>
      <t>展旺</t>
    </r>
  </si>
  <si>
    <r>
      <rPr>
        <sz val="12"/>
        <rFont val="標楷體"/>
        <family val="4"/>
        <charset val="136"/>
      </rPr>
      <t>醣聯</t>
    </r>
  </si>
  <si>
    <r>
      <rPr>
        <sz val="12"/>
        <rFont val="標楷體"/>
        <family val="4"/>
        <charset val="136"/>
      </rPr>
      <t>瑞基</t>
    </r>
  </si>
  <si>
    <r>
      <rPr>
        <sz val="12"/>
        <rFont val="標楷體"/>
        <family val="4"/>
        <charset val="136"/>
      </rPr>
      <t>久裕</t>
    </r>
  </si>
  <si>
    <r>
      <rPr>
        <sz val="12"/>
        <rFont val="標楷體"/>
        <family val="4"/>
        <charset val="136"/>
      </rPr>
      <t>浩鼎</t>
    </r>
  </si>
  <si>
    <r>
      <rPr>
        <sz val="12"/>
        <rFont val="標楷體"/>
        <family val="4"/>
        <charset val="136"/>
      </rPr>
      <t>杏一</t>
    </r>
  </si>
  <si>
    <r>
      <rPr>
        <sz val="12"/>
        <rFont val="標楷體"/>
        <family val="4"/>
        <charset val="136"/>
      </rPr>
      <t>福永生技</t>
    </r>
  </si>
  <si>
    <r>
      <rPr>
        <sz val="12"/>
        <rFont val="標楷體"/>
        <family val="4"/>
        <charset val="136"/>
      </rPr>
      <t>安克</t>
    </r>
  </si>
  <si>
    <r>
      <rPr>
        <sz val="12"/>
        <rFont val="標楷體"/>
        <family val="4"/>
        <charset val="136"/>
      </rPr>
      <t>杏國</t>
    </r>
  </si>
  <si>
    <r>
      <rPr>
        <sz val="12"/>
        <rFont val="標楷體"/>
        <family val="4"/>
        <charset val="136"/>
      </rPr>
      <t>環瑞醫</t>
    </r>
  </si>
  <si>
    <r>
      <rPr>
        <sz val="12"/>
        <rFont val="標楷體"/>
        <family val="4"/>
        <charset val="136"/>
      </rPr>
      <t>中華食</t>
    </r>
  </si>
  <si>
    <r>
      <rPr>
        <sz val="12"/>
        <rFont val="標楷體"/>
        <family val="4"/>
        <charset val="136"/>
      </rPr>
      <t>環泰</t>
    </r>
  </si>
  <si>
    <r>
      <rPr>
        <sz val="12"/>
        <rFont val="標楷體"/>
        <family val="4"/>
        <charset val="136"/>
      </rPr>
      <t>信立</t>
    </r>
  </si>
  <si>
    <r>
      <rPr>
        <sz val="12"/>
        <rFont val="標楷體"/>
        <family val="4"/>
        <charset val="136"/>
      </rPr>
      <t>勝昱</t>
    </r>
  </si>
  <si>
    <r>
      <rPr>
        <sz val="12"/>
        <rFont val="標楷體"/>
        <family val="4"/>
        <charset val="136"/>
      </rPr>
      <t>世坤</t>
    </r>
  </si>
  <si>
    <r>
      <rPr>
        <sz val="12"/>
        <rFont val="標楷體"/>
        <family val="4"/>
        <charset val="136"/>
      </rPr>
      <t>東隆興</t>
    </r>
  </si>
  <si>
    <r>
      <rPr>
        <sz val="12"/>
        <rFont val="標楷體"/>
        <family val="4"/>
        <charset val="136"/>
      </rPr>
      <t>福大</t>
    </r>
  </si>
  <si>
    <r>
      <rPr>
        <sz val="12"/>
        <rFont val="標楷體"/>
        <family val="4"/>
        <charset val="136"/>
      </rPr>
      <t>新昕纖</t>
    </r>
  </si>
  <si>
    <r>
      <rPr>
        <sz val="12"/>
        <rFont val="標楷體"/>
        <family val="4"/>
        <charset val="136"/>
      </rPr>
      <t>飛寶企業</t>
    </r>
  </si>
  <si>
    <r>
      <rPr>
        <sz val="12"/>
        <rFont val="標楷體"/>
        <family val="4"/>
        <charset val="136"/>
      </rPr>
      <t>三圓</t>
    </r>
  </si>
  <si>
    <r>
      <rPr>
        <sz val="12"/>
        <rFont val="標楷體"/>
        <family val="4"/>
        <charset val="136"/>
      </rPr>
      <t>金洲</t>
    </r>
  </si>
  <si>
    <r>
      <rPr>
        <sz val="12"/>
        <rFont val="標楷體"/>
        <family val="4"/>
        <charset val="136"/>
      </rPr>
      <t>光明</t>
    </r>
  </si>
  <si>
    <r>
      <rPr>
        <sz val="12"/>
        <rFont val="標楷體"/>
        <family val="4"/>
        <charset val="136"/>
      </rPr>
      <t>聚紡</t>
    </r>
  </si>
  <si>
    <r>
      <rPr>
        <sz val="12"/>
        <rFont val="標楷體"/>
        <family val="4"/>
        <charset val="136"/>
      </rPr>
      <t>耀億</t>
    </r>
  </si>
  <si>
    <r>
      <rPr>
        <sz val="12"/>
        <rFont val="標楷體"/>
        <family val="4"/>
        <charset val="136"/>
      </rPr>
      <t>銘旺實</t>
    </r>
  </si>
  <si>
    <r>
      <rPr>
        <sz val="12"/>
        <rFont val="標楷體"/>
        <family val="4"/>
        <charset val="136"/>
      </rPr>
      <t>興采</t>
    </r>
  </si>
  <si>
    <r>
      <rPr>
        <sz val="12"/>
        <rFont val="標楷體"/>
        <family val="4"/>
        <charset val="136"/>
      </rPr>
      <t>健信</t>
    </r>
  </si>
  <si>
    <r>
      <rPr>
        <sz val="12"/>
        <rFont val="標楷體"/>
        <family val="4"/>
        <charset val="136"/>
      </rPr>
      <t>金雨</t>
    </r>
  </si>
  <si>
    <r>
      <rPr>
        <sz val="12"/>
        <rFont val="標楷體"/>
        <family val="4"/>
        <charset val="136"/>
      </rPr>
      <t>崇友</t>
    </r>
  </si>
  <si>
    <r>
      <rPr>
        <sz val="12"/>
        <rFont val="標楷體"/>
        <family val="4"/>
        <charset val="136"/>
      </rPr>
      <t>高鋒</t>
    </r>
  </si>
  <si>
    <r>
      <rPr>
        <sz val="12"/>
        <rFont val="標楷體"/>
        <family val="4"/>
        <charset val="136"/>
      </rPr>
      <t>福裕</t>
    </r>
  </si>
  <si>
    <r>
      <rPr>
        <sz val="12"/>
        <rFont val="標楷體"/>
        <family val="4"/>
        <charset val="136"/>
      </rPr>
      <t>永彰</t>
    </r>
  </si>
  <si>
    <r>
      <rPr>
        <sz val="12"/>
        <rFont val="標楷體"/>
        <family val="4"/>
        <charset val="136"/>
      </rPr>
      <t>方土霖</t>
    </r>
  </si>
  <si>
    <r>
      <rPr>
        <sz val="12"/>
        <rFont val="標楷體"/>
        <family val="4"/>
        <charset val="136"/>
      </rPr>
      <t>江興鍛</t>
    </r>
  </si>
  <si>
    <r>
      <rPr>
        <sz val="12"/>
        <rFont val="標楷體"/>
        <family val="4"/>
        <charset val="136"/>
      </rPr>
      <t>淳紳</t>
    </r>
  </si>
  <si>
    <r>
      <rPr>
        <sz val="12"/>
        <rFont val="標楷體"/>
        <family val="4"/>
        <charset val="136"/>
      </rPr>
      <t>協易機</t>
    </r>
  </si>
  <si>
    <r>
      <rPr>
        <sz val="12"/>
        <rFont val="標楷體"/>
        <family val="4"/>
        <charset val="136"/>
      </rPr>
      <t>慶騰</t>
    </r>
  </si>
  <si>
    <r>
      <rPr>
        <sz val="12"/>
        <rFont val="標楷體"/>
        <family val="4"/>
        <charset val="136"/>
      </rPr>
      <t>至興</t>
    </r>
  </si>
  <si>
    <r>
      <rPr>
        <sz val="12"/>
        <rFont val="標楷體"/>
        <family val="4"/>
        <charset val="136"/>
      </rPr>
      <t>晟田</t>
    </r>
  </si>
  <si>
    <r>
      <rPr>
        <sz val="12"/>
        <rFont val="標楷體"/>
        <family val="4"/>
        <charset val="136"/>
      </rPr>
      <t>科嶠</t>
    </r>
  </si>
  <si>
    <r>
      <rPr>
        <sz val="12"/>
        <rFont val="標楷體"/>
        <family val="4"/>
        <charset val="136"/>
      </rPr>
      <t>萬在</t>
    </r>
  </si>
  <si>
    <r>
      <rPr>
        <sz val="12"/>
        <rFont val="標楷體"/>
        <family val="4"/>
        <charset val="136"/>
      </rPr>
      <t>桓達</t>
    </r>
  </si>
  <si>
    <r>
      <rPr>
        <sz val="12"/>
        <rFont val="標楷體"/>
        <family val="4"/>
        <charset val="136"/>
      </rPr>
      <t>長佳</t>
    </r>
  </si>
  <si>
    <r>
      <rPr>
        <sz val="12"/>
        <rFont val="標楷體"/>
        <family val="4"/>
        <charset val="136"/>
      </rPr>
      <t>橙的</t>
    </r>
  </si>
  <si>
    <r>
      <rPr>
        <sz val="12"/>
        <rFont val="標楷體"/>
        <family val="4"/>
        <charset val="136"/>
      </rPr>
      <t>旭然</t>
    </r>
  </si>
  <si>
    <r>
      <rPr>
        <sz val="12"/>
        <rFont val="標楷體"/>
        <family val="4"/>
        <charset val="136"/>
      </rPr>
      <t>健椿</t>
    </r>
  </si>
  <si>
    <r>
      <rPr>
        <sz val="12"/>
        <rFont val="標楷體"/>
        <family val="4"/>
        <charset val="136"/>
      </rPr>
      <t>百德</t>
    </r>
  </si>
  <si>
    <r>
      <rPr>
        <sz val="12"/>
        <rFont val="標楷體"/>
        <family val="4"/>
        <charset val="136"/>
      </rPr>
      <t>科際精密</t>
    </r>
  </si>
  <si>
    <r>
      <rPr>
        <sz val="12"/>
        <rFont val="標楷體"/>
        <family val="4"/>
        <charset val="136"/>
      </rPr>
      <t>唐鋒</t>
    </r>
  </si>
  <si>
    <r>
      <rPr>
        <sz val="12"/>
        <rFont val="標楷體"/>
        <family val="4"/>
        <charset val="136"/>
      </rPr>
      <t>中美實</t>
    </r>
  </si>
  <si>
    <r>
      <rPr>
        <sz val="12"/>
        <rFont val="標楷體"/>
        <family val="4"/>
        <charset val="136"/>
      </rPr>
      <t>大恭</t>
    </r>
  </si>
  <si>
    <r>
      <rPr>
        <sz val="12"/>
        <rFont val="標楷體"/>
        <family val="4"/>
        <charset val="136"/>
      </rPr>
      <t>磐亞</t>
    </r>
  </si>
  <si>
    <r>
      <rPr>
        <sz val="12"/>
        <rFont val="標楷體"/>
        <family val="4"/>
        <charset val="136"/>
      </rPr>
      <t>永純</t>
    </r>
  </si>
  <si>
    <r>
      <rPr>
        <sz val="12"/>
        <rFont val="標楷體"/>
        <family val="4"/>
        <charset val="136"/>
      </rPr>
      <t>南璋</t>
    </r>
  </si>
  <si>
    <r>
      <rPr>
        <sz val="12"/>
        <rFont val="標楷體"/>
        <family val="4"/>
        <charset val="136"/>
      </rPr>
      <t>永捷</t>
    </r>
  </si>
  <si>
    <r>
      <rPr>
        <sz val="12"/>
        <rFont val="標楷體"/>
        <family val="4"/>
        <charset val="136"/>
      </rPr>
      <t>大立</t>
    </r>
  </si>
  <si>
    <r>
      <rPr>
        <sz val="12"/>
        <rFont val="標楷體"/>
        <family val="4"/>
        <charset val="136"/>
      </rPr>
      <t>美琪瑪</t>
    </r>
  </si>
  <si>
    <r>
      <rPr>
        <sz val="12"/>
        <rFont val="標楷體"/>
        <family val="4"/>
        <charset val="136"/>
      </rPr>
      <t>永昕</t>
    </r>
  </si>
  <si>
    <r>
      <rPr>
        <sz val="12"/>
        <rFont val="標楷體"/>
        <family val="4"/>
        <charset val="136"/>
      </rPr>
      <t>雙美</t>
    </r>
  </si>
  <si>
    <r>
      <rPr>
        <sz val="12"/>
        <rFont val="標楷體"/>
        <family val="4"/>
        <charset val="136"/>
      </rPr>
      <t>熒茂</t>
    </r>
  </si>
  <si>
    <r>
      <rPr>
        <sz val="12"/>
        <rFont val="標楷體"/>
        <family val="4"/>
        <charset val="136"/>
      </rPr>
      <t>豪展</t>
    </r>
  </si>
  <si>
    <r>
      <rPr>
        <sz val="12"/>
        <rFont val="標楷體"/>
        <family val="4"/>
        <charset val="136"/>
      </rPr>
      <t>泰博</t>
    </r>
  </si>
  <si>
    <r>
      <rPr>
        <sz val="12"/>
        <rFont val="標楷體"/>
        <family val="4"/>
        <charset val="136"/>
      </rPr>
      <t>泓瀚</t>
    </r>
  </si>
  <si>
    <r>
      <rPr>
        <sz val="12"/>
        <rFont val="標楷體"/>
        <family val="4"/>
        <charset val="136"/>
      </rPr>
      <t>合一</t>
    </r>
  </si>
  <si>
    <r>
      <rPr>
        <sz val="12"/>
        <rFont val="標楷體"/>
        <family val="4"/>
        <charset val="136"/>
      </rPr>
      <t>皇將</t>
    </r>
  </si>
  <si>
    <r>
      <rPr>
        <sz val="12"/>
        <rFont val="標楷體"/>
        <family val="4"/>
        <charset val="136"/>
      </rPr>
      <t>合富</t>
    </r>
    <r>
      <rPr>
        <sz val="12"/>
        <rFont val="Times New Roman"/>
        <family val="1"/>
      </rPr>
      <t>-KY</t>
    </r>
  </si>
  <si>
    <r>
      <rPr>
        <sz val="12"/>
        <rFont val="標楷體"/>
        <family val="4"/>
        <charset val="136"/>
      </rPr>
      <t>強生</t>
    </r>
  </si>
  <si>
    <r>
      <rPr>
        <sz val="12"/>
        <rFont val="標楷體"/>
        <family val="4"/>
        <charset val="136"/>
      </rPr>
      <t>國碳科</t>
    </r>
  </si>
  <si>
    <r>
      <rPr>
        <sz val="12"/>
        <rFont val="標楷體"/>
        <family val="4"/>
        <charset val="136"/>
      </rPr>
      <t>誠泰科技</t>
    </r>
  </si>
  <si>
    <r>
      <rPr>
        <sz val="12"/>
        <rFont val="標楷體"/>
        <family val="4"/>
        <charset val="136"/>
      </rPr>
      <t>大略</t>
    </r>
    <r>
      <rPr>
        <sz val="12"/>
        <rFont val="Times New Roman"/>
        <family val="1"/>
      </rPr>
      <t>-KY</t>
    </r>
  </si>
  <si>
    <r>
      <rPr>
        <sz val="12"/>
        <rFont val="標楷體"/>
        <family val="4"/>
        <charset val="136"/>
      </rPr>
      <t>昇華</t>
    </r>
  </si>
  <si>
    <r>
      <rPr>
        <sz val="12"/>
        <rFont val="標楷體"/>
        <family val="4"/>
        <charset val="136"/>
      </rPr>
      <t>聯光通</t>
    </r>
  </si>
  <si>
    <r>
      <rPr>
        <sz val="12"/>
        <rFont val="標楷體"/>
        <family val="4"/>
        <charset val="136"/>
      </rPr>
      <t>台聯電</t>
    </r>
  </si>
  <si>
    <r>
      <rPr>
        <sz val="12"/>
        <rFont val="標楷體"/>
        <family val="4"/>
        <charset val="136"/>
      </rPr>
      <t>富宇</t>
    </r>
  </si>
  <si>
    <r>
      <rPr>
        <sz val="12"/>
        <rFont val="標楷體"/>
        <family val="4"/>
        <charset val="136"/>
      </rPr>
      <t>前鼎</t>
    </r>
  </si>
  <si>
    <r>
      <rPr>
        <sz val="12"/>
        <rFont val="標楷體"/>
        <family val="4"/>
        <charset val="136"/>
      </rPr>
      <t>新復興</t>
    </r>
  </si>
  <si>
    <r>
      <rPr>
        <sz val="12"/>
        <rFont val="標楷體"/>
        <family val="4"/>
        <charset val="136"/>
      </rPr>
      <t>德英</t>
    </r>
  </si>
  <si>
    <r>
      <rPr>
        <sz val="12"/>
        <rFont val="標楷體"/>
        <family val="4"/>
        <charset val="136"/>
      </rPr>
      <t>欣厚</t>
    </r>
    <r>
      <rPr>
        <sz val="12"/>
        <rFont val="Times New Roman"/>
        <family val="1"/>
      </rPr>
      <t>-KY</t>
    </r>
  </si>
  <si>
    <r>
      <rPr>
        <sz val="12"/>
        <rFont val="標楷體"/>
        <family val="4"/>
        <charset val="136"/>
      </rPr>
      <t>友輝</t>
    </r>
  </si>
  <si>
    <r>
      <rPr>
        <sz val="12"/>
        <rFont val="標楷體"/>
        <family val="4"/>
        <charset val="136"/>
      </rPr>
      <t>亞電</t>
    </r>
  </si>
  <si>
    <r>
      <rPr>
        <sz val="12"/>
        <rFont val="標楷體"/>
        <family val="4"/>
        <charset val="136"/>
      </rPr>
      <t>兆遠</t>
    </r>
  </si>
  <si>
    <r>
      <rPr>
        <sz val="12"/>
        <rFont val="標楷體"/>
        <family val="4"/>
        <charset val="136"/>
      </rPr>
      <t>辣椒</t>
    </r>
  </si>
  <si>
    <r>
      <rPr>
        <sz val="12"/>
        <rFont val="標楷體"/>
        <family val="4"/>
        <charset val="136"/>
      </rPr>
      <t>昂寶</t>
    </r>
    <r>
      <rPr>
        <sz val="12"/>
        <rFont val="Times New Roman"/>
        <family val="1"/>
      </rPr>
      <t>-KY</t>
    </r>
  </si>
  <si>
    <r>
      <rPr>
        <sz val="12"/>
        <rFont val="標楷體"/>
        <family val="4"/>
        <charset val="136"/>
      </rPr>
      <t>牧東</t>
    </r>
  </si>
  <si>
    <r>
      <rPr>
        <sz val="12"/>
        <rFont val="標楷體"/>
        <family val="4"/>
        <charset val="136"/>
      </rPr>
      <t>緯軟</t>
    </r>
  </si>
  <si>
    <r>
      <rPr>
        <sz val="12"/>
        <rFont val="標楷體"/>
        <family val="4"/>
        <charset val="136"/>
      </rPr>
      <t>譜瑞</t>
    </r>
    <r>
      <rPr>
        <sz val="12"/>
        <rFont val="Times New Roman"/>
        <family val="1"/>
      </rPr>
      <t>-KY</t>
    </r>
  </si>
  <si>
    <r>
      <rPr>
        <sz val="12"/>
        <rFont val="標楷體"/>
        <family val="4"/>
        <charset val="136"/>
      </rPr>
      <t>湯石照明</t>
    </r>
  </si>
  <si>
    <r>
      <rPr>
        <sz val="12"/>
        <rFont val="標楷體"/>
        <family val="4"/>
        <charset val="136"/>
      </rPr>
      <t>廣穎</t>
    </r>
  </si>
  <si>
    <r>
      <rPr>
        <sz val="12"/>
        <rFont val="標楷體"/>
        <family val="4"/>
        <charset val="136"/>
      </rPr>
      <t>亞泰</t>
    </r>
  </si>
  <si>
    <r>
      <rPr>
        <sz val="12"/>
        <rFont val="標楷體"/>
        <family val="4"/>
        <charset val="136"/>
      </rPr>
      <t>華星光</t>
    </r>
  </si>
  <si>
    <r>
      <rPr>
        <sz val="12"/>
        <rFont val="標楷體"/>
        <family val="4"/>
        <charset val="136"/>
      </rPr>
      <t>科誠</t>
    </r>
  </si>
  <si>
    <r>
      <rPr>
        <sz val="12"/>
        <rFont val="標楷體"/>
        <family val="4"/>
        <charset val="136"/>
      </rPr>
      <t>環宇</t>
    </r>
    <r>
      <rPr>
        <sz val="12"/>
        <rFont val="Times New Roman"/>
        <family val="1"/>
      </rPr>
      <t>-KY</t>
    </r>
  </si>
  <si>
    <r>
      <rPr>
        <sz val="12"/>
        <rFont val="標楷體"/>
        <family val="4"/>
        <charset val="136"/>
      </rPr>
      <t>晶達</t>
    </r>
  </si>
  <si>
    <r>
      <rPr>
        <sz val="12"/>
        <rFont val="標楷體"/>
        <family val="4"/>
        <charset val="136"/>
      </rPr>
      <t>榮剛</t>
    </r>
  </si>
  <si>
    <r>
      <rPr>
        <sz val="12"/>
        <rFont val="標楷體"/>
        <family val="4"/>
        <charset val="136"/>
      </rPr>
      <t>久陽</t>
    </r>
  </si>
  <si>
    <r>
      <rPr>
        <sz val="12"/>
        <rFont val="標楷體"/>
        <family val="4"/>
        <charset val="136"/>
      </rPr>
      <t>強新</t>
    </r>
  </si>
  <si>
    <r>
      <rPr>
        <sz val="12"/>
        <rFont val="標楷體"/>
        <family val="4"/>
        <charset val="136"/>
      </rPr>
      <t>建錩</t>
    </r>
  </si>
  <si>
    <r>
      <rPr>
        <sz val="12"/>
        <rFont val="標楷體"/>
        <family val="4"/>
        <charset val="136"/>
      </rPr>
      <t>華祺</t>
    </r>
  </si>
  <si>
    <r>
      <rPr>
        <sz val="12"/>
        <rFont val="標楷體"/>
        <family val="4"/>
        <charset val="136"/>
      </rPr>
      <t>松和</t>
    </r>
  </si>
  <si>
    <r>
      <rPr>
        <sz val="12"/>
        <rFont val="標楷體"/>
        <family val="4"/>
        <charset val="136"/>
      </rPr>
      <t>富強</t>
    </r>
  </si>
  <si>
    <r>
      <rPr>
        <sz val="12"/>
        <rFont val="標楷體"/>
        <family val="4"/>
        <charset val="136"/>
      </rPr>
      <t>凱衛</t>
    </r>
  </si>
  <si>
    <r>
      <rPr>
        <sz val="12"/>
        <rFont val="標楷體"/>
        <family val="4"/>
        <charset val="136"/>
      </rPr>
      <t>力新</t>
    </r>
  </si>
  <si>
    <r>
      <rPr>
        <sz val="12"/>
        <rFont val="標楷體"/>
        <family val="4"/>
        <charset val="136"/>
      </rPr>
      <t>中茂</t>
    </r>
  </si>
  <si>
    <r>
      <rPr>
        <sz val="12"/>
        <rFont val="標楷體"/>
        <family val="4"/>
        <charset val="136"/>
      </rPr>
      <t>坤悅</t>
    </r>
  </si>
  <si>
    <r>
      <rPr>
        <sz val="12"/>
        <rFont val="標楷體"/>
        <family val="4"/>
        <charset val="136"/>
      </rPr>
      <t>新鼎</t>
    </r>
  </si>
  <si>
    <r>
      <rPr>
        <sz val="12"/>
        <rFont val="標楷體"/>
        <family val="4"/>
        <charset val="136"/>
      </rPr>
      <t>寶碩</t>
    </r>
  </si>
  <si>
    <r>
      <rPr>
        <sz val="12"/>
        <rFont val="標楷體"/>
        <family val="4"/>
        <charset val="136"/>
      </rPr>
      <t>蒙恬</t>
    </r>
  </si>
  <si>
    <r>
      <rPr>
        <sz val="12"/>
        <rFont val="標楷體"/>
        <family val="4"/>
        <charset val="136"/>
      </rPr>
      <t>凌網</t>
    </r>
  </si>
  <si>
    <r>
      <rPr>
        <sz val="12"/>
        <rFont val="標楷體"/>
        <family val="4"/>
        <charset val="136"/>
      </rPr>
      <t>亞昕</t>
    </r>
  </si>
  <si>
    <r>
      <rPr>
        <sz val="12"/>
        <rFont val="標楷體"/>
        <family val="4"/>
        <charset val="136"/>
      </rPr>
      <t>萬達光電</t>
    </r>
  </si>
  <si>
    <r>
      <rPr>
        <sz val="12"/>
        <rFont val="標楷體"/>
        <family val="4"/>
        <charset val="136"/>
      </rPr>
      <t>安力</t>
    </r>
    <r>
      <rPr>
        <sz val="12"/>
        <rFont val="Times New Roman"/>
        <family val="1"/>
      </rPr>
      <t>-KY</t>
    </r>
  </si>
  <si>
    <r>
      <rPr>
        <sz val="12"/>
        <rFont val="標楷體"/>
        <family val="4"/>
        <charset val="136"/>
      </rPr>
      <t>立凱</t>
    </r>
    <r>
      <rPr>
        <sz val="12"/>
        <rFont val="Times New Roman"/>
        <family val="1"/>
      </rPr>
      <t>-KY</t>
    </r>
  </si>
  <si>
    <r>
      <rPr>
        <sz val="12"/>
        <rFont val="標楷體"/>
        <family val="4"/>
        <charset val="136"/>
      </rPr>
      <t>雷笛克光學</t>
    </r>
  </si>
  <si>
    <r>
      <rPr>
        <sz val="12"/>
        <rFont val="標楷體"/>
        <family val="4"/>
        <charset val="136"/>
      </rPr>
      <t>智晶</t>
    </r>
  </si>
  <si>
    <r>
      <rPr>
        <sz val="12"/>
        <rFont val="標楷體"/>
        <family val="4"/>
        <charset val="136"/>
      </rPr>
      <t>天鉞電</t>
    </r>
  </si>
  <si>
    <r>
      <rPr>
        <sz val="12"/>
        <rFont val="標楷體"/>
        <family val="4"/>
        <charset val="136"/>
      </rPr>
      <t>智崴</t>
    </r>
  </si>
  <si>
    <r>
      <rPr>
        <sz val="12"/>
        <rFont val="標楷體"/>
        <family val="4"/>
        <charset val="136"/>
      </rPr>
      <t>笙科</t>
    </r>
  </si>
  <si>
    <r>
      <rPr>
        <sz val="12"/>
        <rFont val="標楷體"/>
        <family val="4"/>
        <charset val="136"/>
      </rPr>
      <t>信驊</t>
    </r>
  </si>
  <si>
    <r>
      <rPr>
        <sz val="12"/>
        <rFont val="標楷體"/>
        <family val="4"/>
        <charset val="136"/>
      </rPr>
      <t>達輝</t>
    </r>
    <r>
      <rPr>
        <sz val="12"/>
        <rFont val="Times New Roman"/>
        <family val="1"/>
      </rPr>
      <t>-KY</t>
    </r>
  </si>
  <si>
    <r>
      <rPr>
        <sz val="12"/>
        <rFont val="標楷體"/>
        <family val="4"/>
        <charset val="136"/>
      </rPr>
      <t>尚凡</t>
    </r>
  </si>
  <si>
    <r>
      <rPr>
        <sz val="12"/>
        <rFont val="標楷體"/>
        <family val="4"/>
        <charset val="136"/>
      </rPr>
      <t>大峽谷</t>
    </r>
    <r>
      <rPr>
        <sz val="12"/>
        <rFont val="Times New Roman"/>
        <family val="1"/>
      </rPr>
      <t>-KY</t>
    </r>
  </si>
  <si>
    <r>
      <rPr>
        <sz val="12"/>
        <rFont val="標楷體"/>
        <family val="4"/>
        <charset val="136"/>
      </rPr>
      <t>數字</t>
    </r>
  </si>
  <si>
    <r>
      <rPr>
        <sz val="12"/>
        <rFont val="標楷體"/>
        <family val="4"/>
        <charset val="136"/>
      </rPr>
      <t>宜鼎</t>
    </r>
  </si>
  <si>
    <r>
      <rPr>
        <sz val="12"/>
        <rFont val="標楷體"/>
        <family val="4"/>
        <charset val="136"/>
      </rPr>
      <t>邑昇</t>
    </r>
  </si>
  <si>
    <r>
      <rPr>
        <sz val="12"/>
        <rFont val="標楷體"/>
        <family val="4"/>
        <charset val="136"/>
      </rPr>
      <t>杰力</t>
    </r>
  </si>
  <si>
    <r>
      <rPr>
        <sz val="12"/>
        <rFont val="標楷體"/>
        <family val="4"/>
        <charset val="136"/>
      </rPr>
      <t>寶得利</t>
    </r>
  </si>
  <si>
    <r>
      <rPr>
        <sz val="12"/>
        <rFont val="標楷體"/>
        <family val="4"/>
        <charset val="136"/>
      </rPr>
      <t>太欣</t>
    </r>
  </si>
  <si>
    <r>
      <rPr>
        <sz val="12"/>
        <rFont val="標楷體"/>
        <family val="4"/>
        <charset val="136"/>
      </rPr>
      <t>鼎創達</t>
    </r>
  </si>
  <si>
    <r>
      <rPr>
        <sz val="12"/>
        <rFont val="標楷體"/>
        <family val="4"/>
        <charset val="136"/>
      </rPr>
      <t>桂盟</t>
    </r>
  </si>
  <si>
    <r>
      <rPr>
        <sz val="12"/>
        <rFont val="標楷體"/>
        <family val="4"/>
        <charset val="136"/>
      </rPr>
      <t>系統電</t>
    </r>
  </si>
  <si>
    <r>
      <rPr>
        <sz val="12"/>
        <rFont val="標楷體"/>
        <family val="4"/>
        <charset val="136"/>
      </rPr>
      <t>天剛</t>
    </r>
  </si>
  <si>
    <r>
      <rPr>
        <sz val="12"/>
        <rFont val="標楷體"/>
        <family val="4"/>
        <charset val="136"/>
      </rPr>
      <t>寶島科</t>
    </r>
  </si>
  <si>
    <r>
      <rPr>
        <sz val="12"/>
        <rFont val="標楷體"/>
        <family val="4"/>
        <charset val="136"/>
      </rPr>
      <t>世紀</t>
    </r>
  </si>
  <si>
    <r>
      <rPr>
        <sz val="12"/>
        <rFont val="標楷體"/>
        <family val="4"/>
        <charset val="136"/>
      </rPr>
      <t>光聯</t>
    </r>
  </si>
  <si>
    <r>
      <rPr>
        <sz val="12"/>
        <rFont val="標楷體"/>
        <family val="4"/>
        <charset val="136"/>
      </rPr>
      <t>友銓</t>
    </r>
  </si>
  <si>
    <r>
      <rPr>
        <sz val="12"/>
        <rFont val="標楷體"/>
        <family val="4"/>
        <charset val="136"/>
      </rPr>
      <t>士開</t>
    </r>
  </si>
  <si>
    <r>
      <rPr>
        <sz val="12"/>
        <rFont val="標楷體"/>
        <family val="4"/>
        <charset val="136"/>
      </rPr>
      <t>華容</t>
    </r>
  </si>
  <si>
    <r>
      <rPr>
        <sz val="12"/>
        <rFont val="標楷體"/>
        <family val="4"/>
        <charset val="136"/>
      </rPr>
      <t>建榮</t>
    </r>
  </si>
  <si>
    <r>
      <rPr>
        <sz val="12"/>
        <rFont val="標楷體"/>
        <family val="4"/>
        <charset val="136"/>
      </rPr>
      <t>立衛</t>
    </r>
  </si>
  <si>
    <r>
      <rPr>
        <sz val="12"/>
        <rFont val="標楷體"/>
        <family val="4"/>
        <charset val="136"/>
      </rPr>
      <t>天揚</t>
    </r>
  </si>
  <si>
    <r>
      <rPr>
        <sz val="12"/>
        <rFont val="標楷體"/>
        <family val="4"/>
        <charset val="136"/>
      </rPr>
      <t>世界</t>
    </r>
  </si>
  <si>
    <r>
      <rPr>
        <sz val="12"/>
        <rFont val="標楷體"/>
        <family val="4"/>
        <charset val="136"/>
      </rPr>
      <t>系通</t>
    </r>
  </si>
  <si>
    <r>
      <rPr>
        <sz val="12"/>
        <rFont val="標楷體"/>
        <family val="4"/>
        <charset val="136"/>
      </rPr>
      <t>先豐</t>
    </r>
  </si>
  <si>
    <r>
      <rPr>
        <sz val="12"/>
        <rFont val="標楷體"/>
        <family val="4"/>
        <charset val="136"/>
      </rPr>
      <t>鈺創</t>
    </r>
  </si>
  <si>
    <r>
      <rPr>
        <sz val="12"/>
        <rFont val="標楷體"/>
        <family val="4"/>
        <charset val="136"/>
      </rPr>
      <t>台林</t>
    </r>
  </si>
  <si>
    <r>
      <rPr>
        <sz val="12"/>
        <rFont val="標楷體"/>
        <family val="4"/>
        <charset val="136"/>
      </rPr>
      <t>佳總</t>
    </r>
  </si>
  <si>
    <r>
      <rPr>
        <sz val="12"/>
        <rFont val="標楷體"/>
        <family val="4"/>
        <charset val="136"/>
      </rPr>
      <t>協益</t>
    </r>
  </si>
  <si>
    <r>
      <rPr>
        <sz val="12"/>
        <rFont val="標楷體"/>
        <family val="4"/>
        <charset val="136"/>
      </rPr>
      <t>力麗店</t>
    </r>
  </si>
  <si>
    <r>
      <rPr>
        <sz val="12"/>
        <rFont val="標楷體"/>
        <family val="4"/>
        <charset val="136"/>
      </rPr>
      <t>中光電</t>
    </r>
  </si>
  <si>
    <r>
      <rPr>
        <sz val="12"/>
        <rFont val="標楷體"/>
        <family val="4"/>
        <charset val="136"/>
      </rPr>
      <t>合正</t>
    </r>
  </si>
  <si>
    <r>
      <rPr>
        <sz val="12"/>
        <rFont val="標楷體"/>
        <family val="4"/>
        <charset val="136"/>
      </rPr>
      <t>金利</t>
    </r>
  </si>
  <si>
    <r>
      <rPr>
        <sz val="12"/>
        <rFont val="標楷體"/>
        <family val="4"/>
        <charset val="136"/>
      </rPr>
      <t>青雲</t>
    </r>
  </si>
  <si>
    <r>
      <rPr>
        <sz val="12"/>
        <rFont val="標楷體"/>
        <family val="4"/>
        <charset val="136"/>
      </rPr>
      <t>應華</t>
    </r>
  </si>
  <si>
    <r>
      <rPr>
        <sz val="12"/>
        <rFont val="標楷體"/>
        <family val="4"/>
        <charset val="136"/>
      </rPr>
      <t>慕康生醫</t>
    </r>
  </si>
  <si>
    <r>
      <rPr>
        <sz val="12"/>
        <rFont val="標楷體"/>
        <family val="4"/>
        <charset val="136"/>
      </rPr>
      <t>中菲</t>
    </r>
  </si>
  <si>
    <r>
      <rPr>
        <sz val="12"/>
        <rFont val="標楷體"/>
        <family val="4"/>
        <charset val="136"/>
      </rPr>
      <t>國眾</t>
    </r>
  </si>
  <si>
    <r>
      <rPr>
        <sz val="12"/>
        <rFont val="標楷體"/>
        <family val="4"/>
        <charset val="136"/>
      </rPr>
      <t>台半</t>
    </r>
  </si>
  <si>
    <r>
      <rPr>
        <sz val="12"/>
        <rFont val="標楷體"/>
        <family val="4"/>
        <charset val="136"/>
      </rPr>
      <t>振發</t>
    </r>
  </si>
  <si>
    <r>
      <rPr>
        <sz val="12"/>
        <rFont val="標楷體"/>
        <family val="4"/>
        <charset val="136"/>
      </rPr>
      <t>達威</t>
    </r>
  </si>
  <si>
    <r>
      <rPr>
        <sz val="12"/>
        <rFont val="標楷體"/>
        <family val="4"/>
        <charset val="136"/>
      </rPr>
      <t>東友</t>
    </r>
  </si>
  <si>
    <r>
      <rPr>
        <sz val="12"/>
        <rFont val="標楷體"/>
        <family val="4"/>
        <charset val="136"/>
      </rPr>
      <t>高技</t>
    </r>
  </si>
  <si>
    <r>
      <rPr>
        <sz val="12"/>
        <rFont val="標楷體"/>
        <family val="4"/>
        <charset val="136"/>
      </rPr>
      <t>均豪</t>
    </r>
  </si>
  <si>
    <r>
      <rPr>
        <sz val="12"/>
        <rFont val="標楷體"/>
        <family val="4"/>
        <charset val="136"/>
      </rPr>
      <t>寶聯通</t>
    </r>
  </si>
  <si>
    <r>
      <rPr>
        <sz val="12"/>
        <rFont val="標楷體"/>
        <family val="4"/>
        <charset val="136"/>
      </rPr>
      <t>佶優</t>
    </r>
  </si>
  <si>
    <r>
      <rPr>
        <sz val="12"/>
        <rFont val="標楷體"/>
        <family val="4"/>
        <charset val="136"/>
      </rPr>
      <t>昇益</t>
    </r>
  </si>
  <si>
    <r>
      <rPr>
        <sz val="12"/>
        <rFont val="標楷體"/>
        <family val="4"/>
        <charset val="136"/>
      </rPr>
      <t>宣德</t>
    </r>
  </si>
  <si>
    <r>
      <rPr>
        <sz val="12"/>
        <rFont val="標楷體"/>
        <family val="4"/>
        <charset val="136"/>
      </rPr>
      <t>同協</t>
    </r>
  </si>
  <si>
    <r>
      <rPr>
        <sz val="12"/>
        <rFont val="標楷體"/>
        <family val="4"/>
        <charset val="136"/>
      </rPr>
      <t>霖宏</t>
    </r>
  </si>
  <si>
    <r>
      <rPr>
        <sz val="12"/>
        <rFont val="標楷體"/>
        <family val="4"/>
        <charset val="136"/>
      </rPr>
      <t>富驊</t>
    </r>
  </si>
  <si>
    <r>
      <rPr>
        <sz val="12"/>
        <rFont val="標楷體"/>
        <family val="4"/>
        <charset val="136"/>
      </rPr>
      <t>凱鈺</t>
    </r>
  </si>
  <si>
    <r>
      <rPr>
        <sz val="12"/>
        <rFont val="標楷體"/>
        <family val="4"/>
        <charset val="136"/>
      </rPr>
      <t>聰泰</t>
    </r>
  </si>
  <si>
    <r>
      <rPr>
        <sz val="12"/>
        <rFont val="標楷體"/>
        <family val="4"/>
        <charset val="136"/>
      </rPr>
      <t>德宏</t>
    </r>
  </si>
  <si>
    <r>
      <rPr>
        <sz val="12"/>
        <rFont val="標楷體"/>
        <family val="4"/>
        <charset val="136"/>
      </rPr>
      <t>智冠</t>
    </r>
  </si>
  <si>
    <r>
      <rPr>
        <sz val="12"/>
        <rFont val="標楷體"/>
        <family val="4"/>
        <charset val="136"/>
      </rPr>
      <t>新華</t>
    </r>
  </si>
  <si>
    <r>
      <rPr>
        <sz val="12"/>
        <rFont val="標楷體"/>
        <family val="4"/>
        <charset val="136"/>
      </rPr>
      <t>中美晶</t>
    </r>
  </si>
  <si>
    <r>
      <rPr>
        <sz val="12"/>
        <rFont val="標楷體"/>
        <family val="4"/>
        <charset val="136"/>
      </rPr>
      <t>通泰</t>
    </r>
  </si>
  <si>
    <r>
      <rPr>
        <sz val="12"/>
        <rFont val="標楷體"/>
        <family val="4"/>
        <charset val="136"/>
      </rPr>
      <t>松普</t>
    </r>
  </si>
  <si>
    <r>
      <rPr>
        <sz val="12"/>
        <rFont val="標楷體"/>
        <family val="4"/>
        <charset val="136"/>
      </rPr>
      <t>彩富</t>
    </r>
  </si>
  <si>
    <r>
      <rPr>
        <sz val="12"/>
        <rFont val="標楷體"/>
        <family val="4"/>
        <charset val="136"/>
      </rPr>
      <t>同亨</t>
    </r>
  </si>
  <si>
    <r>
      <rPr>
        <sz val="12"/>
        <rFont val="標楷體"/>
        <family val="4"/>
        <charset val="136"/>
      </rPr>
      <t>三聯</t>
    </r>
  </si>
  <si>
    <r>
      <rPr>
        <sz val="12"/>
        <rFont val="標楷體"/>
        <family val="4"/>
        <charset val="136"/>
      </rPr>
      <t>凱崴</t>
    </r>
  </si>
  <si>
    <r>
      <rPr>
        <sz val="12"/>
        <rFont val="標楷體"/>
        <family val="4"/>
        <charset val="136"/>
      </rPr>
      <t>永信建</t>
    </r>
  </si>
  <si>
    <r>
      <rPr>
        <sz val="12"/>
        <rFont val="標楷體"/>
        <family val="4"/>
        <charset val="136"/>
      </rPr>
      <t>德昌</t>
    </r>
  </si>
  <si>
    <r>
      <rPr>
        <sz val="12"/>
        <rFont val="標楷體"/>
        <family val="4"/>
        <charset val="136"/>
      </rPr>
      <t>力麒</t>
    </r>
  </si>
  <si>
    <r>
      <rPr>
        <sz val="12"/>
        <rFont val="標楷體"/>
        <family val="4"/>
        <charset val="136"/>
      </rPr>
      <t>三豐</t>
    </r>
  </si>
  <si>
    <r>
      <rPr>
        <sz val="12"/>
        <rFont val="標楷體"/>
        <family val="4"/>
        <charset val="136"/>
      </rPr>
      <t>雙喜</t>
    </r>
  </si>
  <si>
    <r>
      <rPr>
        <sz val="12"/>
        <rFont val="標楷體"/>
        <family val="4"/>
        <charset val="136"/>
      </rPr>
      <t>力泰</t>
    </r>
  </si>
  <si>
    <r>
      <rPr>
        <sz val="12"/>
        <rFont val="標楷體"/>
        <family val="4"/>
        <charset val="136"/>
      </rPr>
      <t>豐謙</t>
    </r>
  </si>
  <si>
    <r>
      <rPr>
        <sz val="12"/>
        <rFont val="標楷體"/>
        <family val="4"/>
        <charset val="136"/>
      </rPr>
      <t>志嘉</t>
    </r>
  </si>
  <si>
    <r>
      <rPr>
        <sz val="12"/>
        <rFont val="標楷體"/>
        <family val="4"/>
        <charset val="136"/>
      </rPr>
      <t>龍巖</t>
    </r>
  </si>
  <si>
    <r>
      <rPr>
        <sz val="12"/>
        <rFont val="標楷體"/>
        <family val="4"/>
        <charset val="136"/>
      </rPr>
      <t>聖暉</t>
    </r>
  </si>
  <si>
    <r>
      <rPr>
        <sz val="12"/>
        <rFont val="標楷體"/>
        <family val="4"/>
        <charset val="136"/>
      </rPr>
      <t>崇佑</t>
    </r>
    <r>
      <rPr>
        <sz val="12"/>
        <rFont val="Times New Roman"/>
        <family val="1"/>
      </rPr>
      <t>-KY</t>
    </r>
  </si>
  <si>
    <r>
      <rPr>
        <sz val="12"/>
        <rFont val="標楷體"/>
        <family val="4"/>
        <charset val="136"/>
      </rPr>
      <t>台聯櫃</t>
    </r>
  </si>
  <si>
    <r>
      <rPr>
        <sz val="12"/>
        <rFont val="標楷體"/>
        <family val="4"/>
        <charset val="136"/>
      </rPr>
      <t>陸海</t>
    </r>
  </si>
  <si>
    <r>
      <rPr>
        <sz val="12"/>
        <rFont val="標楷體"/>
        <family val="4"/>
        <charset val="136"/>
      </rPr>
      <t>中連貨</t>
    </r>
  </si>
  <si>
    <r>
      <rPr>
        <sz val="12"/>
        <rFont val="標楷體"/>
        <family val="4"/>
        <charset val="136"/>
      </rPr>
      <t>中菲行</t>
    </r>
  </si>
  <si>
    <r>
      <rPr>
        <sz val="12"/>
        <rFont val="標楷體"/>
        <family val="4"/>
        <charset val="136"/>
      </rPr>
      <t>劍湖山</t>
    </r>
  </si>
  <si>
    <r>
      <rPr>
        <sz val="12"/>
        <rFont val="標楷體"/>
        <family val="4"/>
        <charset val="136"/>
      </rPr>
      <t>亞都</t>
    </r>
  </si>
  <si>
    <r>
      <rPr>
        <sz val="12"/>
        <rFont val="標楷體"/>
        <family val="4"/>
        <charset val="136"/>
      </rPr>
      <t>老爺知</t>
    </r>
  </si>
  <si>
    <r>
      <rPr>
        <sz val="12"/>
        <rFont val="標楷體"/>
        <family val="4"/>
        <charset val="136"/>
      </rPr>
      <t>日盛金</t>
    </r>
  </si>
  <si>
    <r>
      <rPr>
        <sz val="12"/>
        <rFont val="標楷體"/>
        <family val="4"/>
        <charset val="136"/>
      </rPr>
      <t>致和證</t>
    </r>
  </si>
  <si>
    <r>
      <rPr>
        <sz val="12"/>
        <rFont val="標楷體"/>
        <family val="4"/>
        <charset val="136"/>
      </rPr>
      <t>台名</t>
    </r>
  </si>
  <si>
    <r>
      <rPr>
        <sz val="12"/>
        <rFont val="標楷體"/>
        <family val="4"/>
        <charset val="136"/>
      </rPr>
      <t>德記</t>
    </r>
  </si>
  <si>
    <r>
      <rPr>
        <sz val="12"/>
        <rFont val="標楷體"/>
        <family val="4"/>
        <charset val="136"/>
      </rPr>
      <t>全家</t>
    </r>
  </si>
  <si>
    <r>
      <rPr>
        <sz val="12"/>
        <rFont val="標楷體"/>
        <family val="4"/>
        <charset val="136"/>
      </rPr>
      <t>寶雅</t>
    </r>
  </si>
  <si>
    <r>
      <rPr>
        <sz val="12"/>
        <rFont val="標楷體"/>
        <family val="4"/>
        <charset val="136"/>
      </rPr>
      <t>南仁湖</t>
    </r>
  </si>
  <si>
    <r>
      <rPr>
        <sz val="12"/>
        <rFont val="標楷體"/>
        <family val="4"/>
        <charset val="136"/>
      </rPr>
      <t>宏遠證</t>
    </r>
  </si>
  <si>
    <r>
      <rPr>
        <sz val="12"/>
        <rFont val="標楷體"/>
        <family val="4"/>
        <charset val="136"/>
      </rPr>
      <t>康和證</t>
    </r>
  </si>
  <si>
    <r>
      <rPr>
        <sz val="12"/>
        <rFont val="標楷體"/>
        <family val="4"/>
        <charset val="136"/>
      </rPr>
      <t>大展證</t>
    </r>
  </si>
  <si>
    <r>
      <rPr>
        <sz val="12"/>
        <rFont val="標楷體"/>
        <family val="4"/>
        <charset val="136"/>
      </rPr>
      <t>大慶證</t>
    </r>
  </si>
  <si>
    <r>
      <rPr>
        <sz val="12"/>
        <rFont val="標楷體"/>
        <family val="4"/>
        <charset val="136"/>
      </rPr>
      <t>元大期</t>
    </r>
  </si>
  <si>
    <r>
      <rPr>
        <sz val="12"/>
        <rFont val="標楷體"/>
        <family val="4"/>
        <charset val="136"/>
      </rPr>
      <t>福邦證</t>
    </r>
  </si>
  <si>
    <r>
      <rPr>
        <sz val="12"/>
        <rFont val="標楷體"/>
        <family val="4"/>
        <charset val="136"/>
      </rPr>
      <t>寬魚國際</t>
    </r>
  </si>
  <si>
    <r>
      <rPr>
        <sz val="12"/>
        <rFont val="標楷體"/>
        <family val="4"/>
        <charset val="136"/>
      </rPr>
      <t>合邦</t>
    </r>
  </si>
  <si>
    <r>
      <rPr>
        <sz val="12"/>
        <rFont val="標楷體"/>
        <family val="4"/>
        <charset val="136"/>
      </rPr>
      <t>創惟</t>
    </r>
  </si>
  <si>
    <r>
      <rPr>
        <sz val="12"/>
        <rFont val="標楷體"/>
        <family val="4"/>
        <charset val="136"/>
      </rPr>
      <t>亞元</t>
    </r>
  </si>
  <si>
    <r>
      <rPr>
        <sz val="12"/>
        <rFont val="標楷體"/>
        <family val="4"/>
        <charset val="136"/>
      </rPr>
      <t>大宇資</t>
    </r>
  </si>
  <si>
    <r>
      <rPr>
        <sz val="12"/>
        <rFont val="標楷體"/>
        <family val="4"/>
        <charset val="136"/>
      </rPr>
      <t>亞矽</t>
    </r>
  </si>
  <si>
    <r>
      <rPr>
        <sz val="12"/>
        <rFont val="標楷體"/>
        <family val="4"/>
        <charset val="136"/>
      </rPr>
      <t>久威</t>
    </r>
  </si>
  <si>
    <r>
      <rPr>
        <sz val="12"/>
        <rFont val="標楷體"/>
        <family val="4"/>
        <charset val="136"/>
      </rPr>
      <t>建達</t>
    </r>
  </si>
  <si>
    <r>
      <rPr>
        <sz val="12"/>
        <rFont val="標楷體"/>
        <family val="4"/>
        <charset val="136"/>
      </rPr>
      <t>新普</t>
    </r>
  </si>
  <si>
    <r>
      <rPr>
        <sz val="12"/>
        <rFont val="標楷體"/>
        <family val="4"/>
        <charset val="136"/>
      </rPr>
      <t>擎邦</t>
    </r>
  </si>
  <si>
    <r>
      <rPr>
        <sz val="12"/>
        <rFont val="標楷體"/>
        <family val="4"/>
        <charset val="136"/>
      </rPr>
      <t>上奇</t>
    </r>
  </si>
  <si>
    <r>
      <rPr>
        <sz val="12"/>
        <rFont val="標楷體"/>
        <family val="4"/>
        <charset val="136"/>
      </rPr>
      <t>業強</t>
    </r>
  </si>
  <si>
    <r>
      <rPr>
        <sz val="12"/>
        <rFont val="標楷體"/>
        <family val="4"/>
        <charset val="136"/>
      </rPr>
      <t>廣運</t>
    </r>
  </si>
  <si>
    <r>
      <rPr>
        <sz val="12"/>
        <rFont val="標楷體"/>
        <family val="4"/>
        <charset val="136"/>
      </rPr>
      <t>信音</t>
    </r>
  </si>
  <si>
    <r>
      <rPr>
        <sz val="12"/>
        <rFont val="標楷體"/>
        <family val="4"/>
        <charset val="136"/>
      </rPr>
      <t>九豪</t>
    </r>
  </si>
  <si>
    <r>
      <rPr>
        <sz val="12"/>
        <rFont val="標楷體"/>
        <family val="4"/>
        <charset val="136"/>
      </rPr>
      <t>普誠</t>
    </r>
  </si>
  <si>
    <r>
      <rPr>
        <sz val="12"/>
        <rFont val="標楷體"/>
        <family val="4"/>
        <charset val="136"/>
      </rPr>
      <t>星寶國際</t>
    </r>
  </si>
  <si>
    <r>
      <rPr>
        <sz val="12"/>
        <rFont val="標楷體"/>
        <family val="4"/>
        <charset val="136"/>
      </rPr>
      <t>萬旭</t>
    </r>
  </si>
  <si>
    <r>
      <rPr>
        <sz val="12"/>
        <rFont val="標楷體"/>
        <family val="4"/>
        <charset val="136"/>
      </rPr>
      <t>茂達</t>
    </r>
  </si>
  <si>
    <r>
      <rPr>
        <sz val="12"/>
        <rFont val="標楷體"/>
        <family val="4"/>
        <charset val="136"/>
      </rPr>
      <t>訊達</t>
    </r>
  </si>
  <si>
    <r>
      <rPr>
        <sz val="12"/>
        <rFont val="標楷體"/>
        <family val="4"/>
        <charset val="136"/>
      </rPr>
      <t>振曜</t>
    </r>
  </si>
  <si>
    <r>
      <rPr>
        <sz val="12"/>
        <rFont val="標楷體"/>
        <family val="4"/>
        <charset val="136"/>
      </rPr>
      <t>得利影</t>
    </r>
  </si>
  <si>
    <r>
      <rPr>
        <sz val="12"/>
        <rFont val="標楷體"/>
        <family val="4"/>
        <charset val="136"/>
      </rPr>
      <t>耕興</t>
    </r>
  </si>
  <si>
    <r>
      <rPr>
        <sz val="12"/>
        <rFont val="標楷體"/>
        <family val="4"/>
        <charset val="136"/>
      </rPr>
      <t>頎邦</t>
    </r>
  </si>
  <si>
    <r>
      <rPr>
        <sz val="12"/>
        <rFont val="標楷體"/>
        <family val="4"/>
        <charset val="136"/>
      </rPr>
      <t>驊宏資</t>
    </r>
  </si>
  <si>
    <r>
      <rPr>
        <sz val="12"/>
        <rFont val="標楷體"/>
        <family val="4"/>
        <charset val="136"/>
      </rPr>
      <t>撼訊</t>
    </r>
  </si>
  <si>
    <r>
      <rPr>
        <sz val="12"/>
        <rFont val="標楷體"/>
        <family val="4"/>
        <charset val="136"/>
      </rPr>
      <t>晉倫</t>
    </r>
  </si>
  <si>
    <r>
      <rPr>
        <sz val="12"/>
        <rFont val="標楷體"/>
        <family val="4"/>
        <charset val="136"/>
      </rPr>
      <t>順發</t>
    </r>
  </si>
  <si>
    <r>
      <rPr>
        <sz val="12"/>
        <rFont val="標楷體"/>
        <family val="4"/>
        <charset val="136"/>
      </rPr>
      <t>松上</t>
    </r>
  </si>
  <si>
    <r>
      <rPr>
        <sz val="12"/>
        <rFont val="標楷體"/>
        <family val="4"/>
        <charset val="136"/>
      </rPr>
      <t>禾昌</t>
    </r>
  </si>
  <si>
    <r>
      <rPr>
        <sz val="12"/>
        <rFont val="標楷體"/>
        <family val="4"/>
        <charset val="136"/>
      </rPr>
      <t>欣技</t>
    </r>
  </si>
  <si>
    <r>
      <rPr>
        <sz val="12"/>
        <rFont val="標楷體"/>
        <family val="4"/>
        <charset val="136"/>
      </rPr>
      <t>捷波</t>
    </r>
  </si>
  <si>
    <r>
      <rPr>
        <sz val="12"/>
        <rFont val="標楷體"/>
        <family val="4"/>
        <charset val="136"/>
      </rPr>
      <t>華電網</t>
    </r>
  </si>
  <si>
    <r>
      <rPr>
        <sz val="12"/>
        <rFont val="標楷體"/>
        <family val="4"/>
        <charset val="136"/>
      </rPr>
      <t>久正</t>
    </r>
  </si>
  <si>
    <r>
      <rPr>
        <sz val="12"/>
        <rFont val="標楷體"/>
        <family val="4"/>
        <charset val="136"/>
      </rPr>
      <t>昱泉</t>
    </r>
  </si>
  <si>
    <r>
      <rPr>
        <sz val="12"/>
        <rFont val="標楷體"/>
        <family val="4"/>
        <charset val="136"/>
      </rPr>
      <t>統振</t>
    </r>
  </si>
  <si>
    <r>
      <rPr>
        <sz val="12"/>
        <rFont val="標楷體"/>
        <family val="4"/>
        <charset val="136"/>
      </rPr>
      <t>亞銳士</t>
    </r>
  </si>
  <si>
    <r>
      <rPr>
        <sz val="12"/>
        <rFont val="標楷體"/>
        <family val="4"/>
        <charset val="136"/>
      </rPr>
      <t>信昌電</t>
    </r>
  </si>
  <si>
    <r>
      <rPr>
        <sz val="12"/>
        <rFont val="標楷體"/>
        <family val="4"/>
        <charset val="136"/>
      </rPr>
      <t>安碁</t>
    </r>
  </si>
  <si>
    <r>
      <rPr>
        <sz val="12"/>
        <rFont val="標楷體"/>
        <family val="4"/>
        <charset val="136"/>
      </rPr>
      <t>立敦</t>
    </r>
  </si>
  <si>
    <r>
      <rPr>
        <sz val="12"/>
        <rFont val="標楷體"/>
        <family val="4"/>
        <charset val="136"/>
      </rPr>
      <t>亞通</t>
    </r>
  </si>
  <si>
    <r>
      <rPr>
        <sz val="12"/>
        <rFont val="標楷體"/>
        <family val="4"/>
        <charset val="136"/>
      </rPr>
      <t>橘子</t>
    </r>
  </si>
  <si>
    <r>
      <rPr>
        <sz val="12"/>
        <rFont val="標楷體"/>
        <family val="4"/>
        <charset val="136"/>
      </rPr>
      <t>合晶</t>
    </r>
  </si>
  <si>
    <r>
      <rPr>
        <sz val="12"/>
        <rFont val="標楷體"/>
        <family val="4"/>
        <charset val="136"/>
      </rPr>
      <t>幃翔</t>
    </r>
  </si>
  <si>
    <r>
      <rPr>
        <sz val="12"/>
        <rFont val="標楷體"/>
        <family val="4"/>
        <charset val="136"/>
      </rPr>
      <t>新潤</t>
    </r>
  </si>
  <si>
    <r>
      <rPr>
        <sz val="12"/>
        <rFont val="標楷體"/>
        <family val="4"/>
        <charset val="136"/>
      </rPr>
      <t>萬潤</t>
    </r>
  </si>
  <si>
    <r>
      <rPr>
        <sz val="12"/>
        <rFont val="標楷體"/>
        <family val="4"/>
        <charset val="136"/>
      </rPr>
      <t>廣明</t>
    </r>
  </si>
  <si>
    <r>
      <rPr>
        <sz val="12"/>
        <rFont val="標楷體"/>
        <family val="4"/>
        <charset val="136"/>
      </rPr>
      <t>萬泰科</t>
    </r>
  </si>
  <si>
    <r>
      <rPr>
        <sz val="12"/>
        <rFont val="標楷體"/>
        <family val="4"/>
        <charset val="136"/>
      </rPr>
      <t>育富</t>
    </r>
  </si>
  <si>
    <r>
      <rPr>
        <sz val="12"/>
        <rFont val="標楷體"/>
        <family val="4"/>
        <charset val="136"/>
      </rPr>
      <t>詩肯</t>
    </r>
  </si>
  <si>
    <r>
      <rPr>
        <sz val="12"/>
        <rFont val="標楷體"/>
        <family val="4"/>
        <charset val="136"/>
      </rPr>
      <t>凌泰</t>
    </r>
  </si>
  <si>
    <r>
      <rPr>
        <sz val="12"/>
        <rFont val="標楷體"/>
        <family val="4"/>
        <charset val="136"/>
      </rPr>
      <t>天品</t>
    </r>
  </si>
  <si>
    <r>
      <rPr>
        <sz val="12"/>
        <rFont val="標楷體"/>
        <family val="4"/>
        <charset val="136"/>
      </rPr>
      <t>海韻電</t>
    </r>
  </si>
  <si>
    <r>
      <rPr>
        <sz val="12"/>
        <rFont val="標楷體"/>
        <family val="4"/>
        <charset val="136"/>
      </rPr>
      <t>艾華</t>
    </r>
  </si>
  <si>
    <r>
      <rPr>
        <sz val="12"/>
        <rFont val="標楷體"/>
        <family val="4"/>
        <charset val="136"/>
      </rPr>
      <t>雷科</t>
    </r>
  </si>
  <si>
    <r>
      <rPr>
        <sz val="12"/>
        <rFont val="標楷體"/>
        <family val="4"/>
        <charset val="136"/>
      </rPr>
      <t>日揚</t>
    </r>
  </si>
  <si>
    <r>
      <rPr>
        <sz val="12"/>
        <rFont val="標楷體"/>
        <family val="4"/>
        <charset val="136"/>
      </rPr>
      <t>慶生</t>
    </r>
  </si>
  <si>
    <r>
      <rPr>
        <sz val="12"/>
        <rFont val="標楷體"/>
        <family val="4"/>
        <charset val="136"/>
      </rPr>
      <t>理銘</t>
    </r>
  </si>
  <si>
    <r>
      <rPr>
        <sz val="12"/>
        <rFont val="標楷體"/>
        <family val="4"/>
        <charset val="136"/>
      </rPr>
      <t>中探針</t>
    </r>
  </si>
  <si>
    <r>
      <rPr>
        <sz val="12"/>
        <rFont val="標楷體"/>
        <family val="4"/>
        <charset val="136"/>
      </rPr>
      <t>豪勉</t>
    </r>
  </si>
  <si>
    <r>
      <rPr>
        <sz val="12"/>
        <rFont val="標楷體"/>
        <family val="4"/>
        <charset val="136"/>
      </rPr>
      <t>富旺</t>
    </r>
  </si>
  <si>
    <r>
      <rPr>
        <sz val="12"/>
        <rFont val="標楷體"/>
        <family val="4"/>
        <charset val="136"/>
      </rPr>
      <t>岳豐</t>
    </r>
  </si>
  <si>
    <r>
      <rPr>
        <sz val="12"/>
        <rFont val="標楷體"/>
        <family val="4"/>
        <charset val="136"/>
      </rPr>
      <t>晉泰</t>
    </r>
  </si>
  <si>
    <r>
      <rPr>
        <sz val="12"/>
        <rFont val="標楷體"/>
        <family val="4"/>
        <charset val="136"/>
      </rPr>
      <t>上揚</t>
    </r>
  </si>
  <si>
    <r>
      <rPr>
        <sz val="12"/>
        <rFont val="標楷體"/>
        <family val="4"/>
        <charset val="136"/>
      </rPr>
      <t>旺矽</t>
    </r>
  </si>
  <si>
    <r>
      <rPr>
        <sz val="12"/>
        <rFont val="標楷體"/>
        <family val="4"/>
        <charset val="136"/>
      </rPr>
      <t>茂綸</t>
    </r>
  </si>
  <si>
    <r>
      <rPr>
        <sz val="12"/>
        <rFont val="標楷體"/>
        <family val="4"/>
        <charset val="136"/>
      </rPr>
      <t>全譜</t>
    </r>
  </si>
  <si>
    <r>
      <rPr>
        <sz val="12"/>
        <rFont val="標楷體"/>
        <family val="4"/>
        <charset val="136"/>
      </rPr>
      <t>研通</t>
    </r>
  </si>
  <si>
    <r>
      <rPr>
        <sz val="12"/>
        <rFont val="標楷體"/>
        <family val="4"/>
        <charset val="136"/>
      </rPr>
      <t>系微</t>
    </r>
  </si>
  <si>
    <r>
      <rPr>
        <sz val="12"/>
        <rFont val="標楷體"/>
        <family val="4"/>
        <charset val="136"/>
      </rPr>
      <t>旺玖</t>
    </r>
  </si>
  <si>
    <r>
      <rPr>
        <sz val="12"/>
        <rFont val="標楷體"/>
        <family val="4"/>
        <charset val="136"/>
      </rPr>
      <t>高僑</t>
    </r>
  </si>
  <si>
    <r>
      <rPr>
        <sz val="12"/>
        <rFont val="標楷體"/>
        <family val="4"/>
        <charset val="136"/>
      </rPr>
      <t>康呈</t>
    </r>
  </si>
  <si>
    <r>
      <rPr>
        <sz val="12"/>
        <rFont val="標楷體"/>
        <family val="4"/>
        <charset val="136"/>
      </rPr>
      <t>驊訊</t>
    </r>
  </si>
  <si>
    <r>
      <rPr>
        <sz val="12"/>
        <rFont val="標楷體"/>
        <family val="4"/>
        <charset val="136"/>
      </rPr>
      <t>勝麗</t>
    </r>
  </si>
  <si>
    <r>
      <rPr>
        <sz val="12"/>
        <rFont val="標楷體"/>
        <family val="4"/>
        <charset val="136"/>
      </rPr>
      <t>松崗</t>
    </r>
  </si>
  <si>
    <r>
      <rPr>
        <sz val="12"/>
        <rFont val="標楷體"/>
        <family val="4"/>
        <charset val="136"/>
      </rPr>
      <t>易通展</t>
    </r>
  </si>
  <si>
    <r>
      <rPr>
        <sz val="12"/>
        <rFont val="標楷體"/>
        <family val="4"/>
        <charset val="136"/>
      </rPr>
      <t>立康</t>
    </r>
  </si>
  <si>
    <r>
      <rPr>
        <sz val="12"/>
        <rFont val="標楷體"/>
        <family val="4"/>
        <charset val="136"/>
      </rPr>
      <t>茂迪</t>
    </r>
  </si>
  <si>
    <r>
      <rPr>
        <sz val="12"/>
        <rFont val="標楷體"/>
        <family val="4"/>
        <charset val="136"/>
      </rPr>
      <t>立端</t>
    </r>
  </si>
  <si>
    <r>
      <rPr>
        <sz val="12"/>
        <rFont val="標楷體"/>
        <family val="4"/>
        <charset val="136"/>
      </rPr>
      <t>臺龍</t>
    </r>
  </si>
  <si>
    <r>
      <rPr>
        <sz val="12"/>
        <rFont val="標楷體"/>
        <family val="4"/>
        <charset val="136"/>
      </rPr>
      <t>淇譽電</t>
    </r>
  </si>
  <si>
    <r>
      <rPr>
        <sz val="12"/>
        <rFont val="標楷體"/>
        <family val="4"/>
        <charset val="136"/>
      </rPr>
      <t>沛波</t>
    </r>
  </si>
  <si>
    <r>
      <rPr>
        <sz val="12"/>
        <rFont val="標楷體"/>
        <family val="4"/>
        <charset val="136"/>
      </rPr>
      <t>百徽</t>
    </r>
  </si>
  <si>
    <r>
      <rPr>
        <sz val="12"/>
        <rFont val="標楷體"/>
        <family val="4"/>
        <charset val="136"/>
      </rPr>
      <t>久元</t>
    </r>
  </si>
  <si>
    <r>
      <rPr>
        <sz val="12"/>
        <rFont val="標楷體"/>
        <family val="4"/>
        <charset val="136"/>
      </rPr>
      <t>普萊德</t>
    </r>
  </si>
  <si>
    <r>
      <rPr>
        <sz val="12"/>
        <rFont val="標楷體"/>
        <family val="4"/>
        <charset val="136"/>
      </rPr>
      <t>富裔</t>
    </r>
  </si>
  <si>
    <r>
      <rPr>
        <sz val="12"/>
        <rFont val="標楷體"/>
        <family val="4"/>
        <charset val="136"/>
      </rPr>
      <t>方土昶</t>
    </r>
  </si>
  <si>
    <r>
      <rPr>
        <sz val="12"/>
        <rFont val="標楷體"/>
        <family val="4"/>
        <charset val="136"/>
      </rPr>
      <t>泰詠</t>
    </r>
  </si>
  <si>
    <r>
      <rPr>
        <sz val="12"/>
        <rFont val="標楷體"/>
        <family val="4"/>
        <charset val="136"/>
      </rPr>
      <t>倍微</t>
    </r>
  </si>
  <si>
    <r>
      <rPr>
        <sz val="12"/>
        <rFont val="標楷體"/>
        <family val="4"/>
        <charset val="136"/>
      </rPr>
      <t>台燿</t>
    </r>
  </si>
  <si>
    <r>
      <rPr>
        <sz val="12"/>
        <rFont val="標楷體"/>
        <family val="4"/>
        <charset val="136"/>
      </rPr>
      <t>元山</t>
    </r>
  </si>
  <si>
    <r>
      <rPr>
        <sz val="12"/>
        <rFont val="標楷體"/>
        <family val="4"/>
        <charset val="136"/>
      </rPr>
      <t>安鈦克</t>
    </r>
  </si>
  <si>
    <r>
      <rPr>
        <sz val="12"/>
        <rFont val="標楷體"/>
        <family val="4"/>
        <charset val="136"/>
      </rPr>
      <t>胡連</t>
    </r>
  </si>
  <si>
    <r>
      <rPr>
        <sz val="12"/>
        <rFont val="標楷體"/>
        <family val="4"/>
        <charset val="136"/>
      </rPr>
      <t>佳邦</t>
    </r>
  </si>
  <si>
    <r>
      <rPr>
        <sz val="12"/>
        <rFont val="標楷體"/>
        <family val="4"/>
        <charset val="136"/>
      </rPr>
      <t>元隆電</t>
    </r>
  </si>
  <si>
    <r>
      <rPr>
        <sz val="12"/>
        <rFont val="標楷體"/>
        <family val="4"/>
        <charset val="136"/>
      </rPr>
      <t>良維</t>
    </r>
  </si>
  <si>
    <r>
      <rPr>
        <sz val="12"/>
        <rFont val="標楷體"/>
        <family val="4"/>
        <charset val="136"/>
      </rPr>
      <t>沛亨</t>
    </r>
  </si>
  <si>
    <r>
      <rPr>
        <sz val="12"/>
        <rFont val="標楷體"/>
        <family val="4"/>
        <charset val="136"/>
      </rPr>
      <t>迅德</t>
    </r>
  </si>
  <si>
    <r>
      <rPr>
        <sz val="12"/>
        <rFont val="標楷體"/>
        <family val="4"/>
        <charset val="136"/>
      </rPr>
      <t>智基科</t>
    </r>
  </si>
  <si>
    <r>
      <rPr>
        <sz val="12"/>
        <rFont val="標楷體"/>
        <family val="4"/>
        <charset val="136"/>
      </rPr>
      <t>通訊</t>
    </r>
    <r>
      <rPr>
        <sz val="12"/>
        <rFont val="Times New Roman"/>
        <family val="1"/>
      </rPr>
      <t>-KY</t>
    </r>
  </si>
  <si>
    <r>
      <rPr>
        <sz val="12"/>
        <rFont val="標楷體"/>
        <family val="4"/>
        <charset val="136"/>
      </rPr>
      <t>晶焱</t>
    </r>
  </si>
  <si>
    <r>
      <rPr>
        <sz val="12"/>
        <rFont val="標楷體"/>
        <family val="4"/>
        <charset val="136"/>
      </rPr>
      <t>韋僑</t>
    </r>
  </si>
  <si>
    <r>
      <rPr>
        <sz val="12"/>
        <rFont val="標楷體"/>
        <family val="4"/>
        <charset val="136"/>
      </rPr>
      <t>京晨科</t>
    </r>
  </si>
  <si>
    <r>
      <rPr>
        <sz val="12"/>
        <rFont val="標楷體"/>
        <family val="4"/>
        <charset val="136"/>
      </rPr>
      <t>統新</t>
    </r>
  </si>
  <si>
    <r>
      <rPr>
        <sz val="12"/>
        <rFont val="標楷體"/>
        <family val="4"/>
        <charset val="136"/>
      </rPr>
      <t>今展科</t>
    </r>
  </si>
  <si>
    <r>
      <rPr>
        <sz val="12"/>
        <rFont val="標楷體"/>
        <family val="4"/>
        <charset val="136"/>
      </rPr>
      <t>大中</t>
    </r>
  </si>
  <si>
    <r>
      <rPr>
        <sz val="12"/>
        <rFont val="標楷體"/>
        <family val="4"/>
        <charset val="136"/>
      </rPr>
      <t>迅得</t>
    </r>
  </si>
  <si>
    <r>
      <rPr>
        <sz val="12"/>
        <rFont val="標楷體"/>
        <family val="4"/>
        <charset val="136"/>
      </rPr>
      <t>廣錠</t>
    </r>
  </si>
  <si>
    <r>
      <rPr>
        <sz val="12"/>
        <rFont val="標楷體"/>
        <family val="4"/>
        <charset val="136"/>
      </rPr>
      <t>紘康</t>
    </r>
  </si>
  <si>
    <r>
      <rPr>
        <sz val="12"/>
        <rFont val="標楷體"/>
        <family val="4"/>
        <charset val="136"/>
      </rPr>
      <t>益得</t>
    </r>
  </si>
  <si>
    <r>
      <rPr>
        <sz val="12"/>
        <rFont val="標楷體"/>
        <family val="4"/>
        <charset val="136"/>
      </rPr>
      <t>神盾</t>
    </r>
  </si>
  <si>
    <r>
      <rPr>
        <sz val="12"/>
        <rFont val="標楷體"/>
        <family val="4"/>
        <charset val="136"/>
      </rPr>
      <t>威潤</t>
    </r>
  </si>
  <si>
    <r>
      <rPr>
        <sz val="12"/>
        <rFont val="標楷體"/>
        <family val="4"/>
        <charset val="136"/>
      </rPr>
      <t>大樹</t>
    </r>
  </si>
  <si>
    <r>
      <rPr>
        <sz val="12"/>
        <rFont val="標楷體"/>
        <family val="4"/>
        <charset val="136"/>
      </rPr>
      <t>宇智</t>
    </r>
  </si>
  <si>
    <r>
      <rPr>
        <sz val="12"/>
        <rFont val="標楷體"/>
        <family val="4"/>
        <charset val="136"/>
      </rPr>
      <t>保瑞</t>
    </r>
  </si>
  <si>
    <r>
      <rPr>
        <sz val="12"/>
        <rFont val="標楷體"/>
        <family val="4"/>
        <charset val="136"/>
      </rPr>
      <t>弘煜科</t>
    </r>
  </si>
  <si>
    <r>
      <rPr>
        <sz val="12"/>
        <rFont val="標楷體"/>
        <family val="4"/>
        <charset val="136"/>
      </rPr>
      <t>點序</t>
    </r>
  </si>
  <si>
    <r>
      <rPr>
        <sz val="12"/>
        <rFont val="標楷體"/>
        <family val="4"/>
        <charset val="136"/>
      </rPr>
      <t>互動</t>
    </r>
  </si>
  <si>
    <r>
      <rPr>
        <sz val="12"/>
        <rFont val="標楷體"/>
        <family val="4"/>
        <charset val="136"/>
      </rPr>
      <t>環球晶</t>
    </r>
  </si>
  <si>
    <r>
      <rPr>
        <sz val="12"/>
        <rFont val="標楷體"/>
        <family val="4"/>
        <charset val="136"/>
      </rPr>
      <t>生華科</t>
    </r>
  </si>
  <si>
    <r>
      <rPr>
        <sz val="12"/>
        <rFont val="標楷體"/>
        <family val="4"/>
        <charset val="136"/>
      </rPr>
      <t>九齊</t>
    </r>
  </si>
  <si>
    <r>
      <rPr>
        <sz val="12"/>
        <rFont val="標楷體"/>
        <family val="4"/>
        <charset val="136"/>
      </rPr>
      <t>科懋</t>
    </r>
  </si>
  <si>
    <r>
      <rPr>
        <sz val="12"/>
        <rFont val="標楷體"/>
        <family val="4"/>
        <charset val="136"/>
      </rPr>
      <t>亞獅康</t>
    </r>
    <r>
      <rPr>
        <sz val="12"/>
        <rFont val="Times New Roman"/>
        <family val="1"/>
      </rPr>
      <t>-KY</t>
    </r>
  </si>
  <si>
    <r>
      <rPr>
        <sz val="12"/>
        <rFont val="標楷體"/>
        <family val="4"/>
        <charset val="136"/>
      </rPr>
      <t>益安</t>
    </r>
  </si>
  <si>
    <r>
      <rPr>
        <sz val="12"/>
        <rFont val="標楷體"/>
        <family val="4"/>
        <charset val="136"/>
      </rPr>
      <t>雙邦</t>
    </r>
  </si>
  <si>
    <r>
      <rPr>
        <sz val="12"/>
        <rFont val="標楷體"/>
        <family val="4"/>
        <charset val="136"/>
      </rPr>
      <t>惠光</t>
    </r>
  </si>
  <si>
    <r>
      <rPr>
        <sz val="12"/>
        <rFont val="標楷體"/>
        <family val="4"/>
        <charset val="136"/>
      </rPr>
      <t>聚和</t>
    </r>
  </si>
  <si>
    <r>
      <rPr>
        <sz val="12"/>
        <rFont val="標楷體"/>
        <family val="4"/>
        <charset val="136"/>
      </rPr>
      <t>精測</t>
    </r>
  </si>
  <si>
    <r>
      <rPr>
        <sz val="12"/>
        <rFont val="標楷體"/>
        <family val="4"/>
        <charset val="136"/>
      </rPr>
      <t>啟發電</t>
    </r>
  </si>
  <si>
    <r>
      <rPr>
        <sz val="12"/>
        <rFont val="標楷體"/>
        <family val="4"/>
        <charset val="136"/>
      </rPr>
      <t>芮特</t>
    </r>
    <r>
      <rPr>
        <sz val="12"/>
        <rFont val="Times New Roman"/>
        <family val="1"/>
      </rPr>
      <t>-KY</t>
    </r>
  </si>
  <si>
    <r>
      <rPr>
        <sz val="12"/>
        <rFont val="標楷體"/>
        <family val="4"/>
        <charset val="136"/>
      </rPr>
      <t>達爾膚</t>
    </r>
  </si>
  <si>
    <r>
      <rPr>
        <sz val="12"/>
        <rFont val="標楷體"/>
        <family val="4"/>
        <charset val="136"/>
      </rPr>
      <t>創威</t>
    </r>
  </si>
  <si>
    <r>
      <rPr>
        <sz val="12"/>
        <rFont val="標楷體"/>
        <family val="4"/>
        <charset val="136"/>
      </rPr>
      <t>瑞耘</t>
    </r>
  </si>
  <si>
    <r>
      <rPr>
        <sz val="12"/>
        <rFont val="標楷體"/>
        <family val="4"/>
        <charset val="136"/>
      </rPr>
      <t>順藥</t>
    </r>
  </si>
  <si>
    <r>
      <rPr>
        <sz val="12"/>
        <rFont val="標楷體"/>
        <family val="4"/>
        <charset val="136"/>
      </rPr>
      <t>倉和</t>
    </r>
  </si>
  <si>
    <r>
      <rPr>
        <sz val="12"/>
        <rFont val="標楷體"/>
        <family val="4"/>
        <charset val="136"/>
      </rPr>
      <t>隆中</t>
    </r>
  </si>
  <si>
    <r>
      <rPr>
        <sz val="12"/>
        <rFont val="標楷體"/>
        <family val="4"/>
        <charset val="136"/>
      </rPr>
      <t>高端疫苗</t>
    </r>
  </si>
  <si>
    <r>
      <rPr>
        <sz val="12"/>
        <rFont val="標楷體"/>
        <family val="4"/>
        <charset val="136"/>
      </rPr>
      <t>勝品</t>
    </r>
  </si>
  <si>
    <r>
      <rPr>
        <sz val="12"/>
        <rFont val="標楷體"/>
        <family val="4"/>
        <charset val="136"/>
      </rPr>
      <t>欣普羅</t>
    </r>
  </si>
  <si>
    <r>
      <rPr>
        <sz val="12"/>
        <rFont val="標楷體"/>
        <family val="4"/>
        <charset val="136"/>
      </rPr>
      <t>是方</t>
    </r>
  </si>
  <si>
    <r>
      <rPr>
        <sz val="12"/>
        <rFont val="標楷體"/>
        <family val="4"/>
        <charset val="136"/>
      </rPr>
      <t>宏觀</t>
    </r>
  </si>
  <si>
    <r>
      <rPr>
        <sz val="12"/>
        <rFont val="標楷體"/>
        <family val="4"/>
        <charset val="136"/>
      </rPr>
      <t>醫揚</t>
    </r>
  </si>
  <si>
    <r>
      <rPr>
        <sz val="12"/>
        <rFont val="標楷體"/>
        <family val="4"/>
        <charset val="136"/>
      </rPr>
      <t>維田</t>
    </r>
  </si>
  <si>
    <r>
      <rPr>
        <sz val="12"/>
        <rFont val="標楷體"/>
        <family val="4"/>
        <charset val="136"/>
      </rPr>
      <t>霈方</t>
    </r>
  </si>
  <si>
    <r>
      <rPr>
        <sz val="12"/>
        <rFont val="標楷體"/>
        <family val="4"/>
        <charset val="136"/>
      </rPr>
      <t>逸達</t>
    </r>
  </si>
  <si>
    <r>
      <rPr>
        <sz val="12"/>
        <rFont val="標楷體"/>
        <family val="4"/>
        <charset val="136"/>
      </rPr>
      <t>勁豐</t>
    </r>
  </si>
  <si>
    <r>
      <rPr>
        <sz val="12"/>
        <rFont val="標楷體"/>
        <family val="4"/>
        <charset val="136"/>
      </rPr>
      <t>達邦蛋白</t>
    </r>
  </si>
  <si>
    <r>
      <rPr>
        <sz val="12"/>
        <rFont val="標楷體"/>
        <family val="4"/>
        <charset val="136"/>
      </rPr>
      <t>普鴻</t>
    </r>
  </si>
  <si>
    <r>
      <rPr>
        <sz val="12"/>
        <rFont val="標楷體"/>
        <family val="4"/>
        <charset val="136"/>
      </rPr>
      <t>台灣銘板</t>
    </r>
  </si>
  <si>
    <r>
      <rPr>
        <sz val="12"/>
        <rFont val="標楷體"/>
        <family val="4"/>
        <charset val="136"/>
      </rPr>
      <t>展匯科</t>
    </r>
  </si>
  <si>
    <r>
      <rPr>
        <sz val="12"/>
        <rFont val="標楷體"/>
        <family val="4"/>
        <charset val="136"/>
      </rPr>
      <t>寬宏藝術</t>
    </r>
  </si>
  <si>
    <r>
      <rPr>
        <sz val="12"/>
        <rFont val="標楷體"/>
        <family val="4"/>
        <charset val="136"/>
      </rPr>
      <t>富強鑫</t>
    </r>
  </si>
  <si>
    <r>
      <rPr>
        <sz val="12"/>
        <rFont val="標楷體"/>
        <family val="4"/>
        <charset val="136"/>
      </rPr>
      <t>瀧澤科</t>
    </r>
  </si>
  <si>
    <r>
      <rPr>
        <sz val="12"/>
        <rFont val="標楷體"/>
        <family val="4"/>
        <charset val="136"/>
      </rPr>
      <t>奈米醫材</t>
    </r>
  </si>
  <si>
    <r>
      <rPr>
        <sz val="12"/>
        <rFont val="標楷體"/>
        <family val="4"/>
        <charset val="136"/>
      </rPr>
      <t>朋億</t>
    </r>
  </si>
  <si>
    <r>
      <rPr>
        <sz val="12"/>
        <rFont val="標楷體"/>
        <family val="4"/>
        <charset val="136"/>
      </rPr>
      <t>慧智</t>
    </r>
  </si>
  <si>
    <r>
      <rPr>
        <sz val="12"/>
        <rFont val="標楷體"/>
        <family val="4"/>
        <charset val="136"/>
      </rPr>
      <t>特昇</t>
    </r>
    <r>
      <rPr>
        <sz val="12"/>
        <rFont val="Times New Roman"/>
        <family val="1"/>
      </rPr>
      <t>-KY</t>
    </r>
  </si>
  <si>
    <r>
      <rPr>
        <sz val="12"/>
        <rFont val="標楷體"/>
        <family val="4"/>
        <charset val="136"/>
      </rPr>
      <t>均華</t>
    </r>
  </si>
  <si>
    <r>
      <rPr>
        <sz val="12"/>
        <rFont val="標楷體"/>
        <family val="4"/>
        <charset val="136"/>
      </rPr>
      <t>天正國際</t>
    </r>
  </si>
  <si>
    <r>
      <rPr>
        <sz val="12"/>
        <rFont val="標楷體"/>
        <family val="4"/>
        <charset val="136"/>
      </rPr>
      <t>群翊</t>
    </r>
  </si>
  <si>
    <r>
      <rPr>
        <sz val="12"/>
        <rFont val="標楷體"/>
        <family val="4"/>
        <charset val="136"/>
      </rPr>
      <t>崑鼎</t>
    </r>
  </si>
  <si>
    <r>
      <rPr>
        <sz val="12"/>
        <rFont val="標楷體"/>
        <family val="4"/>
        <charset val="136"/>
      </rPr>
      <t>邑錡</t>
    </r>
  </si>
  <si>
    <r>
      <rPr>
        <sz val="12"/>
        <rFont val="標楷體"/>
        <family val="4"/>
        <charset val="136"/>
      </rPr>
      <t>佑華</t>
    </r>
  </si>
  <si>
    <r>
      <rPr>
        <sz val="12"/>
        <rFont val="標楷體"/>
        <family val="4"/>
        <charset val="136"/>
      </rPr>
      <t>鈦昇</t>
    </r>
  </si>
  <si>
    <r>
      <rPr>
        <sz val="12"/>
        <rFont val="標楷體"/>
        <family val="4"/>
        <charset val="136"/>
      </rPr>
      <t>光菱</t>
    </r>
  </si>
  <si>
    <r>
      <rPr>
        <sz val="12"/>
        <rFont val="標楷體"/>
        <family val="4"/>
        <charset val="136"/>
      </rPr>
      <t>榮群</t>
    </r>
  </si>
  <si>
    <r>
      <rPr>
        <sz val="12"/>
        <rFont val="標楷體"/>
        <family val="4"/>
        <charset val="136"/>
      </rPr>
      <t>長園科</t>
    </r>
  </si>
  <si>
    <r>
      <rPr>
        <sz val="12"/>
        <rFont val="標楷體"/>
        <family val="4"/>
        <charset val="136"/>
      </rPr>
      <t>九暘電</t>
    </r>
  </si>
  <si>
    <r>
      <rPr>
        <sz val="12"/>
        <rFont val="標楷體"/>
        <family val="4"/>
        <charset val="136"/>
      </rPr>
      <t>金山電</t>
    </r>
  </si>
  <si>
    <r>
      <rPr>
        <sz val="12"/>
        <rFont val="標楷體"/>
        <family val="4"/>
        <charset val="136"/>
      </rPr>
      <t>蜜望實</t>
    </r>
  </si>
  <si>
    <r>
      <rPr>
        <sz val="12"/>
        <rFont val="標楷體"/>
        <family val="4"/>
        <charset val="136"/>
      </rPr>
      <t>網家</t>
    </r>
  </si>
  <si>
    <r>
      <rPr>
        <sz val="12"/>
        <rFont val="標楷體"/>
        <family val="4"/>
        <charset val="136"/>
      </rPr>
      <t>星雲</t>
    </r>
  </si>
  <si>
    <r>
      <rPr>
        <sz val="12"/>
        <rFont val="標楷體"/>
        <family val="4"/>
        <charset val="136"/>
      </rPr>
      <t>德勝</t>
    </r>
  </si>
  <si>
    <r>
      <rPr>
        <sz val="12"/>
        <rFont val="標楷體"/>
        <family val="4"/>
        <charset val="136"/>
      </rPr>
      <t>晶采</t>
    </r>
  </si>
  <si>
    <r>
      <rPr>
        <sz val="12"/>
        <rFont val="標楷體"/>
        <family val="4"/>
        <charset val="136"/>
      </rPr>
      <t>廣積</t>
    </r>
  </si>
  <si>
    <r>
      <rPr>
        <sz val="12"/>
        <rFont val="標楷體"/>
        <family val="4"/>
        <charset val="136"/>
      </rPr>
      <t>安國</t>
    </r>
  </si>
  <si>
    <r>
      <rPr>
        <sz val="12"/>
        <rFont val="標楷體"/>
        <family val="4"/>
        <charset val="136"/>
      </rPr>
      <t>凱碩</t>
    </r>
  </si>
  <si>
    <r>
      <rPr>
        <sz val="12"/>
        <rFont val="標楷體"/>
        <family val="4"/>
        <charset val="136"/>
      </rPr>
      <t>東捷</t>
    </r>
  </si>
  <si>
    <r>
      <rPr>
        <sz val="12"/>
        <rFont val="標楷體"/>
        <family val="4"/>
        <charset val="136"/>
      </rPr>
      <t>來思達</t>
    </r>
  </si>
  <si>
    <r>
      <rPr>
        <sz val="12"/>
        <rFont val="標楷體"/>
        <family val="4"/>
        <charset val="136"/>
      </rPr>
      <t>志旭</t>
    </r>
  </si>
  <si>
    <r>
      <rPr>
        <sz val="12"/>
        <rFont val="標楷體"/>
        <family val="4"/>
        <charset val="136"/>
      </rPr>
      <t>全達</t>
    </r>
  </si>
  <si>
    <r>
      <rPr>
        <sz val="12"/>
        <rFont val="標楷體"/>
        <family val="4"/>
        <charset val="136"/>
      </rPr>
      <t>元太</t>
    </r>
  </si>
  <si>
    <r>
      <rPr>
        <sz val="12"/>
        <rFont val="標楷體"/>
        <family val="4"/>
        <charset val="136"/>
      </rPr>
      <t>能率網通</t>
    </r>
  </si>
  <si>
    <r>
      <rPr>
        <sz val="12"/>
        <rFont val="標楷體"/>
        <family val="4"/>
        <charset val="136"/>
      </rPr>
      <t>鉅橡</t>
    </r>
  </si>
  <si>
    <r>
      <rPr>
        <sz val="12"/>
        <rFont val="標楷體"/>
        <family val="4"/>
        <charset val="136"/>
      </rPr>
      <t>伍豐</t>
    </r>
  </si>
  <si>
    <r>
      <rPr>
        <sz val="12"/>
        <rFont val="標楷體"/>
        <family val="4"/>
        <charset val="136"/>
      </rPr>
      <t>洛碁</t>
    </r>
  </si>
  <si>
    <r>
      <rPr>
        <sz val="12"/>
        <rFont val="標楷體"/>
        <family val="4"/>
        <charset val="136"/>
      </rPr>
      <t>瑞穎</t>
    </r>
  </si>
  <si>
    <r>
      <rPr>
        <sz val="12"/>
        <rFont val="標楷體"/>
        <family val="4"/>
        <charset val="136"/>
      </rPr>
      <t>巨虹</t>
    </r>
  </si>
  <si>
    <r>
      <rPr>
        <sz val="12"/>
        <rFont val="標楷體"/>
        <family val="4"/>
        <charset val="136"/>
      </rPr>
      <t>福華</t>
    </r>
  </si>
  <si>
    <r>
      <rPr>
        <sz val="12"/>
        <rFont val="標楷體"/>
        <family val="4"/>
        <charset val="136"/>
      </rPr>
      <t>宏捷科</t>
    </r>
  </si>
  <si>
    <r>
      <rPr>
        <sz val="12"/>
        <rFont val="標楷體"/>
        <family val="4"/>
        <charset val="136"/>
      </rPr>
      <t>華鎂鑫</t>
    </r>
  </si>
  <si>
    <r>
      <rPr>
        <sz val="12"/>
        <rFont val="標楷體"/>
        <family val="4"/>
        <charset val="136"/>
      </rPr>
      <t>品安</t>
    </r>
  </si>
  <si>
    <r>
      <rPr>
        <sz val="12"/>
        <rFont val="標楷體"/>
        <family val="4"/>
        <charset val="136"/>
      </rPr>
      <t>翔名</t>
    </r>
  </si>
  <si>
    <r>
      <rPr>
        <sz val="12"/>
        <rFont val="標楷體"/>
        <family val="4"/>
        <charset val="136"/>
      </rPr>
      <t>建暐</t>
    </r>
  </si>
  <si>
    <r>
      <rPr>
        <sz val="12"/>
        <rFont val="標楷體"/>
        <family val="4"/>
        <charset val="136"/>
      </rPr>
      <t>保銳</t>
    </r>
  </si>
  <si>
    <r>
      <rPr>
        <sz val="12"/>
        <rFont val="標楷體"/>
        <family val="4"/>
        <charset val="136"/>
      </rPr>
      <t>擎亞科</t>
    </r>
  </si>
  <si>
    <r>
      <rPr>
        <sz val="12"/>
        <rFont val="標楷體"/>
        <family val="4"/>
        <charset val="136"/>
      </rPr>
      <t>常珵</t>
    </r>
  </si>
  <si>
    <r>
      <rPr>
        <sz val="12"/>
        <rFont val="標楷體"/>
        <family val="4"/>
        <charset val="136"/>
      </rPr>
      <t>大世科</t>
    </r>
  </si>
  <si>
    <r>
      <rPr>
        <sz val="12"/>
        <rFont val="標楷體"/>
        <family val="4"/>
        <charset val="136"/>
      </rPr>
      <t>大億金茂</t>
    </r>
  </si>
  <si>
    <r>
      <rPr>
        <sz val="12"/>
        <rFont val="標楷體"/>
        <family val="4"/>
        <charset val="136"/>
      </rPr>
      <t>博大</t>
    </r>
  </si>
  <si>
    <r>
      <rPr>
        <sz val="12"/>
        <rFont val="標楷體"/>
        <family val="4"/>
        <charset val="136"/>
      </rPr>
      <t>立碁</t>
    </r>
  </si>
  <si>
    <r>
      <rPr>
        <sz val="12"/>
        <rFont val="標楷體"/>
        <family val="4"/>
        <charset val="136"/>
      </rPr>
      <t>越峰</t>
    </r>
  </si>
  <si>
    <r>
      <rPr>
        <sz val="12"/>
        <rFont val="標楷體"/>
        <family val="4"/>
        <charset val="136"/>
      </rPr>
      <t>正淩</t>
    </r>
  </si>
  <si>
    <r>
      <rPr>
        <sz val="12"/>
        <rFont val="標楷體"/>
        <family val="4"/>
        <charset val="136"/>
      </rPr>
      <t>博智</t>
    </r>
  </si>
  <si>
    <r>
      <rPr>
        <sz val="12"/>
        <rFont val="標楷體"/>
        <family val="4"/>
        <charset val="136"/>
      </rPr>
      <t>天宇</t>
    </r>
  </si>
  <si>
    <r>
      <rPr>
        <sz val="12"/>
        <rFont val="標楷體"/>
        <family val="4"/>
        <charset val="136"/>
      </rPr>
      <t>智捷</t>
    </r>
  </si>
  <si>
    <r>
      <rPr>
        <sz val="12"/>
        <rFont val="標楷體"/>
        <family val="4"/>
        <charset val="136"/>
      </rPr>
      <t>加高</t>
    </r>
  </si>
  <si>
    <r>
      <rPr>
        <sz val="12"/>
        <rFont val="標楷體"/>
        <family val="4"/>
        <charset val="136"/>
      </rPr>
      <t>精星</t>
    </r>
  </si>
  <si>
    <r>
      <rPr>
        <sz val="12"/>
        <rFont val="標楷體"/>
        <family val="4"/>
        <charset val="136"/>
      </rPr>
      <t>新漢</t>
    </r>
  </si>
  <si>
    <r>
      <rPr>
        <sz val="12"/>
        <rFont val="標楷體"/>
        <family val="4"/>
        <charset val="136"/>
      </rPr>
      <t>華宏</t>
    </r>
  </si>
  <si>
    <r>
      <rPr>
        <sz val="12"/>
        <rFont val="標楷體"/>
        <family val="4"/>
        <charset val="136"/>
      </rPr>
      <t>朋程</t>
    </r>
  </si>
  <si>
    <r>
      <rPr>
        <sz val="12"/>
        <rFont val="標楷體"/>
        <family val="4"/>
        <charset val="136"/>
      </rPr>
      <t>商丞</t>
    </r>
  </si>
  <si>
    <r>
      <rPr>
        <sz val="12"/>
        <rFont val="標楷體"/>
        <family val="4"/>
        <charset val="136"/>
      </rPr>
      <t>生展</t>
    </r>
  </si>
  <si>
    <r>
      <rPr>
        <sz val="12"/>
        <rFont val="標楷體"/>
        <family val="4"/>
        <charset val="136"/>
      </rPr>
      <t>英格爾</t>
    </r>
  </si>
  <si>
    <r>
      <rPr>
        <sz val="12"/>
        <rFont val="標楷體"/>
        <family val="4"/>
        <charset val="136"/>
      </rPr>
      <t>泰藝</t>
    </r>
  </si>
  <si>
    <r>
      <rPr>
        <sz val="12"/>
        <rFont val="標楷體"/>
        <family val="4"/>
        <charset val="136"/>
      </rPr>
      <t>尚茂</t>
    </r>
  </si>
  <si>
    <r>
      <rPr>
        <sz val="12"/>
        <rFont val="標楷體"/>
        <family val="4"/>
        <charset val="136"/>
      </rPr>
      <t>群聯</t>
    </r>
  </si>
  <si>
    <r>
      <rPr>
        <sz val="12"/>
        <rFont val="標楷體"/>
        <family val="4"/>
        <charset val="136"/>
      </rPr>
      <t>益張</t>
    </r>
  </si>
  <si>
    <r>
      <rPr>
        <sz val="12"/>
        <rFont val="標楷體"/>
        <family val="4"/>
        <charset val="136"/>
      </rPr>
      <t>恒耀</t>
    </r>
  </si>
  <si>
    <r>
      <rPr>
        <sz val="12"/>
        <rFont val="標楷體"/>
        <family val="4"/>
        <charset val="136"/>
      </rPr>
      <t>冠好</t>
    </r>
  </si>
  <si>
    <r>
      <rPr>
        <sz val="12"/>
        <rFont val="標楷體"/>
        <family val="4"/>
        <charset val="136"/>
      </rPr>
      <t>金居</t>
    </r>
  </si>
  <si>
    <r>
      <rPr>
        <sz val="12"/>
        <rFont val="標楷體"/>
        <family val="4"/>
        <charset val="136"/>
      </rPr>
      <t>千附</t>
    </r>
  </si>
  <si>
    <r>
      <rPr>
        <sz val="12"/>
        <rFont val="標楷體"/>
        <family val="4"/>
        <charset val="136"/>
      </rPr>
      <t>金益鼎</t>
    </r>
  </si>
  <si>
    <r>
      <rPr>
        <sz val="12"/>
        <rFont val="標楷體"/>
        <family val="4"/>
        <charset val="136"/>
      </rPr>
      <t>白紗科</t>
    </r>
  </si>
  <si>
    <r>
      <rPr>
        <sz val="12"/>
        <rFont val="標楷體"/>
        <family val="4"/>
        <charset val="136"/>
      </rPr>
      <t>盛弘</t>
    </r>
  </si>
  <si>
    <r>
      <rPr>
        <sz val="12"/>
        <rFont val="標楷體"/>
        <family val="4"/>
        <charset val="136"/>
      </rPr>
      <t>金可</t>
    </r>
    <r>
      <rPr>
        <sz val="12"/>
        <rFont val="Times New Roman"/>
        <family val="1"/>
      </rPr>
      <t>-KY</t>
    </r>
  </si>
  <si>
    <r>
      <rPr>
        <sz val="12"/>
        <rFont val="標楷體"/>
        <family val="4"/>
        <charset val="136"/>
      </rPr>
      <t>商之器</t>
    </r>
  </si>
  <si>
    <r>
      <rPr>
        <sz val="12"/>
        <rFont val="標楷體"/>
        <family val="4"/>
        <charset val="136"/>
      </rPr>
      <t>森田</t>
    </r>
  </si>
  <si>
    <r>
      <rPr>
        <sz val="12"/>
        <rFont val="標楷體"/>
        <family val="4"/>
        <charset val="136"/>
      </rPr>
      <t>大國鋼</t>
    </r>
  </si>
  <si>
    <r>
      <rPr>
        <sz val="12"/>
        <rFont val="標楷體"/>
        <family val="4"/>
        <charset val="136"/>
      </rPr>
      <t>實威</t>
    </r>
  </si>
  <si>
    <r>
      <rPr>
        <sz val="12"/>
        <rFont val="標楷體"/>
        <family val="4"/>
        <charset val="136"/>
      </rPr>
      <t>捷必勝</t>
    </r>
    <r>
      <rPr>
        <sz val="12"/>
        <rFont val="Times New Roman"/>
        <family val="1"/>
      </rPr>
      <t>-KY</t>
    </r>
  </si>
  <si>
    <r>
      <rPr>
        <sz val="12"/>
        <rFont val="標楷體"/>
        <family val="4"/>
        <charset val="136"/>
      </rPr>
      <t>明揚</t>
    </r>
  </si>
  <si>
    <r>
      <rPr>
        <sz val="12"/>
        <rFont val="標楷體"/>
        <family val="4"/>
        <charset val="136"/>
      </rPr>
      <t>旭源</t>
    </r>
  </si>
  <si>
    <r>
      <rPr>
        <sz val="12"/>
        <rFont val="標楷體"/>
        <family val="4"/>
        <charset val="136"/>
      </rPr>
      <t>保綠</t>
    </r>
    <r>
      <rPr>
        <sz val="12"/>
        <rFont val="Times New Roman"/>
        <family val="1"/>
      </rPr>
      <t>-KY</t>
    </r>
  </si>
  <si>
    <r>
      <rPr>
        <sz val="12"/>
        <rFont val="標楷體"/>
        <family val="4"/>
        <charset val="136"/>
      </rPr>
      <t>惠普</t>
    </r>
  </si>
  <si>
    <r>
      <rPr>
        <sz val="12"/>
        <rFont val="標楷體"/>
        <family val="4"/>
        <charset val="136"/>
      </rPr>
      <t>紅木</t>
    </r>
    <r>
      <rPr>
        <sz val="12"/>
        <rFont val="Times New Roman"/>
        <family val="1"/>
      </rPr>
      <t>-KY</t>
    </r>
  </si>
  <si>
    <r>
      <rPr>
        <sz val="12"/>
        <rFont val="標楷體"/>
        <family val="4"/>
        <charset val="136"/>
      </rPr>
      <t>匯鑽科</t>
    </r>
  </si>
  <si>
    <r>
      <rPr>
        <sz val="12"/>
        <rFont val="標楷體"/>
        <family val="4"/>
        <charset val="136"/>
      </rPr>
      <t>東生華</t>
    </r>
  </si>
  <si>
    <r>
      <rPr>
        <sz val="12"/>
        <rFont val="標楷體"/>
        <family val="4"/>
        <charset val="136"/>
      </rPr>
      <t>弘帆</t>
    </r>
  </si>
  <si>
    <r>
      <rPr>
        <sz val="12"/>
        <rFont val="標楷體"/>
        <family val="4"/>
        <charset val="136"/>
      </rPr>
      <t>鉅邁</t>
    </r>
  </si>
  <si>
    <r>
      <rPr>
        <sz val="12"/>
        <rFont val="標楷體"/>
        <family val="4"/>
        <charset val="136"/>
      </rPr>
      <t>大江</t>
    </r>
  </si>
  <si>
    <r>
      <rPr>
        <sz val="12"/>
        <rFont val="標楷體"/>
        <family val="4"/>
        <charset val="136"/>
      </rPr>
      <t>大地</t>
    </r>
    <r>
      <rPr>
        <sz val="12"/>
        <rFont val="Times New Roman"/>
        <family val="1"/>
      </rPr>
      <t>-KY</t>
    </r>
  </si>
  <si>
    <r>
      <rPr>
        <sz val="12"/>
        <rFont val="標楷體"/>
        <family val="4"/>
        <charset val="136"/>
      </rPr>
      <t>綠電</t>
    </r>
  </si>
  <si>
    <r>
      <rPr>
        <sz val="12"/>
        <rFont val="標楷體"/>
        <family val="4"/>
        <charset val="136"/>
      </rPr>
      <t>綠河</t>
    </r>
    <r>
      <rPr>
        <sz val="12"/>
        <rFont val="Times New Roman"/>
        <family val="1"/>
      </rPr>
      <t>-KY</t>
    </r>
  </si>
  <si>
    <r>
      <rPr>
        <sz val="12"/>
        <rFont val="標楷體"/>
        <family val="4"/>
        <charset val="136"/>
      </rPr>
      <t>華研</t>
    </r>
  </si>
  <si>
    <r>
      <rPr>
        <sz val="12"/>
        <rFont val="標楷體"/>
        <family val="4"/>
        <charset val="136"/>
      </rPr>
      <t>霹靂</t>
    </r>
  </si>
  <si>
    <r>
      <rPr>
        <sz val="12"/>
        <rFont val="標楷體"/>
        <family val="4"/>
        <charset val="136"/>
      </rPr>
      <t>大拓</t>
    </r>
    <r>
      <rPr>
        <sz val="12"/>
        <rFont val="Times New Roman"/>
        <family val="1"/>
      </rPr>
      <t>-KY</t>
    </r>
  </si>
  <si>
    <r>
      <rPr>
        <sz val="12"/>
        <rFont val="標楷體"/>
        <family val="4"/>
        <charset val="136"/>
      </rPr>
      <t>夠麻吉</t>
    </r>
  </si>
  <si>
    <r>
      <rPr>
        <sz val="12"/>
        <rFont val="標楷體"/>
        <family val="4"/>
        <charset val="136"/>
      </rPr>
      <t>台境</t>
    </r>
  </si>
  <si>
    <r>
      <rPr>
        <sz val="12"/>
        <rFont val="標楷體"/>
        <family val="4"/>
        <charset val="136"/>
      </rPr>
      <t>創業家</t>
    </r>
  </si>
  <si>
    <r>
      <rPr>
        <sz val="12"/>
        <rFont val="標楷體"/>
        <family val="4"/>
        <charset val="136"/>
      </rPr>
      <t>三貝德</t>
    </r>
  </si>
  <si>
    <r>
      <rPr>
        <sz val="12"/>
        <rFont val="標楷體"/>
        <family val="4"/>
        <charset val="136"/>
      </rPr>
      <t>裕國</t>
    </r>
  </si>
  <si>
    <r>
      <rPr>
        <sz val="12"/>
        <rFont val="標楷體"/>
        <family val="4"/>
        <charset val="136"/>
      </rPr>
      <t>花王</t>
    </r>
  </si>
  <si>
    <r>
      <rPr>
        <sz val="12"/>
        <rFont val="標楷體"/>
        <family val="4"/>
        <charset val="136"/>
      </rPr>
      <t>欣雄</t>
    </r>
  </si>
  <si>
    <r>
      <rPr>
        <sz val="12"/>
        <rFont val="標楷體"/>
        <family val="4"/>
        <charset val="136"/>
      </rPr>
      <t>全銓</t>
    </r>
  </si>
  <si>
    <r>
      <rPr>
        <sz val="12"/>
        <rFont val="標楷體"/>
        <family val="4"/>
        <charset val="136"/>
      </rPr>
      <t>光隆</t>
    </r>
  </si>
  <si>
    <r>
      <rPr>
        <sz val="12"/>
        <rFont val="標楷體"/>
        <family val="4"/>
        <charset val="136"/>
      </rPr>
      <t>欣泰</t>
    </r>
  </si>
  <si>
    <r>
      <rPr>
        <sz val="12"/>
        <rFont val="標楷體"/>
        <family val="4"/>
        <charset val="136"/>
      </rPr>
      <t>沈氏</t>
    </r>
  </si>
  <si>
    <r>
      <rPr>
        <sz val="12"/>
        <rFont val="標楷體"/>
        <family val="4"/>
        <charset val="136"/>
      </rPr>
      <t>時報</t>
    </r>
  </si>
  <si>
    <r>
      <rPr>
        <sz val="12"/>
        <rFont val="標楷體"/>
        <family val="4"/>
        <charset val="136"/>
      </rPr>
      <t>大田</t>
    </r>
  </si>
  <si>
    <r>
      <rPr>
        <sz val="12"/>
        <rFont val="標楷體"/>
        <family val="4"/>
        <charset val="136"/>
      </rPr>
      <t>北基</t>
    </r>
  </si>
  <si>
    <r>
      <rPr>
        <sz val="12"/>
        <rFont val="標楷體"/>
        <family val="4"/>
        <charset val="136"/>
      </rPr>
      <t>鉅明</t>
    </r>
  </si>
  <si>
    <r>
      <rPr>
        <sz val="12"/>
        <rFont val="標楷體"/>
        <family val="4"/>
        <charset val="136"/>
      </rPr>
      <t>富堡</t>
    </r>
  </si>
  <si>
    <r>
      <rPr>
        <sz val="12"/>
        <rFont val="標楷體"/>
        <family val="4"/>
        <charset val="136"/>
      </rPr>
      <t>青鋼</t>
    </r>
  </si>
  <si>
    <r>
      <rPr>
        <sz val="12"/>
        <rFont val="標楷體"/>
        <family val="4"/>
        <charset val="136"/>
      </rPr>
      <t>大汽電</t>
    </r>
  </si>
  <si>
    <r>
      <rPr>
        <sz val="12"/>
        <rFont val="標楷體"/>
        <family val="4"/>
        <charset val="136"/>
      </rPr>
      <t>宏大</t>
    </r>
  </si>
  <si>
    <r>
      <rPr>
        <sz val="12"/>
        <rFont val="標楷體"/>
        <family val="4"/>
        <charset val="136"/>
      </rPr>
      <t>愛地雅</t>
    </r>
  </si>
  <si>
    <r>
      <rPr>
        <sz val="12"/>
        <rFont val="標楷體"/>
        <family val="4"/>
        <charset val="136"/>
      </rPr>
      <t>衡平</t>
    </r>
  </si>
  <si>
    <r>
      <rPr>
        <sz val="12"/>
        <rFont val="標楷體"/>
        <family val="4"/>
        <charset val="136"/>
      </rPr>
      <t>邦泰</t>
    </r>
  </si>
  <si>
    <r>
      <rPr>
        <sz val="12"/>
        <rFont val="標楷體"/>
        <family val="4"/>
        <charset val="136"/>
      </rPr>
      <t>國統</t>
    </r>
  </si>
  <si>
    <r>
      <rPr>
        <sz val="12"/>
        <rFont val="標楷體"/>
        <family val="4"/>
        <charset val="136"/>
      </rPr>
      <t>合騏</t>
    </r>
  </si>
  <si>
    <r>
      <rPr>
        <sz val="12"/>
        <rFont val="標楷體"/>
        <family val="4"/>
        <charset val="136"/>
      </rPr>
      <t>明安</t>
    </r>
  </si>
  <si>
    <r>
      <rPr>
        <sz val="12"/>
        <rFont val="標楷體"/>
        <family val="4"/>
        <charset val="136"/>
      </rPr>
      <t>關中</t>
    </r>
  </si>
  <si>
    <r>
      <rPr>
        <sz val="12"/>
        <rFont val="標楷體"/>
        <family val="4"/>
        <charset val="136"/>
      </rPr>
      <t>森鉅</t>
    </r>
  </si>
  <si>
    <r>
      <rPr>
        <sz val="12"/>
        <rFont val="標楷體"/>
        <family val="4"/>
        <charset val="136"/>
      </rPr>
      <t>琉園</t>
    </r>
  </si>
  <si>
    <r>
      <rPr>
        <sz val="12"/>
        <rFont val="標楷體"/>
        <family val="4"/>
        <charset val="136"/>
      </rPr>
      <t>萬國通</t>
    </r>
  </si>
  <si>
    <r>
      <rPr>
        <sz val="12"/>
        <rFont val="標楷體"/>
        <family val="4"/>
        <charset val="136"/>
      </rPr>
      <t>皇田</t>
    </r>
  </si>
  <si>
    <r>
      <rPr>
        <sz val="12"/>
        <rFont val="標楷體"/>
        <family val="4"/>
        <charset val="136"/>
      </rPr>
      <t>邁達康</t>
    </r>
  </si>
  <si>
    <r>
      <rPr>
        <sz val="12"/>
        <rFont val="標楷體"/>
        <family val="4"/>
        <charset val="136"/>
      </rPr>
      <t>有益</t>
    </r>
  </si>
  <si>
    <r>
      <rPr>
        <sz val="12"/>
        <rFont val="標楷體"/>
        <family val="4"/>
        <charset val="136"/>
      </rPr>
      <t>第一金店頭</t>
    </r>
  </si>
  <si>
    <r>
      <rPr>
        <sz val="12"/>
        <rFont val="標楷體"/>
        <family val="4"/>
        <charset val="136"/>
      </rPr>
      <t>股票型基金</t>
    </r>
    <r>
      <rPr>
        <sz val="12"/>
        <rFont val="Times New Roman"/>
        <family val="1"/>
      </rPr>
      <t>(</t>
    </r>
    <r>
      <rPr>
        <sz val="12"/>
        <rFont val="標楷體"/>
        <family val="4"/>
        <charset val="136"/>
      </rPr>
      <t>上櫃</t>
    </r>
    <r>
      <rPr>
        <sz val="12"/>
        <rFont val="Times New Roman"/>
        <family val="1"/>
      </rPr>
      <t>)</t>
    </r>
  </si>
  <si>
    <r>
      <rPr>
        <sz val="12"/>
        <rFont val="標楷體"/>
        <family val="4"/>
        <charset val="136"/>
      </rPr>
      <t>元店頭</t>
    </r>
  </si>
  <si>
    <r>
      <rPr>
        <sz val="12"/>
        <rFont val="標楷體"/>
        <family val="4"/>
        <charset val="136"/>
      </rPr>
      <t>保德信店頭</t>
    </r>
  </si>
  <si>
    <r>
      <rPr>
        <sz val="12"/>
        <rFont val="標楷體"/>
        <family val="4"/>
        <charset val="136"/>
      </rPr>
      <t>新光店頭</t>
    </r>
  </si>
  <si>
    <r>
      <rPr>
        <sz val="12"/>
        <rFont val="標楷體"/>
        <family val="4"/>
        <charset val="136"/>
      </rPr>
      <t>群益店頭市場</t>
    </r>
  </si>
  <si>
    <r>
      <rPr>
        <sz val="12"/>
        <rFont val="標楷體"/>
        <family val="4"/>
        <charset val="136"/>
      </rPr>
      <t>合計</t>
    </r>
    <phoneticPr fontId="29" type="noConversion"/>
  </si>
  <si>
    <r>
      <rPr>
        <sz val="12"/>
        <rFont val="標楷體"/>
        <family val="4"/>
        <charset val="136"/>
      </rPr>
      <t>註：係指依資產負債表日之收盤價計算之總市值</t>
    </r>
    <phoneticPr fontId="26" type="noConversion"/>
  </si>
  <si>
    <r>
      <rPr>
        <sz val="12"/>
        <rFont val="標楷體"/>
        <family val="4"/>
        <charset val="136"/>
      </rPr>
      <t>擔任被投資公司之董監事</t>
    </r>
    <phoneticPr fontId="26" type="noConversion"/>
  </si>
  <si>
    <r>
      <t>β</t>
    </r>
    <r>
      <rPr>
        <b/>
        <sz val="12"/>
        <rFont val="標楷體"/>
        <family val="4"/>
        <charset val="136"/>
      </rPr>
      <t>值</t>
    </r>
    <phoneticPr fontId="26" type="noConversion"/>
  </si>
  <si>
    <r>
      <t xml:space="preserve"> </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phoneticPr fontId="29" type="noConversion"/>
  </si>
  <si>
    <r>
      <rPr>
        <b/>
        <sz val="12"/>
        <rFont val="標楷體"/>
        <family val="4"/>
        <charset val="136"/>
      </rPr>
      <t>係數下限</t>
    </r>
    <phoneticPr fontId="26" type="noConversion"/>
  </si>
  <si>
    <r>
      <rPr>
        <sz val="12"/>
        <rFont val="標楷體"/>
        <family val="4"/>
        <charset val="136"/>
      </rPr>
      <t>上市普通股</t>
    </r>
    <phoneticPr fontId="26" type="noConversion"/>
  </si>
  <si>
    <r>
      <t xml:space="preserve">Herfindahl Index </t>
    </r>
    <r>
      <rPr>
        <b/>
        <sz val="12"/>
        <rFont val="標楷體"/>
        <family val="4"/>
        <charset val="136"/>
      </rPr>
      <t>係數表</t>
    </r>
    <phoneticPr fontId="26" type="noConversion"/>
  </si>
  <si>
    <r>
      <rPr>
        <b/>
        <sz val="12"/>
        <rFont val="標楷體"/>
        <family val="4"/>
        <charset val="136"/>
      </rPr>
      <t>係數</t>
    </r>
    <phoneticPr fontId="26" type="noConversion"/>
  </si>
  <si>
    <r>
      <rPr>
        <sz val="12"/>
        <rFont val="標楷體"/>
        <family val="4"/>
        <charset val="136"/>
      </rPr>
      <t>單位：新台幣元</t>
    </r>
    <phoneticPr fontId="26" type="noConversion"/>
  </si>
  <si>
    <r>
      <rPr>
        <sz val="12"/>
        <rFont val="標楷體"/>
        <family val="4"/>
        <charset val="136"/>
      </rPr>
      <t>風險項目</t>
    </r>
    <phoneticPr fontId="26" type="noConversion"/>
  </si>
  <si>
    <r>
      <t>H</t>
    </r>
    <r>
      <rPr>
        <b/>
        <sz val="12"/>
        <rFont val="標楷體"/>
        <family val="4"/>
        <charset val="136"/>
      </rPr>
      <t>下界</t>
    </r>
    <phoneticPr fontId="26" type="noConversion"/>
  </si>
  <si>
    <r>
      <rPr>
        <sz val="12"/>
        <rFont val="標楷體"/>
        <family val="4"/>
        <charset val="136"/>
      </rPr>
      <t>表</t>
    </r>
    <r>
      <rPr>
        <sz val="12"/>
        <rFont val="Times New Roman"/>
        <family val="1"/>
      </rPr>
      <t>30-10</t>
    </r>
    <r>
      <rPr>
        <sz val="12"/>
        <rFont val="標楷體"/>
        <family val="4"/>
        <charset val="136"/>
      </rPr>
      <t>：資產集中度係數計算表</t>
    </r>
    <phoneticPr fontId="26" type="noConversion"/>
  </si>
  <si>
    <r>
      <t>1.</t>
    </r>
    <r>
      <rPr>
        <sz val="12"/>
        <rFont val="標楷體"/>
        <family val="4"/>
        <charset val="136"/>
      </rPr>
      <t>公司債、金融債券、不動產及金融資產受益證券</t>
    </r>
    <r>
      <rPr>
        <sz val="12"/>
        <rFont val="Times New Roman"/>
        <family val="1"/>
      </rPr>
      <t>(</t>
    </r>
    <r>
      <rPr>
        <sz val="12"/>
        <rFont val="標楷體"/>
        <family val="4"/>
        <charset val="136"/>
      </rPr>
      <t>含資產基礎證券</t>
    </r>
    <r>
      <rPr>
        <sz val="12"/>
        <rFont val="Times New Roman"/>
        <family val="1"/>
      </rPr>
      <t>)</t>
    </r>
    <r>
      <rPr>
        <sz val="12"/>
        <rFont val="標楷體"/>
        <family val="4"/>
        <charset val="136"/>
      </rPr>
      <t>、票券</t>
    </r>
    <r>
      <rPr>
        <sz val="12"/>
        <rFont val="Times New Roman"/>
        <family val="1"/>
      </rPr>
      <t>-</t>
    </r>
    <r>
      <rPr>
        <b/>
        <sz val="12"/>
        <rFont val="標楷體"/>
        <family val="4"/>
        <charset val="136"/>
      </rPr>
      <t>國內</t>
    </r>
    <phoneticPr fontId="26" type="noConversion"/>
  </si>
  <si>
    <r>
      <t>2.</t>
    </r>
    <r>
      <rPr>
        <sz val="12"/>
        <rFont val="標楷體"/>
        <family val="4"/>
        <charset val="136"/>
      </rPr>
      <t>公債</t>
    </r>
    <r>
      <rPr>
        <sz val="12"/>
        <rFont val="Times New Roman"/>
        <family val="1"/>
      </rPr>
      <t>-</t>
    </r>
    <r>
      <rPr>
        <b/>
        <sz val="12"/>
        <rFont val="標楷體"/>
        <family val="4"/>
        <charset val="136"/>
      </rPr>
      <t>國外</t>
    </r>
    <phoneticPr fontId="26" type="noConversion"/>
  </si>
  <si>
    <r>
      <t>7.</t>
    </r>
    <r>
      <rPr>
        <sz val="12"/>
        <rFont val="標楷體"/>
        <family val="4"/>
        <charset val="136"/>
      </rPr>
      <t>擔保放款</t>
    </r>
    <r>
      <rPr>
        <sz val="12"/>
        <rFont val="Times New Roman"/>
        <family val="1"/>
      </rPr>
      <t>-</t>
    </r>
    <r>
      <rPr>
        <b/>
        <sz val="12"/>
        <rFont val="標楷體"/>
        <family val="4"/>
        <charset val="136"/>
      </rPr>
      <t>國內及國外</t>
    </r>
    <phoneticPr fontId="26" type="noConversion"/>
  </si>
  <si>
    <r>
      <rPr>
        <sz val="12"/>
        <rFont val="標楷體"/>
        <family val="4"/>
        <charset val="136"/>
      </rPr>
      <t>總</t>
    </r>
    <r>
      <rPr>
        <sz val="12"/>
        <rFont val="Times New Roman"/>
        <family val="1"/>
      </rPr>
      <t xml:space="preserve">  </t>
    </r>
    <r>
      <rPr>
        <sz val="12"/>
        <rFont val="標楷體"/>
        <family val="4"/>
        <charset val="136"/>
      </rPr>
      <t>計</t>
    </r>
    <r>
      <rPr>
        <sz val="10"/>
        <color indexed="10"/>
        <rFont val="Book Antiqua"/>
        <family val="1"/>
      </rPr>
      <t/>
    </r>
    <phoneticPr fontId="26" type="noConversion"/>
  </si>
  <si>
    <r>
      <t>1/7</t>
    </r>
    <r>
      <rPr>
        <sz val="12"/>
        <rFont val="標楷體"/>
        <family val="4"/>
        <charset val="136"/>
      </rPr>
      <t>≦</t>
    </r>
    <r>
      <rPr>
        <sz val="12"/>
        <rFont val="Times New Roman"/>
        <family val="1"/>
      </rPr>
      <t xml:space="preserve">H&lt;1/6
</t>
    </r>
    <r>
      <rPr>
        <sz val="12"/>
        <rFont val="標楷體"/>
        <family val="4"/>
        <charset val="136"/>
      </rPr>
      <t>或</t>
    </r>
    <r>
      <rPr>
        <sz val="12"/>
        <rFont val="Times New Roman"/>
        <family val="1"/>
      </rPr>
      <t>H</t>
    </r>
    <r>
      <rPr>
        <sz val="12"/>
        <rFont val="標楷體"/>
        <family val="4"/>
        <charset val="136"/>
      </rPr>
      <t>＝</t>
    </r>
    <r>
      <rPr>
        <sz val="12"/>
        <rFont val="Times New Roman"/>
        <family val="1"/>
      </rPr>
      <t>0</t>
    </r>
    <phoneticPr fontId="26" type="noConversion"/>
  </si>
  <si>
    <r>
      <t>1/6</t>
    </r>
    <r>
      <rPr>
        <sz val="12"/>
        <rFont val="標楷體"/>
        <family val="4"/>
        <charset val="136"/>
      </rPr>
      <t>≦</t>
    </r>
    <r>
      <rPr>
        <sz val="12"/>
        <rFont val="Times New Roman"/>
        <family val="1"/>
      </rPr>
      <t>H&lt;1/5</t>
    </r>
    <phoneticPr fontId="26" type="noConversion"/>
  </si>
  <si>
    <r>
      <t>1/5</t>
    </r>
    <r>
      <rPr>
        <sz val="12"/>
        <rFont val="標楷體"/>
        <family val="4"/>
        <charset val="136"/>
      </rPr>
      <t>≦</t>
    </r>
    <r>
      <rPr>
        <sz val="12"/>
        <rFont val="Times New Roman"/>
        <family val="1"/>
      </rPr>
      <t>H&lt;1/4</t>
    </r>
    <phoneticPr fontId="26" type="noConversion"/>
  </si>
  <si>
    <r>
      <t>1/4</t>
    </r>
    <r>
      <rPr>
        <sz val="12"/>
        <rFont val="標楷體"/>
        <family val="4"/>
        <charset val="136"/>
      </rPr>
      <t>≦</t>
    </r>
    <r>
      <rPr>
        <sz val="12"/>
        <rFont val="Times New Roman"/>
        <family val="1"/>
      </rPr>
      <t>H&lt;1/3</t>
    </r>
    <phoneticPr fontId="26" type="noConversion"/>
  </si>
  <si>
    <r>
      <t>1/3</t>
    </r>
    <r>
      <rPr>
        <sz val="12"/>
        <rFont val="標楷體"/>
        <family val="4"/>
        <charset val="136"/>
      </rPr>
      <t>≦</t>
    </r>
    <r>
      <rPr>
        <sz val="12"/>
        <rFont val="Times New Roman"/>
        <family val="1"/>
      </rPr>
      <t>H&lt;1/2</t>
    </r>
    <phoneticPr fontId="26" type="noConversion"/>
  </si>
  <si>
    <r>
      <t>1/2</t>
    </r>
    <r>
      <rPr>
        <sz val="12"/>
        <rFont val="標楷體"/>
        <family val="4"/>
        <charset val="136"/>
      </rPr>
      <t>≦</t>
    </r>
    <r>
      <rPr>
        <sz val="12"/>
        <rFont val="Times New Roman"/>
        <family val="1"/>
      </rPr>
      <t>H&lt; 1</t>
    </r>
    <phoneticPr fontId="26" type="noConversion"/>
  </si>
  <si>
    <r>
      <rPr>
        <b/>
        <sz val="12"/>
        <rFont val="標楷體"/>
        <family val="4"/>
        <charset val="136"/>
      </rPr>
      <t>金</t>
    </r>
    <r>
      <rPr>
        <b/>
        <sz val="12"/>
        <rFont val="Times New Roman"/>
        <family val="1"/>
      </rPr>
      <t xml:space="preserve">        </t>
    </r>
    <r>
      <rPr>
        <b/>
        <sz val="12"/>
        <rFont val="標楷體"/>
        <family val="4"/>
        <charset val="136"/>
      </rPr>
      <t>額</t>
    </r>
    <phoneticPr fontId="26" type="noConversion"/>
  </si>
  <si>
    <r>
      <rPr>
        <b/>
        <sz val="12"/>
        <rFont val="標楷體"/>
        <family val="4"/>
        <charset val="136"/>
      </rPr>
      <t>占投資資產比率</t>
    </r>
    <r>
      <rPr>
        <b/>
        <sz val="12"/>
        <rFont val="Times New Roman"/>
        <family val="1"/>
      </rPr>
      <t xml:space="preserve"> Zi</t>
    </r>
    <phoneticPr fontId="29" type="noConversion"/>
  </si>
  <si>
    <r>
      <t>Z</t>
    </r>
    <r>
      <rPr>
        <b/>
        <i/>
        <vertAlign val="subscript"/>
        <sz val="12"/>
        <rFont val="Times New Roman"/>
        <family val="1"/>
      </rPr>
      <t>i</t>
    </r>
    <r>
      <rPr>
        <b/>
        <i/>
        <vertAlign val="superscript"/>
        <sz val="12"/>
        <rFont val="Times New Roman"/>
        <family val="1"/>
      </rPr>
      <t>2</t>
    </r>
    <phoneticPr fontId="26" type="noConversion"/>
  </si>
  <si>
    <t>Herfindahl Index</t>
    <phoneticPr fontId="26" type="noConversion"/>
  </si>
  <si>
    <r>
      <t xml:space="preserve"> </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phoneticPr fontId="26" type="noConversion"/>
  </si>
  <si>
    <r>
      <t>3.</t>
    </r>
    <r>
      <rPr>
        <sz val="12"/>
        <rFont val="標楷體"/>
        <family val="4"/>
        <charset val="136"/>
      </rPr>
      <t>公司債及金融資產受益證券</t>
    </r>
    <r>
      <rPr>
        <sz val="12"/>
        <rFont val="Times New Roman"/>
        <family val="1"/>
      </rPr>
      <t>(</t>
    </r>
    <r>
      <rPr>
        <sz val="12"/>
        <rFont val="標楷體"/>
        <family val="4"/>
        <charset val="136"/>
      </rPr>
      <t>含資產基礎證券</t>
    </r>
    <r>
      <rPr>
        <sz val="12"/>
        <rFont val="Times New Roman"/>
        <family val="1"/>
      </rPr>
      <t>)-</t>
    </r>
    <r>
      <rPr>
        <b/>
        <sz val="12"/>
        <rFont val="標楷體"/>
        <family val="4"/>
        <charset val="136"/>
      </rPr>
      <t>國外</t>
    </r>
    <phoneticPr fontId="26" type="noConversion"/>
  </si>
  <si>
    <r>
      <t>6.</t>
    </r>
    <r>
      <rPr>
        <sz val="12"/>
        <rFont val="標楷體"/>
        <family val="4"/>
        <charset val="136"/>
      </rPr>
      <t>不動產</t>
    </r>
    <r>
      <rPr>
        <sz val="12"/>
        <rFont val="Times New Roman"/>
        <family val="1"/>
      </rPr>
      <t>-</t>
    </r>
    <r>
      <rPr>
        <b/>
        <sz val="12"/>
        <rFont val="標楷體"/>
        <family val="4"/>
        <charset val="136"/>
      </rPr>
      <t>國內及國外</t>
    </r>
    <phoneticPr fontId="26" type="noConversion"/>
  </si>
  <si>
    <r>
      <rPr>
        <sz val="12"/>
        <rFont val="標楷體"/>
        <family val="4"/>
        <charset val="136"/>
      </rPr>
      <t>表</t>
    </r>
    <r>
      <rPr>
        <sz val="12"/>
        <rFont val="Times New Roman"/>
        <family val="1"/>
      </rPr>
      <t>30-8</t>
    </r>
    <r>
      <rPr>
        <sz val="12"/>
        <rFont val="標楷體"/>
        <family val="4"/>
        <charset val="136"/>
      </rPr>
      <t>：自有資本總額計算表</t>
    </r>
    <phoneticPr fontId="26" type="noConversion"/>
  </si>
  <si>
    <r>
      <rPr>
        <b/>
        <sz val="12"/>
        <rFont val="標楷體"/>
        <family val="4"/>
        <charset val="136"/>
      </rPr>
      <t>風險項目</t>
    </r>
  </si>
  <si>
    <r>
      <rPr>
        <b/>
        <sz val="12"/>
        <rFont val="標楷體"/>
        <family val="4"/>
        <charset val="136"/>
      </rPr>
      <t>資料來源</t>
    </r>
  </si>
  <si>
    <r>
      <rPr>
        <b/>
        <sz val="12"/>
        <rFont val="標楷體"/>
        <family val="4"/>
        <charset val="136"/>
      </rPr>
      <t>金額</t>
    </r>
  </si>
  <si>
    <r>
      <rPr>
        <b/>
        <sz val="12"/>
        <rFont val="標楷體"/>
        <family val="4"/>
        <charset val="136"/>
      </rPr>
      <t>係數</t>
    </r>
  </si>
  <si>
    <r>
      <rPr>
        <b/>
        <sz val="12"/>
        <rFont val="標楷體"/>
        <family val="4"/>
        <charset val="136"/>
      </rPr>
      <t>自有資本額</t>
    </r>
  </si>
  <si>
    <r>
      <t>100%</t>
    </r>
    <r>
      <rPr>
        <sz val="12"/>
        <rFont val="標楷體"/>
        <family val="4"/>
        <charset val="136"/>
      </rPr>
      <t>保本合計</t>
    </r>
    <phoneticPr fontId="29" type="noConversion"/>
  </si>
  <si>
    <r>
      <t>90%</t>
    </r>
    <r>
      <rPr>
        <sz val="12"/>
        <rFont val="標楷體"/>
        <family val="4"/>
        <charset val="136"/>
      </rPr>
      <t>保本合計</t>
    </r>
    <phoneticPr fontId="29" type="noConversion"/>
  </si>
  <si>
    <r>
      <rPr>
        <sz val="12"/>
        <rFont val="標楷體"/>
        <family val="4"/>
        <charset val="136"/>
      </rPr>
      <t>組合式存款</t>
    </r>
    <r>
      <rPr>
        <sz val="12"/>
        <rFont val="Times New Roman"/>
        <family val="1"/>
      </rPr>
      <t>(90%</t>
    </r>
    <r>
      <rPr>
        <sz val="12"/>
        <rFont val="標楷體"/>
        <family val="4"/>
        <charset val="136"/>
      </rPr>
      <t>保本</t>
    </r>
    <r>
      <rPr>
        <sz val="12"/>
        <rFont val="Times New Roman"/>
        <family val="1"/>
      </rPr>
      <t>)</t>
    </r>
    <phoneticPr fontId="26" type="noConversion"/>
  </si>
  <si>
    <r>
      <rPr>
        <sz val="12"/>
        <rFont val="標楷體"/>
        <family val="4"/>
        <charset val="136"/>
      </rPr>
      <t>總</t>
    </r>
    <r>
      <rPr>
        <sz val="12"/>
        <rFont val="Times New Roman"/>
        <family val="1"/>
      </rPr>
      <t xml:space="preserve">   </t>
    </r>
    <r>
      <rPr>
        <sz val="12"/>
        <rFont val="標楷體"/>
        <family val="4"/>
        <charset val="136"/>
      </rPr>
      <t>計</t>
    </r>
    <phoneticPr fontId="29" type="noConversion"/>
  </si>
  <si>
    <r>
      <rPr>
        <sz val="12"/>
        <rFont val="標楷體"/>
        <family val="4"/>
        <charset val="136"/>
      </rPr>
      <t>註</t>
    </r>
    <r>
      <rPr>
        <sz val="12"/>
        <rFont val="Times New Roman"/>
        <family val="1"/>
      </rPr>
      <t>1</t>
    </r>
    <phoneticPr fontId="29" type="noConversion"/>
  </si>
  <si>
    <r>
      <rPr>
        <sz val="12"/>
        <rFont val="標楷體"/>
        <family val="4"/>
        <charset val="136"/>
      </rPr>
      <t>註</t>
    </r>
    <r>
      <rPr>
        <sz val="12"/>
        <rFont val="Times New Roman"/>
        <family val="1"/>
      </rPr>
      <t>2</t>
    </r>
  </si>
  <si>
    <r>
      <rPr>
        <sz val="12"/>
        <rFont val="標楷體"/>
        <family val="4"/>
        <charset val="136"/>
      </rPr>
      <t>註</t>
    </r>
    <r>
      <rPr>
        <sz val="12"/>
        <rFont val="Times New Roman"/>
        <family val="1"/>
      </rPr>
      <t>3</t>
    </r>
  </si>
  <si>
    <r>
      <rPr>
        <sz val="12"/>
        <rFont val="標楷體"/>
        <family val="4"/>
        <charset val="136"/>
      </rPr>
      <t>單位：新台幣元</t>
    </r>
    <r>
      <rPr>
        <sz val="12"/>
        <rFont val="Times New Roman"/>
        <family val="1"/>
      </rPr>
      <t>,</t>
    </r>
    <r>
      <rPr>
        <sz val="12"/>
        <rFont val="標楷體"/>
        <family val="4"/>
        <charset val="136"/>
      </rPr>
      <t>％</t>
    </r>
    <phoneticPr fontId="26" type="noConversion"/>
  </si>
  <si>
    <r>
      <rPr>
        <sz val="12"/>
        <rFont val="標楷體"/>
        <family val="4"/>
        <charset val="136"/>
      </rPr>
      <t>組合式存款</t>
    </r>
    <r>
      <rPr>
        <sz val="12"/>
        <rFont val="Times New Roman"/>
        <family val="1"/>
      </rPr>
      <t>(100%</t>
    </r>
    <r>
      <rPr>
        <sz val="12"/>
        <rFont val="標楷體"/>
        <family val="4"/>
        <charset val="136"/>
      </rPr>
      <t>保本</t>
    </r>
    <r>
      <rPr>
        <sz val="12"/>
        <rFont val="Times New Roman"/>
        <family val="1"/>
      </rPr>
      <t>)</t>
    </r>
    <phoneticPr fontId="26" type="noConversion"/>
  </si>
  <si>
    <r>
      <rPr>
        <b/>
        <sz val="12"/>
        <rFont val="標楷體"/>
        <family val="4"/>
        <charset val="136"/>
      </rPr>
      <t>發行機構信用評等</t>
    </r>
    <phoneticPr fontId="26" type="noConversion"/>
  </si>
  <si>
    <r>
      <rPr>
        <b/>
        <sz val="12"/>
        <rFont val="標楷體"/>
        <family val="4"/>
        <charset val="136"/>
      </rPr>
      <t>風險係數</t>
    </r>
    <phoneticPr fontId="26" type="noConversion"/>
  </si>
  <si>
    <r>
      <rPr>
        <b/>
        <sz val="12"/>
        <rFont val="標楷體"/>
        <family val="4"/>
        <charset val="136"/>
      </rPr>
      <t>具控制與從屬關係之關係人</t>
    </r>
    <phoneticPr fontId="26" type="noConversion"/>
  </si>
  <si>
    <r>
      <rPr>
        <b/>
        <sz val="12"/>
        <rFont val="標楷體"/>
        <family val="4"/>
        <charset val="136"/>
      </rPr>
      <t>非具控制與從屬關係之關係人</t>
    </r>
    <phoneticPr fontId="29" type="noConversion"/>
  </si>
  <si>
    <r>
      <rPr>
        <b/>
        <sz val="12"/>
        <rFont val="標楷體"/>
        <family val="4"/>
        <charset val="136"/>
      </rPr>
      <t>已開發國家</t>
    </r>
    <phoneticPr fontId="26" type="noConversion"/>
  </si>
  <si>
    <r>
      <rPr>
        <b/>
        <sz val="12"/>
        <rFont val="標楷體"/>
        <family val="4"/>
        <charset val="136"/>
      </rPr>
      <t>新興市場</t>
    </r>
    <phoneticPr fontId="26" type="noConversion"/>
  </si>
  <si>
    <r>
      <rPr>
        <sz val="12"/>
        <rFont val="標楷體"/>
        <family val="4"/>
        <charset val="136"/>
      </rPr>
      <t>公債合計</t>
    </r>
    <phoneticPr fontId="29" type="noConversion"/>
  </si>
  <si>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phoneticPr fontId="29" type="noConversion"/>
  </si>
  <si>
    <r>
      <rPr>
        <sz val="12"/>
        <rFont val="標楷體"/>
        <family val="4"/>
        <charset val="136"/>
      </rPr>
      <t>公債</t>
    </r>
    <phoneticPr fontId="26"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</si>
  <si>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6"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</si>
  <si>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r>
      <rPr>
        <sz val="12"/>
        <rFont val="標楷體"/>
        <family val="4"/>
        <charset val="136"/>
      </rPr>
      <t>合計</t>
    </r>
    <phoneticPr fontId="29" type="noConversion"/>
  </si>
  <si>
    <r>
      <rPr>
        <sz val="12"/>
        <rFont val="標楷體"/>
        <family val="4"/>
        <charset val="136"/>
      </rPr>
      <t>不動產受益證券</t>
    </r>
    <r>
      <rPr>
        <sz val="12"/>
        <rFont val="Times New Roman"/>
        <family val="1"/>
      </rPr>
      <t>(</t>
    </r>
    <r>
      <rPr>
        <sz val="12"/>
        <rFont val="標楷體"/>
        <family val="4"/>
        <charset val="136"/>
      </rPr>
      <t>註</t>
    </r>
    <r>
      <rPr>
        <sz val="12"/>
        <rFont val="Times New Roman"/>
        <family val="1"/>
      </rPr>
      <t>2)</t>
    </r>
    <phoneticPr fontId="26" type="noConversion"/>
  </si>
  <si>
    <r>
      <rPr>
        <sz val="12"/>
        <rFont val="標楷體"/>
        <family val="4"/>
        <charset val="136"/>
      </rPr>
      <t>不動產受益證券合計</t>
    </r>
    <phoneticPr fontId="29" type="noConversion"/>
  </si>
  <si>
    <r>
      <rPr>
        <sz val="12"/>
        <rFont val="標楷體"/>
        <family val="4"/>
        <charset val="136"/>
      </rPr>
      <t>其他固定型收益投資</t>
    </r>
    <phoneticPr fontId="26" type="noConversion"/>
  </si>
  <si>
    <r>
      <rPr>
        <sz val="12"/>
        <rFont val="標楷體"/>
        <family val="4"/>
        <charset val="136"/>
      </rPr>
      <t xml:space="preserve">固定收益特別股票
</t>
    </r>
    <r>
      <rPr>
        <sz val="12"/>
        <rFont val="Times New Roman"/>
        <family val="1"/>
      </rPr>
      <t>(</t>
    </r>
    <r>
      <rPr>
        <sz val="12"/>
        <rFont val="標楷體"/>
        <family val="4"/>
        <charset val="136"/>
      </rPr>
      <t>註</t>
    </r>
    <r>
      <rPr>
        <sz val="12"/>
        <rFont val="Times New Roman"/>
        <family val="1"/>
      </rPr>
      <t>2)</t>
    </r>
    <r>
      <rPr>
        <sz val="12"/>
        <rFont val="標楷體"/>
        <family val="4"/>
        <charset val="136"/>
      </rPr>
      <t>、</t>
    </r>
    <r>
      <rPr>
        <sz val="12"/>
        <rFont val="Times New Roman"/>
        <family val="1"/>
      </rPr>
      <t>(</t>
    </r>
    <r>
      <rPr>
        <sz val="12"/>
        <rFont val="標楷體"/>
        <family val="4"/>
        <charset val="136"/>
      </rPr>
      <t>註</t>
    </r>
    <r>
      <rPr>
        <sz val="12"/>
        <rFont val="Times New Roman"/>
        <family val="1"/>
      </rPr>
      <t>10)</t>
    </r>
    <phoneticPr fontId="26" type="noConversion"/>
  </si>
  <si>
    <r>
      <rPr>
        <sz val="12"/>
        <rFont val="標楷體"/>
        <family val="4"/>
        <charset val="136"/>
      </rPr>
      <t>固定收益特別股票合計數</t>
    </r>
    <phoneticPr fontId="26" type="noConversion"/>
  </si>
  <si>
    <r>
      <rPr>
        <sz val="12"/>
        <rFont val="標楷體"/>
        <family val="4"/>
        <charset val="136"/>
      </rPr>
      <t>新興市場國家所發行之公債，其等級係依照其國家主權評等與債券評等等級取較低者為準，並按評等等級所對應之數值作為風險係數。債券投資因信用風險顯著增加已依</t>
    </r>
    <r>
      <rPr>
        <sz val="12"/>
        <rFont val="Times New Roman"/>
        <family val="1"/>
      </rPr>
      <t>IFRS9</t>
    </r>
    <r>
      <rPr>
        <sz val="12"/>
        <rFont val="標楷體"/>
        <family val="4"/>
        <charset val="136"/>
      </rPr>
      <t>規定計算</t>
    </r>
    <phoneticPr fontId="29" type="noConversion"/>
  </si>
  <si>
    <r>
      <rPr>
        <sz val="12"/>
        <rFont val="標楷體"/>
        <family val="4"/>
        <charset val="136"/>
      </rPr>
      <t>註</t>
    </r>
    <r>
      <rPr>
        <sz val="12"/>
        <rFont val="Times New Roman"/>
        <family val="1"/>
      </rPr>
      <t>4</t>
    </r>
  </si>
  <si>
    <r>
      <rPr>
        <sz val="12"/>
        <rFont val="標楷體"/>
        <family val="4"/>
        <charset val="136"/>
      </rPr>
      <t>註</t>
    </r>
    <r>
      <rPr>
        <sz val="12"/>
        <rFont val="Times New Roman"/>
        <family val="1"/>
      </rPr>
      <t>5</t>
    </r>
  </si>
  <si>
    <r>
      <rPr>
        <sz val="12"/>
        <rFont val="標楷體"/>
        <family val="4"/>
        <charset val="136"/>
      </rPr>
      <t>註</t>
    </r>
    <r>
      <rPr>
        <sz val="12"/>
        <rFont val="Times New Roman"/>
        <family val="1"/>
      </rPr>
      <t>6</t>
    </r>
  </si>
  <si>
    <r>
      <rPr>
        <sz val="12"/>
        <rFont val="標楷體"/>
        <family val="4"/>
        <charset val="136"/>
      </rPr>
      <t>註</t>
    </r>
    <r>
      <rPr>
        <sz val="12"/>
        <rFont val="Times New Roman"/>
        <family val="1"/>
      </rPr>
      <t>7</t>
    </r>
  </si>
  <si>
    <r>
      <rPr>
        <sz val="12"/>
        <rFont val="標楷體"/>
        <family val="4"/>
        <charset val="136"/>
      </rPr>
      <t>註</t>
    </r>
    <r>
      <rPr>
        <sz val="12"/>
        <rFont val="Times New Roman"/>
        <family val="1"/>
      </rPr>
      <t>8</t>
    </r>
  </si>
  <si>
    <r>
      <rPr>
        <sz val="12"/>
        <rFont val="標楷體"/>
        <family val="4"/>
        <charset val="136"/>
      </rPr>
      <t>註</t>
    </r>
    <r>
      <rPr>
        <sz val="12"/>
        <rFont val="Times New Roman"/>
        <family val="1"/>
      </rPr>
      <t>9</t>
    </r>
  </si>
  <si>
    <r>
      <rPr>
        <sz val="12"/>
        <rFont val="標楷體"/>
        <family val="4"/>
        <charset val="136"/>
      </rPr>
      <t>係指依資產負債表日前半年每日收盤價計算之算術平均價格</t>
    </r>
    <phoneticPr fontId="29" type="noConversion"/>
  </si>
  <si>
    <t>Ba3</t>
    <phoneticPr fontId="26" type="noConversion"/>
  </si>
  <si>
    <t>C</t>
    <phoneticPr fontId="29" type="noConversion"/>
  </si>
  <si>
    <r>
      <rPr>
        <sz val="12"/>
        <rFont val="標楷體"/>
        <family val="4"/>
        <charset val="136"/>
      </rPr>
      <t>其他固定型收益投資合計</t>
    </r>
    <phoneticPr fontId="29" type="noConversion"/>
  </si>
  <si>
    <r>
      <rPr>
        <sz val="12"/>
        <rFont val="標楷體"/>
        <family val="4"/>
        <charset val="136"/>
      </rPr>
      <t>其存續期間之預期信用損失者，可採最高信評等級係數計算本表信用風險。</t>
    </r>
    <phoneticPr fontId="29" type="noConversion"/>
  </si>
  <si>
    <r>
      <rPr>
        <sz val="12"/>
        <rFont val="標楷體"/>
        <family val="4"/>
        <charset val="136"/>
      </rPr>
      <t>若無法取得投資標的之信用評等等級者，則按最低評等等級所對應之數值作為風險係數。</t>
    </r>
    <phoneticPr fontId="29" type="noConversion"/>
  </si>
  <si>
    <r>
      <rPr>
        <sz val="12"/>
        <rFont val="標楷體"/>
        <family val="4"/>
        <charset val="136"/>
      </rPr>
      <t>註</t>
    </r>
    <r>
      <rPr>
        <sz val="12"/>
        <rFont val="Times New Roman"/>
        <family val="1"/>
      </rPr>
      <t>10</t>
    </r>
    <phoneticPr fontId="29" type="noConversion"/>
  </si>
  <si>
    <r>
      <rPr>
        <b/>
        <sz val="12"/>
        <rFont val="標楷體"/>
        <family val="4"/>
        <charset val="136"/>
      </rPr>
      <t>債券信用</t>
    </r>
    <r>
      <rPr>
        <b/>
        <sz val="12"/>
        <rFont val="Times New Roman"/>
        <family val="1"/>
      </rPr>
      <t>/</t>
    </r>
    <r>
      <rPr>
        <b/>
        <sz val="12"/>
        <rFont val="標楷體"/>
        <family val="4"/>
        <charset val="136"/>
      </rPr>
      <t>主權評等</t>
    </r>
    <phoneticPr fontId="26" type="noConversion"/>
  </si>
  <si>
    <r>
      <rPr>
        <b/>
        <sz val="12"/>
        <rFont val="標楷體"/>
        <family val="4"/>
        <charset val="136"/>
      </rPr>
      <t>風險資本額</t>
    </r>
    <phoneticPr fontId="26" type="noConversion"/>
  </si>
  <si>
    <t>Moody's</t>
  </si>
  <si>
    <r>
      <rPr>
        <sz val="12"/>
        <rFont val="標楷體"/>
        <family val="4"/>
        <charset val="136"/>
      </rPr>
      <t>有評等公司債合計數</t>
    </r>
    <phoneticPr fontId="26" type="noConversion"/>
  </si>
  <si>
    <r>
      <rPr>
        <sz val="12"/>
        <rFont val="標楷體"/>
        <family val="4"/>
        <charset val="136"/>
      </rPr>
      <t>無評等公司債但提供保證的機構有評等合計數</t>
    </r>
    <phoneticPr fontId="26" type="noConversion"/>
  </si>
  <si>
    <r>
      <rPr>
        <sz val="12"/>
        <rFont val="標楷體"/>
        <family val="4"/>
        <charset val="136"/>
      </rPr>
      <t>可轉換公司債及附認股權公司債</t>
    </r>
    <r>
      <rPr>
        <sz val="12"/>
        <rFont val="Times New Roman"/>
        <family val="1"/>
      </rPr>
      <t>(</t>
    </r>
    <r>
      <rPr>
        <sz val="12"/>
        <rFont val="標楷體"/>
        <family val="4"/>
        <charset val="136"/>
      </rPr>
      <t>篩選自表</t>
    </r>
    <r>
      <rPr>
        <sz val="12"/>
        <rFont val="Times New Roman"/>
        <family val="1"/>
      </rPr>
      <t xml:space="preserve">11-1 </t>
    </r>
    <r>
      <rPr>
        <sz val="12"/>
        <rFont val="標楷體"/>
        <family val="4"/>
        <charset val="136"/>
      </rPr>
      <t>第</t>
    </r>
    <r>
      <rPr>
        <sz val="12"/>
        <rFont val="Times New Roman"/>
        <family val="1"/>
      </rPr>
      <t>17</t>
    </r>
    <r>
      <rPr>
        <sz val="12"/>
        <rFont val="標楷體"/>
        <family val="4"/>
        <charset val="136"/>
      </rPr>
      <t>欄</t>
    </r>
    <r>
      <rPr>
        <sz val="12"/>
        <rFont val="Times New Roman"/>
        <family val="1"/>
      </rPr>
      <t>C</t>
    </r>
    <r>
      <rPr>
        <sz val="12"/>
        <rFont val="標楷體"/>
        <family val="4"/>
        <charset val="136"/>
      </rPr>
      <t>選項之國內非關係人投資</t>
    </r>
    <r>
      <rPr>
        <sz val="12"/>
        <rFont val="Times New Roman"/>
        <family val="1"/>
      </rPr>
      <t>)</t>
    </r>
    <phoneticPr fontId="26" type="noConversion"/>
  </si>
  <si>
    <r>
      <rPr>
        <sz val="12"/>
        <rFont val="標楷體"/>
        <family val="4"/>
        <charset val="136"/>
      </rPr>
      <t>金融債劵合計數</t>
    </r>
    <phoneticPr fontId="26" type="noConversion"/>
  </si>
  <si>
    <r>
      <rPr>
        <sz val="12"/>
        <rFont val="標楷體"/>
        <family val="4"/>
        <charset val="136"/>
      </rPr>
      <t>不動產受益證劵及金融資產受益證券</t>
    </r>
    <r>
      <rPr>
        <sz val="12"/>
        <rFont val="Times New Roman"/>
        <family val="1"/>
      </rPr>
      <t>(</t>
    </r>
    <r>
      <rPr>
        <sz val="12"/>
        <rFont val="標楷體"/>
        <family val="4"/>
        <charset val="136"/>
      </rPr>
      <t>含資產基礎證劵</t>
    </r>
    <r>
      <rPr>
        <sz val="12"/>
        <rFont val="Times New Roman"/>
        <family val="1"/>
      </rPr>
      <t>)(REAT)</t>
    </r>
    <phoneticPr fontId="26" type="noConversion"/>
  </si>
  <si>
    <r>
      <rPr>
        <sz val="12"/>
        <rFont val="標楷體"/>
        <family val="4"/>
        <charset val="136"/>
      </rPr>
      <t>有評等不動產及金融資產受益證券</t>
    </r>
    <r>
      <rPr>
        <sz val="12"/>
        <rFont val="Times New Roman"/>
        <family val="1"/>
      </rPr>
      <t>(</t>
    </r>
    <r>
      <rPr>
        <sz val="12"/>
        <rFont val="標楷體"/>
        <family val="4"/>
        <charset val="136"/>
      </rPr>
      <t>含資產基礎證劵</t>
    </r>
    <r>
      <rPr>
        <sz val="12"/>
        <rFont val="Times New Roman"/>
        <family val="1"/>
      </rPr>
      <t>)(REAT)</t>
    </r>
    <r>
      <rPr>
        <sz val="12"/>
        <rFont val="標楷體"/>
        <family val="4"/>
        <charset val="136"/>
      </rPr>
      <t>合計數</t>
    </r>
    <phoneticPr fontId="26" type="noConversion"/>
  </si>
  <si>
    <r>
      <rPr>
        <sz val="12"/>
        <rFont val="標楷體"/>
        <family val="4"/>
        <charset val="136"/>
      </rPr>
      <t>無評等不動產</t>
    </r>
    <r>
      <rPr>
        <sz val="12"/>
        <rFont val="Times New Roman"/>
        <family val="1"/>
      </rPr>
      <t>(REAT)</t>
    </r>
    <r>
      <rPr>
        <sz val="12"/>
        <rFont val="標楷體"/>
        <family val="4"/>
        <charset val="136"/>
      </rPr>
      <t>及金融資產受益證券</t>
    </r>
    <phoneticPr fontId="29" type="noConversion"/>
  </si>
  <si>
    <r>
      <rPr>
        <sz val="12"/>
        <rFont val="標楷體"/>
        <family val="4"/>
        <charset val="136"/>
      </rPr>
      <t>不動產投資信託受益證券</t>
    </r>
    <r>
      <rPr>
        <sz val="12"/>
        <rFont val="Times New Roman"/>
        <family val="1"/>
      </rPr>
      <t>(REIT)(</t>
    </r>
    <r>
      <rPr>
        <sz val="12"/>
        <rFont val="標楷體"/>
        <family val="4"/>
        <charset val="136"/>
      </rPr>
      <t>篩選自表</t>
    </r>
    <r>
      <rPr>
        <sz val="12"/>
        <rFont val="Times New Roman"/>
        <family val="1"/>
      </rPr>
      <t xml:space="preserve">09-1 </t>
    </r>
    <r>
      <rPr>
        <sz val="12"/>
        <rFont val="標楷體"/>
        <family val="4"/>
        <charset val="136"/>
      </rPr>
      <t>證劵種類</t>
    </r>
    <r>
      <rPr>
        <sz val="12"/>
        <rFont val="Times New Roman"/>
        <family val="1"/>
      </rPr>
      <t>H2(</t>
    </r>
    <r>
      <rPr>
        <sz val="12"/>
        <rFont val="標楷體"/>
        <family val="4"/>
        <charset val="136"/>
      </rPr>
      <t>非關係人</t>
    </r>
    <r>
      <rPr>
        <sz val="12"/>
        <rFont val="Times New Roman"/>
        <family val="1"/>
      </rPr>
      <t>))</t>
    </r>
    <phoneticPr fontId="26" type="noConversion"/>
  </si>
  <si>
    <r>
      <rPr>
        <sz val="12"/>
        <rFont val="標楷體"/>
        <family val="4"/>
        <charset val="136"/>
      </rPr>
      <t>固定收益特別股合計數</t>
    </r>
    <phoneticPr fontId="26" type="noConversion"/>
  </si>
  <si>
    <r>
      <rPr>
        <sz val="12"/>
        <rFont val="標楷體"/>
        <family val="4"/>
        <charset val="136"/>
      </rPr>
      <t>註</t>
    </r>
    <r>
      <rPr>
        <sz val="12"/>
        <rFont val="Times New Roman"/>
        <family val="1"/>
      </rPr>
      <t>7</t>
    </r>
    <r>
      <rPr>
        <sz val="12"/>
        <color indexed="8"/>
        <rFont val="新細明體"/>
        <family val="1"/>
        <charset val="136"/>
      </rPr>
      <t/>
    </r>
  </si>
  <si>
    <r>
      <rPr>
        <sz val="12"/>
        <rFont val="標楷體"/>
        <family val="4"/>
        <charset val="136"/>
      </rPr>
      <t>公司債</t>
    </r>
    <r>
      <rPr>
        <sz val="10"/>
        <color indexed="10"/>
        <rFont val="標楷體"/>
        <family val="4"/>
        <charset val="136"/>
      </rPr>
      <t/>
    </r>
    <phoneticPr fontId="29" type="noConversion"/>
  </si>
  <si>
    <r>
      <rPr>
        <sz val="12"/>
        <rFont val="標楷體"/>
        <family val="4"/>
        <charset val="136"/>
      </rPr>
      <t>無評等公司債但提供保證的機構有評等</t>
    </r>
    <phoneticPr fontId="29" type="noConversion"/>
  </si>
  <si>
    <r>
      <rPr>
        <sz val="12"/>
        <rFont val="標楷體"/>
        <family val="4"/>
        <charset val="136"/>
      </rPr>
      <t>金融債劵</t>
    </r>
    <r>
      <rPr>
        <sz val="12"/>
        <rFont val="Times New Roman"/>
        <family val="1"/>
      </rPr>
      <t>(</t>
    </r>
    <r>
      <rPr>
        <sz val="12"/>
        <rFont val="標楷體"/>
        <family val="4"/>
        <charset val="136"/>
      </rPr>
      <t>註</t>
    </r>
    <r>
      <rPr>
        <sz val="12"/>
        <rFont val="Times New Roman"/>
        <family val="1"/>
      </rPr>
      <t>1)</t>
    </r>
    <phoneticPr fontId="29" type="noConversion"/>
  </si>
  <si>
    <r>
      <rPr>
        <sz val="12"/>
        <rFont val="標楷體"/>
        <family val="4"/>
        <charset val="136"/>
      </rPr>
      <t xml:space="preserve">固定收益特別股
</t>
    </r>
    <r>
      <rPr>
        <sz val="12"/>
        <rFont val="Times New Roman"/>
        <family val="1"/>
      </rPr>
      <t>(</t>
    </r>
    <r>
      <rPr>
        <sz val="12"/>
        <rFont val="標楷體"/>
        <family val="4"/>
        <charset val="136"/>
      </rPr>
      <t>註</t>
    </r>
    <r>
      <rPr>
        <sz val="12"/>
        <rFont val="Times New Roman"/>
        <family val="1"/>
      </rPr>
      <t>1)</t>
    </r>
    <r>
      <rPr>
        <sz val="12"/>
        <rFont val="標楷體"/>
        <family val="4"/>
        <charset val="136"/>
      </rPr>
      <t>、</t>
    </r>
    <r>
      <rPr>
        <sz val="12"/>
        <rFont val="Times New Roman"/>
        <family val="1"/>
      </rPr>
      <t>(</t>
    </r>
    <r>
      <rPr>
        <sz val="12"/>
        <rFont val="標楷體"/>
        <family val="4"/>
        <charset val="136"/>
      </rPr>
      <t>註</t>
    </r>
    <r>
      <rPr>
        <sz val="12"/>
        <rFont val="Times New Roman"/>
        <family val="1"/>
      </rPr>
      <t>6)</t>
    </r>
    <phoneticPr fontId="29" type="noConversion"/>
  </si>
  <si>
    <r>
      <rPr>
        <b/>
        <sz val="12"/>
        <rFont val="標楷體"/>
        <family val="4"/>
        <charset val="136"/>
      </rPr>
      <t>資產項目</t>
    </r>
    <phoneticPr fontId="29" type="noConversion"/>
  </si>
  <si>
    <r>
      <rPr>
        <b/>
        <sz val="12"/>
        <rFont val="標楷體"/>
        <family val="4"/>
        <charset val="136"/>
      </rPr>
      <t>信用評等</t>
    </r>
    <phoneticPr fontId="29" type="noConversion"/>
  </si>
  <si>
    <t>金額</t>
  </si>
  <si>
    <r>
      <rPr>
        <b/>
        <sz val="12"/>
        <rFont val="標楷體"/>
        <family val="4"/>
        <charset val="136"/>
      </rPr>
      <t>風險係數</t>
    </r>
    <phoneticPr fontId="29" type="noConversion"/>
  </si>
  <si>
    <r>
      <rPr>
        <b/>
        <sz val="12"/>
        <rFont val="標楷體"/>
        <family val="4"/>
        <charset val="136"/>
      </rPr>
      <t>風險資本額</t>
    </r>
    <phoneticPr fontId="29" type="noConversion"/>
  </si>
  <si>
    <r>
      <rPr>
        <b/>
        <sz val="12"/>
        <rFont val="標楷體"/>
        <family val="4"/>
        <charset val="136"/>
      </rPr>
      <t>中華信評</t>
    </r>
    <phoneticPr fontId="29" type="noConversion"/>
  </si>
  <si>
    <t>twAAA</t>
    <phoneticPr fontId="26" type="noConversion"/>
  </si>
  <si>
    <t>twCCC+</t>
  </si>
  <si>
    <t>twCCC</t>
  </si>
  <si>
    <r>
      <rPr>
        <sz val="12"/>
        <rFont val="標楷體"/>
        <family val="4"/>
        <charset val="136"/>
      </rPr>
      <t>註</t>
    </r>
    <r>
      <rPr>
        <sz val="12"/>
        <rFont val="Times New Roman"/>
        <family val="1"/>
      </rPr>
      <t>1</t>
    </r>
  </si>
  <si>
    <r>
      <rPr>
        <sz val="12"/>
        <rFont val="標楷體"/>
        <family val="4"/>
        <charset val="136"/>
      </rPr>
      <t>可採最高信評等級係數計算本表信用風險。</t>
    </r>
    <phoneticPr fontId="29"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</si>
  <si>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(77+78+79)</t>
    </r>
    <r>
      <rPr>
        <sz val="12"/>
        <rFont val="標楷體"/>
        <family val="4"/>
        <charset val="136"/>
      </rPr>
      <t>列合計數應與表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(15+16)</t>
    </r>
    <r>
      <rPr>
        <sz val="12"/>
        <rFont val="標楷體"/>
        <family val="4"/>
        <charset val="136"/>
      </rPr>
      <t>列金額相等。</t>
    </r>
    <phoneticPr fontId="29"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</si>
  <si>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(58)</t>
    </r>
    <r>
      <rPr>
        <sz val="12"/>
        <rFont val="標楷體"/>
        <family val="4"/>
        <charset val="136"/>
      </rPr>
      <t>列應與表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(10)</t>
    </r>
    <r>
      <rPr>
        <sz val="12"/>
        <rFont val="標楷體"/>
        <family val="4"/>
        <charset val="136"/>
      </rPr>
      <t>列金額相等。</t>
    </r>
    <phoneticPr fontId="29" type="noConversion"/>
  </si>
  <si>
    <r>
      <rPr>
        <sz val="12"/>
        <rFont val="標楷體"/>
        <family val="4"/>
        <charset val="136"/>
      </rPr>
      <t>債券投資因信用風險顯著增加已依</t>
    </r>
    <r>
      <rPr>
        <sz val="12"/>
        <rFont val="Times New Roman"/>
        <family val="1"/>
      </rPr>
      <t>IFRS9</t>
    </r>
    <r>
      <rPr>
        <sz val="12"/>
        <rFont val="標楷體"/>
        <family val="4"/>
        <charset val="136"/>
      </rPr>
      <t>規定計算其存續期間之預期信用損失者，可採最高信評等級係數計算本表信用風險。</t>
    </r>
    <phoneticPr fontId="29" type="noConversion"/>
  </si>
  <si>
    <r>
      <rPr>
        <sz val="12"/>
        <rFont val="標楷體"/>
        <family val="4"/>
        <charset val="136"/>
      </rPr>
      <t>表</t>
    </r>
    <r>
      <rPr>
        <sz val="12"/>
        <rFont val="Times New Roman"/>
        <family val="1"/>
      </rPr>
      <t>30-3</t>
    </r>
    <r>
      <rPr>
        <sz val="12"/>
        <rFont val="標楷體"/>
        <family val="4"/>
        <charset val="136"/>
      </rPr>
      <t>：</t>
    </r>
    <r>
      <rPr>
        <sz val="12"/>
        <rFont val="Times New Roman"/>
        <family val="1"/>
      </rPr>
      <t>R1</t>
    </r>
    <r>
      <rPr>
        <sz val="12"/>
        <rFont val="標楷體"/>
        <family val="4"/>
        <charset val="136"/>
      </rPr>
      <t>：資產風險</t>
    </r>
    <r>
      <rPr>
        <sz val="12"/>
        <rFont val="Times New Roman"/>
        <family val="1"/>
      </rPr>
      <t>--</t>
    </r>
    <r>
      <rPr>
        <sz val="12"/>
        <rFont val="標楷體"/>
        <family val="4"/>
        <charset val="136"/>
      </rPr>
      <t>非關係人風險計算表</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</si>
  <si>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t>
    </r>
    <r>
      <rPr>
        <sz val="12"/>
        <rFont val="標楷體"/>
        <family val="4"/>
        <charset val="136"/>
      </rPr>
      <t>列</t>
    </r>
    <phoneticPr fontId="26" type="noConversion"/>
  </si>
  <si>
    <r>
      <t xml:space="preserve">1.2.1.2 </t>
    </r>
    <r>
      <rPr>
        <sz val="12"/>
        <rFont val="標楷體"/>
        <family val="4"/>
        <charset val="136"/>
      </rPr>
      <t>公司債</t>
    </r>
    <phoneticPr fontId="26" type="noConversion"/>
  </si>
  <si>
    <r>
      <t xml:space="preserve">1.2.1.3 </t>
    </r>
    <r>
      <rPr>
        <sz val="12"/>
        <rFont val="標楷體"/>
        <family val="4"/>
        <charset val="136"/>
      </rPr>
      <t>金融債券</t>
    </r>
    <phoneticPr fontId="26" type="noConversion"/>
  </si>
  <si>
    <r>
      <t xml:space="preserve">1.2.1.4 </t>
    </r>
    <r>
      <rPr>
        <sz val="12"/>
        <rFont val="標楷體"/>
        <family val="4"/>
        <charset val="136"/>
      </rPr>
      <t>不動產及金融資產受益證券</t>
    </r>
    <r>
      <rPr>
        <sz val="12"/>
        <rFont val="Times New Roman"/>
        <family val="1"/>
      </rPr>
      <t>(</t>
    </r>
    <r>
      <rPr>
        <sz val="12"/>
        <rFont val="標楷體"/>
        <family val="4"/>
        <charset val="136"/>
      </rPr>
      <t>含資產基礎證券</t>
    </r>
    <r>
      <rPr>
        <sz val="12"/>
        <rFont val="Times New Roman"/>
        <family val="1"/>
      </rPr>
      <t>)</t>
    </r>
    <phoneticPr fontId="26" type="noConversion"/>
  </si>
  <si>
    <r>
      <t xml:space="preserve">1.2.1.4.1 </t>
    </r>
    <r>
      <rPr>
        <sz val="12"/>
        <rFont val="標楷體"/>
        <family val="4"/>
        <charset val="136"/>
      </rPr>
      <t>有評等不動產</t>
    </r>
    <r>
      <rPr>
        <sz val="12"/>
        <rFont val="Times New Roman"/>
        <family val="1"/>
      </rPr>
      <t>(REAT)</t>
    </r>
    <r>
      <rPr>
        <sz val="12"/>
        <rFont val="標楷體"/>
        <family val="4"/>
        <charset val="136"/>
      </rPr>
      <t>及金融資產受益證券</t>
    </r>
    <phoneticPr fontId="26" type="noConversion"/>
  </si>
  <si>
    <r>
      <t xml:space="preserve">1.2.1.4.2 </t>
    </r>
    <r>
      <rPr>
        <sz val="12"/>
        <rFont val="標楷體"/>
        <family val="4"/>
        <charset val="136"/>
      </rPr>
      <t>無評等不動產</t>
    </r>
    <r>
      <rPr>
        <sz val="12"/>
        <rFont val="Times New Roman"/>
        <family val="1"/>
      </rPr>
      <t>(REAT)</t>
    </r>
    <r>
      <rPr>
        <sz val="12"/>
        <rFont val="標楷體"/>
        <family val="4"/>
        <charset val="136"/>
      </rPr>
      <t>及金融資產受益證券</t>
    </r>
    <phoneticPr fontId="26" type="noConversion"/>
  </si>
  <si>
    <r>
      <t xml:space="preserve">1.2.2 </t>
    </r>
    <r>
      <rPr>
        <sz val="12"/>
        <rFont val="標楷體"/>
        <family val="4"/>
        <charset val="136"/>
      </rPr>
      <t>票券</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</si>
  <si>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(11)</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</si>
  <si>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</si>
  <si>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t>
    </r>
    <r>
      <rPr>
        <sz val="12"/>
        <rFont val="標楷體"/>
        <family val="4"/>
        <charset val="136"/>
      </rPr>
      <t>列</t>
    </r>
    <phoneticPr fontId="26" type="noConversion"/>
  </si>
  <si>
    <r>
      <t xml:space="preserve">1.2.2.4 </t>
    </r>
    <r>
      <rPr>
        <sz val="12"/>
        <rFont val="標楷體"/>
        <family val="4"/>
        <charset val="136"/>
      </rPr>
      <t>附買回條件之債券</t>
    </r>
    <phoneticPr fontId="26" type="noConversion"/>
  </si>
  <si>
    <r>
      <t xml:space="preserve">1.2.3.2 </t>
    </r>
    <r>
      <rPr>
        <sz val="12"/>
        <rFont val="標楷體"/>
        <family val="4"/>
        <charset val="136"/>
      </rPr>
      <t>上櫃普通股</t>
    </r>
    <phoneticPr fontId="26" type="noConversion"/>
  </si>
  <si>
    <r>
      <t xml:space="preserve">1.2.3.3 </t>
    </r>
    <r>
      <rPr>
        <sz val="12"/>
        <rFont val="標楷體"/>
        <family val="4"/>
        <charset val="136"/>
      </rPr>
      <t>非上市上櫃普通股</t>
    </r>
    <phoneticPr fontId="26" type="noConversion"/>
  </si>
  <si>
    <r>
      <t xml:space="preserve">1.2.3.4 </t>
    </r>
    <r>
      <rPr>
        <sz val="12"/>
        <rFont val="標楷體"/>
        <family val="4"/>
        <charset val="136"/>
      </rPr>
      <t>特別股</t>
    </r>
    <phoneticPr fontId="26" type="noConversion"/>
  </si>
  <si>
    <r>
      <t xml:space="preserve">1.2.4 </t>
    </r>
    <r>
      <rPr>
        <sz val="12"/>
        <rFont val="標楷體"/>
        <family val="4"/>
        <charset val="136"/>
      </rPr>
      <t>受益憑證</t>
    </r>
    <r>
      <rPr>
        <sz val="12"/>
        <rFont val="Times New Roman"/>
        <family val="1"/>
      </rPr>
      <t>(</t>
    </r>
    <r>
      <rPr>
        <sz val="12"/>
        <rFont val="標楷體"/>
        <family val="4"/>
        <charset val="136"/>
      </rPr>
      <t>註</t>
    </r>
    <r>
      <rPr>
        <sz val="12"/>
        <rFont val="Times New Roman"/>
        <family val="1"/>
      </rPr>
      <t>1)</t>
    </r>
    <phoneticPr fontId="26" type="noConversion"/>
  </si>
  <si>
    <r>
      <t xml:space="preserve">1.2.4.2 </t>
    </r>
    <r>
      <rPr>
        <sz val="12"/>
        <rFont val="標楷體"/>
        <family val="4"/>
        <charset val="136"/>
      </rPr>
      <t>債券型共同基金</t>
    </r>
    <phoneticPr fontId="26" type="noConversion"/>
  </si>
  <si>
    <r>
      <t xml:space="preserve">1.2.4.5 </t>
    </r>
    <r>
      <rPr>
        <sz val="12"/>
        <rFont val="標楷體"/>
        <family val="4"/>
        <charset val="136"/>
      </rPr>
      <t>私募基金</t>
    </r>
    <phoneticPr fontId="26" type="noConversion"/>
  </si>
  <si>
    <r>
      <t>1.2.5.2 ETF-</t>
    </r>
    <r>
      <rPr>
        <sz val="12"/>
        <rFont val="標楷體"/>
        <family val="4"/>
        <charset val="136"/>
      </rPr>
      <t>債券型</t>
    </r>
    <phoneticPr fontId="26" type="noConversion"/>
  </si>
  <si>
    <r>
      <t xml:space="preserve">1.3 </t>
    </r>
    <r>
      <rPr>
        <sz val="12"/>
        <rFont val="標楷體"/>
        <family val="4"/>
        <charset val="136"/>
      </rPr>
      <t>不動產</t>
    </r>
    <phoneticPr fontId="26" type="noConversion"/>
  </si>
  <si>
    <r>
      <t xml:space="preserve">1.3.1 </t>
    </r>
    <r>
      <rPr>
        <sz val="12"/>
        <rFont val="標楷體"/>
        <family val="4"/>
        <charset val="136"/>
      </rPr>
      <t>投資用不動產</t>
    </r>
    <r>
      <rPr>
        <sz val="12"/>
        <rFont val="Times New Roman"/>
        <family val="1"/>
      </rPr>
      <t>(</t>
    </r>
    <r>
      <rPr>
        <sz val="12"/>
        <rFont val="標楷體"/>
        <family val="4"/>
        <charset val="136"/>
      </rPr>
      <t>註</t>
    </r>
    <r>
      <rPr>
        <sz val="12"/>
        <rFont val="Times New Roman"/>
        <family val="1"/>
      </rPr>
      <t>2)</t>
    </r>
    <phoneticPr fontId="26"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</si>
  <si>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26"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</si>
  <si>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(4)</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(12)</t>
    </r>
    <r>
      <rPr>
        <sz val="12"/>
        <rFont val="標楷體"/>
        <family val="4"/>
        <charset val="136"/>
      </rPr>
      <t>欄第</t>
    </r>
    <r>
      <rPr>
        <sz val="12"/>
        <rFont val="Times New Roman"/>
        <family val="1"/>
      </rPr>
      <t>(3)</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(2)</t>
    </r>
    <r>
      <rPr>
        <sz val="12"/>
        <rFont val="標楷體"/>
        <family val="4"/>
        <charset val="136"/>
      </rPr>
      <t>列</t>
    </r>
    <phoneticPr fontId="26"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</si>
  <si>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(2)</t>
    </r>
    <r>
      <rPr>
        <sz val="12"/>
        <rFont val="標楷體"/>
        <family val="4"/>
        <charset val="136"/>
      </rPr>
      <t>列</t>
    </r>
    <phoneticPr fontId="26"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</si>
  <si>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(5)</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(12)</t>
    </r>
    <r>
      <rPr>
        <sz val="12"/>
        <rFont val="標楷體"/>
        <family val="4"/>
        <charset val="136"/>
      </rPr>
      <t>欄第</t>
    </r>
    <r>
      <rPr>
        <sz val="12"/>
        <rFont val="Times New Roman"/>
        <family val="1"/>
      </rPr>
      <t>(4)</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(3)</t>
    </r>
    <r>
      <rPr>
        <sz val="12"/>
        <rFont val="標楷體"/>
        <family val="4"/>
        <charset val="136"/>
      </rPr>
      <t>列</t>
    </r>
    <phoneticPr fontId="26" type="noConversion"/>
  </si>
  <si>
    <r>
      <t xml:space="preserve">1.4 </t>
    </r>
    <r>
      <rPr>
        <sz val="12"/>
        <rFont val="標楷體"/>
        <family val="4"/>
        <charset val="136"/>
      </rPr>
      <t>放款</t>
    </r>
    <phoneticPr fontId="26" type="noConversion"/>
  </si>
  <si>
    <r>
      <t xml:space="preserve">1.4.1 </t>
    </r>
    <r>
      <rPr>
        <sz val="12"/>
        <rFont val="標楷體"/>
        <family val="4"/>
        <charset val="136"/>
      </rPr>
      <t>擔保放款</t>
    </r>
    <phoneticPr fontId="26" type="noConversion"/>
  </si>
  <si>
    <r>
      <t xml:space="preserve">1.4.1.1 </t>
    </r>
    <r>
      <rPr>
        <sz val="12"/>
        <rFont val="標楷體"/>
        <family val="4"/>
        <charset val="136"/>
      </rPr>
      <t>不動產擔保放款</t>
    </r>
    <phoneticPr fontId="26" type="noConversion"/>
  </si>
  <si>
    <r>
      <t xml:space="preserve">1.4.1.2 </t>
    </r>
    <r>
      <rPr>
        <sz val="12"/>
        <rFont val="標楷體"/>
        <family val="4"/>
        <charset val="136"/>
      </rPr>
      <t>動產擔保放款</t>
    </r>
    <phoneticPr fontId="26" type="noConversion"/>
  </si>
  <si>
    <r>
      <t xml:space="preserve">1.5 </t>
    </r>
    <r>
      <rPr>
        <sz val="12"/>
        <rFont val="標楷體"/>
        <family val="4"/>
        <charset val="136"/>
      </rPr>
      <t>其他投資資產</t>
    </r>
    <phoneticPr fontId="26" type="noConversion"/>
  </si>
  <si>
    <r>
      <t>1.5.1.1</t>
    </r>
    <r>
      <rPr>
        <sz val="12"/>
        <rFont val="標楷體"/>
        <family val="4"/>
        <charset val="136"/>
      </rPr>
      <t>政策性</t>
    </r>
    <phoneticPr fontId="26" type="noConversion"/>
  </si>
  <si>
    <r>
      <t>1.5.1.3</t>
    </r>
    <r>
      <rPr>
        <sz val="12"/>
        <rFont val="標楷體"/>
        <family val="4"/>
        <charset val="136"/>
      </rPr>
      <t>公共投資及</t>
    </r>
    <r>
      <rPr>
        <sz val="12"/>
        <rFont val="Times New Roman"/>
        <family val="1"/>
      </rPr>
      <t>5+2</t>
    </r>
    <r>
      <rPr>
        <sz val="12"/>
        <rFont val="標楷體"/>
        <family val="4"/>
        <charset val="136"/>
      </rPr>
      <t>產業</t>
    </r>
    <phoneticPr fontId="26" type="noConversion"/>
  </si>
  <si>
    <r>
      <t xml:space="preserve">1.5.2.1 </t>
    </r>
    <r>
      <rPr>
        <sz val="12"/>
        <rFont val="標楷體"/>
        <family val="4"/>
        <charset val="136"/>
      </rPr>
      <t>信託受益權</t>
    </r>
    <phoneticPr fontId="26"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</si>
  <si>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(11)</t>
    </r>
    <r>
      <rPr>
        <sz val="12"/>
        <rFont val="標楷體"/>
        <family val="4"/>
        <charset val="136"/>
      </rPr>
      <t>欄第</t>
    </r>
    <r>
      <rPr>
        <sz val="12"/>
        <rFont val="Times New Roman"/>
        <family val="1"/>
      </rPr>
      <t>(22)</t>
    </r>
    <r>
      <rPr>
        <sz val="12"/>
        <rFont val="標楷體"/>
        <family val="4"/>
        <charset val="136"/>
      </rPr>
      <t>列</t>
    </r>
    <phoneticPr fontId="26" type="noConversion"/>
  </si>
  <si>
    <r>
      <t>1.5.2.2.2 "90%"</t>
    </r>
    <r>
      <rPr>
        <sz val="12"/>
        <rFont val="標楷體"/>
        <family val="4"/>
        <charset val="136"/>
      </rPr>
      <t>保本組合式存款</t>
    </r>
    <phoneticPr fontId="29" type="noConversion"/>
  </si>
  <si>
    <r>
      <t xml:space="preserve">1.5.2.3 </t>
    </r>
    <r>
      <rPr>
        <sz val="12"/>
        <rFont val="標楷體"/>
        <family val="4"/>
        <charset val="136"/>
      </rPr>
      <t>其他</t>
    </r>
    <phoneticPr fontId="26" type="noConversion"/>
  </si>
  <si>
    <r>
      <t xml:space="preserve">1.6 </t>
    </r>
    <r>
      <rPr>
        <sz val="12"/>
        <rFont val="標楷體"/>
        <family val="4"/>
        <charset val="136"/>
      </rPr>
      <t>國內外資產集中度風險</t>
    </r>
    <r>
      <rPr>
        <sz val="12"/>
        <rFont val="Times New Roman"/>
        <family val="1"/>
      </rPr>
      <t>--</t>
    </r>
    <r>
      <rPr>
        <sz val="12"/>
        <rFont val="標楷體"/>
        <family val="4"/>
        <charset val="136"/>
      </rPr>
      <t>國內部份</t>
    </r>
    <phoneticPr fontId="26" type="noConversion"/>
  </si>
  <si>
    <r>
      <t xml:space="preserve">R1b </t>
    </r>
    <r>
      <rPr>
        <sz val="12"/>
        <rFont val="標楷體"/>
        <family val="4"/>
        <charset val="136"/>
      </rPr>
      <t>國外資產風險</t>
    </r>
    <phoneticPr fontId="26" type="noConversion"/>
  </si>
  <si>
    <r>
      <t xml:space="preserve">1b.1 </t>
    </r>
    <r>
      <rPr>
        <sz val="12"/>
        <rFont val="標楷體"/>
        <family val="4"/>
        <charset val="136"/>
      </rPr>
      <t>已開發國家</t>
    </r>
    <phoneticPr fontId="26" type="noConversion"/>
  </si>
  <si>
    <r>
      <t xml:space="preserve">1b.1.1 </t>
    </r>
    <r>
      <rPr>
        <sz val="12"/>
        <rFont val="標楷體"/>
        <family val="4"/>
        <charset val="136"/>
      </rPr>
      <t>現金及外幣存款</t>
    </r>
    <phoneticPr fontId="26" type="noConversion"/>
  </si>
  <si>
    <r>
      <t xml:space="preserve">1b.1.2.1 </t>
    </r>
    <r>
      <rPr>
        <sz val="12"/>
        <rFont val="標楷體"/>
        <family val="4"/>
        <charset val="136"/>
      </rPr>
      <t>公債</t>
    </r>
    <phoneticPr fontId="26"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</si>
  <si>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(22)</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</si>
  <si>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(44)</t>
    </r>
    <r>
      <rPr>
        <sz val="12"/>
        <rFont val="標楷體"/>
        <family val="4"/>
        <charset val="136"/>
      </rPr>
      <t>列</t>
    </r>
  </si>
  <si>
    <r>
      <t xml:space="preserve">1b.1.2.4 </t>
    </r>
    <r>
      <rPr>
        <sz val="12"/>
        <rFont val="標楷體"/>
        <family val="4"/>
        <charset val="136"/>
      </rPr>
      <t>其他</t>
    </r>
    <phoneticPr fontId="26" type="noConversion"/>
  </si>
  <si>
    <r>
      <t xml:space="preserve">1b.1.2.4.1 </t>
    </r>
    <r>
      <rPr>
        <sz val="12"/>
        <rFont val="標楷體"/>
        <family val="4"/>
        <charset val="136"/>
      </rPr>
      <t>有信用評等者</t>
    </r>
    <phoneticPr fontId="26"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</si>
  <si>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(88)</t>
    </r>
    <r>
      <rPr>
        <sz val="12"/>
        <rFont val="標楷體"/>
        <family val="4"/>
        <charset val="136"/>
      </rPr>
      <t>列</t>
    </r>
  </si>
  <si>
    <r>
      <t xml:space="preserve">1b.1.2.4.2 </t>
    </r>
    <r>
      <rPr>
        <sz val="12"/>
        <rFont val="標楷體"/>
        <family val="4"/>
        <charset val="136"/>
      </rPr>
      <t>無信用評等者</t>
    </r>
    <phoneticPr fontId="26" type="noConversion"/>
  </si>
  <si>
    <r>
      <t xml:space="preserve">1b.1.3.2 </t>
    </r>
    <r>
      <rPr>
        <sz val="12"/>
        <rFont val="標楷體"/>
        <family val="4"/>
        <charset val="136"/>
      </rPr>
      <t>特別股</t>
    </r>
    <phoneticPr fontId="26" type="noConversion"/>
  </si>
  <si>
    <r>
      <t xml:space="preserve">1b.1.3.2.1 </t>
    </r>
    <r>
      <rPr>
        <sz val="12"/>
        <rFont val="標楷體"/>
        <family val="4"/>
        <charset val="136"/>
      </rPr>
      <t>固定收益特別股</t>
    </r>
    <phoneticPr fontId="26"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</si>
  <si>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(110)</t>
    </r>
    <r>
      <rPr>
        <sz val="12"/>
        <rFont val="標楷體"/>
        <family val="4"/>
        <charset val="136"/>
      </rPr>
      <t>列</t>
    </r>
  </si>
  <si>
    <r>
      <t xml:space="preserve">1b.1.4 </t>
    </r>
    <r>
      <rPr>
        <sz val="12"/>
        <rFont val="標楷體"/>
        <family val="4"/>
        <charset val="136"/>
      </rPr>
      <t>受益憑證及信託資金</t>
    </r>
    <phoneticPr fontId="26" type="noConversion"/>
  </si>
  <si>
    <r>
      <t xml:space="preserve">1b.1.4.1 </t>
    </r>
    <r>
      <rPr>
        <sz val="12"/>
        <rFont val="標楷體"/>
        <family val="4"/>
        <charset val="136"/>
      </rPr>
      <t>股票型共同基金</t>
    </r>
    <phoneticPr fontId="26" type="noConversion"/>
  </si>
  <si>
    <r>
      <t xml:space="preserve">1b.1.5 </t>
    </r>
    <r>
      <rPr>
        <sz val="12"/>
        <rFont val="標楷體"/>
        <family val="4"/>
        <charset val="136"/>
      </rPr>
      <t>放款</t>
    </r>
    <phoneticPr fontId="26" type="noConversion"/>
  </si>
  <si>
    <r>
      <t xml:space="preserve">1b.1.5.1 </t>
    </r>
    <r>
      <rPr>
        <sz val="12"/>
        <rFont val="標楷體"/>
        <family val="4"/>
        <charset val="136"/>
      </rPr>
      <t>外幣保單放款</t>
    </r>
    <phoneticPr fontId="26"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</si>
  <si>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(12)</t>
    </r>
    <r>
      <rPr>
        <sz val="12"/>
        <rFont val="標楷體"/>
        <family val="4"/>
        <charset val="136"/>
      </rPr>
      <t>欄第</t>
    </r>
    <r>
      <rPr>
        <sz val="12"/>
        <rFont val="Times New Roman"/>
        <family val="1"/>
      </rPr>
      <t>(22)</t>
    </r>
    <r>
      <rPr>
        <sz val="12"/>
        <rFont val="標楷體"/>
        <family val="4"/>
        <charset val="136"/>
      </rPr>
      <t>列</t>
    </r>
    <phoneticPr fontId="26"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</si>
  <si>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已開發國家</t>
    </r>
    <r>
      <rPr>
        <sz val="12"/>
        <rFont val="Times New Roman"/>
        <family val="1"/>
      </rPr>
      <t>)</t>
    </r>
    <r>
      <rPr>
        <sz val="12"/>
        <rFont val="標楷體"/>
        <family val="4"/>
        <charset val="136"/>
      </rPr>
      <t>列</t>
    </r>
    <phoneticPr fontId="29" type="noConversion"/>
  </si>
  <si>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(22)</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</si>
  <si>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(44)</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</si>
  <si>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(66)</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</si>
  <si>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(88)</t>
    </r>
    <r>
      <rPr>
        <sz val="12"/>
        <rFont val="標楷體"/>
        <family val="4"/>
        <charset val="136"/>
      </rPr>
      <t>列</t>
    </r>
  </si>
  <si>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(7)</t>
    </r>
    <r>
      <rPr>
        <sz val="12"/>
        <rFont val="標楷體"/>
        <family val="4"/>
        <charset val="136"/>
      </rPr>
      <t>欄第</t>
    </r>
    <r>
      <rPr>
        <sz val="12"/>
        <rFont val="Times New Roman"/>
        <family val="1"/>
      </rPr>
      <t>(110)</t>
    </r>
    <r>
      <rPr>
        <sz val="12"/>
        <rFont val="標楷體"/>
        <family val="4"/>
        <charset val="136"/>
      </rPr>
      <t>列</t>
    </r>
  </si>
  <si>
    <r>
      <t xml:space="preserve">1b.2.4.6 </t>
    </r>
    <r>
      <rPr>
        <sz val="12"/>
        <rFont val="標楷體"/>
        <family val="4"/>
        <charset val="136"/>
      </rPr>
      <t>私募債權基金</t>
    </r>
    <phoneticPr fontId="26" type="noConversion"/>
  </si>
  <si>
    <r>
      <t xml:space="preserve">1b.2.4.7 </t>
    </r>
    <r>
      <rPr>
        <sz val="12"/>
        <rFont val="標楷體"/>
        <family val="4"/>
        <charset val="136"/>
      </rPr>
      <t>不動產私募基金</t>
    </r>
    <phoneticPr fontId="26"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</si>
  <si>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(11)</t>
    </r>
    <r>
      <rPr>
        <sz val="12"/>
        <rFont val="標楷體"/>
        <family val="4"/>
        <charset val="136"/>
      </rPr>
      <t>欄第</t>
    </r>
    <r>
      <rPr>
        <sz val="12"/>
        <rFont val="Times New Roman"/>
        <family val="1"/>
      </rPr>
      <t>(9+12)</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(12)</t>
    </r>
    <r>
      <rPr>
        <sz val="12"/>
        <rFont val="標楷體"/>
        <family val="4"/>
        <charset val="136"/>
      </rPr>
      <t>欄第</t>
    </r>
    <r>
      <rPr>
        <sz val="12"/>
        <rFont val="Times New Roman"/>
        <family val="1"/>
      </rPr>
      <t>(7)</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(5)</t>
    </r>
    <r>
      <rPr>
        <sz val="12"/>
        <rFont val="標楷體"/>
        <family val="4"/>
        <charset val="136"/>
      </rPr>
      <t>列</t>
    </r>
    <phoneticPr fontId="26"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</si>
  <si>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(5)</t>
    </r>
    <r>
      <rPr>
        <sz val="12"/>
        <rFont val="標楷體"/>
        <family val="4"/>
        <charset val="136"/>
      </rPr>
      <t>列</t>
    </r>
    <phoneticPr fontId="26"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</si>
  <si>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(13)</t>
    </r>
    <r>
      <rPr>
        <sz val="12"/>
        <rFont val="標楷體"/>
        <family val="4"/>
        <charset val="136"/>
      </rPr>
      <t>欄第</t>
    </r>
    <r>
      <rPr>
        <sz val="12"/>
        <rFont val="Times New Roman"/>
        <family val="1"/>
      </rPr>
      <t>(22)</t>
    </r>
    <r>
      <rPr>
        <sz val="12"/>
        <rFont val="標楷體"/>
        <family val="4"/>
        <charset val="136"/>
      </rPr>
      <t>列</t>
    </r>
    <phoneticPr fontId="26"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</si>
  <si>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(13)</t>
    </r>
    <r>
      <rPr>
        <sz val="12"/>
        <rFont val="標楷體"/>
        <family val="4"/>
        <charset val="136"/>
      </rPr>
      <t>欄第</t>
    </r>
    <r>
      <rPr>
        <sz val="12"/>
        <rFont val="Times New Roman"/>
        <family val="1"/>
      </rPr>
      <t>(44)</t>
    </r>
    <r>
      <rPr>
        <sz val="12"/>
        <rFont val="標楷體"/>
        <family val="4"/>
        <charset val="136"/>
      </rPr>
      <t>列</t>
    </r>
    <phoneticPr fontId="26" type="noConversion"/>
  </si>
  <si>
    <r>
      <rPr>
        <sz val="12"/>
        <rFont val="標楷體"/>
        <family val="4"/>
        <charset val="136"/>
      </rPr>
      <t>經會計師簽證之財務報表附註揭露事項之確定額度</t>
    </r>
  </si>
  <si>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(27)</t>
    </r>
    <r>
      <rPr>
        <sz val="12"/>
        <rFont val="標楷體"/>
        <family val="4"/>
        <charset val="136"/>
      </rPr>
      <t>列第</t>
    </r>
    <r>
      <rPr>
        <sz val="12"/>
        <rFont val="Times New Roman"/>
        <family val="1"/>
      </rPr>
      <t>(5+8)</t>
    </r>
    <r>
      <rPr>
        <sz val="12"/>
        <rFont val="標楷體"/>
        <family val="4"/>
        <charset val="136"/>
      </rPr>
      <t>欄</t>
    </r>
    <phoneticPr fontId="29" type="noConversion"/>
  </si>
  <si>
    <r>
      <t xml:space="preserve">1c.2.2 </t>
    </r>
    <r>
      <rPr>
        <sz val="12"/>
        <rFont val="標楷體"/>
        <family val="4"/>
        <charset val="136"/>
      </rPr>
      <t>以增加收益為目的</t>
    </r>
    <phoneticPr fontId="26" type="noConversion"/>
  </si>
  <si>
    <r>
      <rPr>
        <sz val="12"/>
        <rFont val="標楷體"/>
        <family val="4"/>
        <charset val="136"/>
      </rPr>
      <t>「表</t>
    </r>
    <r>
      <rPr>
        <sz val="12"/>
        <rFont val="Times New Roman"/>
        <family val="1"/>
      </rPr>
      <t>16-2-2</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買入衍生性商品</t>
    </r>
    <r>
      <rPr>
        <sz val="12"/>
        <rFont val="Times New Roman"/>
        <family val="1"/>
      </rPr>
      <t>)</t>
    </r>
    <r>
      <rPr>
        <sz val="12"/>
        <rFont val="標楷體"/>
        <family val="4"/>
        <charset val="136"/>
      </rPr>
      <t>」第</t>
    </r>
    <r>
      <rPr>
        <sz val="12"/>
        <rFont val="Times New Roman"/>
        <family val="1"/>
      </rPr>
      <t>(16)</t>
    </r>
    <r>
      <rPr>
        <sz val="12"/>
        <rFont val="標楷體"/>
        <family val="4"/>
        <charset val="136"/>
      </rPr>
      <t>列第</t>
    </r>
    <r>
      <rPr>
        <sz val="12"/>
        <rFont val="Times New Roman"/>
        <family val="1"/>
      </rPr>
      <t>(2+5+8)</t>
    </r>
    <r>
      <rPr>
        <sz val="12"/>
        <rFont val="標楷體"/>
        <family val="4"/>
        <charset val="136"/>
      </rPr>
      <t>欄</t>
    </r>
    <r>
      <rPr>
        <sz val="12"/>
        <rFont val="Times New Roman"/>
        <family val="1"/>
      </rPr>
      <t xml:space="preserve"> + </t>
    </r>
    <r>
      <rPr>
        <sz val="12"/>
        <rFont val="標楷體"/>
        <family val="4"/>
        <charset val="136"/>
      </rPr>
      <t>「表</t>
    </r>
    <r>
      <rPr>
        <sz val="12"/>
        <rFont val="Times New Roman"/>
        <family val="1"/>
      </rPr>
      <t>16-2-3</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賣出衍生性商品</t>
    </r>
    <r>
      <rPr>
        <sz val="12"/>
        <rFont val="Times New Roman"/>
        <family val="1"/>
      </rPr>
      <t>)</t>
    </r>
    <r>
      <rPr>
        <sz val="12"/>
        <rFont val="標楷體"/>
        <family val="4"/>
        <charset val="136"/>
      </rPr>
      <t>」第</t>
    </r>
    <r>
      <rPr>
        <sz val="12"/>
        <rFont val="Times New Roman"/>
        <family val="1"/>
      </rPr>
      <t>(13)</t>
    </r>
    <r>
      <rPr>
        <sz val="12"/>
        <rFont val="標楷體"/>
        <family val="4"/>
        <charset val="136"/>
      </rPr>
      <t>列第</t>
    </r>
    <r>
      <rPr>
        <sz val="12"/>
        <rFont val="Times New Roman"/>
        <family val="1"/>
      </rPr>
      <t>(2+5+8)</t>
    </r>
    <r>
      <rPr>
        <sz val="12"/>
        <rFont val="標楷體"/>
        <family val="4"/>
        <charset val="136"/>
      </rPr>
      <t>欄</t>
    </r>
    <phoneticPr fontId="29" type="noConversion"/>
  </si>
  <si>
    <r>
      <rPr>
        <b/>
        <sz val="12"/>
        <rFont val="標楷體"/>
        <family val="4"/>
        <charset val="136"/>
      </rPr>
      <t>《資產風險</t>
    </r>
    <r>
      <rPr>
        <b/>
        <sz val="12"/>
        <rFont val="Times New Roman"/>
        <family val="1"/>
      </rPr>
      <t>--</t>
    </r>
    <r>
      <rPr>
        <b/>
        <sz val="12"/>
        <rFont val="標楷體"/>
        <family val="4"/>
        <charset val="136"/>
      </rPr>
      <t>非關係人風險》總計</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</si>
  <si>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(14)</t>
    </r>
    <r>
      <rPr>
        <sz val="12"/>
        <rFont val="標楷體"/>
        <family val="4"/>
        <charset val="136"/>
      </rPr>
      <t>列</t>
    </r>
    <phoneticPr fontId="26"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</si>
  <si>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(3+19)</t>
    </r>
    <r>
      <rPr>
        <sz val="12"/>
        <rFont val="標楷體"/>
        <family val="4"/>
        <charset val="136"/>
      </rPr>
      <t>列</t>
    </r>
    <phoneticPr fontId="29"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</si>
  <si>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(4+20)</t>
    </r>
    <r>
      <rPr>
        <sz val="12"/>
        <rFont val="標楷體"/>
        <family val="4"/>
        <charset val="136"/>
      </rPr>
      <t>列</t>
    </r>
    <r>
      <rPr>
        <sz val="12"/>
        <rFont val="Times New Roman"/>
        <family val="1"/>
      </rPr>
      <t xml:space="preserve"> - </t>
    </r>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(16)</t>
    </r>
    <r>
      <rPr>
        <sz val="12"/>
        <rFont val="標楷體"/>
        <family val="4"/>
        <charset val="136"/>
      </rPr>
      <t>欄第</t>
    </r>
    <r>
      <rPr>
        <sz val="12"/>
        <rFont val="Times New Roman"/>
        <family val="1"/>
      </rPr>
      <t>(35)</t>
    </r>
    <r>
      <rPr>
        <sz val="12"/>
        <rFont val="標楷體"/>
        <family val="4"/>
        <charset val="136"/>
      </rPr>
      <t>列</t>
    </r>
    <phoneticPr fontId="29"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</si>
  <si>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(6+22)</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</si>
  <si>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(17)</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phoneticPr fontId="26"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</si>
  <si>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phoneticPr fontId="26" type="noConversion"/>
  </si>
  <si>
    <r>
      <t xml:space="preserve">
</t>
    </r>
    <r>
      <rPr>
        <sz val="12"/>
        <rFont val="標楷體"/>
        <family val="4"/>
        <charset val="136"/>
      </rPr>
      <t>風險資本額計算來源「表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非關係人信用風險計算表」第</t>
    </r>
    <r>
      <rPr>
        <sz val="12"/>
        <rFont val="Times New Roman"/>
        <family val="1"/>
      </rPr>
      <t>(6)</t>
    </r>
    <r>
      <rPr>
        <sz val="12"/>
        <rFont val="標楷體"/>
        <family val="4"/>
        <charset val="136"/>
      </rPr>
      <t>欄第</t>
    </r>
    <r>
      <rPr>
        <sz val="12"/>
        <rFont val="Times New Roman"/>
        <family val="1"/>
      </rPr>
      <t>(66)</t>
    </r>
    <r>
      <rPr>
        <sz val="12"/>
        <rFont val="標楷體"/>
        <family val="4"/>
        <charset val="136"/>
      </rPr>
      <t>列</t>
    </r>
    <phoneticPr fontId="26" type="noConversion"/>
  </si>
  <si>
    <r>
      <t xml:space="preserve">1b.1.6 </t>
    </r>
    <r>
      <rPr>
        <sz val="12"/>
        <rFont val="標楷體"/>
        <family val="4"/>
        <charset val="136"/>
      </rPr>
      <t>不動產</t>
    </r>
    <phoneticPr fontId="26" type="noConversion"/>
  </si>
  <si>
    <r>
      <t xml:space="preserve">1b.1.7 </t>
    </r>
    <r>
      <rPr>
        <sz val="12"/>
        <rFont val="標楷體"/>
        <family val="4"/>
        <charset val="136"/>
      </rPr>
      <t>對沖基金</t>
    </r>
    <phoneticPr fontId="26" type="noConversion"/>
  </si>
  <si>
    <r>
      <t xml:space="preserve">1b.2.1 </t>
    </r>
    <r>
      <rPr>
        <sz val="12"/>
        <rFont val="標楷體"/>
        <family val="4"/>
        <charset val="136"/>
      </rPr>
      <t>現金及外幣存款</t>
    </r>
    <phoneticPr fontId="26" type="noConversion"/>
  </si>
  <si>
    <r>
      <t xml:space="preserve">1b.2.2.1 </t>
    </r>
    <r>
      <rPr>
        <sz val="12"/>
        <rFont val="標楷體"/>
        <family val="4"/>
        <charset val="136"/>
      </rPr>
      <t>公債</t>
    </r>
    <r>
      <rPr>
        <sz val="12"/>
        <rFont val="Times New Roman"/>
        <family val="1"/>
      </rPr>
      <t>(</t>
    </r>
    <r>
      <rPr>
        <sz val="12"/>
        <rFont val="標楷體"/>
        <family val="4"/>
        <charset val="136"/>
      </rPr>
      <t>註</t>
    </r>
    <r>
      <rPr>
        <sz val="12"/>
        <rFont val="Times New Roman"/>
        <family val="1"/>
      </rPr>
      <t>5)</t>
    </r>
    <phoneticPr fontId="26" type="noConversion"/>
  </si>
  <si>
    <r>
      <t xml:space="preserve">1b.2.2.2 </t>
    </r>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6" type="noConversion"/>
  </si>
  <si>
    <r>
      <t xml:space="preserve">1b.2.2.3 </t>
    </r>
    <r>
      <rPr>
        <sz val="12"/>
        <rFont val="標楷體"/>
        <family val="4"/>
        <charset val="136"/>
      </rPr>
      <t>不動產投資信託基金</t>
    </r>
    <phoneticPr fontId="26" type="noConversion"/>
  </si>
  <si>
    <r>
      <t xml:space="preserve">1b.2.3 </t>
    </r>
    <r>
      <rPr>
        <sz val="12"/>
        <rFont val="標楷體"/>
        <family val="4"/>
        <charset val="136"/>
      </rPr>
      <t>股票</t>
    </r>
    <phoneticPr fontId="26" type="noConversion"/>
  </si>
  <si>
    <r>
      <t xml:space="preserve">1b.2.3.2 </t>
    </r>
    <r>
      <rPr>
        <sz val="12"/>
        <rFont val="標楷體"/>
        <family val="4"/>
        <charset val="136"/>
      </rPr>
      <t>特別股</t>
    </r>
    <phoneticPr fontId="26" type="noConversion"/>
  </si>
  <si>
    <r>
      <t xml:space="preserve">1b.2.5 </t>
    </r>
    <r>
      <rPr>
        <sz val="12"/>
        <rFont val="標楷體"/>
        <family val="4"/>
        <charset val="136"/>
      </rPr>
      <t>放款</t>
    </r>
    <phoneticPr fontId="26" type="noConversion"/>
  </si>
  <si>
    <r>
      <t xml:space="preserve">1b.2.5.1 </t>
    </r>
    <r>
      <rPr>
        <sz val="12"/>
        <rFont val="標楷體"/>
        <family val="4"/>
        <charset val="136"/>
      </rPr>
      <t>外幣保單放款</t>
    </r>
    <phoneticPr fontId="26" type="noConversion"/>
  </si>
  <si>
    <r>
      <t xml:space="preserve">1b.2.6 </t>
    </r>
    <r>
      <rPr>
        <sz val="12"/>
        <rFont val="標楷體"/>
        <family val="4"/>
        <charset val="136"/>
      </rPr>
      <t>不動產</t>
    </r>
    <phoneticPr fontId="26" type="noConversion"/>
  </si>
  <si>
    <r>
      <t xml:space="preserve">1b.2.7 </t>
    </r>
    <r>
      <rPr>
        <sz val="12"/>
        <rFont val="標楷體"/>
        <family val="4"/>
        <charset val="136"/>
      </rPr>
      <t>對沖基金</t>
    </r>
    <phoneticPr fontId="26" type="noConversion"/>
  </si>
  <si>
    <r>
      <t xml:space="preserve">1b.2.8 ETF - </t>
    </r>
    <r>
      <rPr>
        <sz val="12"/>
        <rFont val="標楷體"/>
        <family val="4"/>
        <charset val="136"/>
      </rPr>
      <t>股票型</t>
    </r>
    <phoneticPr fontId="26" type="noConversion"/>
  </si>
  <si>
    <r>
      <t xml:space="preserve">1b.2.9 ETF - </t>
    </r>
    <r>
      <rPr>
        <sz val="12"/>
        <rFont val="標楷體"/>
        <family val="4"/>
        <charset val="136"/>
      </rPr>
      <t>債券型</t>
    </r>
    <phoneticPr fontId="26" type="noConversion"/>
  </si>
  <si>
    <r>
      <t xml:space="preserve">1b.3 </t>
    </r>
    <r>
      <rPr>
        <sz val="12"/>
        <rFont val="標楷體"/>
        <family val="4"/>
        <charset val="136"/>
      </rPr>
      <t>外匯風險</t>
    </r>
    <phoneticPr fontId="26" type="noConversion"/>
  </si>
  <si>
    <r>
      <rPr>
        <sz val="12"/>
        <rFont val="標楷體"/>
        <family val="4"/>
        <charset val="136"/>
      </rPr>
      <t>風險資本額計算來源「表</t>
    </r>
    <r>
      <rPr>
        <sz val="12"/>
        <rFont val="Times New Roman"/>
        <family val="1"/>
      </rPr>
      <t>30-16</t>
    </r>
    <r>
      <rPr>
        <sz val="12"/>
        <rFont val="標楷體"/>
        <family val="4"/>
        <charset val="136"/>
      </rPr>
      <t>：國外借券再投資風險資本額計算表」第</t>
    </r>
    <r>
      <rPr>
        <sz val="12"/>
        <rFont val="Times New Roman"/>
        <family val="1"/>
      </rPr>
      <t>(9)</t>
    </r>
    <r>
      <rPr>
        <sz val="12"/>
        <rFont val="標楷體"/>
        <family val="4"/>
        <charset val="136"/>
      </rPr>
      <t>欄合計數</t>
    </r>
    <phoneticPr fontId="26" type="noConversion"/>
  </si>
  <si>
    <r>
      <t xml:space="preserve">R1c </t>
    </r>
    <r>
      <rPr>
        <sz val="12"/>
        <rFont val="標楷體"/>
        <family val="4"/>
        <charset val="136"/>
      </rPr>
      <t>不計入風險資本額計算之項目</t>
    </r>
    <phoneticPr fontId="26" type="noConversion"/>
  </si>
  <si>
    <r>
      <t xml:space="preserve">1c.1 </t>
    </r>
    <r>
      <rPr>
        <sz val="12"/>
        <rFont val="標楷體"/>
        <family val="4"/>
        <charset val="136"/>
      </rPr>
      <t>或有負債</t>
    </r>
    <phoneticPr fontId="26" type="noConversion"/>
  </si>
  <si>
    <r>
      <t xml:space="preserve">1c.2 </t>
    </r>
    <r>
      <rPr>
        <sz val="12"/>
        <rFont val="標楷體"/>
        <family val="4"/>
        <charset val="136"/>
      </rPr>
      <t>衍生性金融商品</t>
    </r>
    <phoneticPr fontId="26" type="noConversion"/>
  </si>
  <si>
    <r>
      <t xml:space="preserve">1c.2.1 </t>
    </r>
    <r>
      <rPr>
        <sz val="12"/>
        <rFont val="標楷體"/>
        <family val="4"/>
        <charset val="136"/>
      </rPr>
      <t>以避險為目的</t>
    </r>
    <phoneticPr fontId="26" type="noConversion"/>
  </si>
  <si>
    <r>
      <rPr>
        <sz val="12"/>
        <rFont val="標楷體"/>
        <family val="4"/>
        <charset val="136"/>
      </rPr>
      <t>若投資受益憑證且該標的已經信用評等機構評定達一定程度以上者，公司可提供該項信評資料，以作為係數上扣減之憑據，但不包括以</t>
    </r>
    <r>
      <rPr>
        <sz val="12"/>
        <rFont val="Times New Roman"/>
        <family val="1"/>
      </rPr>
      <t>β</t>
    </r>
    <r>
      <rPr>
        <sz val="12"/>
        <rFont val="標楷體"/>
        <family val="4"/>
        <charset val="136"/>
      </rPr>
      <t>值計算係數之受益憑證。</t>
    </r>
    <phoneticPr fontId="26" type="noConversion"/>
  </si>
  <si>
    <t>本項資料來源因公司投資不動產筆數多寡而使列號變更，請依其投資筆數酌予修正資料來源列號。</t>
    <phoneticPr fontId="26" type="noConversion"/>
  </si>
  <si>
    <r>
      <rPr>
        <sz val="12"/>
        <rFont val="標楷體"/>
        <family val="4"/>
        <charset val="136"/>
      </rPr>
      <t>本項專案運用、公共及社會福利事業與其他主管機關核准項目含政策性、創業投資及公共投資及</t>
    </r>
    <r>
      <rPr>
        <sz val="12"/>
        <rFont val="Times New Roman"/>
        <family val="1"/>
      </rPr>
      <t>5+2</t>
    </r>
    <r>
      <rPr>
        <sz val="12"/>
        <rFont val="標楷體"/>
        <family val="4"/>
        <charset val="136"/>
      </rPr>
      <t>產業部分，其他專案運用公共及社會福利事業投資依其投資類別歸類於各項資產中。公共投資及</t>
    </r>
    <r>
      <rPr>
        <sz val="12"/>
        <rFont val="Times New Roman"/>
        <family val="1"/>
      </rPr>
      <t>5+2</t>
    </r>
    <r>
      <rPr>
        <sz val="12"/>
        <rFont val="標楷體"/>
        <family val="4"/>
        <charset val="136"/>
      </rPr>
      <t>產業係指依「保險業資金辦理專案運用</t>
    </r>
    <phoneticPr fontId="26" type="noConversion"/>
  </si>
  <si>
    <r>
      <rPr>
        <sz val="12"/>
        <rFont val="標楷體"/>
        <family val="4"/>
        <charset val="136"/>
      </rPr>
      <t>公共及社會福利事業投資管理辦法」第</t>
    </r>
    <r>
      <rPr>
        <sz val="12"/>
        <rFont val="Times New Roman"/>
        <family val="1"/>
      </rPr>
      <t>5</t>
    </r>
    <r>
      <rPr>
        <sz val="12"/>
        <rFont val="標楷體"/>
        <family val="4"/>
        <charset val="136"/>
      </rPr>
      <t>條第</t>
    </r>
    <r>
      <rPr>
        <sz val="12"/>
        <rFont val="Times New Roman"/>
        <family val="1"/>
      </rPr>
      <t>2</t>
    </r>
    <r>
      <rPr>
        <sz val="12"/>
        <rFont val="標楷體"/>
        <family val="4"/>
        <charset val="136"/>
      </rPr>
      <t>項第</t>
    </r>
    <r>
      <rPr>
        <sz val="12"/>
        <rFont val="Times New Roman"/>
        <family val="1"/>
      </rPr>
      <t>3</t>
    </r>
    <r>
      <rPr>
        <sz val="12"/>
        <rFont val="標楷體"/>
        <family val="4"/>
        <charset val="136"/>
      </rPr>
      <t>款投資國家級投資公司、證投信及證券商轉投資子公司擔任普通合夥人設立之國內私募股權基金並投資於公共投資及金管保財字第</t>
    </r>
    <r>
      <rPr>
        <sz val="12"/>
        <rFont val="Times New Roman"/>
        <family val="1"/>
      </rPr>
      <t>10610908021</t>
    </r>
    <r>
      <rPr>
        <sz val="12"/>
        <rFont val="標楷體"/>
        <family val="4"/>
        <charset val="136"/>
      </rPr>
      <t>號令第一點各款所列事項。</t>
    </r>
    <phoneticPr fontId="26" type="noConversion"/>
  </si>
  <si>
    <t>新興市場所發行之公債，其等級係依照其國家主權評等與債券評等等級取較低者為準，並按評等等級所對應之數值作為風險係數。</t>
    <phoneticPr fontId="26" type="noConversion"/>
  </si>
  <si>
    <r>
      <rPr>
        <sz val="12"/>
        <rFont val="標楷體"/>
        <family val="4"/>
        <charset val="136"/>
      </rPr>
      <t>對於因從事國外投資所進行之避險行為，除匯率相關</t>
    </r>
    <r>
      <rPr>
        <sz val="12"/>
        <rFont val="Times New Roman"/>
        <family val="1"/>
      </rPr>
      <t>(</t>
    </r>
    <r>
      <rPr>
        <sz val="12"/>
        <rFont val="標楷體"/>
        <family val="4"/>
        <charset val="136"/>
      </rPr>
      <t>標準避險</t>
    </r>
    <r>
      <rPr>
        <sz val="12"/>
        <rFont val="Times New Roman"/>
        <family val="1"/>
      </rPr>
      <t>)</t>
    </r>
    <r>
      <rPr>
        <sz val="12"/>
        <rFont val="標楷體"/>
        <family val="4"/>
        <charset val="136"/>
      </rPr>
      <t>外，暫不作風險資本額之扣抵，本項僅列示從事衍生性金融商品之部位金額。</t>
    </r>
    <phoneticPr fontId="26" type="noConversion"/>
  </si>
  <si>
    <t>本列所述之資料來源說明中，若風險資本額另由計算表計算而得者，係指風險資本額之連結欄位。</t>
    <phoneticPr fontId="26" type="noConversion"/>
  </si>
  <si>
    <t>風險項目</t>
  </si>
  <si>
    <t>資料來源(註6)</t>
  </si>
  <si>
    <t>(1)</t>
    <phoneticPr fontId="26" type="noConversion"/>
  </si>
  <si>
    <r>
      <t xml:space="preserve">1.2.1.1 </t>
    </r>
    <r>
      <rPr>
        <sz val="12"/>
        <rFont val="標楷體"/>
        <family val="4"/>
        <charset val="136"/>
      </rPr>
      <t>公債及國庫券</t>
    </r>
    <phoneticPr fontId="26" type="noConversion"/>
  </si>
  <si>
    <r>
      <t xml:space="preserve">1.2.1.2.2 </t>
    </r>
    <r>
      <rPr>
        <sz val="12"/>
        <rFont val="標楷體"/>
        <family val="4"/>
        <charset val="136"/>
      </rPr>
      <t>非「屬保險業實質互相投資之具資本性質債券」</t>
    </r>
    <phoneticPr fontId="26" type="noConversion"/>
  </si>
  <si>
    <r>
      <t xml:space="preserve">1.2.1.2.2.2 </t>
    </r>
    <r>
      <rPr>
        <sz val="12"/>
        <rFont val="標楷體"/>
        <family val="4"/>
        <charset val="136"/>
      </rPr>
      <t>無評等公司債但提供保證的機構有評等</t>
    </r>
    <phoneticPr fontId="26" type="noConversion"/>
  </si>
  <si>
    <r>
      <t xml:space="preserve">1.2.1.2.2.3 </t>
    </r>
    <r>
      <rPr>
        <sz val="12"/>
        <rFont val="標楷體"/>
        <family val="4"/>
        <charset val="136"/>
      </rPr>
      <t>可轉換公司債及附認股權公司債</t>
    </r>
    <phoneticPr fontId="26" type="noConversion"/>
  </si>
  <si>
    <r>
      <t xml:space="preserve">1.2.3.1 </t>
    </r>
    <r>
      <rPr>
        <sz val="12"/>
        <rFont val="標楷體"/>
        <family val="4"/>
        <charset val="136"/>
      </rPr>
      <t>上市普通股</t>
    </r>
    <phoneticPr fontId="26" type="noConversion"/>
  </si>
  <si>
    <r>
      <t xml:space="preserve">1.2.3.1.1 </t>
    </r>
    <r>
      <rPr>
        <sz val="12"/>
        <rFont val="標楷體"/>
        <family val="4"/>
        <charset val="136"/>
      </rPr>
      <t>擔任被投資公司之董監事</t>
    </r>
    <phoneticPr fontId="26" type="noConversion"/>
  </si>
  <si>
    <r>
      <t xml:space="preserve">1.2.3.1.2 </t>
    </r>
    <r>
      <rPr>
        <sz val="12"/>
        <rFont val="標楷體"/>
        <family val="4"/>
        <charset val="136"/>
      </rPr>
      <t>未擔任被投資公司之董監事</t>
    </r>
    <phoneticPr fontId="26" type="noConversion"/>
  </si>
  <si>
    <r>
      <t xml:space="preserve">1.2.3.2.1 </t>
    </r>
    <r>
      <rPr>
        <sz val="12"/>
        <rFont val="標楷體"/>
        <family val="4"/>
        <charset val="136"/>
      </rPr>
      <t>擔任被投資公司之董監事</t>
    </r>
    <phoneticPr fontId="26" type="noConversion"/>
  </si>
  <si>
    <r>
      <t xml:space="preserve">1.2.3.2.2 </t>
    </r>
    <r>
      <rPr>
        <sz val="12"/>
        <rFont val="標楷體"/>
        <family val="4"/>
        <charset val="136"/>
      </rPr>
      <t>未擔任被投資公司之董監事</t>
    </r>
    <phoneticPr fontId="26" type="noConversion"/>
  </si>
  <si>
    <r>
      <t xml:space="preserve">1.2.3.4.2 </t>
    </r>
    <r>
      <rPr>
        <sz val="12"/>
        <rFont val="標楷體"/>
        <family val="4"/>
        <charset val="136"/>
      </rPr>
      <t>非「屬保險業實質互相投資之負債型特別股」</t>
    </r>
    <phoneticPr fontId="26" type="noConversion"/>
  </si>
  <si>
    <r>
      <t xml:space="preserve">1.2.3.4.2.1 </t>
    </r>
    <r>
      <rPr>
        <sz val="12"/>
        <rFont val="標楷體"/>
        <family val="4"/>
        <charset val="136"/>
      </rPr>
      <t>固定收益特別股</t>
    </r>
    <phoneticPr fontId="26" type="noConversion"/>
  </si>
  <si>
    <t>1.2.6 ETN</t>
    <phoneticPr fontId="26" type="noConversion"/>
  </si>
  <si>
    <r>
      <t xml:space="preserve">1.3.1.1 </t>
    </r>
    <r>
      <rPr>
        <sz val="12"/>
        <rFont val="標楷體"/>
        <family val="4"/>
        <charset val="136"/>
      </rPr>
      <t>不動產投資</t>
    </r>
    <phoneticPr fontId="26" type="noConversion"/>
  </si>
  <si>
    <r>
      <t xml:space="preserve">1.3.1.2.1.1 </t>
    </r>
    <r>
      <rPr>
        <sz val="12"/>
        <rFont val="標楷體"/>
        <family val="4"/>
        <charset val="136"/>
      </rPr>
      <t>協議取得</t>
    </r>
    <r>
      <rPr>
        <sz val="12"/>
        <rFont val="Times New Roman"/>
        <family val="1"/>
      </rPr>
      <t>(</t>
    </r>
    <r>
      <rPr>
        <sz val="12"/>
        <rFont val="標楷體"/>
        <family val="4"/>
        <charset val="136"/>
      </rPr>
      <t>除</t>
    </r>
    <r>
      <rPr>
        <sz val="12"/>
        <rFont val="Times New Roman"/>
        <family val="1"/>
      </rPr>
      <t>1.3.1.2.1.2</t>
    </r>
    <r>
      <rPr>
        <sz val="12"/>
        <rFont val="標楷體"/>
        <family val="4"/>
        <charset val="136"/>
      </rPr>
      <t>外</t>
    </r>
    <r>
      <rPr>
        <sz val="12"/>
        <rFont val="Times New Roman"/>
        <family val="1"/>
      </rPr>
      <t>)</t>
    </r>
    <phoneticPr fontId="26" type="noConversion"/>
  </si>
  <si>
    <r>
      <t xml:space="preserve">1.3.1.2.2 </t>
    </r>
    <r>
      <rPr>
        <sz val="12"/>
        <rFont val="標楷體"/>
        <family val="4"/>
        <charset val="136"/>
      </rPr>
      <t>經法院拍賣取得</t>
    </r>
    <phoneticPr fontId="26" type="noConversion"/>
  </si>
  <si>
    <r>
      <t>1.5.1</t>
    </r>
    <r>
      <rPr>
        <sz val="12"/>
        <rFont val="標楷體"/>
        <family val="4"/>
        <charset val="136"/>
      </rPr>
      <t>專案運用、公共及社會福利事業與其他主管機關核准項目</t>
    </r>
    <r>
      <rPr>
        <sz val="12"/>
        <rFont val="Times New Roman"/>
        <family val="1"/>
      </rPr>
      <t>(</t>
    </r>
    <r>
      <rPr>
        <sz val="12"/>
        <rFont val="標楷體"/>
        <family val="4"/>
        <charset val="136"/>
      </rPr>
      <t>註</t>
    </r>
    <r>
      <rPr>
        <sz val="12"/>
        <rFont val="Times New Roman"/>
        <family val="1"/>
      </rPr>
      <t>3)</t>
    </r>
    <phoneticPr fontId="26" type="noConversion"/>
  </si>
  <si>
    <r>
      <t xml:space="preserve">1.5.2.2 </t>
    </r>
    <r>
      <rPr>
        <sz val="12"/>
        <rFont val="標楷體"/>
        <family val="4"/>
        <charset val="136"/>
      </rPr>
      <t>組合式存款</t>
    </r>
    <phoneticPr fontId="26" type="noConversion"/>
  </si>
  <si>
    <r>
      <t>1.5.2.2.1 "100%"</t>
    </r>
    <r>
      <rPr>
        <sz val="12"/>
        <rFont val="標楷體"/>
        <family val="4"/>
        <charset val="136"/>
      </rPr>
      <t>保本組合式存款</t>
    </r>
    <phoneticPr fontId="29" type="noConversion"/>
  </si>
  <si>
    <r>
      <t xml:space="preserve">1b.1.3 </t>
    </r>
    <r>
      <rPr>
        <sz val="12"/>
        <rFont val="標楷體"/>
        <family val="4"/>
        <charset val="136"/>
      </rPr>
      <t>股票</t>
    </r>
    <phoneticPr fontId="26" type="noConversion"/>
  </si>
  <si>
    <r>
      <t xml:space="preserve">1b.1.3.1 </t>
    </r>
    <r>
      <rPr>
        <sz val="12"/>
        <rFont val="標楷體"/>
        <family val="4"/>
        <charset val="136"/>
      </rPr>
      <t>普通股</t>
    </r>
    <phoneticPr fontId="26" type="noConversion"/>
  </si>
  <si>
    <r>
      <t xml:space="preserve">1b.1.9 ETF - </t>
    </r>
    <r>
      <rPr>
        <sz val="12"/>
        <rFont val="標楷體"/>
        <family val="4"/>
        <charset val="136"/>
      </rPr>
      <t>債券型</t>
    </r>
    <phoneticPr fontId="26" type="noConversion"/>
  </si>
  <si>
    <t>1b.1.11 ETN</t>
    <phoneticPr fontId="26" type="noConversion"/>
  </si>
  <si>
    <r>
      <t xml:space="preserve">1b.2.2.4.1 </t>
    </r>
    <r>
      <rPr>
        <sz val="12"/>
        <rFont val="標楷體"/>
        <family val="4"/>
        <charset val="136"/>
      </rPr>
      <t>有信用評等者</t>
    </r>
    <phoneticPr fontId="26" type="noConversion"/>
  </si>
  <si>
    <r>
      <t xml:space="preserve">1b.2.3.2.1 </t>
    </r>
    <r>
      <rPr>
        <sz val="12"/>
        <rFont val="標楷體"/>
        <family val="4"/>
        <charset val="136"/>
      </rPr>
      <t>固定收益特別股</t>
    </r>
    <phoneticPr fontId="26" type="noConversion"/>
  </si>
  <si>
    <r>
      <t xml:space="preserve">1b.2.3.2.2 </t>
    </r>
    <r>
      <rPr>
        <sz val="12"/>
        <rFont val="標楷體"/>
        <family val="4"/>
        <charset val="136"/>
      </rPr>
      <t>非固定收益特別股</t>
    </r>
    <phoneticPr fontId="26" type="noConversion"/>
  </si>
  <si>
    <r>
      <t xml:space="preserve">1b.2.4 </t>
    </r>
    <r>
      <rPr>
        <sz val="12"/>
        <rFont val="標楷體"/>
        <family val="4"/>
        <charset val="136"/>
      </rPr>
      <t>受益憑證及信託資金</t>
    </r>
    <phoneticPr fontId="26" type="noConversion"/>
  </si>
  <si>
    <r>
      <t xml:space="preserve">1b.2.5.2 </t>
    </r>
    <r>
      <rPr>
        <sz val="12"/>
        <rFont val="標楷體"/>
        <family val="4"/>
        <charset val="136"/>
      </rPr>
      <t>其他放款</t>
    </r>
    <phoneticPr fontId="26" type="noConversion"/>
  </si>
  <si>
    <t>1b.2.11 ETN</t>
    <phoneticPr fontId="26" type="noConversion"/>
  </si>
  <si>
    <r>
      <rPr>
        <sz val="12"/>
        <rFont val="標楷體"/>
        <family val="4"/>
        <charset val="136"/>
      </rPr>
      <t>簽證精算人員查核表格</t>
    </r>
    <phoneticPr fontId="29" type="noConversion"/>
  </si>
  <si>
    <r>
      <rPr>
        <sz val="12"/>
        <rFont val="標楷體"/>
        <family val="4"/>
        <charset val="136"/>
      </rPr>
      <t>電話</t>
    </r>
    <phoneticPr fontId="29" type="noConversion"/>
  </si>
  <si>
    <r>
      <rPr>
        <sz val="12"/>
        <rFont val="標楷體"/>
        <family val="4"/>
        <charset val="136"/>
      </rPr>
      <t>表</t>
    </r>
    <r>
      <rPr>
        <sz val="12"/>
        <rFont val="Times New Roman"/>
        <family val="1"/>
      </rPr>
      <t>01-1</t>
    </r>
    <r>
      <rPr>
        <sz val="12"/>
        <rFont val="標楷體"/>
        <family val="4"/>
        <charset val="136"/>
      </rPr>
      <t>：保險業負責人聲明書</t>
    </r>
  </si>
  <si>
    <r>
      <rPr>
        <sz val="12"/>
        <rFont val="標楷體"/>
        <family val="4"/>
        <charset val="136"/>
      </rPr>
      <t>半年</t>
    </r>
    <phoneticPr fontId="29" type="noConversion"/>
  </si>
  <si>
    <r>
      <rPr>
        <sz val="12"/>
        <rFont val="標楷體"/>
        <family val="4"/>
        <charset val="136"/>
      </rPr>
      <t>否</t>
    </r>
  </si>
  <si>
    <r>
      <rPr>
        <sz val="12"/>
        <rFont val="標楷體"/>
        <family val="4"/>
        <charset val="136"/>
      </rPr>
      <t>是</t>
    </r>
    <phoneticPr fontId="26" type="noConversion"/>
  </si>
  <si>
    <r>
      <rPr>
        <sz val="12"/>
        <rFont val="標楷體"/>
        <family val="4"/>
        <charset val="136"/>
      </rPr>
      <t>表</t>
    </r>
    <r>
      <rPr>
        <sz val="12"/>
        <rFont val="Times New Roman"/>
        <family val="1"/>
      </rPr>
      <t>01-2</t>
    </r>
    <r>
      <rPr>
        <sz val="12"/>
        <rFont val="標楷體"/>
        <family val="4"/>
        <charset val="136"/>
      </rPr>
      <t>：保險業負責人內部控制制度聲明書</t>
    </r>
  </si>
  <si>
    <r>
      <rPr>
        <sz val="12"/>
        <rFont val="標楷體"/>
        <family val="4"/>
        <charset val="136"/>
      </rPr>
      <t>年</t>
    </r>
    <phoneticPr fontId="29" type="noConversion"/>
  </si>
  <si>
    <r>
      <rPr>
        <sz val="12"/>
        <rFont val="標楷體"/>
        <family val="4"/>
        <charset val="136"/>
      </rPr>
      <t>是</t>
    </r>
  </si>
  <si>
    <r>
      <rPr>
        <sz val="12"/>
        <rFont val="標楷體"/>
        <family val="4"/>
        <charset val="136"/>
      </rPr>
      <t>全部</t>
    </r>
  </si>
  <si>
    <r>
      <rPr>
        <sz val="12"/>
        <rFont val="標楷體"/>
        <family val="4"/>
        <charset val="136"/>
      </rPr>
      <t>表</t>
    </r>
    <r>
      <rPr>
        <sz val="12"/>
        <rFont val="Times New Roman"/>
        <family val="1"/>
      </rPr>
      <t>01-3-2</t>
    </r>
    <r>
      <rPr>
        <sz val="12"/>
        <rFont val="標楷體"/>
        <family val="4"/>
        <charset val="136"/>
      </rPr>
      <t>：簽證會計師對資本適足率查核</t>
    </r>
    <r>
      <rPr>
        <sz val="12"/>
        <rFont val="Times New Roman"/>
        <family val="1"/>
      </rPr>
      <t>(</t>
    </r>
    <r>
      <rPr>
        <sz val="12"/>
        <rFont val="標楷體"/>
        <family val="4"/>
        <charset val="136"/>
      </rPr>
      <t>核閱</t>
    </r>
    <r>
      <rPr>
        <sz val="12"/>
        <rFont val="Times New Roman"/>
        <family val="1"/>
      </rPr>
      <t>)</t>
    </r>
    <r>
      <rPr>
        <sz val="12"/>
        <rFont val="標楷體"/>
        <family val="4"/>
        <charset val="136"/>
      </rPr>
      <t>意見書</t>
    </r>
    <r>
      <rPr>
        <sz val="12"/>
        <rFont val="Times New Roman"/>
        <family val="1"/>
      </rPr>
      <t>(</t>
    </r>
    <r>
      <rPr>
        <sz val="12"/>
        <rFont val="標楷體"/>
        <family val="4"/>
        <charset val="136"/>
      </rPr>
      <t>半年報適用</t>
    </r>
    <r>
      <rPr>
        <sz val="12"/>
        <rFont val="Times New Roman"/>
        <family val="1"/>
      </rPr>
      <t>)</t>
    </r>
    <phoneticPr fontId="26" type="noConversion"/>
  </si>
  <si>
    <r>
      <rPr>
        <sz val="12"/>
        <rFont val="標楷體"/>
        <family val="4"/>
        <charset val="136"/>
      </rPr>
      <t>表</t>
    </r>
    <r>
      <rPr>
        <sz val="12"/>
        <rFont val="Times New Roman"/>
        <family val="1"/>
      </rPr>
      <t>01-4-1</t>
    </r>
    <r>
      <rPr>
        <sz val="12"/>
        <rFont val="標楷體"/>
        <family val="4"/>
        <charset val="136"/>
      </rPr>
      <t>：簽證精算人員意見書</t>
    </r>
    <r>
      <rPr>
        <sz val="12"/>
        <rFont val="Times New Roman"/>
        <family val="1"/>
      </rPr>
      <t>(</t>
    </r>
    <r>
      <rPr>
        <sz val="12"/>
        <rFont val="標楷體"/>
        <family val="4"/>
        <charset val="136"/>
      </rPr>
      <t>註</t>
    </r>
    <r>
      <rPr>
        <sz val="12"/>
        <rFont val="Times New Roman"/>
        <family val="1"/>
      </rPr>
      <t>7)</t>
    </r>
    <phoneticPr fontId="26" type="noConversion"/>
  </si>
  <si>
    <r>
      <rPr>
        <sz val="12"/>
        <rFont val="標楷體"/>
        <family val="4"/>
        <charset val="136"/>
      </rPr>
      <t>年</t>
    </r>
    <phoneticPr fontId="26" type="noConversion"/>
  </si>
  <si>
    <r>
      <rPr>
        <sz val="12"/>
        <rFont val="標楷體"/>
        <family val="4"/>
        <charset val="136"/>
      </rPr>
      <t>否</t>
    </r>
    <phoneticPr fontId="26" type="noConversion"/>
  </si>
  <si>
    <r>
      <rPr>
        <sz val="12"/>
        <rFont val="標楷體"/>
        <family val="4"/>
        <charset val="136"/>
      </rPr>
      <t>表</t>
    </r>
    <r>
      <rPr>
        <sz val="12"/>
        <rFont val="Times New Roman"/>
        <family val="1"/>
      </rPr>
      <t>01-4-2</t>
    </r>
    <r>
      <rPr>
        <sz val="12"/>
        <rFont val="標楷體"/>
        <family val="4"/>
        <charset val="136"/>
      </rPr>
      <t>：簽證精算人員查核意見書</t>
    </r>
    <r>
      <rPr>
        <sz val="12"/>
        <rFont val="Times New Roman"/>
        <family val="1"/>
      </rPr>
      <t>(</t>
    </r>
    <r>
      <rPr>
        <sz val="12"/>
        <rFont val="標楷體"/>
        <family val="4"/>
        <charset val="136"/>
      </rPr>
      <t>註</t>
    </r>
    <r>
      <rPr>
        <sz val="12"/>
        <rFont val="Times New Roman"/>
        <family val="1"/>
      </rPr>
      <t>8)</t>
    </r>
    <phoneticPr fontId="26" type="noConversion"/>
  </si>
  <si>
    <r>
      <rPr>
        <sz val="12"/>
        <rFont val="標楷體"/>
        <family val="4"/>
        <charset val="136"/>
      </rPr>
      <t>表</t>
    </r>
    <r>
      <rPr>
        <sz val="12"/>
        <rFont val="Times New Roman"/>
        <family val="1"/>
      </rPr>
      <t>01-5</t>
    </r>
    <r>
      <rPr>
        <sz val="12"/>
        <rFont val="標楷體"/>
        <family val="4"/>
        <charset val="136"/>
      </rPr>
      <t>：簽證精算人員定期參加教育訓練合格證明文件</t>
    </r>
  </si>
  <si>
    <r>
      <rPr>
        <sz val="12"/>
        <rFont val="標楷體"/>
        <family val="4"/>
        <charset val="136"/>
      </rPr>
      <t>表</t>
    </r>
    <r>
      <rPr>
        <sz val="12"/>
        <rFont val="Times New Roman"/>
        <family val="1"/>
      </rPr>
      <t>02-1</t>
    </r>
    <r>
      <rPr>
        <sz val="12"/>
        <rFont val="標楷體"/>
        <family val="4"/>
        <charset val="136"/>
      </rPr>
      <t>：總公司</t>
    </r>
    <r>
      <rPr>
        <sz val="12"/>
        <rFont val="Times New Roman"/>
        <family val="1"/>
      </rPr>
      <t>(</t>
    </r>
    <r>
      <rPr>
        <sz val="12"/>
        <rFont val="標楷體"/>
        <family val="4"/>
        <charset val="136"/>
      </rPr>
      <t>機構</t>
    </r>
    <r>
      <rPr>
        <sz val="12"/>
        <rFont val="Times New Roman"/>
        <family val="1"/>
      </rPr>
      <t>)</t>
    </r>
    <r>
      <rPr>
        <sz val="12"/>
        <rFont val="標楷體"/>
        <family val="4"/>
        <charset val="136"/>
      </rPr>
      <t>基本資料概況表</t>
    </r>
  </si>
  <si>
    <r>
      <rPr>
        <sz val="12"/>
        <rFont val="標楷體"/>
        <family val="4"/>
        <charset val="136"/>
      </rPr>
      <t>年</t>
    </r>
  </si>
  <si>
    <r>
      <rPr>
        <sz val="12"/>
        <rFont val="標楷體"/>
        <family val="4"/>
        <charset val="136"/>
      </rPr>
      <t>表</t>
    </r>
    <r>
      <rPr>
        <sz val="12"/>
        <rFont val="Times New Roman"/>
        <family val="1"/>
      </rPr>
      <t>02-2</t>
    </r>
    <r>
      <rPr>
        <sz val="12"/>
        <rFont val="標楷體"/>
        <family val="4"/>
        <charset val="136"/>
      </rPr>
      <t>：總公司</t>
    </r>
    <r>
      <rPr>
        <sz val="12"/>
        <rFont val="Times New Roman"/>
        <family val="1"/>
      </rPr>
      <t>(</t>
    </r>
    <r>
      <rPr>
        <sz val="12"/>
        <rFont val="標楷體"/>
        <family val="4"/>
        <charset val="136"/>
      </rPr>
      <t>機構</t>
    </r>
    <r>
      <rPr>
        <sz val="12"/>
        <rFont val="Times New Roman"/>
        <family val="1"/>
      </rPr>
      <t>)</t>
    </r>
    <r>
      <rPr>
        <sz val="12"/>
        <rFont val="標楷體"/>
        <family val="4"/>
        <charset val="136"/>
      </rPr>
      <t>負責人明細表</t>
    </r>
  </si>
  <si>
    <r>
      <rPr>
        <sz val="12"/>
        <rFont val="標楷體"/>
        <family val="4"/>
        <charset val="136"/>
      </rPr>
      <t>表</t>
    </r>
    <r>
      <rPr>
        <sz val="12"/>
        <rFont val="Times New Roman"/>
        <family val="1"/>
      </rPr>
      <t>02-3</t>
    </r>
    <r>
      <rPr>
        <sz val="12"/>
        <rFont val="標楷體"/>
        <family val="4"/>
        <charset val="136"/>
      </rPr>
      <t>：分支機構及其負責人明細表</t>
    </r>
  </si>
  <si>
    <r>
      <rPr>
        <sz val="12"/>
        <rFont val="標楷體"/>
        <family val="4"/>
        <charset val="136"/>
      </rPr>
      <t>表</t>
    </r>
    <r>
      <rPr>
        <sz val="12"/>
        <rFont val="Times New Roman"/>
        <family val="1"/>
      </rPr>
      <t>02-4</t>
    </r>
    <r>
      <rPr>
        <sz val="12"/>
        <rFont val="標楷體"/>
        <family val="4"/>
        <charset val="136"/>
      </rPr>
      <t>：專業人員明細表</t>
    </r>
  </si>
  <si>
    <r>
      <rPr>
        <sz val="12"/>
        <rFont val="標楷體"/>
        <family val="4"/>
        <charset val="136"/>
      </rPr>
      <t>表</t>
    </r>
    <r>
      <rPr>
        <sz val="12"/>
        <rFont val="Times New Roman"/>
        <family val="1"/>
      </rPr>
      <t>02-5</t>
    </r>
    <r>
      <rPr>
        <sz val="12"/>
        <rFont val="標楷體"/>
        <family val="4"/>
        <charset val="136"/>
      </rPr>
      <t>：重要負責人薪津及各項津貼明細表</t>
    </r>
  </si>
  <si>
    <r>
      <rPr>
        <sz val="12"/>
        <rFont val="標楷體"/>
        <family val="4"/>
        <charset val="136"/>
      </rPr>
      <t>表</t>
    </r>
    <r>
      <rPr>
        <sz val="12"/>
        <rFont val="Times New Roman"/>
        <family val="1"/>
      </rPr>
      <t>02-6</t>
    </r>
    <r>
      <rPr>
        <sz val="12"/>
        <rFont val="標楷體"/>
        <family val="4"/>
        <charset val="136"/>
      </rPr>
      <t>：業主明細表</t>
    </r>
  </si>
  <si>
    <r>
      <rPr>
        <sz val="12"/>
        <rFont val="標楷體"/>
        <family val="4"/>
        <charset val="136"/>
      </rPr>
      <t>否</t>
    </r>
    <phoneticPr fontId="29" type="noConversion"/>
  </si>
  <si>
    <r>
      <rPr>
        <sz val="12"/>
        <rFont val="標楷體"/>
        <family val="4"/>
        <charset val="136"/>
      </rPr>
      <t>表</t>
    </r>
    <r>
      <rPr>
        <sz val="12"/>
        <rFont val="Times New Roman"/>
        <family val="1"/>
      </rPr>
      <t>03</t>
    </r>
    <r>
      <rPr>
        <sz val="12"/>
        <rFont val="標楷體"/>
        <family val="4"/>
        <charset val="136"/>
      </rPr>
      <t>：資產負債表</t>
    </r>
  </si>
  <si>
    <r>
      <rPr>
        <sz val="12"/>
        <rFont val="標楷體"/>
        <family val="4"/>
        <charset val="136"/>
      </rPr>
      <t>表</t>
    </r>
    <r>
      <rPr>
        <sz val="12"/>
        <rFont val="Times New Roman"/>
        <family val="1"/>
      </rPr>
      <t>05-1</t>
    </r>
    <r>
      <rPr>
        <sz val="12"/>
        <rFont val="標楷體"/>
        <family val="4"/>
        <charset val="136"/>
      </rPr>
      <t>：資金運用表</t>
    </r>
  </si>
  <si>
    <r>
      <rPr>
        <sz val="12"/>
        <rFont val="標楷體"/>
        <family val="4"/>
        <charset val="136"/>
      </rPr>
      <t>表</t>
    </r>
    <r>
      <rPr>
        <sz val="12"/>
        <rFont val="Times New Roman"/>
        <family val="1"/>
      </rPr>
      <t>05-2</t>
    </r>
    <r>
      <rPr>
        <sz val="12"/>
        <rFont val="標楷體"/>
        <family val="4"/>
        <charset val="136"/>
      </rPr>
      <t>：資產負債表與資金運用表之調節表</t>
    </r>
  </si>
  <si>
    <r>
      <rPr>
        <sz val="12"/>
        <rFont val="標楷體"/>
        <family val="4"/>
        <charset val="136"/>
      </rPr>
      <t>是</t>
    </r>
    <phoneticPr fontId="29" type="noConversion"/>
  </si>
  <si>
    <r>
      <rPr>
        <sz val="12"/>
        <rFont val="標楷體"/>
        <family val="4"/>
        <charset val="136"/>
      </rPr>
      <t>全部</t>
    </r>
    <phoneticPr fontId="29" type="noConversion"/>
  </si>
  <si>
    <r>
      <rPr>
        <sz val="12"/>
        <rFont val="標楷體"/>
        <family val="4"/>
        <charset val="136"/>
      </rPr>
      <t>表</t>
    </r>
    <r>
      <rPr>
        <sz val="12"/>
        <rFont val="Times New Roman"/>
        <family val="1"/>
      </rPr>
      <t>06</t>
    </r>
    <r>
      <rPr>
        <sz val="12"/>
        <rFont val="標楷體"/>
        <family val="4"/>
        <charset val="136"/>
      </rPr>
      <t>：資金運用收益表</t>
    </r>
  </si>
  <si>
    <r>
      <rPr>
        <sz val="12"/>
        <rFont val="標楷體"/>
        <family val="4"/>
        <charset val="136"/>
      </rPr>
      <t>表</t>
    </r>
    <r>
      <rPr>
        <sz val="12"/>
        <rFont val="Times New Roman"/>
        <family val="1"/>
      </rPr>
      <t>07-1</t>
    </r>
    <r>
      <rPr>
        <sz val="12"/>
        <rFont val="標楷體"/>
        <family val="4"/>
        <charset val="136"/>
      </rPr>
      <t>：存款餘額明細表</t>
    </r>
  </si>
  <si>
    <r>
      <t>(2)(5)(7)(10)-(12)</t>
    </r>
    <r>
      <rPr>
        <sz val="12"/>
        <rFont val="標楷體"/>
        <family val="4"/>
        <charset val="136"/>
      </rPr>
      <t>欄</t>
    </r>
  </si>
  <si>
    <r>
      <rPr>
        <sz val="12"/>
        <rFont val="標楷體"/>
        <family val="4"/>
        <charset val="136"/>
      </rPr>
      <t>表</t>
    </r>
    <r>
      <rPr>
        <sz val="12"/>
        <rFont val="Times New Roman"/>
        <family val="1"/>
      </rPr>
      <t>07-2</t>
    </r>
    <r>
      <rPr>
        <sz val="12"/>
        <rFont val="標楷體"/>
        <family val="4"/>
        <charset val="136"/>
      </rPr>
      <t>：存款餘額明細表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</si>
  <si>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08-1</t>
    </r>
    <r>
      <rPr>
        <sz val="12"/>
        <rFont val="標楷體"/>
        <family val="4"/>
        <charset val="136"/>
      </rPr>
      <t>：政府公債國庫券餘額明細表</t>
    </r>
    <phoneticPr fontId="26" type="noConversion"/>
  </si>
  <si>
    <r>
      <rPr>
        <sz val="12"/>
        <rFont val="標楷體"/>
        <family val="4"/>
        <charset val="136"/>
      </rPr>
      <t>表</t>
    </r>
    <r>
      <rPr>
        <sz val="12"/>
        <rFont val="Times New Roman"/>
        <family val="1"/>
      </rPr>
      <t>10-1</t>
    </r>
    <r>
      <rPr>
        <sz val="12"/>
        <rFont val="標楷體"/>
        <family val="4"/>
        <charset val="136"/>
      </rPr>
      <t>：股票餘額明細表</t>
    </r>
  </si>
  <si>
    <r>
      <rPr>
        <sz val="12"/>
        <rFont val="標楷體"/>
        <family val="4"/>
        <charset val="136"/>
      </rPr>
      <t>表</t>
    </r>
    <r>
      <rPr>
        <sz val="12"/>
        <rFont val="Times New Roman"/>
        <family val="1"/>
      </rPr>
      <t>10-2</t>
    </r>
    <r>
      <rPr>
        <sz val="12"/>
        <rFont val="標楷體"/>
        <family val="4"/>
        <charset val="136"/>
      </rPr>
      <t>：股票餘額明細表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</si>
  <si>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11-1</t>
    </r>
    <r>
      <rPr>
        <sz val="12"/>
        <rFont val="標楷體"/>
        <family val="4"/>
        <charset val="136"/>
      </rPr>
      <t>：公司債餘額明細表</t>
    </r>
  </si>
  <si>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</si>
  <si>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12-3</t>
    </r>
    <r>
      <rPr>
        <sz val="12"/>
        <rFont val="標楷體"/>
        <family val="4"/>
        <charset val="136"/>
      </rPr>
      <t>：出售或滿期有價證券明細表</t>
    </r>
  </si>
  <si>
    <r>
      <rPr>
        <sz val="12"/>
        <rFont val="標楷體"/>
        <family val="4"/>
        <charset val="136"/>
      </rPr>
      <t>表</t>
    </r>
    <r>
      <rPr>
        <sz val="12"/>
        <rFont val="Times New Roman"/>
        <family val="1"/>
      </rPr>
      <t>12-4</t>
    </r>
    <r>
      <rPr>
        <sz val="12"/>
        <rFont val="標楷體"/>
        <family val="4"/>
        <charset val="136"/>
      </rPr>
      <t>：出售或滿期有價證券明細表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</si>
  <si>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13-1</t>
    </r>
    <r>
      <rPr>
        <sz val="12"/>
        <rFont val="標楷體"/>
        <family val="4"/>
        <charset val="136"/>
      </rPr>
      <t>：不動產餘額明細表</t>
    </r>
  </si>
  <si>
    <r>
      <rPr>
        <sz val="12"/>
        <rFont val="標楷體"/>
        <family val="4"/>
        <charset val="136"/>
      </rPr>
      <t>免查</t>
    </r>
    <r>
      <rPr>
        <sz val="12"/>
        <rFont val="Times New Roman"/>
        <family val="1"/>
      </rPr>
      <t>(4)</t>
    </r>
    <r>
      <rPr>
        <sz val="12"/>
        <rFont val="標楷體"/>
        <family val="4"/>
        <charset val="136"/>
      </rPr>
      <t>欄</t>
    </r>
  </si>
  <si>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</si>
  <si>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13-3</t>
    </r>
    <r>
      <rPr>
        <sz val="12"/>
        <rFont val="標楷體"/>
        <family val="4"/>
        <charset val="136"/>
      </rPr>
      <t>：出售不動產明細表</t>
    </r>
  </si>
  <si>
    <r>
      <rPr>
        <sz val="12"/>
        <rFont val="標楷體"/>
        <family val="4"/>
        <charset val="136"/>
      </rPr>
      <t>免查</t>
    </r>
    <r>
      <rPr>
        <sz val="12"/>
        <rFont val="Times New Roman"/>
        <family val="1"/>
      </rPr>
      <t>(3)</t>
    </r>
    <r>
      <rPr>
        <sz val="12"/>
        <rFont val="標楷體"/>
        <family val="4"/>
        <charset val="136"/>
      </rPr>
      <t>欄</t>
    </r>
  </si>
  <si>
    <r>
      <rPr>
        <sz val="12"/>
        <rFont val="標楷體"/>
        <family val="4"/>
        <charset val="136"/>
      </rPr>
      <t>表</t>
    </r>
    <r>
      <rPr>
        <sz val="12"/>
        <rFont val="Times New Roman"/>
        <family val="1"/>
      </rPr>
      <t>13-4</t>
    </r>
    <r>
      <rPr>
        <sz val="12"/>
        <rFont val="標楷體"/>
        <family val="4"/>
        <charset val="136"/>
      </rPr>
      <t>：國外及大陸地區不動產投資情形明細表</t>
    </r>
    <phoneticPr fontId="26" type="noConversion"/>
  </si>
  <si>
    <r>
      <rPr>
        <sz val="12"/>
        <rFont val="標楷體"/>
        <family val="4"/>
        <charset val="136"/>
      </rPr>
      <t>表</t>
    </r>
    <r>
      <rPr>
        <sz val="12"/>
        <rFont val="Times New Roman"/>
        <family val="1"/>
      </rPr>
      <t>14-1</t>
    </r>
    <r>
      <rPr>
        <sz val="12"/>
        <rFont val="標楷體"/>
        <family val="4"/>
        <charset val="136"/>
      </rPr>
      <t>：放款餘額明細表</t>
    </r>
  </si>
  <si>
    <r>
      <rPr>
        <sz val="12"/>
        <rFont val="標楷體"/>
        <family val="4"/>
        <charset val="136"/>
      </rPr>
      <t>表</t>
    </r>
    <r>
      <rPr>
        <sz val="12"/>
        <rFont val="Times New Roman"/>
        <family val="1"/>
      </rPr>
      <t>14-2</t>
    </r>
    <r>
      <rPr>
        <sz val="12"/>
        <rFont val="標楷體"/>
        <family val="4"/>
        <charset val="136"/>
      </rPr>
      <t>：放款餘額明細表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</si>
  <si>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列</t>
    </r>
    <r>
      <rPr>
        <sz val="12"/>
        <rFont val="Times New Roman"/>
        <family val="1"/>
      </rPr>
      <t>(18)-(78)</t>
    </r>
    <r>
      <rPr>
        <sz val="12"/>
        <rFont val="標楷體"/>
        <family val="4"/>
        <charset val="136"/>
      </rPr>
      <t>及附表列</t>
    </r>
    <r>
      <rPr>
        <sz val="12"/>
        <rFont val="Times New Roman"/>
        <family val="1"/>
      </rPr>
      <t>(1)-(6)</t>
    </r>
  </si>
  <si>
    <r>
      <rPr>
        <sz val="12"/>
        <rFont val="標楷體"/>
        <family val="4"/>
        <charset val="136"/>
      </rPr>
      <t>表</t>
    </r>
    <r>
      <rPr>
        <sz val="12"/>
        <rFont val="Times New Roman"/>
        <family val="1"/>
      </rPr>
      <t>14-3</t>
    </r>
    <r>
      <rPr>
        <sz val="12"/>
        <rFont val="標楷體"/>
        <family val="4"/>
        <charset val="136"/>
      </rPr>
      <t>：收回放款明細表</t>
    </r>
  </si>
  <si>
    <r>
      <rPr>
        <sz val="12"/>
        <rFont val="標楷體"/>
        <family val="4"/>
        <charset val="136"/>
      </rPr>
      <t>表</t>
    </r>
    <r>
      <rPr>
        <sz val="12"/>
        <rFont val="Times New Roman"/>
        <family val="1"/>
      </rPr>
      <t>14-5</t>
    </r>
    <r>
      <rPr>
        <sz val="12"/>
        <rFont val="標楷體"/>
        <family val="4"/>
        <charset val="136"/>
      </rPr>
      <t>：逾期放款及其他應收款項逾期債權轉銷表</t>
    </r>
    <phoneticPr fontId="26" type="noConversion"/>
  </si>
  <si>
    <r>
      <rPr>
        <sz val="12"/>
        <rFont val="標楷體"/>
        <family val="4"/>
        <charset val="136"/>
      </rPr>
      <t>表</t>
    </r>
    <r>
      <rPr>
        <sz val="12"/>
        <rFont val="Times New Roman"/>
        <family val="1"/>
      </rPr>
      <t>16-1-1</t>
    </r>
    <r>
      <rPr>
        <sz val="12"/>
        <rFont val="標楷體"/>
        <family val="4"/>
        <charset val="136"/>
      </rPr>
      <t>：衍生性商品餘額明細表</t>
    </r>
    <r>
      <rPr>
        <sz val="12"/>
        <rFont val="Times New Roman"/>
        <family val="1"/>
      </rPr>
      <t>--</t>
    </r>
    <r>
      <rPr>
        <sz val="12"/>
        <rFont val="標楷體"/>
        <family val="4"/>
        <charset val="136"/>
      </rPr>
      <t>期貨與遠期契約</t>
    </r>
    <phoneticPr fontId="26" type="noConversion"/>
  </si>
  <si>
    <r>
      <t>(7)-(23)</t>
    </r>
    <r>
      <rPr>
        <sz val="12"/>
        <rFont val="標楷體"/>
        <family val="4"/>
        <charset val="136"/>
      </rPr>
      <t>欄</t>
    </r>
    <phoneticPr fontId="29" type="noConversion"/>
  </si>
  <si>
    <r>
      <rPr>
        <sz val="12"/>
        <rFont val="標楷體"/>
        <family val="4"/>
        <charset val="136"/>
      </rPr>
      <t>表</t>
    </r>
    <r>
      <rPr>
        <sz val="12"/>
        <rFont val="Times New Roman"/>
        <family val="1"/>
      </rPr>
      <t>16-1-5</t>
    </r>
    <r>
      <rPr>
        <sz val="12"/>
        <rFont val="標楷體"/>
        <family val="4"/>
        <charset val="136"/>
      </rPr>
      <t>：衍生性商品餘額明細表</t>
    </r>
    <r>
      <rPr>
        <sz val="12"/>
        <rFont val="Times New Roman"/>
        <family val="1"/>
      </rPr>
      <t>--</t>
    </r>
    <r>
      <rPr>
        <sz val="12"/>
        <rFont val="標楷體"/>
        <family val="4"/>
        <charset val="136"/>
      </rPr>
      <t>其他衍生性商品</t>
    </r>
    <phoneticPr fontId="26" type="noConversion"/>
  </si>
  <si>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t>
    </r>
    <phoneticPr fontId="26" type="noConversion"/>
  </si>
  <si>
    <r>
      <rPr>
        <sz val="12"/>
        <rFont val="標楷體"/>
        <family val="4"/>
        <charset val="136"/>
      </rPr>
      <t>表</t>
    </r>
    <r>
      <rPr>
        <sz val="12"/>
        <rFont val="Times New Roman"/>
        <family val="1"/>
      </rPr>
      <t>17</t>
    </r>
    <r>
      <rPr>
        <sz val="12"/>
        <rFont val="標楷體"/>
        <family val="4"/>
        <charset val="136"/>
      </rPr>
      <t>：委外操作資產餘額明細表</t>
    </r>
  </si>
  <si>
    <r>
      <rPr>
        <sz val="12"/>
        <rFont val="標楷體"/>
        <family val="4"/>
        <charset val="136"/>
      </rPr>
      <t>免查</t>
    </r>
    <r>
      <rPr>
        <sz val="12"/>
        <rFont val="Times New Roman"/>
        <family val="1"/>
      </rPr>
      <t>(1)(3)-(5)(7)-(8)</t>
    </r>
    <r>
      <rPr>
        <sz val="12"/>
        <rFont val="標楷體"/>
        <family val="4"/>
        <charset val="136"/>
      </rPr>
      <t>欄</t>
    </r>
  </si>
  <si>
    <r>
      <rPr>
        <sz val="12"/>
        <rFont val="標楷體"/>
        <family val="4"/>
        <charset val="136"/>
      </rPr>
      <t>表</t>
    </r>
    <r>
      <rPr>
        <sz val="12"/>
        <rFont val="Times New Roman"/>
        <family val="1"/>
      </rPr>
      <t>19-1-1-1</t>
    </r>
    <r>
      <rPr>
        <sz val="12"/>
        <rFont val="標楷體"/>
        <family val="4"/>
        <charset val="136"/>
      </rPr>
      <t>：再保險人交易明細表</t>
    </r>
    <r>
      <rPr>
        <sz val="12"/>
        <rFont val="Times New Roman"/>
        <family val="1"/>
      </rPr>
      <t>(</t>
    </r>
    <r>
      <rPr>
        <sz val="12"/>
        <rFont val="標楷體"/>
        <family val="4"/>
        <charset val="136"/>
      </rPr>
      <t>財產再保險分入</t>
    </r>
    <r>
      <rPr>
        <sz val="12"/>
        <rFont val="Times New Roman"/>
        <family val="1"/>
      </rPr>
      <t>)</t>
    </r>
  </si>
  <si>
    <r>
      <rPr>
        <sz val="12"/>
        <rFont val="標楷體"/>
        <family val="4"/>
        <charset val="136"/>
      </rPr>
      <t>表</t>
    </r>
    <r>
      <rPr>
        <sz val="12"/>
        <rFont val="Times New Roman"/>
        <family val="1"/>
      </rPr>
      <t>19-1-1-2</t>
    </r>
    <r>
      <rPr>
        <sz val="12"/>
        <rFont val="標楷體"/>
        <family val="4"/>
        <charset val="136"/>
      </rPr>
      <t>：再保險人交易明細表</t>
    </r>
    <r>
      <rPr>
        <sz val="12"/>
        <rFont val="Times New Roman"/>
        <family val="1"/>
      </rPr>
      <t>(</t>
    </r>
    <r>
      <rPr>
        <sz val="12"/>
        <rFont val="標楷體"/>
        <family val="4"/>
        <charset val="136"/>
      </rPr>
      <t>財產再保險分出</t>
    </r>
    <r>
      <rPr>
        <sz val="12"/>
        <rFont val="Times New Roman"/>
        <family val="1"/>
      </rPr>
      <t>)</t>
    </r>
  </si>
  <si>
    <r>
      <rPr>
        <sz val="12"/>
        <rFont val="標楷體"/>
        <family val="4"/>
        <charset val="136"/>
      </rPr>
      <t>表</t>
    </r>
    <r>
      <rPr>
        <sz val="12"/>
        <rFont val="Times New Roman"/>
        <family val="1"/>
      </rPr>
      <t>19-3-1</t>
    </r>
    <r>
      <rPr>
        <sz val="12"/>
        <rFont val="標楷體"/>
        <family val="4"/>
        <charset val="136"/>
      </rPr>
      <t>：未適格再保險準備明細表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</si>
  <si>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19-3-2</t>
    </r>
    <r>
      <rPr>
        <sz val="12"/>
        <rFont val="標楷體"/>
        <family val="4"/>
        <charset val="136"/>
      </rPr>
      <t>：未適格再保險準備明細表</t>
    </r>
    <r>
      <rPr>
        <sz val="12"/>
        <rFont val="Times New Roman"/>
        <family val="1"/>
      </rPr>
      <t>(</t>
    </r>
    <r>
      <rPr>
        <sz val="12"/>
        <rFont val="標楷體"/>
        <family val="4"/>
        <charset val="136"/>
      </rPr>
      <t>人身再保險</t>
    </r>
    <r>
      <rPr>
        <sz val="12"/>
        <rFont val="Times New Roman"/>
        <family val="1"/>
      </rPr>
      <t>)</t>
    </r>
    <phoneticPr fontId="26" type="noConversion"/>
  </si>
  <si>
    <r>
      <rPr>
        <sz val="12"/>
        <rFont val="標楷體"/>
        <family val="4"/>
        <charset val="136"/>
      </rPr>
      <t>表</t>
    </r>
    <r>
      <rPr>
        <sz val="12"/>
        <rFont val="Times New Roman"/>
        <family val="1"/>
      </rPr>
      <t>19-4</t>
    </r>
    <r>
      <rPr>
        <sz val="12"/>
        <rFont val="標楷體"/>
        <family val="4"/>
        <charset val="136"/>
      </rPr>
      <t>：再保險資產－再保人別</t>
    </r>
    <phoneticPr fontId="29" type="noConversion"/>
  </si>
  <si>
    <r>
      <rPr>
        <sz val="12"/>
        <rFont val="標楷體"/>
        <family val="4"/>
        <charset val="136"/>
      </rPr>
      <t>表</t>
    </r>
    <r>
      <rPr>
        <sz val="12"/>
        <rFont val="Times New Roman"/>
        <family val="1"/>
      </rPr>
      <t>19-5</t>
    </r>
    <r>
      <rPr>
        <sz val="12"/>
        <rFont val="標楷體"/>
        <family val="4"/>
        <charset val="136"/>
      </rPr>
      <t>：再保險資產－帳齡分析</t>
    </r>
    <r>
      <rPr>
        <sz val="12"/>
        <rFont val="Times New Roman"/>
        <family val="1"/>
      </rPr>
      <t>(</t>
    </r>
    <r>
      <rPr>
        <sz val="12"/>
        <rFont val="標楷體"/>
        <family val="4"/>
        <charset val="136"/>
      </rPr>
      <t>應攤回再保賠款與給付</t>
    </r>
    <r>
      <rPr>
        <sz val="12"/>
        <rFont val="Times New Roman"/>
        <family val="1"/>
      </rPr>
      <t>)</t>
    </r>
    <phoneticPr fontId="32" type="noConversion"/>
  </si>
  <si>
    <r>
      <rPr>
        <sz val="12"/>
        <rFont val="標楷體"/>
        <family val="4"/>
        <charset val="136"/>
      </rPr>
      <t>表</t>
    </r>
    <r>
      <rPr>
        <sz val="12"/>
        <rFont val="Times New Roman"/>
        <family val="1"/>
      </rPr>
      <t>20-1</t>
    </r>
    <r>
      <rPr>
        <sz val="12"/>
        <rFont val="標楷體"/>
        <family val="4"/>
        <charset val="136"/>
      </rPr>
      <t>：分入再保險業務業績比較分析表</t>
    </r>
    <r>
      <rPr>
        <sz val="12"/>
        <rFont val="Times New Roman"/>
        <family val="1"/>
      </rPr>
      <t>(</t>
    </r>
    <r>
      <rPr>
        <sz val="12"/>
        <rFont val="標楷體"/>
        <family val="4"/>
        <charset val="136"/>
      </rPr>
      <t>財產再保險</t>
    </r>
    <r>
      <rPr>
        <sz val="12"/>
        <rFont val="Times New Roman"/>
        <family val="1"/>
      </rPr>
      <t>)</t>
    </r>
  </si>
  <si>
    <r>
      <t>(41)</t>
    </r>
    <r>
      <rPr>
        <sz val="12"/>
        <rFont val="標楷體"/>
        <family val="4"/>
        <charset val="136"/>
      </rPr>
      <t>列</t>
    </r>
    <phoneticPr fontId="29" type="noConversion"/>
  </si>
  <si>
    <r>
      <t>(15)</t>
    </r>
    <r>
      <rPr>
        <sz val="12"/>
        <rFont val="標楷體"/>
        <family val="4"/>
        <charset val="136"/>
      </rPr>
      <t>列</t>
    </r>
    <phoneticPr fontId="29" type="noConversion"/>
  </si>
  <si>
    <r>
      <rPr>
        <sz val="12"/>
        <rFont val="標楷體"/>
        <family val="4"/>
        <charset val="136"/>
      </rPr>
      <t>表</t>
    </r>
    <r>
      <rPr>
        <sz val="12"/>
        <rFont val="Times New Roman"/>
        <family val="1"/>
      </rPr>
      <t>21-1</t>
    </r>
    <r>
      <rPr>
        <sz val="12"/>
        <rFont val="標楷體"/>
        <family val="4"/>
        <charset val="136"/>
      </rPr>
      <t>：分出再保險業務業績比較分析表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</si>
  <si>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21-2</t>
    </r>
    <r>
      <rPr>
        <sz val="12"/>
        <rFont val="標楷體"/>
        <family val="4"/>
        <charset val="136"/>
      </rPr>
      <t>：分出再保險業務業績比較分析表</t>
    </r>
    <r>
      <rPr>
        <sz val="12"/>
        <rFont val="Times New Roman"/>
        <family val="1"/>
      </rPr>
      <t>(</t>
    </r>
    <r>
      <rPr>
        <sz val="12"/>
        <rFont val="標楷體"/>
        <family val="4"/>
        <charset val="136"/>
      </rPr>
      <t>人身再保險</t>
    </r>
    <r>
      <rPr>
        <sz val="12"/>
        <rFont val="Times New Roman"/>
        <family val="1"/>
      </rPr>
      <t>)</t>
    </r>
  </si>
  <si>
    <r>
      <rPr>
        <sz val="12"/>
        <rFont val="標楷體"/>
        <family val="4"/>
        <charset val="136"/>
      </rPr>
      <t>表</t>
    </r>
    <r>
      <rPr>
        <sz val="12"/>
        <rFont val="Times New Roman"/>
        <family val="1"/>
      </rPr>
      <t>22-1</t>
    </r>
    <r>
      <rPr>
        <sz val="12"/>
        <rFont val="標楷體"/>
        <family val="4"/>
        <charset val="136"/>
      </rPr>
      <t>：自留業務業績比較分析表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</si>
  <si>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22-2</t>
    </r>
    <r>
      <rPr>
        <sz val="12"/>
        <rFont val="標楷體"/>
        <family val="4"/>
        <charset val="136"/>
      </rPr>
      <t>：自留業務業績比較分析表</t>
    </r>
    <r>
      <rPr>
        <sz val="12"/>
        <rFont val="Times New Roman"/>
        <family val="1"/>
      </rPr>
      <t>(</t>
    </r>
    <r>
      <rPr>
        <sz val="12"/>
        <rFont val="標楷體"/>
        <family val="4"/>
        <charset val="136"/>
      </rPr>
      <t>人身再保險</t>
    </r>
    <r>
      <rPr>
        <sz val="12"/>
        <rFont val="Times New Roman"/>
        <family val="1"/>
      </rPr>
      <t>)</t>
    </r>
  </si>
  <si>
    <r>
      <rPr>
        <sz val="12"/>
        <rFont val="標楷體"/>
        <family val="4"/>
        <charset val="136"/>
      </rPr>
      <t>表</t>
    </r>
    <r>
      <rPr>
        <sz val="12"/>
        <rFont val="Times New Roman"/>
        <family val="1"/>
      </rPr>
      <t>22-3</t>
    </r>
    <r>
      <rPr>
        <sz val="12"/>
        <rFont val="標楷體"/>
        <family val="4"/>
        <charset val="136"/>
      </rPr>
      <t>：自留保費明細表</t>
    </r>
    <r>
      <rPr>
        <sz val="12"/>
        <rFont val="Times New Roman"/>
        <family val="1"/>
      </rPr>
      <t>(</t>
    </r>
    <r>
      <rPr>
        <sz val="12"/>
        <rFont val="標楷體"/>
        <family val="4"/>
        <charset val="136"/>
      </rPr>
      <t>財產再保險</t>
    </r>
    <r>
      <rPr>
        <sz val="12"/>
        <rFont val="Times New Roman"/>
        <family val="1"/>
      </rPr>
      <t>)</t>
    </r>
    <phoneticPr fontId="26" type="noConversion"/>
  </si>
  <si>
    <r>
      <rPr>
        <sz val="12"/>
        <rFont val="標楷體"/>
        <family val="4"/>
        <charset val="136"/>
      </rPr>
      <t>表</t>
    </r>
    <r>
      <rPr>
        <sz val="12"/>
        <rFont val="Times New Roman"/>
        <family val="1"/>
      </rPr>
      <t>23-2</t>
    </r>
    <r>
      <rPr>
        <sz val="12"/>
        <rFont val="標楷體"/>
        <family val="4"/>
        <charset val="136"/>
      </rPr>
      <t>：未滿期保費準備金及自留滿期保費計算表</t>
    </r>
    <r>
      <rPr>
        <sz val="12"/>
        <rFont val="Times New Roman"/>
        <family val="1"/>
      </rPr>
      <t>(</t>
    </r>
    <r>
      <rPr>
        <sz val="12"/>
        <rFont val="標楷體"/>
        <family val="4"/>
        <charset val="136"/>
      </rPr>
      <t>人身再保險</t>
    </r>
    <r>
      <rPr>
        <sz val="12"/>
        <rFont val="Times New Roman"/>
        <family val="1"/>
      </rPr>
      <t>)</t>
    </r>
    <phoneticPr fontId="26" type="noConversion"/>
  </si>
  <si>
    <r>
      <rPr>
        <sz val="12"/>
        <rFont val="標楷體"/>
        <family val="4"/>
        <charset val="136"/>
      </rPr>
      <t>表</t>
    </r>
    <r>
      <rPr>
        <sz val="12"/>
        <rFont val="Times New Roman"/>
        <family val="1"/>
      </rPr>
      <t>24-2</t>
    </r>
    <r>
      <rPr>
        <sz val="12"/>
        <rFont val="標楷體"/>
        <family val="4"/>
        <charset val="136"/>
      </rPr>
      <t>：賠款準備金及淨自留滿期賠款計算表</t>
    </r>
    <r>
      <rPr>
        <sz val="12"/>
        <rFont val="Times New Roman"/>
        <family val="1"/>
      </rPr>
      <t>(</t>
    </r>
    <r>
      <rPr>
        <sz val="12"/>
        <rFont val="標楷體"/>
        <family val="4"/>
        <charset val="136"/>
      </rPr>
      <t>人身再保險</t>
    </r>
    <r>
      <rPr>
        <sz val="12"/>
        <rFont val="Times New Roman"/>
        <family val="1"/>
      </rPr>
      <t>)</t>
    </r>
    <phoneticPr fontId="26"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</si>
  <si>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phoneticPr fontId="26" type="noConversion"/>
  </si>
  <si>
    <r>
      <rPr>
        <sz val="12"/>
        <rFont val="標楷體"/>
        <family val="4"/>
        <charset val="136"/>
      </rPr>
      <t>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phoneticPr fontId="26" type="noConversion"/>
  </si>
  <si>
    <r>
      <rPr>
        <sz val="12"/>
        <rFont val="標楷體"/>
        <family val="4"/>
        <charset val="136"/>
      </rPr>
      <t>表</t>
    </r>
    <r>
      <rPr>
        <sz val="12"/>
        <rFont val="Times New Roman"/>
        <family val="1"/>
      </rPr>
      <t>25-3</t>
    </r>
    <r>
      <rPr>
        <sz val="12"/>
        <rFont val="標楷體"/>
        <family val="4"/>
        <charset val="136"/>
      </rPr>
      <t>：帳列負債之特別準備明細表</t>
    </r>
    <phoneticPr fontId="26" type="noConversion"/>
  </si>
  <si>
    <r>
      <rPr>
        <sz val="12"/>
        <rFont val="標楷體"/>
        <family val="4"/>
        <charset val="136"/>
      </rPr>
      <t>表</t>
    </r>
    <r>
      <rPr>
        <sz val="12"/>
        <rFont val="Times New Roman"/>
        <family val="1"/>
      </rPr>
      <t>26-1</t>
    </r>
    <r>
      <rPr>
        <sz val="12"/>
        <rFont val="標楷體"/>
        <family val="4"/>
        <charset val="136"/>
      </rPr>
      <t>：重大已決未決賠案明細表</t>
    </r>
    <r>
      <rPr>
        <sz val="12"/>
        <rFont val="Times New Roman"/>
        <family val="1"/>
      </rPr>
      <t>(</t>
    </r>
    <r>
      <rPr>
        <sz val="12"/>
        <rFont val="標楷體"/>
        <family val="4"/>
        <charset val="136"/>
      </rPr>
      <t>財產再保險</t>
    </r>
    <r>
      <rPr>
        <sz val="12"/>
        <rFont val="Times New Roman"/>
        <family val="1"/>
      </rPr>
      <t>)</t>
    </r>
    <phoneticPr fontId="26" type="noConversion"/>
  </si>
  <si>
    <r>
      <rPr>
        <sz val="12"/>
        <rFont val="標楷體"/>
        <family val="4"/>
        <charset val="136"/>
      </rPr>
      <t>表</t>
    </r>
    <r>
      <rPr>
        <sz val="12"/>
        <rFont val="Times New Roman"/>
        <family val="1"/>
      </rPr>
      <t>26-3</t>
    </r>
    <r>
      <rPr>
        <sz val="12"/>
        <rFont val="標楷體"/>
        <family val="4"/>
        <charset val="136"/>
      </rPr>
      <t>：保費不足準備金明細表</t>
    </r>
    <r>
      <rPr>
        <sz val="12"/>
        <rFont val="Times New Roman"/>
        <family val="1"/>
      </rPr>
      <t>(</t>
    </r>
    <r>
      <rPr>
        <sz val="12"/>
        <rFont val="標楷體"/>
        <family val="4"/>
        <charset val="136"/>
      </rPr>
      <t>財產再保險</t>
    </r>
    <r>
      <rPr>
        <sz val="12"/>
        <rFont val="Times New Roman"/>
        <family val="1"/>
      </rPr>
      <t>)</t>
    </r>
    <phoneticPr fontId="26" type="noConversion"/>
  </si>
  <si>
    <r>
      <rPr>
        <sz val="12"/>
        <rFont val="標楷體"/>
        <family val="4"/>
        <charset val="136"/>
      </rPr>
      <t>表</t>
    </r>
    <r>
      <rPr>
        <sz val="12"/>
        <rFont val="Times New Roman"/>
        <family val="1"/>
      </rPr>
      <t>26-4</t>
    </r>
    <r>
      <rPr>
        <sz val="12"/>
        <rFont val="標楷體"/>
        <family val="4"/>
        <charset val="136"/>
      </rPr>
      <t>：保費不足準備金明細表</t>
    </r>
    <r>
      <rPr>
        <sz val="12"/>
        <rFont val="Times New Roman"/>
        <family val="1"/>
      </rPr>
      <t>(</t>
    </r>
    <r>
      <rPr>
        <sz val="12"/>
        <rFont val="標楷體"/>
        <family val="4"/>
        <charset val="136"/>
      </rPr>
      <t>人身再保險</t>
    </r>
    <r>
      <rPr>
        <sz val="12"/>
        <rFont val="Times New Roman"/>
        <family val="1"/>
      </rPr>
      <t>)</t>
    </r>
    <phoneticPr fontId="26" type="noConversion"/>
  </si>
  <si>
    <r>
      <rPr>
        <sz val="12"/>
        <rFont val="標楷體"/>
        <family val="4"/>
        <charset val="136"/>
      </rPr>
      <t>表</t>
    </r>
    <r>
      <rPr>
        <sz val="12"/>
        <rFont val="Times New Roman"/>
        <family val="1"/>
      </rPr>
      <t>26-5</t>
    </r>
    <r>
      <rPr>
        <sz val="12"/>
        <rFont val="標楷體"/>
        <family val="4"/>
        <charset val="136"/>
      </rPr>
      <t>：住宅地震保險共保分進業務特別準備金計算表</t>
    </r>
    <phoneticPr fontId="26" type="noConversion"/>
  </si>
  <si>
    <r>
      <rPr>
        <sz val="12"/>
        <rFont val="標楷體"/>
        <family val="4"/>
        <charset val="136"/>
      </rPr>
      <t>表</t>
    </r>
    <r>
      <rPr>
        <sz val="12"/>
        <rFont val="Times New Roman"/>
        <family val="1"/>
      </rPr>
      <t>26-6</t>
    </r>
    <r>
      <rPr>
        <sz val="12"/>
        <rFont val="標楷體"/>
        <family val="4"/>
        <charset val="136"/>
      </rPr>
      <t>：負債適足準備明細表</t>
    </r>
    <r>
      <rPr>
        <sz val="12"/>
        <rFont val="Times New Roman"/>
        <family val="1"/>
      </rPr>
      <t>(</t>
    </r>
    <r>
      <rPr>
        <sz val="12"/>
        <rFont val="標楷體"/>
        <family val="4"/>
        <charset val="136"/>
      </rPr>
      <t>財產再保險</t>
    </r>
    <r>
      <rPr>
        <sz val="12"/>
        <rFont val="Times New Roman"/>
        <family val="1"/>
      </rPr>
      <t>)</t>
    </r>
    <phoneticPr fontId="26" type="noConversion"/>
  </si>
  <si>
    <r>
      <rPr>
        <sz val="12"/>
        <rFont val="標楷體"/>
        <family val="4"/>
        <charset val="136"/>
      </rPr>
      <t>表</t>
    </r>
    <r>
      <rPr>
        <sz val="12"/>
        <rFont val="Times New Roman"/>
        <family val="1"/>
      </rPr>
      <t>26-7</t>
    </r>
    <r>
      <rPr>
        <sz val="12"/>
        <rFont val="標楷體"/>
        <family val="4"/>
        <charset val="136"/>
      </rPr>
      <t>：負債適足準備明細表</t>
    </r>
    <r>
      <rPr>
        <sz val="12"/>
        <rFont val="Times New Roman"/>
        <family val="1"/>
      </rPr>
      <t>(</t>
    </r>
    <r>
      <rPr>
        <sz val="12"/>
        <rFont val="標楷體"/>
        <family val="4"/>
        <charset val="136"/>
      </rPr>
      <t>人身再保險</t>
    </r>
    <r>
      <rPr>
        <sz val="12"/>
        <rFont val="Times New Roman"/>
        <family val="1"/>
      </rPr>
      <t>)</t>
    </r>
    <phoneticPr fontId="26" type="noConversion"/>
  </si>
  <si>
    <r>
      <rPr>
        <sz val="12"/>
        <rFont val="標楷體"/>
        <family val="4"/>
        <charset val="136"/>
      </rPr>
      <t>表</t>
    </r>
    <r>
      <rPr>
        <sz val="12"/>
        <rFont val="Times New Roman"/>
        <family val="1"/>
      </rPr>
      <t>26-8</t>
    </r>
    <r>
      <rPr>
        <sz val="12"/>
        <rFont val="標楷體"/>
        <family val="4"/>
        <charset val="136"/>
      </rPr>
      <t>：具金融商品性質之保險契約準備明細表</t>
    </r>
    <r>
      <rPr>
        <sz val="12"/>
        <rFont val="Times New Roman"/>
        <family val="1"/>
      </rPr>
      <t>(</t>
    </r>
    <r>
      <rPr>
        <sz val="12"/>
        <rFont val="標楷體"/>
        <family val="4"/>
        <charset val="136"/>
      </rPr>
      <t>財產再保險</t>
    </r>
    <r>
      <rPr>
        <sz val="12"/>
        <rFont val="Times New Roman"/>
        <family val="1"/>
      </rPr>
      <t>)</t>
    </r>
    <phoneticPr fontId="26" type="noConversion"/>
  </si>
  <si>
    <r>
      <rPr>
        <sz val="12"/>
        <rFont val="標楷體"/>
        <family val="4"/>
        <charset val="136"/>
      </rPr>
      <t>表</t>
    </r>
    <r>
      <rPr>
        <sz val="12"/>
        <rFont val="Times New Roman"/>
        <family val="1"/>
      </rPr>
      <t>26-9</t>
    </r>
    <r>
      <rPr>
        <sz val="12"/>
        <rFont val="標楷體"/>
        <family val="4"/>
        <charset val="136"/>
      </rPr>
      <t>：具金融商品性質之保險契約準備明細表</t>
    </r>
    <r>
      <rPr>
        <sz val="12"/>
        <rFont val="Times New Roman"/>
        <family val="1"/>
      </rPr>
      <t>(</t>
    </r>
    <r>
      <rPr>
        <sz val="12"/>
        <rFont val="標楷體"/>
        <family val="4"/>
        <charset val="136"/>
      </rPr>
      <t>人身再保險</t>
    </r>
    <r>
      <rPr>
        <sz val="12"/>
        <rFont val="Times New Roman"/>
        <family val="1"/>
      </rPr>
      <t>)</t>
    </r>
    <phoneticPr fontId="26" type="noConversion"/>
  </si>
  <si>
    <r>
      <rPr>
        <sz val="12"/>
        <rFont val="標楷體"/>
        <family val="4"/>
        <charset val="136"/>
      </rPr>
      <t>表</t>
    </r>
    <r>
      <rPr>
        <sz val="12"/>
        <rFont val="Times New Roman"/>
        <family val="1"/>
      </rPr>
      <t>28-1-2</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公債</t>
    </r>
    <phoneticPr fontId="26" type="noConversion"/>
  </si>
  <si>
    <r>
      <rPr>
        <sz val="12"/>
        <rFont val="標楷體"/>
        <family val="4"/>
        <charset val="136"/>
      </rPr>
      <t>表</t>
    </r>
    <r>
      <rPr>
        <sz val="12"/>
        <rFont val="Times New Roman"/>
        <family val="1"/>
      </rPr>
      <t>28-1-3</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國庫券</t>
    </r>
    <phoneticPr fontId="26" type="noConversion"/>
  </si>
  <si>
    <r>
      <rPr>
        <sz val="12"/>
        <rFont val="標楷體"/>
        <family val="4"/>
        <charset val="136"/>
      </rPr>
      <t>表</t>
    </r>
    <r>
      <rPr>
        <sz val="12"/>
        <rFont val="Times New Roman"/>
        <family val="1"/>
      </rPr>
      <t>28-2-3</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可轉讓定期存單、銀行承兌匯票、金融機構保證商業本票及附買回公債</t>
    </r>
    <phoneticPr fontId="26" type="noConversion"/>
  </si>
  <si>
    <r>
      <rPr>
        <sz val="12"/>
        <rFont val="標楷體"/>
        <family val="4"/>
        <charset val="136"/>
      </rPr>
      <t>表</t>
    </r>
    <r>
      <rPr>
        <sz val="12"/>
        <rFont val="Times New Roman"/>
        <family val="1"/>
      </rPr>
      <t>28-4</t>
    </r>
    <r>
      <rPr>
        <sz val="12"/>
        <rFont val="標楷體"/>
        <family val="4"/>
        <charset val="136"/>
      </rPr>
      <t>：強制汽車責任保險業務費用明細表</t>
    </r>
    <phoneticPr fontId="26" type="noConversion"/>
  </si>
  <si>
    <r>
      <rPr>
        <sz val="12"/>
        <rFont val="標楷體"/>
        <family val="4"/>
        <charset val="136"/>
      </rPr>
      <t>全部</t>
    </r>
    <phoneticPr fontId="26" type="noConversion"/>
  </si>
  <si>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</si>
  <si>
    <r>
      <rPr>
        <sz val="12"/>
        <rFont val="標楷體"/>
        <family val="4"/>
        <charset val="136"/>
      </rPr>
      <t>表</t>
    </r>
    <r>
      <rPr>
        <sz val="12"/>
        <rFont val="Times New Roman"/>
        <family val="1"/>
      </rPr>
      <t>30-4</t>
    </r>
    <r>
      <rPr>
        <sz val="12"/>
        <rFont val="標楷體"/>
        <family val="4"/>
        <charset val="136"/>
      </rPr>
      <t>：</t>
    </r>
    <r>
      <rPr>
        <sz val="12"/>
        <rFont val="Times New Roman"/>
        <family val="1"/>
      </rPr>
      <t>R2</t>
    </r>
    <r>
      <rPr>
        <sz val="12"/>
        <rFont val="標楷體"/>
        <family val="4"/>
        <charset val="136"/>
      </rPr>
      <t>：信用風險計算表</t>
    </r>
  </si>
  <si>
    <r>
      <rPr>
        <sz val="12"/>
        <rFont val="標楷體"/>
        <family val="4"/>
        <charset val="136"/>
      </rPr>
      <t>表</t>
    </r>
    <r>
      <rPr>
        <sz val="12"/>
        <rFont val="Times New Roman"/>
        <family val="1"/>
      </rPr>
      <t>30-4-1</t>
    </r>
    <r>
      <rPr>
        <sz val="12"/>
        <rFont val="標楷體"/>
        <family val="4"/>
        <charset val="136"/>
      </rPr>
      <t>：再保險資產風險資本額計算表</t>
    </r>
    <r>
      <rPr>
        <sz val="12"/>
        <rFont val="Times New Roman"/>
        <family val="1"/>
      </rPr>
      <t>(</t>
    </r>
    <r>
      <rPr>
        <sz val="12"/>
        <rFont val="標楷體"/>
        <family val="4"/>
        <charset val="136"/>
      </rPr>
      <t>不含保險期間超過一年之人身保險並認列分出責任準備之再保險業務</t>
    </r>
    <r>
      <rPr>
        <sz val="12"/>
        <rFont val="Times New Roman"/>
        <family val="1"/>
      </rPr>
      <t>)</t>
    </r>
    <phoneticPr fontId="26" type="noConversion"/>
  </si>
  <si>
    <r>
      <rPr>
        <sz val="12"/>
        <rFont val="標楷體"/>
        <family val="4"/>
        <charset val="136"/>
      </rPr>
      <t>表</t>
    </r>
    <r>
      <rPr>
        <sz val="12"/>
        <rFont val="Times New Roman"/>
        <family val="1"/>
      </rPr>
      <t>30-5</t>
    </r>
    <r>
      <rPr>
        <sz val="12"/>
        <rFont val="標楷體"/>
        <family val="4"/>
        <charset val="136"/>
      </rPr>
      <t>：</t>
    </r>
    <r>
      <rPr>
        <sz val="12"/>
        <rFont val="Times New Roman"/>
        <family val="1"/>
      </rPr>
      <t>R3</t>
    </r>
    <r>
      <rPr>
        <sz val="12"/>
        <rFont val="標楷體"/>
        <family val="4"/>
        <charset val="136"/>
      </rPr>
      <t>：核保風險計算表</t>
    </r>
  </si>
  <si>
    <r>
      <rPr>
        <sz val="12"/>
        <rFont val="標楷體"/>
        <family val="4"/>
        <charset val="136"/>
      </rPr>
      <t>表</t>
    </r>
    <r>
      <rPr>
        <sz val="12"/>
        <rFont val="Times New Roman"/>
        <family val="1"/>
      </rPr>
      <t>30-5-1</t>
    </r>
    <r>
      <rPr>
        <sz val="12"/>
        <rFont val="標楷體"/>
        <family val="4"/>
        <charset val="136"/>
      </rPr>
      <t>：超過一年之人身保險業務風險計算表</t>
    </r>
    <phoneticPr fontId="26" type="noConversion"/>
  </si>
  <si>
    <r>
      <rPr>
        <sz val="12"/>
        <rFont val="標楷體"/>
        <family val="4"/>
        <charset val="136"/>
      </rPr>
      <t>表</t>
    </r>
    <r>
      <rPr>
        <sz val="12"/>
        <rFont val="Times New Roman"/>
        <family val="1"/>
      </rPr>
      <t>30-6</t>
    </r>
    <r>
      <rPr>
        <sz val="12"/>
        <rFont val="標楷體"/>
        <family val="4"/>
        <charset val="136"/>
      </rPr>
      <t>：</t>
    </r>
    <r>
      <rPr>
        <sz val="12"/>
        <rFont val="Times New Roman"/>
        <family val="1"/>
      </rPr>
      <t>R4</t>
    </r>
    <r>
      <rPr>
        <sz val="12"/>
        <rFont val="標楷體"/>
        <family val="4"/>
        <charset val="136"/>
      </rPr>
      <t>：資產負債配置風險計算表</t>
    </r>
  </si>
  <si>
    <r>
      <rPr>
        <sz val="12"/>
        <rFont val="標楷體"/>
        <family val="4"/>
        <charset val="136"/>
      </rPr>
      <t>表</t>
    </r>
    <r>
      <rPr>
        <sz val="12"/>
        <rFont val="Times New Roman"/>
        <family val="1"/>
      </rPr>
      <t>30-7</t>
    </r>
    <r>
      <rPr>
        <sz val="12"/>
        <rFont val="標楷體"/>
        <family val="4"/>
        <charset val="136"/>
      </rPr>
      <t>：</t>
    </r>
    <r>
      <rPr>
        <sz val="12"/>
        <rFont val="Times New Roman"/>
        <family val="1"/>
      </rPr>
      <t>R5</t>
    </r>
    <r>
      <rPr>
        <sz val="12"/>
        <rFont val="標楷體"/>
        <family val="4"/>
        <charset val="136"/>
      </rPr>
      <t>：其他風險計算表</t>
    </r>
  </si>
  <si>
    <r>
      <rPr>
        <sz val="12"/>
        <rFont val="標楷體"/>
        <family val="4"/>
        <charset val="136"/>
      </rPr>
      <t>表</t>
    </r>
    <r>
      <rPr>
        <sz val="12"/>
        <rFont val="Times New Roman"/>
        <family val="1"/>
      </rPr>
      <t>30-8-2</t>
    </r>
    <r>
      <rPr>
        <sz val="12"/>
        <rFont val="標楷體"/>
        <family val="4"/>
        <charset val="136"/>
      </rPr>
      <t>：發行具資本性質債券明細表（自</t>
    </r>
    <r>
      <rPr>
        <sz val="12"/>
        <rFont val="Times New Roman"/>
        <family val="1"/>
      </rPr>
      <t>97</t>
    </r>
    <r>
      <rPr>
        <sz val="12"/>
        <rFont val="標楷體"/>
        <family val="4"/>
        <charset val="136"/>
      </rPr>
      <t>年</t>
    </r>
    <r>
      <rPr>
        <sz val="12"/>
        <rFont val="Times New Roman"/>
        <family val="1"/>
      </rPr>
      <t>11</t>
    </r>
    <r>
      <rPr>
        <sz val="12"/>
        <rFont val="標楷體"/>
        <family val="4"/>
        <charset val="136"/>
      </rPr>
      <t>月</t>
    </r>
    <r>
      <rPr>
        <sz val="12"/>
        <rFont val="Times New Roman"/>
        <family val="1"/>
      </rPr>
      <t>15</t>
    </r>
    <r>
      <rPr>
        <sz val="12"/>
        <rFont val="標楷體"/>
        <family val="4"/>
        <charset val="136"/>
      </rPr>
      <t>日起發行者）</t>
    </r>
  </si>
  <si>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：投資用不動產為素地或未能符合即時利用並有收益認定標準者加計風險資本額調整計算表</t>
    </r>
  </si>
  <si>
    <r>
      <rPr>
        <sz val="12"/>
        <rFont val="標楷體"/>
        <family val="4"/>
        <charset val="136"/>
      </rPr>
      <t>表</t>
    </r>
    <r>
      <rPr>
        <sz val="12"/>
        <rFont val="Times New Roman"/>
        <family val="1"/>
      </rPr>
      <t>30-8-5</t>
    </r>
    <r>
      <rPr>
        <sz val="12"/>
        <rFont val="標楷體"/>
        <family val="4"/>
        <charset val="136"/>
      </rPr>
      <t>：認列未實現評價損益檢討計算表</t>
    </r>
    <phoneticPr fontId="26" type="noConversion"/>
  </si>
  <si>
    <r>
      <rPr>
        <b/>
        <sz val="12"/>
        <rFont val="標楷體"/>
        <family val="4"/>
        <charset val="136"/>
      </rPr>
      <t>否</t>
    </r>
  </si>
  <si>
    <r>
      <rPr>
        <sz val="12"/>
        <rFont val="標楷體"/>
        <family val="4"/>
        <charset val="136"/>
      </rPr>
      <t>表</t>
    </r>
    <r>
      <rPr>
        <sz val="12"/>
        <rFont val="Times New Roman"/>
        <family val="1"/>
      </rPr>
      <t>30-13</t>
    </r>
    <r>
      <rPr>
        <sz val="12"/>
        <rFont val="標楷體"/>
        <family val="4"/>
        <charset val="136"/>
      </rPr>
      <t>：投資資產信用評等資訊表</t>
    </r>
    <phoneticPr fontId="29" type="noConversion"/>
  </si>
  <si>
    <r>
      <rPr>
        <sz val="12"/>
        <rFont val="標楷體"/>
        <family val="4"/>
        <charset val="136"/>
      </rPr>
      <t>註</t>
    </r>
    <r>
      <rPr>
        <sz val="12"/>
        <rFont val="Times New Roman"/>
        <family val="1"/>
      </rPr>
      <t>:</t>
    </r>
  </si>
  <si>
    <r>
      <rPr>
        <sz val="12"/>
        <rFont val="標楷體"/>
        <family val="4"/>
        <charset val="136"/>
      </rPr>
      <t>本各項月季或半年報送之報表</t>
    </r>
    <r>
      <rPr>
        <sz val="12"/>
        <rFont val="Times New Roman"/>
        <family val="1"/>
      </rPr>
      <t>,</t>
    </r>
    <r>
      <rPr>
        <sz val="12"/>
        <rFont val="標楷體"/>
        <family val="4"/>
        <charset val="136"/>
      </rPr>
      <t>除有特別標示說明外</t>
    </r>
    <r>
      <rPr>
        <sz val="12"/>
        <rFont val="Times New Roman"/>
        <family val="1"/>
      </rPr>
      <t>,</t>
    </r>
    <r>
      <rPr>
        <sz val="12"/>
        <rFont val="標楷體"/>
        <family val="4"/>
        <charset val="136"/>
      </rPr>
      <t>悉以本年度累積數填報</t>
    </r>
    <r>
      <rPr>
        <sz val="12"/>
        <rFont val="Times New Roman"/>
        <family val="1"/>
      </rPr>
      <t>,</t>
    </r>
    <r>
      <rPr>
        <sz val="12"/>
        <rFont val="標楷體"/>
        <family val="4"/>
        <charset val="136"/>
      </rPr>
      <t>屬月份資料者於填報年報時免填</t>
    </r>
    <phoneticPr fontId="29" type="noConversion"/>
  </si>
  <si>
    <r>
      <rPr>
        <sz val="12"/>
        <rFont val="標楷體"/>
        <family val="4"/>
        <charset val="136"/>
      </rPr>
      <t>表</t>
    </r>
    <r>
      <rPr>
        <sz val="12"/>
        <rFont val="Times New Roman"/>
        <family val="1"/>
      </rPr>
      <t>09-1</t>
    </r>
    <r>
      <rPr>
        <sz val="12"/>
        <rFont val="標楷體"/>
        <family val="4"/>
        <charset val="136"/>
      </rPr>
      <t>：金融債券及其他經主管機關核准購買之有價證券餘額明細表</t>
    </r>
    <phoneticPr fontId="29"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</si>
  <si>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phoneticPr fontId="29" type="noConversion"/>
  </si>
  <si>
    <r>
      <rPr>
        <sz val="12"/>
        <rFont val="標楷體"/>
        <family val="4"/>
        <charset val="136"/>
      </rPr>
      <t>表</t>
    </r>
    <r>
      <rPr>
        <sz val="12"/>
        <rFont val="Times New Roman"/>
        <family val="1"/>
      </rPr>
      <t>16-1-3</t>
    </r>
    <r>
      <rPr>
        <sz val="12"/>
        <rFont val="標楷體"/>
        <family val="4"/>
        <charset val="136"/>
      </rPr>
      <t>：衍生性商品餘額明細表</t>
    </r>
    <r>
      <rPr>
        <sz val="12"/>
        <rFont val="Times New Roman"/>
        <family val="1"/>
      </rPr>
      <t>--</t>
    </r>
    <r>
      <rPr>
        <sz val="12"/>
        <rFont val="標楷體"/>
        <family val="4"/>
        <charset val="136"/>
      </rPr>
      <t>買入選擇權</t>
    </r>
    <r>
      <rPr>
        <sz val="12"/>
        <rFont val="Times New Roman"/>
        <family val="1"/>
      </rPr>
      <t>(</t>
    </r>
    <r>
      <rPr>
        <sz val="12"/>
        <rFont val="標楷體"/>
        <family val="4"/>
        <charset val="136"/>
      </rPr>
      <t>含認購《售》權證</t>
    </r>
    <r>
      <rPr>
        <sz val="12"/>
        <rFont val="Times New Roman"/>
        <family val="1"/>
      </rPr>
      <t>)</t>
    </r>
    <phoneticPr fontId="26" type="noConversion"/>
  </si>
  <si>
    <r>
      <rPr>
        <sz val="12"/>
        <rFont val="標楷體"/>
        <family val="4"/>
        <charset val="136"/>
      </rPr>
      <t>表</t>
    </r>
    <r>
      <rPr>
        <sz val="12"/>
        <rFont val="Times New Roman"/>
        <family val="1"/>
      </rPr>
      <t>16-2-2</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買入衍生性商品</t>
    </r>
    <r>
      <rPr>
        <sz val="12"/>
        <rFont val="Times New Roman"/>
        <family val="1"/>
      </rPr>
      <t>)</t>
    </r>
    <phoneticPr fontId="26" type="noConversion"/>
  </si>
  <si>
    <r>
      <t>(5a)-(6d)</t>
    </r>
    <r>
      <rPr>
        <sz val="12"/>
        <rFont val="標楷體"/>
        <family val="4"/>
        <charset val="136"/>
      </rPr>
      <t>及</t>
    </r>
    <r>
      <rPr>
        <sz val="12"/>
        <rFont val="Times New Roman"/>
        <family val="1"/>
      </rPr>
      <t>(13)</t>
    </r>
    <r>
      <rPr>
        <sz val="12"/>
        <rFont val="標楷體"/>
        <family val="4"/>
        <charset val="136"/>
      </rPr>
      <t>欄</t>
    </r>
    <phoneticPr fontId="26" type="noConversion"/>
  </si>
  <si>
    <r>
      <rPr>
        <sz val="12"/>
        <rFont val="標楷體"/>
        <family val="4"/>
        <charset val="136"/>
      </rPr>
      <t>是</t>
    </r>
    <r>
      <rPr>
        <sz val="12"/>
        <rFont val="Times New Roman"/>
        <family val="1"/>
      </rPr>
      <t xml:space="preserve">  (7a)-(13)</t>
    </r>
    <r>
      <rPr>
        <sz val="12"/>
        <rFont val="標楷體"/>
        <family val="4"/>
        <charset val="136"/>
      </rPr>
      <t>欄</t>
    </r>
    <phoneticPr fontId="26" type="noConversion"/>
  </si>
  <si>
    <r>
      <rPr>
        <sz val="12"/>
        <rFont val="標楷體"/>
        <family val="4"/>
        <charset val="136"/>
      </rPr>
      <t>表</t>
    </r>
    <r>
      <rPr>
        <sz val="12"/>
        <rFont val="Times New Roman"/>
        <family val="1"/>
      </rPr>
      <t>19-6</t>
    </r>
    <r>
      <rPr>
        <sz val="12"/>
        <rFont val="標楷體"/>
        <family val="4"/>
        <charset val="136"/>
      </rPr>
      <t>：再保險資產－帳齡分析</t>
    </r>
    <r>
      <rPr>
        <sz val="12"/>
        <rFont val="Times New Roman"/>
        <family val="1"/>
      </rPr>
      <t>(</t>
    </r>
    <r>
      <rPr>
        <sz val="12"/>
        <rFont val="標楷體"/>
        <family val="4"/>
        <charset val="136"/>
      </rPr>
      <t>應收再保往來款項</t>
    </r>
    <r>
      <rPr>
        <sz val="12"/>
        <rFont val="Times New Roman"/>
        <family val="1"/>
      </rPr>
      <t>)</t>
    </r>
    <phoneticPr fontId="29" type="noConversion"/>
  </si>
  <si>
    <r>
      <rPr>
        <sz val="12"/>
        <rFont val="標楷體"/>
        <family val="4"/>
        <charset val="136"/>
      </rPr>
      <t>表</t>
    </r>
    <r>
      <rPr>
        <sz val="12"/>
        <rFont val="Times New Roman"/>
        <family val="1"/>
      </rPr>
      <t>19-7</t>
    </r>
    <r>
      <rPr>
        <sz val="12"/>
        <rFont val="標楷體"/>
        <family val="4"/>
        <charset val="136"/>
      </rPr>
      <t>：臺灣地區保險業及其海外分支機構兩岸保險業務往來辦理業務情形表</t>
    </r>
    <phoneticPr fontId="29" type="noConversion"/>
  </si>
  <si>
    <r>
      <rPr>
        <sz val="12"/>
        <rFont val="標楷體"/>
        <family val="4"/>
        <charset val="136"/>
      </rPr>
      <t>表</t>
    </r>
    <r>
      <rPr>
        <sz val="12"/>
        <rFont val="Times New Roman"/>
        <family val="1"/>
      </rPr>
      <t>22-4</t>
    </r>
    <r>
      <rPr>
        <sz val="12"/>
        <rFont val="標楷體"/>
        <family val="4"/>
        <charset val="136"/>
      </rPr>
      <t>：自留保費明細表</t>
    </r>
    <r>
      <rPr>
        <sz val="12"/>
        <rFont val="Times New Roman"/>
        <family val="1"/>
      </rPr>
      <t>(</t>
    </r>
    <r>
      <rPr>
        <sz val="12"/>
        <rFont val="標楷體"/>
        <family val="4"/>
        <charset val="136"/>
      </rPr>
      <t>人身再保險</t>
    </r>
    <r>
      <rPr>
        <sz val="12"/>
        <rFont val="Times New Roman"/>
        <family val="1"/>
      </rPr>
      <t>)</t>
    </r>
    <phoneticPr fontId="26" type="noConversion"/>
  </si>
  <si>
    <r>
      <rPr>
        <sz val="12"/>
        <rFont val="標楷體"/>
        <family val="4"/>
        <charset val="136"/>
      </rPr>
      <t>表</t>
    </r>
    <r>
      <rPr>
        <sz val="12"/>
        <rFont val="Times New Roman"/>
        <family val="1"/>
      </rPr>
      <t>24-1</t>
    </r>
    <r>
      <rPr>
        <sz val="12"/>
        <rFont val="標楷體"/>
        <family val="4"/>
        <charset val="136"/>
      </rPr>
      <t>：賠款準備金及自留滿期賠款計算表</t>
    </r>
    <r>
      <rPr>
        <sz val="12"/>
        <rFont val="Times New Roman"/>
        <family val="1"/>
      </rPr>
      <t>(</t>
    </r>
    <r>
      <rPr>
        <sz val="12"/>
        <rFont val="標楷體"/>
        <family val="4"/>
        <charset val="136"/>
      </rPr>
      <t>財產再保險</t>
    </r>
    <r>
      <rPr>
        <sz val="12"/>
        <rFont val="Times New Roman"/>
        <family val="1"/>
      </rPr>
      <t>)</t>
    </r>
    <phoneticPr fontId="26" type="noConversion"/>
  </si>
  <si>
    <r>
      <rPr>
        <sz val="12"/>
        <rFont val="標楷體"/>
        <family val="4"/>
        <charset val="136"/>
      </rPr>
      <t>表</t>
    </r>
    <r>
      <rPr>
        <sz val="12"/>
        <rFont val="Times New Roman"/>
        <family val="1"/>
      </rPr>
      <t>28-1</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特別準備金總表</t>
    </r>
    <phoneticPr fontId="26" type="noConversion"/>
  </si>
  <si>
    <r>
      <rPr>
        <sz val="12"/>
        <rFont val="標楷體"/>
        <family val="4"/>
        <charset val="136"/>
      </rPr>
      <t>表</t>
    </r>
    <r>
      <rPr>
        <sz val="12"/>
        <rFont val="Times New Roman"/>
        <family val="1"/>
      </rPr>
      <t>28-3</t>
    </r>
    <r>
      <rPr>
        <sz val="12"/>
        <rFont val="標楷體"/>
        <family val="4"/>
        <charset val="136"/>
      </rPr>
      <t>：強制汽車責任保險特別準備金計算表〈汽機車彙總表〉</t>
    </r>
    <phoneticPr fontId="26" type="noConversion"/>
  </si>
  <si>
    <r>
      <rPr>
        <sz val="12"/>
        <rFont val="標楷體"/>
        <family val="4"/>
        <charset val="136"/>
      </rPr>
      <t>表</t>
    </r>
    <r>
      <rPr>
        <sz val="12"/>
        <rFont val="Times New Roman"/>
        <family val="1"/>
      </rPr>
      <t>30-4-2</t>
    </r>
    <r>
      <rPr>
        <sz val="12"/>
        <rFont val="標楷體"/>
        <family val="4"/>
        <charset val="136"/>
      </rPr>
      <t>：再保險資產風險資本額計算表</t>
    </r>
    <r>
      <rPr>
        <sz val="12"/>
        <rFont val="Times New Roman"/>
        <family val="1"/>
      </rPr>
      <t>(</t>
    </r>
    <r>
      <rPr>
        <sz val="12"/>
        <rFont val="標楷體"/>
        <family val="4"/>
        <charset val="136"/>
      </rPr>
      <t>保險期間超過一年之人身保險並認列分出責任準備之再保險業務</t>
    </r>
    <r>
      <rPr>
        <sz val="12"/>
        <rFont val="Times New Roman"/>
        <family val="1"/>
      </rPr>
      <t>)</t>
    </r>
    <phoneticPr fontId="26"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</si>
  <si>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t>
    </r>
    <phoneticPr fontId="29" type="noConversion"/>
  </si>
  <si>
    <r>
      <rPr>
        <sz val="12"/>
        <rFont val="標楷體"/>
        <family val="4"/>
        <charset val="136"/>
      </rPr>
      <t>所稱填報頻率係指保險業應按所列期間填報該表</t>
    </r>
    <r>
      <rPr>
        <sz val="12"/>
        <rFont val="Times New Roman"/>
        <family val="1"/>
      </rPr>
      <t>,</t>
    </r>
    <r>
      <rPr>
        <sz val="12"/>
        <rFont val="標楷體"/>
        <family val="4"/>
        <charset val="136"/>
      </rPr>
      <t>並向財團法人保險事業發展中心傳送更新之電子檔資料</t>
    </r>
    <phoneticPr fontId="29" type="noConversion"/>
  </si>
  <si>
    <r>
      <rPr>
        <sz val="12"/>
        <rFont val="標楷體"/>
        <family val="4"/>
        <charset val="136"/>
      </rPr>
      <t>本報表部分欄位係因系統開發而預先保留</t>
    </r>
    <r>
      <rPr>
        <sz val="12"/>
        <rFont val="Times New Roman"/>
        <family val="1"/>
      </rPr>
      <t>,</t>
    </r>
    <r>
      <rPr>
        <sz val="12"/>
        <rFont val="標楷體"/>
        <family val="4"/>
        <charset val="136"/>
      </rPr>
      <t>不代表已核准保險業得辦理該類業務或資金運用</t>
    </r>
    <r>
      <rPr>
        <sz val="12"/>
        <rFont val="Times New Roman"/>
        <family val="1"/>
      </rPr>
      <t>,</t>
    </r>
    <r>
      <rPr>
        <sz val="12"/>
        <rFont val="標楷體"/>
        <family val="4"/>
        <charset val="136"/>
      </rPr>
      <t>保險業辦理該類業務應依保險相關法規之規定</t>
    </r>
    <phoneticPr fontId="29" type="noConversion"/>
  </si>
  <si>
    <t>註</t>
    <phoneticPr fontId="29" type="noConversion"/>
  </si>
  <si>
    <r>
      <rPr>
        <sz val="12"/>
        <rFont val="標楷體"/>
        <family val="4"/>
        <charset val="136"/>
      </rPr>
      <t>表</t>
    </r>
    <r>
      <rPr>
        <sz val="12"/>
        <rFont val="Times New Roman"/>
        <family val="1"/>
      </rPr>
      <t>01-6</t>
    </r>
    <r>
      <rPr>
        <sz val="12"/>
        <rFont val="標楷體"/>
        <family val="4"/>
        <charset val="136"/>
      </rPr>
      <t>：依保險業財務報告編製準則規定編製之財務報告</t>
    </r>
    <phoneticPr fontId="26" type="noConversion"/>
  </si>
  <si>
    <r>
      <rPr>
        <sz val="12"/>
        <rFont val="標楷體"/>
        <family val="4"/>
        <charset val="136"/>
      </rPr>
      <t>表</t>
    </r>
    <r>
      <rPr>
        <sz val="12"/>
        <rFont val="Times New Roman"/>
        <family val="1"/>
      </rPr>
      <t>04</t>
    </r>
    <r>
      <rPr>
        <sz val="12"/>
        <rFont val="標楷體"/>
        <family val="4"/>
        <charset val="136"/>
      </rPr>
      <t>：綜合損益表</t>
    </r>
    <phoneticPr fontId="26" type="noConversion"/>
  </si>
  <si>
    <r>
      <rPr>
        <sz val="12"/>
        <rFont val="標楷體"/>
        <family val="4"/>
        <charset val="136"/>
      </rPr>
      <t>表</t>
    </r>
    <r>
      <rPr>
        <sz val="12"/>
        <rFont val="Times New Roman"/>
        <family val="1"/>
      </rPr>
      <t>05-2(</t>
    </r>
    <r>
      <rPr>
        <sz val="12"/>
        <rFont val="標楷體"/>
        <family val="4"/>
        <charset val="136"/>
      </rPr>
      <t>續</t>
    </r>
    <r>
      <rPr>
        <sz val="12"/>
        <rFont val="Times New Roman"/>
        <family val="1"/>
      </rPr>
      <t>)</t>
    </r>
    <r>
      <rPr>
        <sz val="12"/>
        <rFont val="標楷體"/>
        <family val="4"/>
        <charset val="136"/>
      </rPr>
      <t>：資產負債表與資金運用表之調節表</t>
    </r>
    <phoneticPr fontId="29" type="noConversion"/>
  </si>
  <si>
    <r>
      <t>(2)-(4)(6)(7)(14)(17)(22)-(27)</t>
    </r>
    <r>
      <rPr>
        <sz val="12"/>
        <rFont val="標楷體"/>
        <family val="4"/>
        <charset val="136"/>
      </rPr>
      <t>欄</t>
    </r>
    <phoneticPr fontId="26" type="noConversion"/>
  </si>
  <si>
    <r>
      <t>(2)(5)(6)(8)-(10)(13)(19)-(25)</t>
    </r>
    <r>
      <rPr>
        <sz val="12"/>
        <rFont val="標楷體"/>
        <family val="4"/>
        <charset val="136"/>
      </rPr>
      <t>欄</t>
    </r>
    <phoneticPr fontId="29" type="noConversion"/>
  </si>
  <si>
    <r>
      <rPr>
        <sz val="12"/>
        <rFont val="標楷體"/>
        <family val="4"/>
        <charset val="136"/>
      </rPr>
      <t>表</t>
    </r>
    <r>
      <rPr>
        <sz val="12"/>
        <rFont val="Times New Roman"/>
        <family val="1"/>
      </rPr>
      <t>10-3</t>
    </r>
    <r>
      <rPr>
        <sz val="12"/>
        <rFont val="標楷體"/>
        <family val="4"/>
        <charset val="136"/>
      </rPr>
      <t>：關係人股票投資明細表</t>
    </r>
    <phoneticPr fontId="26" type="noConversion"/>
  </si>
  <si>
    <r>
      <rPr>
        <sz val="12"/>
        <rFont val="標楷體"/>
        <family val="4"/>
        <charset val="136"/>
      </rPr>
      <t>表</t>
    </r>
    <r>
      <rPr>
        <sz val="12"/>
        <rFont val="Times New Roman"/>
        <family val="1"/>
      </rPr>
      <t>10-4</t>
    </r>
    <r>
      <rPr>
        <sz val="12"/>
        <rFont val="標楷體"/>
        <family val="4"/>
        <charset val="136"/>
      </rPr>
      <t>：非關係人股票投資明細表</t>
    </r>
    <phoneticPr fontId="26" type="noConversion"/>
  </si>
  <si>
    <r>
      <t>(2)(4)(6)(9)(11)-(13)(18)(24)-(29)</t>
    </r>
    <r>
      <rPr>
        <sz val="12"/>
        <rFont val="標楷體"/>
        <family val="4"/>
        <charset val="136"/>
      </rPr>
      <t>欄</t>
    </r>
    <phoneticPr fontId="26" type="noConversion"/>
  </si>
  <si>
    <r>
      <rPr>
        <sz val="12"/>
        <rFont val="標楷體"/>
        <family val="4"/>
        <charset val="136"/>
      </rPr>
      <t>表</t>
    </r>
    <r>
      <rPr>
        <sz val="12"/>
        <rFont val="Times New Roman"/>
        <family val="1"/>
      </rPr>
      <t>12-1</t>
    </r>
    <r>
      <rPr>
        <sz val="12"/>
        <rFont val="標楷體"/>
        <family val="4"/>
        <charset val="136"/>
      </rPr>
      <t>：受益憑證餘額明細表</t>
    </r>
    <phoneticPr fontId="26" type="noConversion"/>
  </si>
  <si>
    <r>
      <rPr>
        <sz val="12"/>
        <rFont val="標楷體"/>
        <family val="4"/>
        <charset val="136"/>
      </rPr>
      <t>表</t>
    </r>
    <r>
      <rPr>
        <sz val="12"/>
        <rFont val="Times New Roman"/>
        <family val="1"/>
      </rPr>
      <t>14-4</t>
    </r>
    <r>
      <rPr>
        <sz val="12"/>
        <rFont val="標楷體"/>
        <family val="4"/>
        <charset val="136"/>
      </rPr>
      <t>：應收款項餘額明細表</t>
    </r>
    <phoneticPr fontId="26" type="noConversion"/>
  </si>
  <si>
    <r>
      <rPr>
        <sz val="12"/>
        <rFont val="標楷體"/>
        <family val="4"/>
        <charset val="136"/>
      </rPr>
      <t>表</t>
    </r>
    <r>
      <rPr>
        <sz val="12"/>
        <rFont val="Times New Roman"/>
        <family val="1"/>
      </rPr>
      <t>15</t>
    </r>
    <r>
      <rPr>
        <sz val="12"/>
        <rFont val="標楷體"/>
        <family val="4"/>
        <charset val="136"/>
      </rPr>
      <t>：有價證券借貸餘額明細表</t>
    </r>
    <phoneticPr fontId="26" type="noConversion"/>
  </si>
  <si>
    <r>
      <rPr>
        <sz val="12"/>
        <rFont val="標楷體"/>
        <family val="4"/>
        <charset val="136"/>
      </rPr>
      <t>表</t>
    </r>
    <r>
      <rPr>
        <sz val="12"/>
        <rFont val="Times New Roman"/>
        <family val="1"/>
      </rPr>
      <t>19-1-2-2</t>
    </r>
    <r>
      <rPr>
        <sz val="12"/>
        <rFont val="標楷體"/>
        <family val="4"/>
        <charset val="136"/>
      </rPr>
      <t>：再保險人交易明細表</t>
    </r>
    <r>
      <rPr>
        <sz val="12"/>
        <rFont val="Times New Roman"/>
        <family val="1"/>
      </rPr>
      <t>(</t>
    </r>
    <r>
      <rPr>
        <sz val="12"/>
        <rFont val="標楷體"/>
        <family val="4"/>
        <charset val="136"/>
      </rPr>
      <t>人身再保險分出</t>
    </r>
    <r>
      <rPr>
        <sz val="12"/>
        <rFont val="Times New Roman"/>
        <family val="1"/>
      </rPr>
      <t>)</t>
    </r>
    <phoneticPr fontId="26" type="noConversion"/>
  </si>
  <si>
    <r>
      <rPr>
        <sz val="12"/>
        <rFont val="標楷體"/>
        <family val="4"/>
        <charset val="136"/>
      </rPr>
      <t>表</t>
    </r>
    <r>
      <rPr>
        <sz val="12"/>
        <rFont val="Times New Roman"/>
        <family val="1"/>
      </rPr>
      <t>19-2-2</t>
    </r>
    <r>
      <rPr>
        <sz val="12"/>
        <rFont val="標楷體"/>
        <family val="4"/>
        <charset val="136"/>
      </rPr>
      <t>：保險經紀人交易明細表</t>
    </r>
    <r>
      <rPr>
        <sz val="12"/>
        <rFont val="Times New Roman"/>
        <family val="1"/>
      </rPr>
      <t>(</t>
    </r>
    <r>
      <rPr>
        <sz val="12"/>
        <rFont val="標楷體"/>
        <family val="4"/>
        <charset val="136"/>
      </rPr>
      <t>人身再保險</t>
    </r>
    <r>
      <rPr>
        <sz val="12"/>
        <rFont val="Times New Roman"/>
        <family val="1"/>
      </rPr>
      <t>)</t>
    </r>
    <phoneticPr fontId="26" type="noConversion"/>
  </si>
  <si>
    <r>
      <rPr>
        <sz val="12"/>
        <rFont val="標楷體"/>
        <family val="4"/>
        <charset val="136"/>
      </rPr>
      <t>半年</t>
    </r>
    <phoneticPr fontId="26" type="noConversion"/>
  </si>
  <si>
    <r>
      <t>(6)-(10)</t>
    </r>
    <r>
      <rPr>
        <sz val="12"/>
        <rFont val="標楷體"/>
        <family val="4"/>
        <charset val="136"/>
      </rPr>
      <t>欄</t>
    </r>
    <phoneticPr fontId="26" type="noConversion"/>
  </si>
  <si>
    <r>
      <rPr>
        <sz val="12"/>
        <rFont val="標楷體"/>
        <family val="4"/>
        <charset val="136"/>
      </rPr>
      <t>表</t>
    </r>
    <r>
      <rPr>
        <sz val="12"/>
        <rFont val="Times New Roman"/>
        <family val="1"/>
      </rPr>
      <t>20-2</t>
    </r>
    <r>
      <rPr>
        <sz val="12"/>
        <rFont val="標楷體"/>
        <family val="4"/>
        <charset val="136"/>
      </rPr>
      <t>：分入再保險業務業績比較分析表</t>
    </r>
    <r>
      <rPr>
        <sz val="12"/>
        <rFont val="Times New Roman"/>
        <family val="1"/>
      </rPr>
      <t>(</t>
    </r>
    <r>
      <rPr>
        <sz val="12"/>
        <rFont val="標楷體"/>
        <family val="4"/>
        <charset val="136"/>
      </rPr>
      <t>人身再保險</t>
    </r>
    <r>
      <rPr>
        <sz val="12"/>
        <rFont val="Times New Roman"/>
        <family val="1"/>
      </rPr>
      <t>)</t>
    </r>
    <phoneticPr fontId="26" type="noConversion"/>
  </si>
  <si>
    <r>
      <rPr>
        <sz val="12"/>
        <rFont val="標楷體"/>
        <family val="4"/>
        <charset val="136"/>
      </rPr>
      <t>表</t>
    </r>
    <r>
      <rPr>
        <sz val="12"/>
        <rFont val="Times New Roman"/>
        <family val="1"/>
      </rPr>
      <t>26-2</t>
    </r>
    <r>
      <rPr>
        <sz val="12"/>
        <rFont val="標楷體"/>
        <family val="4"/>
        <charset val="136"/>
      </rPr>
      <t>：重大已決未決賠案明細表</t>
    </r>
    <r>
      <rPr>
        <sz val="12"/>
        <rFont val="Times New Roman"/>
        <family val="1"/>
      </rPr>
      <t>(</t>
    </r>
    <r>
      <rPr>
        <sz val="12"/>
        <rFont val="標楷體"/>
        <family val="4"/>
        <charset val="136"/>
      </rPr>
      <t>人身再保險</t>
    </r>
    <r>
      <rPr>
        <sz val="12"/>
        <rFont val="Times New Roman"/>
        <family val="1"/>
      </rPr>
      <t>)</t>
    </r>
    <phoneticPr fontId="26" type="noConversion"/>
  </si>
  <si>
    <r>
      <rPr>
        <sz val="12"/>
        <rFont val="標楷體"/>
        <family val="4"/>
        <charset val="136"/>
      </rPr>
      <t>表</t>
    </r>
    <r>
      <rPr>
        <sz val="12"/>
        <rFont val="Times New Roman"/>
        <family val="1"/>
      </rPr>
      <t>27</t>
    </r>
    <r>
      <rPr>
        <sz val="12"/>
        <rFont val="標楷體"/>
        <family val="4"/>
        <charset val="136"/>
      </rPr>
      <t>：各項費用明細表</t>
    </r>
    <phoneticPr fontId="26" type="noConversion"/>
  </si>
  <si>
    <r>
      <rPr>
        <sz val="12"/>
        <rFont val="標楷體"/>
        <family val="4"/>
        <charset val="136"/>
      </rPr>
      <t>表</t>
    </r>
    <r>
      <rPr>
        <sz val="12"/>
        <rFont val="Times New Roman"/>
        <family val="1"/>
      </rPr>
      <t>28-1-1</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定期存款</t>
    </r>
    <phoneticPr fontId="26" type="noConversion"/>
  </si>
  <si>
    <r>
      <rPr>
        <sz val="12"/>
        <rFont val="標楷體"/>
        <family val="4"/>
        <charset val="136"/>
      </rPr>
      <t>表</t>
    </r>
    <r>
      <rPr>
        <sz val="12"/>
        <rFont val="Times New Roman"/>
        <family val="1"/>
      </rPr>
      <t>28-2-2</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國庫券</t>
    </r>
    <phoneticPr fontId="26" type="noConversion"/>
  </si>
  <si>
    <r>
      <rPr>
        <sz val="12"/>
        <rFont val="標楷體"/>
        <family val="4"/>
        <charset val="136"/>
      </rPr>
      <t>表</t>
    </r>
    <r>
      <rPr>
        <sz val="12"/>
        <rFont val="Times New Roman"/>
        <family val="1"/>
      </rPr>
      <t>29</t>
    </r>
    <r>
      <rPr>
        <sz val="12"/>
        <rFont val="標楷體"/>
        <family val="4"/>
        <charset val="136"/>
      </rPr>
      <t>：財務業務指標計算表</t>
    </r>
    <phoneticPr fontId="29" type="noConversion"/>
  </si>
  <si>
    <r>
      <rPr>
        <sz val="12"/>
        <rFont val="標楷體"/>
        <family val="4"/>
        <charset val="136"/>
      </rPr>
      <t>表</t>
    </r>
    <r>
      <rPr>
        <sz val="12"/>
        <rFont val="Times New Roman"/>
        <family val="1"/>
      </rPr>
      <t>30-2</t>
    </r>
    <r>
      <rPr>
        <sz val="12"/>
        <rFont val="標楷體"/>
        <family val="4"/>
        <charset val="136"/>
      </rPr>
      <t>：</t>
    </r>
    <r>
      <rPr>
        <sz val="12"/>
        <rFont val="Times New Roman"/>
        <family val="1"/>
      </rPr>
      <t>R0</t>
    </r>
    <r>
      <rPr>
        <sz val="12"/>
        <rFont val="標楷體"/>
        <family val="4"/>
        <charset val="136"/>
      </rPr>
      <t>：資產風險</t>
    </r>
    <r>
      <rPr>
        <sz val="12"/>
        <rFont val="Times New Roman"/>
        <family val="1"/>
      </rPr>
      <t>--</t>
    </r>
    <r>
      <rPr>
        <sz val="12"/>
        <rFont val="標楷體"/>
        <family val="4"/>
        <charset val="136"/>
      </rPr>
      <t>關係人風險計算表</t>
    </r>
    <phoneticPr fontId="26" type="noConversion"/>
  </si>
  <si>
    <r>
      <rPr>
        <sz val="12"/>
        <rFont val="標楷體"/>
        <family val="4"/>
        <charset val="136"/>
      </rPr>
      <t>表</t>
    </r>
    <r>
      <rPr>
        <sz val="12"/>
        <rFont val="Times New Roman"/>
        <family val="1"/>
      </rPr>
      <t>30-3-3</t>
    </r>
    <r>
      <rPr>
        <sz val="12"/>
        <rFont val="標楷體"/>
        <family val="4"/>
        <charset val="136"/>
      </rPr>
      <t>：組合式存款風險資本額計算表</t>
    </r>
    <phoneticPr fontId="26" type="noConversion"/>
  </si>
  <si>
    <r>
      <rPr>
        <sz val="12"/>
        <rFont val="標楷體"/>
        <family val="4"/>
        <charset val="136"/>
      </rPr>
      <t>表</t>
    </r>
    <r>
      <rPr>
        <sz val="12"/>
        <rFont val="Times New Roman"/>
        <family val="1"/>
      </rPr>
      <t>30-6-1</t>
    </r>
    <r>
      <rPr>
        <sz val="12"/>
        <rFont val="標楷體"/>
        <family val="4"/>
        <charset val="136"/>
      </rPr>
      <t>：超過一年之人身保險業務利率風險計算表</t>
    </r>
    <phoneticPr fontId="29" type="noConversion"/>
  </si>
  <si>
    <r>
      <rPr>
        <sz val="12"/>
        <rFont val="標楷體"/>
        <family val="4"/>
        <charset val="136"/>
      </rPr>
      <t>表</t>
    </r>
    <r>
      <rPr>
        <sz val="12"/>
        <rFont val="Times New Roman"/>
        <family val="1"/>
      </rPr>
      <t>30-7-1</t>
    </r>
    <r>
      <rPr>
        <sz val="12"/>
        <rFont val="標楷體"/>
        <family val="4"/>
        <charset val="136"/>
      </rPr>
      <t>：</t>
    </r>
    <r>
      <rPr>
        <sz val="12"/>
        <rFont val="Times New Roman"/>
        <family val="1"/>
      </rPr>
      <t>R5.2</t>
    </r>
    <r>
      <rPr>
        <sz val="12"/>
        <rFont val="標楷體"/>
        <family val="4"/>
        <charset val="136"/>
      </rPr>
      <t>：其他風險</t>
    </r>
    <r>
      <rPr>
        <sz val="12"/>
        <rFont val="Times New Roman"/>
        <family val="1"/>
      </rPr>
      <t>-</t>
    </r>
    <r>
      <rPr>
        <sz val="12"/>
        <rFont val="標楷體"/>
        <family val="4"/>
        <charset val="136"/>
      </rPr>
      <t>保險業資產總額計算表</t>
    </r>
    <phoneticPr fontId="26" type="noConversion"/>
  </si>
  <si>
    <r>
      <rPr>
        <sz val="12"/>
        <rFont val="標楷體"/>
        <family val="4"/>
        <charset val="136"/>
      </rPr>
      <t>表</t>
    </r>
    <r>
      <rPr>
        <sz val="12"/>
        <rFont val="Times New Roman"/>
        <family val="1"/>
      </rPr>
      <t>30-8-6</t>
    </r>
    <r>
      <rPr>
        <sz val="12"/>
        <rFont val="標楷體"/>
        <family val="4"/>
        <charset val="136"/>
      </rPr>
      <t>：資金運用收益率調整計算表</t>
    </r>
    <phoneticPr fontId="29" type="noConversion"/>
  </si>
  <si>
    <r>
      <rPr>
        <sz val="12"/>
        <rFont val="標楷體"/>
        <family val="4"/>
        <charset val="136"/>
      </rPr>
      <t>表</t>
    </r>
    <r>
      <rPr>
        <sz val="12"/>
        <rFont val="Times New Roman"/>
        <family val="1"/>
      </rPr>
      <t>30-12</t>
    </r>
    <r>
      <rPr>
        <sz val="12"/>
        <rFont val="標楷體"/>
        <family val="4"/>
        <charset val="136"/>
      </rPr>
      <t>：核保風險之成長風險係數試算表</t>
    </r>
    <phoneticPr fontId="29" type="noConversion"/>
  </si>
  <si>
    <r>
      <rPr>
        <sz val="12"/>
        <rFont val="標楷體"/>
        <family val="4"/>
        <charset val="136"/>
      </rPr>
      <t>頁次</t>
    </r>
    <phoneticPr fontId="29" type="noConversion"/>
  </si>
  <si>
    <r>
      <rPr>
        <sz val="12"/>
        <rFont val="標楷體"/>
        <family val="4"/>
        <charset val="136"/>
      </rPr>
      <t>填報頻率</t>
    </r>
    <phoneticPr fontId="29" type="noConversion"/>
  </si>
  <si>
    <r>
      <rPr>
        <sz val="12"/>
        <rFont val="標楷體"/>
        <family val="4"/>
        <charset val="136"/>
      </rPr>
      <t>最後複核人</t>
    </r>
    <phoneticPr fontId="29" type="noConversion"/>
  </si>
  <si>
    <t>E-MAIL</t>
    <phoneticPr fontId="29" type="noConversion"/>
  </si>
  <si>
    <r>
      <rPr>
        <sz val="12"/>
        <rFont val="標楷體"/>
        <family val="4"/>
        <charset val="136"/>
      </rPr>
      <t>表</t>
    </r>
    <r>
      <rPr>
        <sz val="12"/>
        <rFont val="Times New Roman"/>
        <family val="1"/>
      </rPr>
      <t>30-14</t>
    </r>
    <r>
      <rPr>
        <sz val="12"/>
        <rFont val="標楷體"/>
        <family val="4"/>
        <charset val="136"/>
      </rPr>
      <t>：公司</t>
    </r>
    <r>
      <rPr>
        <sz val="12"/>
        <rFont val="Times New Roman"/>
        <family val="1"/>
      </rPr>
      <t>β</t>
    </r>
    <r>
      <rPr>
        <sz val="12"/>
        <rFont val="標楷體"/>
        <family val="4"/>
        <charset val="136"/>
      </rPr>
      <t>值及股票逆景氣循環資產風險係數計算表</t>
    </r>
    <phoneticPr fontId="29" type="noConversion"/>
  </si>
  <si>
    <r>
      <rPr>
        <sz val="12"/>
        <rFont val="標楷體"/>
        <family val="4"/>
        <charset val="136"/>
      </rPr>
      <t>表</t>
    </r>
    <r>
      <rPr>
        <sz val="12"/>
        <rFont val="Times New Roman"/>
        <family val="1"/>
      </rPr>
      <t>30-16</t>
    </r>
    <r>
      <rPr>
        <sz val="12"/>
        <rFont val="標楷體"/>
        <family val="4"/>
        <charset val="136"/>
      </rPr>
      <t>：國外借券再投資風險資本額計算表</t>
    </r>
    <phoneticPr fontId="29" type="noConversion"/>
  </si>
  <si>
    <r>
      <rPr>
        <sz val="12"/>
        <rFont val="標楷體"/>
        <family val="4"/>
        <charset val="136"/>
      </rPr>
      <t>表</t>
    </r>
    <r>
      <rPr>
        <sz val="12"/>
        <rFont val="Times New Roman"/>
        <family val="1"/>
      </rPr>
      <t>30-14-3</t>
    </r>
    <r>
      <rPr>
        <sz val="12"/>
        <rFont val="標楷體"/>
        <family val="4"/>
        <charset val="136"/>
      </rPr>
      <t>：股票逆景氣循環措施調整項計算表</t>
    </r>
    <phoneticPr fontId="29" type="noConversion"/>
  </si>
  <si>
    <t>所稱會計師年度查核表格係指屬保險業內部控制及稽核制度實施辦法第二十九條規定之報表及保險業資本適足性管理辦法第五條之報表</t>
    <phoneticPr fontId="29" type="noConversion"/>
  </si>
  <si>
    <t>各式半年及年報應於主管機關規定期限報送</t>
    <phoneticPr fontId="29" type="noConversion"/>
  </si>
  <si>
    <r>
      <rPr>
        <sz val="12"/>
        <rFont val="標楷體"/>
        <family val="4"/>
        <charset val="136"/>
      </rPr>
      <t>表</t>
    </r>
    <r>
      <rPr>
        <sz val="12"/>
        <rFont val="Times New Roman"/>
        <family val="1"/>
      </rPr>
      <t>01-4-2</t>
    </r>
    <r>
      <rPr>
        <sz val="12"/>
        <rFont val="標楷體"/>
        <family val="4"/>
        <charset val="136"/>
      </rPr>
      <t>：簽證精算人員查核意見書係指簽證精算人員對第</t>
    </r>
    <r>
      <rPr>
        <sz val="12"/>
        <rFont val="Times New Roman"/>
        <family val="1"/>
      </rPr>
      <t>(7)</t>
    </r>
    <r>
      <rPr>
        <sz val="12"/>
        <rFont val="標楷體"/>
        <family val="4"/>
        <charset val="136"/>
      </rPr>
      <t>欄簽證精算人員查核表格表示之意見，半年報適用。</t>
    </r>
    <phoneticPr fontId="29" type="noConversion"/>
  </si>
  <si>
    <r>
      <rPr>
        <sz val="12"/>
        <rFont val="標楷體"/>
        <family val="4"/>
        <charset val="136"/>
      </rPr>
      <t>表</t>
    </r>
    <r>
      <rPr>
        <sz val="12"/>
        <rFont val="Times New Roman"/>
        <family val="1"/>
      </rPr>
      <t>05-1</t>
    </r>
    <r>
      <rPr>
        <sz val="12"/>
        <rFont val="標楷體"/>
        <family val="4"/>
        <charset val="136"/>
      </rPr>
      <t>：資金運用表</t>
    </r>
    <phoneticPr fontId="26" type="noConversion"/>
  </si>
  <si>
    <r>
      <rPr>
        <sz val="12"/>
        <rFont val="標楷體"/>
        <family val="4"/>
        <charset val="136"/>
      </rPr>
      <t>單位：新台幣元</t>
    </r>
    <r>
      <rPr>
        <sz val="12"/>
        <rFont val="Times New Roman"/>
        <family val="1"/>
      </rPr>
      <t>,%</t>
    </r>
    <phoneticPr fontId="29" type="noConversion"/>
  </si>
  <si>
    <r>
      <rPr>
        <sz val="12"/>
        <rFont val="標楷體"/>
        <family val="4"/>
        <charset val="136"/>
      </rPr>
      <t>一、現金</t>
    </r>
    <phoneticPr fontId="26" type="noConversion"/>
  </si>
  <si>
    <r>
      <rPr>
        <sz val="12"/>
        <rFont val="標楷體"/>
        <family val="4"/>
        <charset val="136"/>
      </rPr>
      <t>二、非關係金融機構銀行存款</t>
    </r>
    <phoneticPr fontId="26" type="noConversion"/>
  </si>
  <si>
    <r>
      <rPr>
        <sz val="12"/>
        <rFont val="標楷體"/>
        <family val="4"/>
        <charset val="136"/>
      </rPr>
      <t>三、關係金融機構銀行存款</t>
    </r>
    <phoneticPr fontId="26" type="noConversion"/>
  </si>
  <si>
    <r>
      <rPr>
        <sz val="12"/>
        <rFont val="標楷體"/>
        <family val="4"/>
        <charset val="136"/>
      </rPr>
      <t>現金及銀行存款合計</t>
    </r>
    <phoneticPr fontId="26" type="noConversion"/>
  </si>
  <si>
    <r>
      <rPr>
        <sz val="12"/>
        <rFont val="標楷體"/>
        <family val="4"/>
        <charset val="136"/>
      </rPr>
      <t>四、受益憑證</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第一項第五款</t>
    </r>
    <r>
      <rPr>
        <sz val="12"/>
        <rFont val="Times New Roman"/>
        <family val="1"/>
      </rPr>
      <t>)</t>
    </r>
    <phoneticPr fontId="26" type="noConversion"/>
  </si>
  <si>
    <r>
      <rPr>
        <sz val="12"/>
        <rFont val="標楷體"/>
        <family val="4"/>
        <charset val="136"/>
      </rPr>
      <t>有價證券合計</t>
    </r>
  </si>
  <si>
    <r>
      <rPr>
        <sz val="12"/>
        <rFont val="標楷體"/>
        <family val="4"/>
        <charset val="136"/>
      </rPr>
      <t>不動產合計</t>
    </r>
  </si>
  <si>
    <r>
      <rPr>
        <sz val="12"/>
        <rFont val="標楷體"/>
        <family val="4"/>
        <charset val="136"/>
      </rPr>
      <t>除自用不動產外之不動產投資合計</t>
    </r>
    <phoneticPr fontId="26" type="noConversion"/>
  </si>
  <si>
    <r>
      <rPr>
        <sz val="12"/>
        <rFont val="標楷體"/>
        <family val="4"/>
        <charset val="136"/>
      </rPr>
      <t>放款</t>
    </r>
    <r>
      <rPr>
        <sz val="9"/>
        <rFont val="Times New Roman"/>
        <family val="1"/>
      </rPr>
      <t/>
    </r>
    <phoneticPr fontId="26" type="noConversion"/>
  </si>
  <si>
    <r>
      <rPr>
        <sz val="12"/>
        <rFont val="標楷體"/>
        <family val="4"/>
        <charset val="136"/>
      </rPr>
      <t>一、非利害關係人放款</t>
    </r>
    <phoneticPr fontId="26" type="noConversion"/>
  </si>
  <si>
    <r>
      <rPr>
        <sz val="12"/>
        <rFont val="標楷體"/>
        <family val="4"/>
        <charset val="136"/>
      </rPr>
      <t>二、利害關係人放款</t>
    </r>
    <phoneticPr fontId="26" type="noConversion"/>
  </si>
  <si>
    <r>
      <rPr>
        <sz val="12"/>
        <rFont val="標楷體"/>
        <family val="4"/>
        <charset val="136"/>
      </rPr>
      <t>放款合計</t>
    </r>
  </si>
  <si>
    <r>
      <rPr>
        <sz val="12"/>
        <rFont val="標楷體"/>
        <family val="4"/>
        <charset val="136"/>
      </rPr>
      <t>國外投資</t>
    </r>
    <phoneticPr fontId="26" type="noConversion"/>
  </si>
  <si>
    <r>
      <rPr>
        <sz val="12"/>
        <rFont val="標楷體"/>
        <family val="4"/>
        <charset val="136"/>
      </rPr>
      <t>一、非關係人</t>
    </r>
    <phoneticPr fontId="26" type="noConversion"/>
  </si>
  <si>
    <r>
      <rPr>
        <sz val="12"/>
        <rFont val="標楷體"/>
        <family val="4"/>
        <charset val="136"/>
      </rPr>
      <t>二、關係人</t>
    </r>
    <phoneticPr fontId="26" type="noConversion"/>
  </si>
  <si>
    <r>
      <rPr>
        <sz val="12"/>
        <rFont val="標楷體"/>
        <family val="4"/>
        <charset val="136"/>
      </rPr>
      <t>國外投資合計</t>
    </r>
    <phoneticPr fontId="26" type="noConversion"/>
  </si>
  <si>
    <r>
      <rPr>
        <sz val="12"/>
        <rFont val="標楷體"/>
        <family val="4"/>
        <charset val="136"/>
      </rPr>
      <t>專案運用公共及社會福利事業投資合計</t>
    </r>
    <phoneticPr fontId="29" type="noConversion"/>
  </si>
  <si>
    <r>
      <rPr>
        <sz val="12"/>
        <rFont val="標楷體"/>
        <family val="4"/>
        <charset val="136"/>
      </rPr>
      <t>其他投資</t>
    </r>
    <phoneticPr fontId="26" type="noConversion"/>
  </si>
  <si>
    <r>
      <rPr>
        <sz val="12"/>
        <rFont val="標楷體"/>
        <family val="4"/>
        <charset val="136"/>
      </rPr>
      <t>其他投資合計</t>
    </r>
    <phoneticPr fontId="26" type="noConversion"/>
  </si>
  <si>
    <r>
      <rPr>
        <sz val="12"/>
        <rFont val="標楷體"/>
        <family val="4"/>
        <charset val="136"/>
      </rPr>
      <t>未滿期保費準備金</t>
    </r>
    <phoneticPr fontId="26" type="noConversion"/>
  </si>
  <si>
    <r>
      <rPr>
        <sz val="12"/>
        <rFont val="標楷體"/>
        <family val="4"/>
        <charset val="136"/>
      </rPr>
      <t>賠款準備金</t>
    </r>
    <phoneticPr fontId="26" type="noConversion"/>
  </si>
  <si>
    <r>
      <rPr>
        <sz val="12"/>
        <rFont val="標楷體"/>
        <family val="4"/>
        <charset val="136"/>
      </rPr>
      <t>特別準備金</t>
    </r>
    <phoneticPr fontId="26" type="noConversion"/>
  </si>
  <si>
    <r>
      <rPr>
        <sz val="12"/>
        <rFont val="標楷體"/>
        <family val="4"/>
        <charset val="136"/>
      </rPr>
      <t>保費不足準備金</t>
    </r>
    <phoneticPr fontId="29" type="noConversion"/>
  </si>
  <si>
    <r>
      <rPr>
        <sz val="12"/>
        <rFont val="標楷體"/>
        <family val="4"/>
        <charset val="136"/>
      </rPr>
      <t>其他準備金</t>
    </r>
    <phoneticPr fontId="29" type="noConversion"/>
  </si>
  <si>
    <r>
      <rPr>
        <sz val="12"/>
        <rFont val="標楷體"/>
        <family val="4"/>
        <charset val="136"/>
      </rPr>
      <t>各種責任準備金合計</t>
    </r>
    <phoneticPr fontId="26" type="noConversion"/>
  </si>
  <si>
    <r>
      <rPr>
        <sz val="12"/>
        <rFont val="標楷體"/>
        <family val="4"/>
        <charset val="136"/>
      </rPr>
      <t>帳載金額</t>
    </r>
    <phoneticPr fontId="29" type="noConversion"/>
  </si>
  <si>
    <t>4</t>
    <phoneticPr fontId="29" type="noConversion"/>
  </si>
  <si>
    <r>
      <rPr>
        <sz val="12"/>
        <rFont val="標楷體"/>
        <family val="4"/>
        <charset val="136"/>
      </rPr>
      <t>並投資於公共投資及金管保財字第</t>
    </r>
    <r>
      <rPr>
        <sz val="12"/>
        <rFont val="Times New Roman"/>
        <family val="1"/>
      </rPr>
      <t>10610908021</t>
    </r>
    <r>
      <rPr>
        <sz val="12"/>
        <rFont val="標楷體"/>
        <family val="4"/>
        <charset val="136"/>
      </rPr>
      <t>號令第一點各款所列事項。</t>
    </r>
    <phoneticPr fontId="29" type="noConversion"/>
  </si>
  <si>
    <r>
      <rPr>
        <b/>
        <sz val="12"/>
        <rFont val="標楷體"/>
        <family val="4"/>
        <charset val="136"/>
      </rPr>
      <t>資金運用類別</t>
    </r>
    <phoneticPr fontId="26" type="noConversion"/>
  </si>
  <si>
    <r>
      <rPr>
        <b/>
        <sz val="12"/>
        <rFont val="標楷體"/>
        <family val="4"/>
        <charset val="136"/>
      </rPr>
      <t>本期</t>
    </r>
    <phoneticPr fontId="26" type="noConversion"/>
  </si>
  <si>
    <r>
      <rPr>
        <b/>
        <sz val="12"/>
        <rFont val="標楷體"/>
        <family val="4"/>
        <charset val="136"/>
      </rPr>
      <t>上期</t>
    </r>
    <phoneticPr fontId="26" type="noConversion"/>
  </si>
  <si>
    <r>
      <rPr>
        <b/>
        <sz val="12"/>
        <rFont val="標楷體"/>
        <family val="4"/>
        <charset val="136"/>
      </rPr>
      <t>比較增減</t>
    </r>
    <phoneticPr fontId="26" type="noConversion"/>
  </si>
  <si>
    <r>
      <rPr>
        <b/>
        <sz val="12"/>
        <rFont val="標楷體"/>
        <family val="4"/>
        <charset val="136"/>
      </rPr>
      <t>帳載金額</t>
    </r>
  </si>
  <si>
    <r>
      <rPr>
        <b/>
        <sz val="12"/>
        <rFont val="標楷體"/>
        <family val="4"/>
        <charset val="136"/>
      </rPr>
      <t>占資金來源比率</t>
    </r>
    <phoneticPr fontId="29" type="noConversion"/>
  </si>
  <si>
    <r>
      <rPr>
        <b/>
        <sz val="12"/>
        <rFont val="標楷體"/>
        <family val="4"/>
        <charset val="136"/>
      </rPr>
      <t>非認許資產</t>
    </r>
    <phoneticPr fontId="26" type="noConversion"/>
  </si>
  <si>
    <r>
      <rPr>
        <b/>
        <sz val="12"/>
        <rFont val="標楷體"/>
        <family val="4"/>
        <charset val="136"/>
      </rPr>
      <t>淨認許資產</t>
    </r>
    <phoneticPr fontId="26" type="noConversion"/>
  </si>
  <si>
    <r>
      <rPr>
        <b/>
        <sz val="12"/>
        <rFont val="標楷體"/>
        <family val="4"/>
        <charset val="136"/>
      </rPr>
      <t>帳載金額</t>
    </r>
    <phoneticPr fontId="29" type="noConversion"/>
  </si>
  <si>
    <t>%</t>
    <phoneticPr fontId="26"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</si>
  <si>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8)</t>
    </r>
    <phoneticPr fontId="26" type="noConversion"/>
  </si>
  <si>
    <r>
      <rPr>
        <sz val="12"/>
        <rFont val="標楷體"/>
        <family val="4"/>
        <charset val="136"/>
      </rPr>
      <t>註</t>
    </r>
    <phoneticPr fontId="29" type="noConversion"/>
  </si>
  <si>
    <r>
      <rPr>
        <sz val="12"/>
        <rFont val="標楷體"/>
        <family val="4"/>
        <charset val="136"/>
      </rPr>
      <t>不含分離帳戶保險商品之專設帳簿資產</t>
    </r>
    <phoneticPr fontId="26" type="noConversion"/>
  </si>
  <si>
    <r>
      <rPr>
        <sz val="12"/>
        <rFont val="標楷體"/>
        <family val="4"/>
        <charset val="136"/>
      </rPr>
      <t>非認許資產之評定請依「保險業計算資本適足率之資產認許標準及評價原則」辦理</t>
    </r>
    <r>
      <rPr>
        <sz val="12"/>
        <rFont val="Times New Roman"/>
        <family val="1"/>
      </rPr>
      <t>,</t>
    </r>
    <r>
      <rPr>
        <sz val="12"/>
        <rFont val="標楷體"/>
        <family val="4"/>
        <charset val="136"/>
      </rPr>
      <t>認許資產及淨認許資產之相關欄位資料僅填列年報時填寫</t>
    </r>
    <phoneticPr fontId="26" type="noConversion"/>
  </si>
  <si>
    <r>
      <rPr>
        <sz val="12"/>
        <rFont val="標楷體"/>
        <family val="4"/>
        <charset val="136"/>
      </rPr>
      <t>所稱本期及上期於填報月報資料時係指當月份及上月份餘額</t>
    </r>
    <r>
      <rPr>
        <sz val="12"/>
        <rFont val="Times New Roman"/>
        <family val="1"/>
      </rPr>
      <t>;</t>
    </r>
    <r>
      <rPr>
        <sz val="12"/>
        <rFont val="標楷體"/>
        <family val="4"/>
        <charset val="136"/>
      </rPr>
      <t>於填報</t>
    </r>
    <r>
      <rPr>
        <sz val="12"/>
        <rFont val="Times New Roman"/>
        <family val="1"/>
      </rPr>
      <t>(</t>
    </r>
    <r>
      <rPr>
        <sz val="12"/>
        <rFont val="標楷體"/>
        <family val="4"/>
        <charset val="136"/>
      </rPr>
      <t>半</t>
    </r>
    <r>
      <rPr>
        <sz val="12"/>
        <rFont val="Times New Roman"/>
        <family val="1"/>
      </rPr>
      <t>)</t>
    </r>
    <r>
      <rPr>
        <sz val="12"/>
        <rFont val="標楷體"/>
        <family val="4"/>
        <charset val="136"/>
      </rPr>
      <t>年報時係指當</t>
    </r>
    <r>
      <rPr>
        <sz val="12"/>
        <rFont val="Times New Roman"/>
        <family val="1"/>
      </rPr>
      <t>(</t>
    </r>
    <r>
      <rPr>
        <sz val="12"/>
        <rFont val="標楷體"/>
        <family val="4"/>
        <charset val="136"/>
      </rPr>
      <t>半</t>
    </r>
    <r>
      <rPr>
        <sz val="12"/>
        <rFont val="Times New Roman"/>
        <family val="1"/>
      </rPr>
      <t>)</t>
    </r>
    <r>
      <rPr>
        <sz val="12"/>
        <rFont val="標楷體"/>
        <family val="4"/>
        <charset val="136"/>
      </rPr>
      <t>年度及上</t>
    </r>
    <r>
      <rPr>
        <sz val="12"/>
        <rFont val="Times New Roman"/>
        <family val="1"/>
      </rPr>
      <t>(</t>
    </r>
    <r>
      <rPr>
        <sz val="12"/>
        <rFont val="標楷體"/>
        <family val="4"/>
        <charset val="136"/>
      </rPr>
      <t>半</t>
    </r>
    <r>
      <rPr>
        <sz val="12"/>
        <rFont val="Times New Roman"/>
        <family val="1"/>
      </rPr>
      <t>)</t>
    </r>
    <r>
      <rPr>
        <sz val="12"/>
        <rFont val="標楷體"/>
        <family val="4"/>
        <charset val="136"/>
      </rPr>
      <t>年度餘額</t>
    </r>
    <phoneticPr fontId="29" type="noConversion"/>
  </si>
  <si>
    <r>
      <rPr>
        <sz val="12"/>
        <rFont val="標楷體"/>
        <family val="4"/>
        <charset val="136"/>
      </rPr>
      <t>其他經主管機關核准之有價證券</t>
    </r>
    <r>
      <rPr>
        <sz val="12"/>
        <rFont val="Times New Roman"/>
        <family val="1"/>
      </rPr>
      <t>(</t>
    </r>
    <r>
      <rPr>
        <sz val="12"/>
        <rFont val="標楷體"/>
        <family val="4"/>
        <charset val="136"/>
      </rPr>
      <t>含其他金融資產</t>
    </r>
    <r>
      <rPr>
        <sz val="12"/>
        <rFont val="Times New Roman"/>
        <family val="1"/>
      </rPr>
      <t>)</t>
    </r>
    <phoneticPr fontId="26" type="noConversion"/>
  </si>
  <si>
    <r>
      <rPr>
        <sz val="12"/>
        <rFont val="標楷體"/>
        <family val="4"/>
        <charset val="136"/>
      </rPr>
      <t>所稱之受益憑證係指依「保險業辦理國外投資管理辦法」第八條第一項第一款規定投資之有價證券種類。</t>
    </r>
    <phoneticPr fontId="29" type="noConversion"/>
  </si>
  <si>
    <r>
      <rPr>
        <sz val="12"/>
        <rFont val="標楷體"/>
        <family val="4"/>
        <charset val="136"/>
      </rPr>
      <t>所稱之對沖基金係指依「保險業辦理國外投資管理辦法」第八條第一項第五款規定投資之有價證券種類。</t>
    </r>
    <phoneticPr fontId="29" type="noConversion"/>
  </si>
  <si>
    <r>
      <rPr>
        <sz val="12"/>
        <rFont val="標楷體"/>
        <family val="4"/>
        <charset val="136"/>
      </rPr>
      <t>包含依保險法第</t>
    </r>
    <r>
      <rPr>
        <sz val="12"/>
        <rFont val="Times New Roman"/>
        <family val="1"/>
      </rPr>
      <t>146</t>
    </r>
    <r>
      <rPr>
        <sz val="12"/>
        <rFont val="標楷體"/>
        <family val="4"/>
        <charset val="136"/>
      </rPr>
      <t>條第</t>
    </r>
    <r>
      <rPr>
        <sz val="12"/>
        <rFont val="Times New Roman"/>
        <family val="1"/>
      </rPr>
      <t>1</t>
    </r>
    <r>
      <rPr>
        <sz val="12"/>
        <rFont val="標楷體"/>
        <family val="4"/>
        <charset val="136"/>
      </rPr>
      <t>項第</t>
    </r>
    <r>
      <rPr>
        <sz val="12"/>
        <rFont val="Times New Roman"/>
        <family val="1"/>
      </rPr>
      <t>4</t>
    </r>
    <r>
      <rPr>
        <sz val="12"/>
        <rFont val="標楷體"/>
        <family val="4"/>
        <charset val="136"/>
      </rPr>
      <t>款規定，經主管機關核准放款予財團法人保險安定基金之金額</t>
    </r>
    <r>
      <rPr>
        <sz val="12"/>
        <rFont val="Times New Roman"/>
        <family val="1"/>
      </rPr>
      <t>____________</t>
    </r>
    <r>
      <rPr>
        <sz val="12"/>
        <rFont val="標楷體"/>
        <family val="4"/>
        <charset val="136"/>
      </rPr>
      <t>元。</t>
    </r>
    <r>
      <rPr>
        <sz val="12"/>
        <rFont val="Times New Roman"/>
        <family val="1"/>
      </rPr>
      <t>(__</t>
    </r>
    <r>
      <rPr>
        <sz val="12"/>
        <rFont val="標楷體"/>
        <family val="4"/>
        <charset val="136"/>
      </rPr>
      <t>年</t>
    </r>
    <r>
      <rPr>
        <sz val="12"/>
        <rFont val="Times New Roman"/>
        <family val="1"/>
      </rPr>
      <t>__</t>
    </r>
    <r>
      <rPr>
        <sz val="12"/>
        <rFont val="標楷體"/>
        <family val="4"/>
        <charset val="136"/>
      </rPr>
      <t>月</t>
    </r>
    <r>
      <rPr>
        <sz val="12"/>
        <rFont val="Times New Roman"/>
        <family val="1"/>
      </rPr>
      <t>__</t>
    </r>
    <r>
      <rPr>
        <sz val="12"/>
        <rFont val="標楷體"/>
        <family val="4"/>
        <charset val="136"/>
      </rPr>
      <t>日</t>
    </r>
    <r>
      <rPr>
        <sz val="12"/>
        <rFont val="Times New Roman"/>
        <family val="1"/>
      </rPr>
      <t>________________</t>
    </r>
    <r>
      <rPr>
        <sz val="12"/>
        <rFont val="標楷體"/>
        <family val="4"/>
        <charset val="136"/>
      </rPr>
      <t>號函核准</t>
    </r>
    <r>
      <rPr>
        <sz val="12"/>
        <rFont val="Times New Roman"/>
        <family val="1"/>
      </rPr>
      <t>)</t>
    </r>
    <phoneticPr fontId="29" type="noConversion"/>
  </si>
  <si>
    <r>
      <rPr>
        <sz val="12"/>
        <rFont val="標楷體"/>
        <family val="4"/>
        <charset val="136"/>
      </rPr>
      <t>所稱之公共投資及</t>
    </r>
    <r>
      <rPr>
        <sz val="12"/>
        <rFont val="Times New Roman"/>
        <family val="1"/>
      </rPr>
      <t>5+2</t>
    </r>
    <r>
      <rPr>
        <sz val="12"/>
        <rFont val="標楷體"/>
        <family val="4"/>
        <charset val="136"/>
      </rPr>
      <t>產業係指依「保險業資金辦理專案運用公共及社會福利事業投資管理辦法」第五條第二項第三款，投資國家級投資公司、證投信及證券商轉投資子公司擔任普通合夥人設立之國內私募股權基金</t>
    </r>
    <phoneticPr fontId="29" type="noConversion"/>
  </si>
  <si>
    <r>
      <rPr>
        <sz val="12"/>
        <rFont val="標楷體"/>
        <family val="4"/>
        <charset val="136"/>
      </rPr>
      <t>現金及銀行存款</t>
    </r>
    <r>
      <rPr>
        <sz val="9"/>
        <rFont val="Times New Roman"/>
        <family val="1"/>
      </rPr>
      <t/>
    </r>
    <phoneticPr fontId="26" type="noConversion"/>
  </si>
  <si>
    <r>
      <t>(</t>
    </r>
    <r>
      <rPr>
        <sz val="12"/>
        <rFont val="標楷體"/>
        <family val="4"/>
        <charset val="136"/>
      </rPr>
      <t>一</t>
    </r>
    <r>
      <rPr>
        <sz val="12"/>
        <rFont val="Times New Roman"/>
        <family val="1"/>
      </rPr>
      <t>)</t>
    </r>
    <r>
      <rPr>
        <sz val="12"/>
        <rFont val="標楷體"/>
        <family val="4"/>
        <charset val="136"/>
      </rPr>
      <t>具控制與從屬關係</t>
    </r>
  </si>
  <si>
    <r>
      <rPr>
        <sz val="12"/>
        <rFont val="標楷體"/>
        <family val="4"/>
        <charset val="136"/>
      </rPr>
      <t>有價證券</t>
    </r>
  </si>
  <si>
    <r>
      <rPr>
        <sz val="12"/>
        <rFont val="標楷體"/>
        <family val="4"/>
        <charset val="136"/>
      </rPr>
      <t xml:space="preserve">一、公債、國庫券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條之一第一項第一款</t>
    </r>
    <r>
      <rPr>
        <sz val="12"/>
        <rFont val="Times New Roman"/>
        <family val="1"/>
      </rPr>
      <t>)</t>
    </r>
    <phoneticPr fontId="26" type="noConversion"/>
  </si>
  <si>
    <r>
      <rPr>
        <sz val="12"/>
        <rFont val="標楷體"/>
        <family val="4"/>
        <charset val="136"/>
      </rPr>
      <t xml:space="preserve">二、金融債券及其他經主管機關核准購買之有價證券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第一項第二款及第六款</t>
    </r>
    <r>
      <rPr>
        <sz val="12"/>
        <rFont val="Times New Roman"/>
        <family val="1"/>
      </rPr>
      <t>)</t>
    </r>
  </si>
  <si>
    <r>
      <t>(</t>
    </r>
    <r>
      <rPr>
        <sz val="12"/>
        <rFont val="標楷體"/>
        <family val="4"/>
        <charset val="136"/>
      </rPr>
      <t>一</t>
    </r>
    <r>
      <rPr>
        <sz val="12"/>
        <rFont val="Times New Roman"/>
        <family val="1"/>
      </rPr>
      <t>)</t>
    </r>
    <r>
      <rPr>
        <sz val="12"/>
        <rFont val="標楷體"/>
        <family val="4"/>
        <charset val="136"/>
      </rPr>
      <t>非關係人</t>
    </r>
  </si>
  <si>
    <r>
      <t>1</t>
    </r>
    <r>
      <rPr>
        <sz val="12"/>
        <rFont val="標楷體"/>
        <family val="4"/>
        <charset val="136"/>
      </rPr>
      <t>、金融債券</t>
    </r>
  </si>
  <si>
    <r>
      <t>2</t>
    </r>
    <r>
      <rPr>
        <sz val="12"/>
        <rFont val="標楷體"/>
        <family val="4"/>
        <charset val="136"/>
      </rPr>
      <t>、可轉讓定期存單</t>
    </r>
  </si>
  <si>
    <r>
      <t>3</t>
    </r>
    <r>
      <rPr>
        <sz val="12"/>
        <rFont val="標楷體"/>
        <family val="4"/>
        <charset val="136"/>
      </rPr>
      <t>、銀行承兌匯票</t>
    </r>
  </si>
  <si>
    <r>
      <t>4</t>
    </r>
    <r>
      <rPr>
        <sz val="12"/>
        <rFont val="標楷體"/>
        <family val="4"/>
        <charset val="136"/>
      </rPr>
      <t>、金融機構保證商業本票</t>
    </r>
  </si>
  <si>
    <r>
      <t>5</t>
    </r>
    <r>
      <rPr>
        <sz val="12"/>
        <rFont val="標楷體"/>
        <family val="4"/>
        <charset val="136"/>
      </rPr>
      <t>、附買回條件之債券投資</t>
    </r>
  </si>
  <si>
    <r>
      <t>6</t>
    </r>
    <r>
      <rPr>
        <sz val="12"/>
        <rFont val="標楷體"/>
        <family val="4"/>
        <charset val="136"/>
      </rPr>
      <t>、不動產受益證劵</t>
    </r>
  </si>
  <si>
    <r>
      <t>7</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</si>
  <si>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8</t>
    </r>
    <r>
      <rPr>
        <sz val="12"/>
        <rFont val="標楷體"/>
        <family val="4"/>
        <charset val="136"/>
      </rPr>
      <t>、</t>
    </r>
    <r>
      <rPr>
        <sz val="12"/>
        <rFont val="Times New Roman"/>
        <family val="1"/>
      </rPr>
      <t>ETF-</t>
    </r>
    <r>
      <rPr>
        <sz val="12"/>
        <rFont val="標楷體"/>
        <family val="4"/>
        <charset val="136"/>
      </rPr>
      <t>股票型</t>
    </r>
  </si>
  <si>
    <r>
      <t>9</t>
    </r>
    <r>
      <rPr>
        <sz val="12"/>
        <rFont val="標楷體"/>
        <family val="4"/>
        <charset val="136"/>
      </rPr>
      <t>、</t>
    </r>
    <r>
      <rPr>
        <sz val="12"/>
        <rFont val="Times New Roman"/>
        <family val="1"/>
      </rPr>
      <t>ETF-</t>
    </r>
    <r>
      <rPr>
        <sz val="12"/>
        <rFont val="標楷體"/>
        <family val="4"/>
        <charset val="136"/>
      </rPr>
      <t>債券型</t>
    </r>
  </si>
  <si>
    <r>
      <t>12</t>
    </r>
    <r>
      <rPr>
        <sz val="12"/>
        <rFont val="標楷體"/>
        <family val="4"/>
        <charset val="136"/>
      </rPr>
      <t>、其他經核准之有價證券</t>
    </r>
  </si>
  <si>
    <r>
      <t>(</t>
    </r>
    <r>
      <rPr>
        <sz val="12"/>
        <rFont val="標楷體"/>
        <family val="4"/>
        <charset val="136"/>
      </rPr>
      <t>二</t>
    </r>
    <r>
      <rPr>
        <sz val="12"/>
        <rFont val="Times New Roman"/>
        <family val="1"/>
      </rPr>
      <t>)</t>
    </r>
    <r>
      <rPr>
        <sz val="12"/>
        <rFont val="標楷體"/>
        <family val="4"/>
        <charset val="136"/>
      </rPr>
      <t>關係人</t>
    </r>
  </si>
  <si>
    <r>
      <t>1</t>
    </r>
    <r>
      <rPr>
        <sz val="12"/>
        <rFont val="標楷體"/>
        <family val="4"/>
        <charset val="136"/>
      </rPr>
      <t>、具控制與從屬關係</t>
    </r>
  </si>
  <si>
    <t>(4)ETN</t>
  </si>
  <si>
    <r>
      <t>2</t>
    </r>
    <r>
      <rPr>
        <sz val="12"/>
        <rFont val="標楷體"/>
        <family val="4"/>
        <charset val="136"/>
      </rPr>
      <t>、非控制與從屬關係</t>
    </r>
  </si>
  <si>
    <r>
      <rPr>
        <sz val="12"/>
        <rFont val="標楷體"/>
        <family val="4"/>
        <charset val="136"/>
      </rPr>
      <t xml:space="preserve">三、股票及公司債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第一項第三及第四款</t>
    </r>
    <r>
      <rPr>
        <sz val="12"/>
        <rFont val="Times New Roman"/>
        <family val="1"/>
      </rPr>
      <t>)</t>
    </r>
    <phoneticPr fontId="26" type="noConversion"/>
  </si>
  <si>
    <r>
      <t>1</t>
    </r>
    <r>
      <rPr>
        <sz val="12"/>
        <rFont val="標楷體"/>
        <family val="4"/>
        <charset val="136"/>
      </rPr>
      <t>、股票</t>
    </r>
    <phoneticPr fontId="26" type="noConversion"/>
  </si>
  <si>
    <r>
      <t>(1)</t>
    </r>
    <r>
      <rPr>
        <sz val="12"/>
        <rFont val="標楷體"/>
        <family val="4"/>
        <charset val="136"/>
      </rPr>
      <t>普通股</t>
    </r>
  </si>
  <si>
    <r>
      <t>(2)</t>
    </r>
    <r>
      <rPr>
        <sz val="12"/>
        <rFont val="標楷體"/>
        <family val="4"/>
        <charset val="136"/>
      </rPr>
      <t>特別股</t>
    </r>
  </si>
  <si>
    <r>
      <t>-</t>
    </r>
    <r>
      <rPr>
        <sz val="12"/>
        <rFont val="標楷體"/>
        <family val="4"/>
        <charset val="136"/>
      </rPr>
      <t>固定收益</t>
    </r>
  </si>
  <si>
    <r>
      <t>-</t>
    </r>
    <r>
      <rPr>
        <sz val="12"/>
        <rFont val="標楷體"/>
        <family val="4"/>
        <charset val="136"/>
      </rPr>
      <t>非固定收益</t>
    </r>
  </si>
  <si>
    <r>
      <t>2</t>
    </r>
    <r>
      <rPr>
        <sz val="12"/>
        <rFont val="標楷體"/>
        <family val="4"/>
        <charset val="136"/>
      </rPr>
      <t>、公司債</t>
    </r>
    <phoneticPr fontId="26" type="noConversion"/>
  </si>
  <si>
    <r>
      <t>(</t>
    </r>
    <r>
      <rPr>
        <sz val="12"/>
        <rFont val="標楷體"/>
        <family val="4"/>
        <charset val="136"/>
      </rPr>
      <t>二</t>
    </r>
    <r>
      <rPr>
        <sz val="12"/>
        <rFont val="Times New Roman"/>
        <family val="1"/>
      </rPr>
      <t>)</t>
    </r>
    <r>
      <rPr>
        <sz val="12"/>
        <rFont val="標楷體"/>
        <family val="4"/>
        <charset val="136"/>
      </rPr>
      <t>關係人</t>
    </r>
    <phoneticPr fontId="26" type="noConversion"/>
  </si>
  <si>
    <r>
      <t>(1)</t>
    </r>
    <r>
      <rPr>
        <sz val="12"/>
        <rFont val="標楷體"/>
        <family val="4"/>
        <charset val="136"/>
      </rPr>
      <t>具控制與從屬關係</t>
    </r>
  </si>
  <si>
    <r>
      <t>(2)</t>
    </r>
    <r>
      <rPr>
        <sz val="12"/>
        <rFont val="標楷體"/>
        <family val="4"/>
        <charset val="136"/>
      </rPr>
      <t>非控制與從屬關係</t>
    </r>
  </si>
  <si>
    <r>
      <t>(</t>
    </r>
    <r>
      <rPr>
        <sz val="12"/>
        <rFont val="標楷體"/>
        <family val="4"/>
        <charset val="136"/>
      </rPr>
      <t>一</t>
    </r>
    <r>
      <rPr>
        <sz val="12"/>
        <rFont val="Times New Roman"/>
        <family val="1"/>
      </rPr>
      <t>)</t>
    </r>
    <r>
      <rPr>
        <sz val="12"/>
        <rFont val="標楷體"/>
        <family val="4"/>
        <charset val="136"/>
      </rPr>
      <t>非關係人</t>
    </r>
    <phoneticPr fontId="26" type="noConversion"/>
  </si>
  <si>
    <r>
      <t>1</t>
    </r>
    <r>
      <rPr>
        <sz val="12"/>
        <rFont val="標楷體"/>
        <family val="4"/>
        <charset val="136"/>
      </rPr>
      <t>、股票型共同基金</t>
    </r>
  </si>
  <si>
    <r>
      <t>(7)</t>
    </r>
    <r>
      <rPr>
        <sz val="12"/>
        <rFont val="標楷體"/>
        <family val="4"/>
        <charset val="136"/>
      </rPr>
      <t>其他</t>
    </r>
  </si>
  <si>
    <r>
      <rPr>
        <sz val="12"/>
        <rFont val="標楷體"/>
        <family val="4"/>
        <charset val="136"/>
      </rPr>
      <t>不動產</t>
    </r>
  </si>
  <si>
    <r>
      <t>(</t>
    </r>
    <r>
      <rPr>
        <sz val="12"/>
        <rFont val="標楷體"/>
        <family val="4"/>
        <charset val="136"/>
      </rPr>
      <t>一</t>
    </r>
    <r>
      <rPr>
        <sz val="12"/>
        <rFont val="Times New Roman"/>
        <family val="1"/>
      </rPr>
      <t>)</t>
    </r>
    <r>
      <rPr>
        <sz val="12"/>
        <rFont val="標楷體"/>
        <family val="4"/>
        <charset val="136"/>
      </rPr>
      <t>自用不動產</t>
    </r>
  </si>
  <si>
    <r>
      <t>(</t>
    </r>
    <r>
      <rPr>
        <sz val="12"/>
        <rFont val="標楷體"/>
        <family val="4"/>
        <charset val="136"/>
      </rPr>
      <t>二</t>
    </r>
    <r>
      <rPr>
        <sz val="12"/>
        <rFont val="Times New Roman"/>
        <family val="1"/>
      </rPr>
      <t>)</t>
    </r>
    <r>
      <rPr>
        <sz val="12"/>
        <rFont val="標楷體"/>
        <family val="4"/>
        <charset val="136"/>
      </rPr>
      <t>不動產投資</t>
    </r>
  </si>
  <si>
    <r>
      <t>(</t>
    </r>
    <r>
      <rPr>
        <sz val="12"/>
        <rFont val="標楷體"/>
        <family val="4"/>
        <charset val="136"/>
      </rPr>
      <t>三</t>
    </r>
    <r>
      <rPr>
        <sz val="12"/>
        <rFont val="Times New Roman"/>
        <family val="1"/>
      </rPr>
      <t>)</t>
    </r>
    <r>
      <rPr>
        <sz val="12"/>
        <rFont val="標楷體"/>
        <family val="4"/>
        <charset val="136"/>
      </rPr>
      <t>承受擔保品</t>
    </r>
    <r>
      <rPr>
        <sz val="12"/>
        <rFont val="Times New Roman"/>
        <family val="1"/>
      </rPr>
      <t>--</t>
    </r>
    <r>
      <rPr>
        <sz val="12"/>
        <rFont val="標楷體"/>
        <family val="4"/>
        <charset val="136"/>
      </rPr>
      <t>協議取得</t>
    </r>
  </si>
  <si>
    <r>
      <t>(</t>
    </r>
    <r>
      <rPr>
        <sz val="12"/>
        <rFont val="標楷體"/>
        <family val="4"/>
        <charset val="136"/>
      </rPr>
      <t>四</t>
    </r>
    <r>
      <rPr>
        <sz val="12"/>
        <rFont val="Times New Roman"/>
        <family val="1"/>
      </rPr>
      <t>)</t>
    </r>
    <r>
      <rPr>
        <sz val="12"/>
        <rFont val="標楷體"/>
        <family val="4"/>
        <charset val="136"/>
      </rPr>
      <t>承受擔保品</t>
    </r>
    <r>
      <rPr>
        <sz val="12"/>
        <rFont val="Times New Roman"/>
        <family val="1"/>
      </rPr>
      <t>--</t>
    </r>
    <r>
      <rPr>
        <sz val="12"/>
        <rFont val="標楷體"/>
        <family val="4"/>
        <charset val="136"/>
      </rPr>
      <t>經法院拍賣取得</t>
    </r>
  </si>
  <si>
    <r>
      <t>(</t>
    </r>
    <r>
      <rPr>
        <sz val="12"/>
        <rFont val="標楷體"/>
        <family val="4"/>
        <charset val="136"/>
      </rPr>
      <t>五</t>
    </r>
    <r>
      <rPr>
        <sz val="12"/>
        <rFont val="Times New Roman"/>
        <family val="1"/>
      </rPr>
      <t>)</t>
    </r>
    <r>
      <rPr>
        <sz val="12"/>
        <rFont val="標楷體"/>
        <family val="4"/>
        <charset val="136"/>
      </rPr>
      <t>預付房地款</t>
    </r>
  </si>
  <si>
    <r>
      <t>(</t>
    </r>
    <r>
      <rPr>
        <sz val="12"/>
        <rFont val="標楷體"/>
        <family val="4"/>
        <charset val="136"/>
      </rPr>
      <t>六</t>
    </r>
    <r>
      <rPr>
        <sz val="12"/>
        <rFont val="Times New Roman"/>
        <family val="1"/>
      </rPr>
      <t>)</t>
    </r>
    <r>
      <rPr>
        <sz val="12"/>
        <rFont val="標楷體"/>
        <family val="4"/>
        <charset val="136"/>
      </rPr>
      <t>未完工程</t>
    </r>
  </si>
  <si>
    <r>
      <t>1</t>
    </r>
    <r>
      <rPr>
        <sz val="12"/>
        <rFont val="標楷體"/>
        <family val="4"/>
        <charset val="136"/>
      </rPr>
      <t>、投資用</t>
    </r>
  </si>
  <si>
    <r>
      <t>2</t>
    </r>
    <r>
      <rPr>
        <sz val="12"/>
        <rFont val="標楷體"/>
        <family val="4"/>
        <charset val="136"/>
      </rPr>
      <t>、自用</t>
    </r>
  </si>
  <si>
    <r>
      <t>(</t>
    </r>
    <r>
      <rPr>
        <sz val="12"/>
        <rFont val="標楷體"/>
        <family val="4"/>
        <charset val="136"/>
      </rPr>
      <t>一</t>
    </r>
    <r>
      <rPr>
        <sz val="12"/>
        <rFont val="Times New Roman"/>
        <family val="1"/>
      </rPr>
      <t>)</t>
    </r>
    <r>
      <rPr>
        <sz val="12"/>
        <rFont val="標楷體"/>
        <family val="4"/>
        <charset val="136"/>
      </rPr>
      <t>具控制與從屬關係</t>
    </r>
    <phoneticPr fontId="26" type="noConversion"/>
  </si>
  <si>
    <r>
      <t>(</t>
    </r>
    <r>
      <rPr>
        <sz val="12"/>
        <rFont val="標楷體"/>
        <family val="4"/>
        <charset val="136"/>
      </rPr>
      <t>二</t>
    </r>
    <r>
      <rPr>
        <sz val="12"/>
        <rFont val="Times New Roman"/>
        <family val="1"/>
      </rPr>
      <t>)</t>
    </r>
    <r>
      <rPr>
        <sz val="12"/>
        <rFont val="標楷體"/>
        <family val="4"/>
        <charset val="136"/>
      </rPr>
      <t>非控制與從屬關係</t>
    </r>
    <phoneticPr fontId="26" type="noConversion"/>
  </si>
  <si>
    <r>
      <t>(</t>
    </r>
    <r>
      <rPr>
        <sz val="12"/>
        <rFont val="標楷體"/>
        <family val="4"/>
        <charset val="136"/>
      </rPr>
      <t>一</t>
    </r>
    <r>
      <rPr>
        <sz val="12"/>
        <rFont val="Times New Roman"/>
        <family val="1"/>
      </rPr>
      <t>)</t>
    </r>
    <r>
      <rPr>
        <sz val="12"/>
        <rFont val="標楷體"/>
        <family val="4"/>
        <charset val="136"/>
      </rPr>
      <t>壽險貸款</t>
    </r>
  </si>
  <si>
    <r>
      <t>(</t>
    </r>
    <r>
      <rPr>
        <sz val="12"/>
        <rFont val="標楷體"/>
        <family val="4"/>
        <charset val="136"/>
      </rPr>
      <t>二</t>
    </r>
    <r>
      <rPr>
        <sz val="12"/>
        <rFont val="Times New Roman"/>
        <family val="1"/>
      </rPr>
      <t>)</t>
    </r>
    <r>
      <rPr>
        <sz val="12"/>
        <rFont val="標楷體"/>
        <family val="4"/>
        <charset val="136"/>
      </rPr>
      <t>不動產擔保放款</t>
    </r>
  </si>
  <si>
    <r>
      <t>(</t>
    </r>
    <r>
      <rPr>
        <sz val="12"/>
        <rFont val="標楷體"/>
        <family val="4"/>
        <charset val="136"/>
      </rPr>
      <t>三</t>
    </r>
    <r>
      <rPr>
        <sz val="12"/>
        <rFont val="Times New Roman"/>
        <family val="1"/>
      </rPr>
      <t>)</t>
    </r>
    <r>
      <rPr>
        <sz val="12"/>
        <rFont val="標楷體"/>
        <family val="4"/>
        <charset val="136"/>
      </rPr>
      <t>動產擔保放款</t>
    </r>
  </si>
  <si>
    <r>
      <t>(</t>
    </r>
    <r>
      <rPr>
        <sz val="12"/>
        <rFont val="標楷體"/>
        <family val="4"/>
        <charset val="136"/>
      </rPr>
      <t>四</t>
    </r>
    <r>
      <rPr>
        <sz val="12"/>
        <rFont val="Times New Roman"/>
        <family val="1"/>
      </rPr>
      <t>)</t>
    </r>
    <r>
      <rPr>
        <sz val="12"/>
        <rFont val="標楷體"/>
        <family val="4"/>
        <charset val="136"/>
      </rPr>
      <t>有價證券質押放款</t>
    </r>
  </si>
  <si>
    <r>
      <t>(</t>
    </r>
    <r>
      <rPr>
        <sz val="12"/>
        <rFont val="標楷體"/>
        <family val="4"/>
        <charset val="136"/>
      </rPr>
      <t>五</t>
    </r>
    <r>
      <rPr>
        <sz val="12"/>
        <rFont val="Times New Roman"/>
        <family val="1"/>
      </rPr>
      <t>)</t>
    </r>
    <r>
      <rPr>
        <sz val="12"/>
        <rFont val="標楷體"/>
        <family val="4"/>
        <charset val="136"/>
      </rPr>
      <t>銀行保證放款</t>
    </r>
  </si>
  <si>
    <r>
      <t>(</t>
    </r>
    <r>
      <rPr>
        <sz val="12"/>
        <rFont val="標楷體"/>
        <family val="4"/>
        <charset val="136"/>
      </rPr>
      <t>一</t>
    </r>
    <r>
      <rPr>
        <sz val="12"/>
        <rFont val="Times New Roman"/>
        <family val="1"/>
      </rPr>
      <t>)</t>
    </r>
    <r>
      <rPr>
        <sz val="12"/>
        <rFont val="標楷體"/>
        <family val="4"/>
        <charset val="136"/>
      </rPr>
      <t>投資於已開發國家</t>
    </r>
  </si>
  <si>
    <r>
      <t>1.</t>
    </r>
    <r>
      <rPr>
        <sz val="12"/>
        <rFont val="標楷體"/>
        <family val="4"/>
        <charset val="136"/>
      </rPr>
      <t>現金及外幣存款</t>
    </r>
  </si>
  <si>
    <r>
      <t>2.</t>
    </r>
    <r>
      <rPr>
        <sz val="12"/>
        <rFont val="標楷體"/>
        <family val="4"/>
        <charset val="136"/>
      </rPr>
      <t>固定型收益投資</t>
    </r>
  </si>
  <si>
    <r>
      <t>(1)</t>
    </r>
    <r>
      <rPr>
        <sz val="12"/>
        <rFont val="標楷體"/>
        <family val="4"/>
        <charset val="136"/>
      </rPr>
      <t>公債</t>
    </r>
  </si>
  <si>
    <r>
      <t>(2)</t>
    </r>
    <r>
      <rPr>
        <sz val="12"/>
        <rFont val="標楷體"/>
        <family val="4"/>
        <charset val="136"/>
      </rPr>
      <t>公司債</t>
    </r>
  </si>
  <si>
    <r>
      <t>(3)</t>
    </r>
    <r>
      <rPr>
        <sz val="12"/>
        <rFont val="標楷體"/>
        <family val="4"/>
        <charset val="136"/>
      </rPr>
      <t>不動產投資信託基金</t>
    </r>
  </si>
  <si>
    <r>
      <t>(4)</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</si>
  <si>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(5)</t>
    </r>
    <r>
      <rPr>
        <sz val="12"/>
        <rFont val="標楷體"/>
        <family val="4"/>
        <charset val="136"/>
      </rPr>
      <t>其他</t>
    </r>
  </si>
  <si>
    <r>
      <t>a.</t>
    </r>
    <r>
      <rPr>
        <sz val="12"/>
        <rFont val="標楷體"/>
        <family val="4"/>
        <charset val="136"/>
      </rPr>
      <t>有信用評等者</t>
    </r>
  </si>
  <si>
    <r>
      <t>b.</t>
    </r>
    <r>
      <rPr>
        <sz val="12"/>
        <rFont val="標楷體"/>
        <family val="4"/>
        <charset val="136"/>
      </rPr>
      <t>無信用評等者</t>
    </r>
  </si>
  <si>
    <r>
      <t>3.</t>
    </r>
    <r>
      <rPr>
        <sz val="12"/>
        <rFont val="標楷體"/>
        <family val="4"/>
        <charset val="136"/>
      </rPr>
      <t>股票</t>
    </r>
    <phoneticPr fontId="26" type="noConversion"/>
  </si>
  <si>
    <r>
      <t>-</t>
    </r>
    <r>
      <rPr>
        <sz val="12"/>
        <rFont val="標楷體"/>
        <family val="4"/>
        <charset val="136"/>
      </rPr>
      <t>固定收益</t>
    </r>
    <phoneticPr fontId="29" type="noConversion"/>
  </si>
  <si>
    <r>
      <t>-</t>
    </r>
    <r>
      <rPr>
        <sz val="12"/>
        <rFont val="標楷體"/>
        <family val="4"/>
        <charset val="136"/>
      </rPr>
      <t>非固定收益</t>
    </r>
    <phoneticPr fontId="29" type="noConversion"/>
  </si>
  <si>
    <r>
      <t>4.</t>
    </r>
    <r>
      <rPr>
        <sz val="12"/>
        <rFont val="標楷體"/>
        <family val="4"/>
        <charset val="136"/>
      </rPr>
      <t>受益憑證及信託資金</t>
    </r>
    <r>
      <rPr>
        <sz val="12"/>
        <rFont val="Times New Roman"/>
        <family val="1"/>
      </rPr>
      <t>(</t>
    </r>
    <r>
      <rPr>
        <sz val="12"/>
        <rFont val="標楷體"/>
        <family val="4"/>
        <charset val="136"/>
      </rPr>
      <t>註</t>
    </r>
    <r>
      <rPr>
        <sz val="12"/>
        <rFont val="Times New Roman"/>
        <family val="1"/>
      </rPr>
      <t>5)</t>
    </r>
    <phoneticPr fontId="26" type="noConversion"/>
  </si>
  <si>
    <r>
      <t>5.</t>
    </r>
    <r>
      <rPr>
        <sz val="12"/>
        <rFont val="標楷體"/>
        <family val="4"/>
        <charset val="136"/>
      </rPr>
      <t>放款</t>
    </r>
    <phoneticPr fontId="26" type="noConversion"/>
  </si>
  <si>
    <r>
      <t>(1)</t>
    </r>
    <r>
      <rPr>
        <sz val="12"/>
        <rFont val="標楷體"/>
        <family val="4"/>
        <charset val="136"/>
      </rPr>
      <t>外幣保單放款</t>
    </r>
  </si>
  <si>
    <r>
      <t>(2)</t>
    </r>
    <r>
      <rPr>
        <sz val="12"/>
        <rFont val="標楷體"/>
        <family val="4"/>
        <charset val="136"/>
      </rPr>
      <t>其他</t>
    </r>
  </si>
  <si>
    <r>
      <t>6.</t>
    </r>
    <r>
      <rPr>
        <sz val="12"/>
        <rFont val="標楷體"/>
        <family val="4"/>
        <charset val="136"/>
      </rPr>
      <t>不動產</t>
    </r>
  </si>
  <si>
    <r>
      <t>7.</t>
    </r>
    <r>
      <rPr>
        <sz val="12"/>
        <rFont val="標楷體"/>
        <family val="4"/>
        <charset val="136"/>
      </rPr>
      <t>對沖基金</t>
    </r>
    <r>
      <rPr>
        <sz val="12"/>
        <rFont val="Times New Roman"/>
        <family val="1"/>
      </rPr>
      <t>(</t>
    </r>
    <r>
      <rPr>
        <sz val="12"/>
        <rFont val="標楷體"/>
        <family val="4"/>
        <charset val="136"/>
      </rPr>
      <t>註</t>
    </r>
    <r>
      <rPr>
        <sz val="12"/>
        <rFont val="Times New Roman"/>
        <family val="1"/>
      </rPr>
      <t>6)</t>
    </r>
  </si>
  <si>
    <r>
      <t>8.ETF-</t>
    </r>
    <r>
      <rPr>
        <sz val="12"/>
        <rFont val="標楷體"/>
        <family val="4"/>
        <charset val="136"/>
      </rPr>
      <t>股票型</t>
    </r>
  </si>
  <si>
    <r>
      <t>9.ETF-</t>
    </r>
    <r>
      <rPr>
        <sz val="12"/>
        <rFont val="標楷體"/>
        <family val="4"/>
        <charset val="136"/>
      </rPr>
      <t>債券型</t>
    </r>
  </si>
  <si>
    <r>
      <t>11.</t>
    </r>
    <r>
      <rPr>
        <sz val="12"/>
        <rFont val="標楷體"/>
        <family val="4"/>
        <charset val="136"/>
      </rPr>
      <t>其他</t>
    </r>
    <r>
      <rPr>
        <sz val="12"/>
        <rFont val="Times New Roman"/>
        <family val="1"/>
      </rPr>
      <t>(</t>
    </r>
    <r>
      <rPr>
        <sz val="12"/>
        <rFont val="標楷體"/>
        <family val="4"/>
        <charset val="136"/>
      </rPr>
      <t>註</t>
    </r>
    <r>
      <rPr>
        <sz val="12"/>
        <rFont val="Times New Roman"/>
        <family val="1"/>
      </rPr>
      <t>7)</t>
    </r>
    <phoneticPr fontId="29" type="noConversion"/>
  </si>
  <si>
    <r>
      <t>(1)</t>
    </r>
    <r>
      <rPr>
        <sz val="12"/>
        <rFont val="標楷體"/>
        <family val="4"/>
        <charset val="136"/>
      </rPr>
      <t>指數型基金</t>
    </r>
    <phoneticPr fontId="26" type="noConversion"/>
  </si>
  <si>
    <r>
      <t>(2)</t>
    </r>
    <r>
      <rPr>
        <sz val="12"/>
        <rFont val="標楷體"/>
        <family val="4"/>
        <charset val="136"/>
      </rPr>
      <t>私募基金</t>
    </r>
    <phoneticPr fontId="29" type="noConversion"/>
  </si>
  <si>
    <r>
      <t>(3)</t>
    </r>
    <r>
      <rPr>
        <sz val="12"/>
        <rFont val="標楷體"/>
        <family val="4"/>
        <charset val="136"/>
      </rPr>
      <t>基礎建設基金</t>
    </r>
    <phoneticPr fontId="29" type="noConversion"/>
  </si>
  <si>
    <r>
      <t>(4)</t>
    </r>
    <r>
      <rPr>
        <sz val="12"/>
        <rFont val="標楷體"/>
        <family val="4"/>
        <charset val="136"/>
      </rPr>
      <t>商品基金</t>
    </r>
    <phoneticPr fontId="29" type="noConversion"/>
  </si>
  <si>
    <r>
      <t>(5)</t>
    </r>
    <r>
      <rPr>
        <sz val="12"/>
        <rFont val="標楷體"/>
        <family val="4"/>
        <charset val="136"/>
      </rPr>
      <t>其他</t>
    </r>
    <phoneticPr fontId="29" type="noConversion"/>
  </si>
  <si>
    <r>
      <t>(</t>
    </r>
    <r>
      <rPr>
        <sz val="12"/>
        <rFont val="標楷體"/>
        <family val="4"/>
        <charset val="136"/>
      </rPr>
      <t>二</t>
    </r>
    <r>
      <rPr>
        <sz val="12"/>
        <rFont val="Times New Roman"/>
        <family val="1"/>
      </rPr>
      <t>)</t>
    </r>
    <r>
      <rPr>
        <sz val="12"/>
        <rFont val="標楷體"/>
        <family val="4"/>
        <charset val="136"/>
      </rPr>
      <t>投資於新興市場</t>
    </r>
    <phoneticPr fontId="29" type="noConversion"/>
  </si>
  <si>
    <r>
      <t>(1)</t>
    </r>
    <r>
      <rPr>
        <sz val="12"/>
        <rFont val="標楷體"/>
        <family val="4"/>
        <charset val="136"/>
      </rPr>
      <t>普通股</t>
    </r>
    <phoneticPr fontId="26" type="noConversion"/>
  </si>
  <si>
    <r>
      <t>(2)</t>
    </r>
    <r>
      <rPr>
        <sz val="12"/>
        <rFont val="標楷體"/>
        <family val="4"/>
        <charset val="136"/>
      </rPr>
      <t>特別股</t>
    </r>
    <phoneticPr fontId="26" type="noConversion"/>
  </si>
  <si>
    <r>
      <t>(1)</t>
    </r>
    <r>
      <rPr>
        <sz val="12"/>
        <rFont val="標楷體"/>
        <family val="4"/>
        <charset val="136"/>
      </rPr>
      <t>外幣保單放款</t>
    </r>
    <phoneticPr fontId="26" type="noConversion"/>
  </si>
  <si>
    <r>
      <t>(2)</t>
    </r>
    <r>
      <rPr>
        <sz val="12"/>
        <rFont val="標楷體"/>
        <family val="4"/>
        <charset val="136"/>
      </rPr>
      <t>其他</t>
    </r>
    <phoneticPr fontId="26" type="noConversion"/>
  </si>
  <si>
    <r>
      <t>(</t>
    </r>
    <r>
      <rPr>
        <sz val="12"/>
        <rFont val="標楷體"/>
        <family val="4"/>
        <charset val="136"/>
      </rPr>
      <t>一</t>
    </r>
    <r>
      <rPr>
        <sz val="12"/>
        <rFont val="Times New Roman"/>
        <family val="1"/>
      </rPr>
      <t>)</t>
    </r>
    <r>
      <rPr>
        <sz val="12"/>
        <rFont val="標楷體"/>
        <family val="4"/>
        <charset val="136"/>
      </rPr>
      <t>具控制與從屬關係</t>
    </r>
    <phoneticPr fontId="29" type="noConversion"/>
  </si>
  <si>
    <r>
      <t>1</t>
    </r>
    <r>
      <rPr>
        <sz val="12"/>
        <rFont val="標楷體"/>
        <family val="4"/>
        <charset val="136"/>
      </rPr>
      <t>、存款</t>
    </r>
  </si>
  <si>
    <r>
      <t>2</t>
    </r>
    <r>
      <rPr>
        <sz val="12"/>
        <rFont val="標楷體"/>
        <family val="4"/>
        <charset val="136"/>
      </rPr>
      <t>、放款</t>
    </r>
  </si>
  <si>
    <r>
      <t>3</t>
    </r>
    <r>
      <rPr>
        <sz val="12"/>
        <rFont val="標楷體"/>
        <family val="4"/>
        <charset val="136"/>
      </rPr>
      <t>、債券、票券、不動產受益證券及金融資產受益證券</t>
    </r>
    <r>
      <rPr>
        <sz val="12"/>
        <rFont val="Times New Roman"/>
        <family val="1"/>
      </rPr>
      <t>(</t>
    </r>
    <r>
      <rPr>
        <sz val="12"/>
        <rFont val="標楷體"/>
        <family val="4"/>
        <charset val="136"/>
      </rPr>
      <t>含資產基礎證券</t>
    </r>
    <r>
      <rPr>
        <sz val="12"/>
        <rFont val="Times New Roman"/>
        <family val="1"/>
      </rPr>
      <t>)</t>
    </r>
  </si>
  <si>
    <r>
      <t>4</t>
    </r>
    <r>
      <rPr>
        <sz val="12"/>
        <rFont val="標楷體"/>
        <family val="4"/>
        <charset val="136"/>
      </rPr>
      <t>、股票</t>
    </r>
  </si>
  <si>
    <r>
      <t>5</t>
    </r>
    <r>
      <rPr>
        <sz val="12"/>
        <rFont val="標楷體"/>
        <family val="4"/>
        <charset val="136"/>
      </rPr>
      <t>、不動產</t>
    </r>
  </si>
  <si>
    <r>
      <t>6</t>
    </r>
    <r>
      <rPr>
        <sz val="12"/>
        <rFont val="標楷體"/>
        <family val="4"/>
        <charset val="136"/>
      </rPr>
      <t>、受益憑證</t>
    </r>
  </si>
  <si>
    <r>
      <t>7</t>
    </r>
    <r>
      <rPr>
        <sz val="12"/>
        <rFont val="標楷體"/>
        <family val="4"/>
        <charset val="136"/>
      </rPr>
      <t>、其他投資</t>
    </r>
  </si>
  <si>
    <r>
      <t>(1)</t>
    </r>
    <r>
      <rPr>
        <sz val="12"/>
        <rFont val="標楷體"/>
        <family val="4"/>
        <charset val="136"/>
      </rPr>
      <t>基礎建設基金</t>
    </r>
  </si>
  <si>
    <r>
      <t>(2)</t>
    </r>
    <r>
      <rPr>
        <sz val="12"/>
        <rFont val="標楷體"/>
        <family val="4"/>
        <charset val="136"/>
      </rPr>
      <t>私募基金</t>
    </r>
  </si>
  <si>
    <r>
      <t>(</t>
    </r>
    <r>
      <rPr>
        <sz val="12"/>
        <rFont val="標楷體"/>
        <family val="4"/>
        <charset val="136"/>
      </rPr>
      <t>二</t>
    </r>
    <r>
      <rPr>
        <sz val="12"/>
        <rFont val="Times New Roman"/>
        <family val="1"/>
      </rPr>
      <t>)</t>
    </r>
    <r>
      <rPr>
        <sz val="12"/>
        <rFont val="標楷體"/>
        <family val="4"/>
        <charset val="136"/>
      </rPr>
      <t>非控制與從屬關係</t>
    </r>
    <phoneticPr fontId="29" type="noConversion"/>
  </si>
  <si>
    <r>
      <rPr>
        <sz val="12"/>
        <rFont val="標楷體"/>
        <family val="4"/>
        <charset val="136"/>
      </rPr>
      <t>專案運用公共及社會福利事業投資</t>
    </r>
  </si>
  <si>
    <r>
      <t>(</t>
    </r>
    <r>
      <rPr>
        <sz val="12"/>
        <rFont val="標楷體"/>
        <family val="4"/>
        <charset val="136"/>
      </rPr>
      <t>一</t>
    </r>
    <r>
      <rPr>
        <sz val="12"/>
        <rFont val="Times New Roman"/>
        <family val="1"/>
      </rPr>
      <t>)</t>
    </r>
    <r>
      <rPr>
        <sz val="12"/>
        <rFont val="標楷體"/>
        <family val="4"/>
        <charset val="136"/>
      </rPr>
      <t>政策性之專案運用公共及社會福利事業投資</t>
    </r>
    <phoneticPr fontId="29" type="noConversion"/>
  </si>
  <si>
    <r>
      <t>(</t>
    </r>
    <r>
      <rPr>
        <sz val="12"/>
        <rFont val="標楷體"/>
        <family val="4"/>
        <charset val="136"/>
      </rPr>
      <t>二</t>
    </r>
    <r>
      <rPr>
        <sz val="12"/>
        <rFont val="Times New Roman"/>
        <family val="1"/>
      </rPr>
      <t>)</t>
    </r>
    <r>
      <rPr>
        <sz val="12"/>
        <rFont val="標楷體"/>
        <family val="4"/>
        <charset val="136"/>
      </rPr>
      <t>創業投資</t>
    </r>
    <phoneticPr fontId="29" type="noConversion"/>
  </si>
  <si>
    <r>
      <t>(</t>
    </r>
    <r>
      <rPr>
        <sz val="12"/>
        <rFont val="標楷體"/>
        <family val="4"/>
        <charset val="136"/>
      </rPr>
      <t>三</t>
    </r>
    <r>
      <rPr>
        <sz val="12"/>
        <rFont val="Times New Roman"/>
        <family val="1"/>
      </rPr>
      <t>)</t>
    </r>
    <r>
      <rPr>
        <sz val="12"/>
        <rFont val="標楷體"/>
        <family val="4"/>
        <charset val="136"/>
      </rPr>
      <t>以股票方式投資（非創投）之專案運用公共及社會福利事業投資</t>
    </r>
    <phoneticPr fontId="29" type="noConversion"/>
  </si>
  <si>
    <r>
      <t>(</t>
    </r>
    <r>
      <rPr>
        <sz val="12"/>
        <rFont val="標楷體"/>
        <family val="4"/>
        <charset val="136"/>
      </rPr>
      <t>四</t>
    </r>
    <r>
      <rPr>
        <sz val="12"/>
        <rFont val="Times New Roman"/>
        <family val="1"/>
      </rPr>
      <t>)</t>
    </r>
    <r>
      <rPr>
        <sz val="12"/>
        <rFont val="標楷體"/>
        <family val="4"/>
        <charset val="136"/>
      </rPr>
      <t>放款</t>
    </r>
    <phoneticPr fontId="29" type="noConversion"/>
  </si>
  <si>
    <r>
      <t>1</t>
    </r>
    <r>
      <rPr>
        <sz val="12"/>
        <rFont val="標楷體"/>
        <family val="4"/>
        <charset val="136"/>
      </rPr>
      <t>、不動產擔保放款</t>
    </r>
  </si>
  <si>
    <r>
      <t>2</t>
    </r>
    <r>
      <rPr>
        <sz val="12"/>
        <rFont val="標楷體"/>
        <family val="4"/>
        <charset val="136"/>
      </rPr>
      <t>、動產擔保放款</t>
    </r>
  </si>
  <si>
    <r>
      <t>3</t>
    </r>
    <r>
      <rPr>
        <sz val="12"/>
        <rFont val="標楷體"/>
        <family val="4"/>
        <charset val="136"/>
      </rPr>
      <t>、有價證券質押放款</t>
    </r>
  </si>
  <si>
    <r>
      <t>4</t>
    </r>
    <r>
      <rPr>
        <sz val="12"/>
        <rFont val="標楷體"/>
        <family val="4"/>
        <charset val="136"/>
      </rPr>
      <t>、銀行保證放款</t>
    </r>
    <r>
      <rPr>
        <sz val="12"/>
        <rFont val="Times New Roman"/>
        <family val="1"/>
      </rPr>
      <t>(</t>
    </r>
    <r>
      <rPr>
        <sz val="12"/>
        <rFont val="標楷體"/>
        <family val="4"/>
        <charset val="136"/>
      </rPr>
      <t>註</t>
    </r>
    <r>
      <rPr>
        <sz val="12"/>
        <rFont val="Times New Roman"/>
        <family val="1"/>
      </rPr>
      <t>9)</t>
    </r>
  </si>
  <si>
    <r>
      <t>(</t>
    </r>
    <r>
      <rPr>
        <sz val="12"/>
        <rFont val="標楷體"/>
        <family val="4"/>
        <charset val="136"/>
      </rPr>
      <t>五</t>
    </r>
    <r>
      <rPr>
        <sz val="12"/>
        <rFont val="Times New Roman"/>
        <family val="1"/>
      </rPr>
      <t>)</t>
    </r>
    <r>
      <rPr>
        <sz val="12"/>
        <rFont val="標楷體"/>
        <family val="4"/>
        <charset val="136"/>
      </rPr>
      <t>公共投資及</t>
    </r>
    <r>
      <rPr>
        <sz val="12"/>
        <rFont val="Times New Roman"/>
        <family val="1"/>
      </rPr>
      <t>5+2</t>
    </r>
    <r>
      <rPr>
        <sz val="12"/>
        <rFont val="標楷體"/>
        <family val="4"/>
        <charset val="136"/>
      </rPr>
      <t>產業</t>
    </r>
    <r>
      <rPr>
        <sz val="12"/>
        <rFont val="Times New Roman"/>
        <family val="1"/>
      </rPr>
      <t>(</t>
    </r>
    <r>
      <rPr>
        <sz val="12"/>
        <rFont val="標楷體"/>
        <family val="4"/>
        <charset val="136"/>
      </rPr>
      <t>註</t>
    </r>
    <r>
      <rPr>
        <sz val="12"/>
        <rFont val="Times New Roman"/>
        <family val="1"/>
      </rPr>
      <t>10)</t>
    </r>
    <phoneticPr fontId="29" type="noConversion"/>
  </si>
  <si>
    <r>
      <t>(</t>
    </r>
    <r>
      <rPr>
        <sz val="12"/>
        <rFont val="標楷體"/>
        <family val="4"/>
        <charset val="136"/>
      </rPr>
      <t>六</t>
    </r>
    <r>
      <rPr>
        <sz val="12"/>
        <rFont val="Times New Roman"/>
        <family val="1"/>
      </rPr>
      <t>)</t>
    </r>
    <r>
      <rPr>
        <sz val="12"/>
        <rFont val="標楷體"/>
        <family val="4"/>
        <charset val="136"/>
      </rPr>
      <t>其他專案運用公共及社會福利事業投資</t>
    </r>
    <phoneticPr fontId="29" type="noConversion"/>
  </si>
  <si>
    <r>
      <t>(</t>
    </r>
    <r>
      <rPr>
        <sz val="12"/>
        <rFont val="標楷體"/>
        <family val="4"/>
        <charset val="136"/>
      </rPr>
      <t>三</t>
    </r>
    <r>
      <rPr>
        <sz val="12"/>
        <rFont val="Times New Roman"/>
        <family val="1"/>
      </rPr>
      <t>)</t>
    </r>
    <r>
      <rPr>
        <sz val="12"/>
        <rFont val="標楷體"/>
        <family val="4"/>
        <charset val="136"/>
      </rPr>
      <t>以股票方式投資之專案運用公共及社會福利事業投資</t>
    </r>
    <phoneticPr fontId="29" type="noConversion"/>
  </si>
  <si>
    <r>
      <t>(</t>
    </r>
    <r>
      <rPr>
        <sz val="12"/>
        <rFont val="標楷體"/>
        <family val="4"/>
        <charset val="136"/>
      </rPr>
      <t>四</t>
    </r>
    <r>
      <rPr>
        <sz val="12"/>
        <rFont val="Times New Roman"/>
        <family val="1"/>
      </rPr>
      <t>)</t>
    </r>
    <r>
      <rPr>
        <sz val="12"/>
        <rFont val="標楷體"/>
        <family val="4"/>
        <charset val="136"/>
      </rPr>
      <t>利害關係人放款</t>
    </r>
    <phoneticPr fontId="29" type="noConversion"/>
  </si>
  <si>
    <r>
      <rPr>
        <sz val="12"/>
        <rFont val="標楷體"/>
        <family val="4"/>
        <charset val="136"/>
      </rPr>
      <t>關係人其他投資</t>
    </r>
  </si>
  <si>
    <r>
      <rPr>
        <sz val="12"/>
        <rFont val="標楷體"/>
        <family val="4"/>
        <charset val="136"/>
      </rPr>
      <t>信託受益權</t>
    </r>
  </si>
  <si>
    <r>
      <rPr>
        <sz val="12"/>
        <rFont val="標楷體"/>
        <family val="4"/>
        <charset val="136"/>
      </rPr>
      <t>組合式存款</t>
    </r>
  </si>
  <si>
    <r>
      <rPr>
        <sz val="12"/>
        <rFont val="標楷體"/>
        <family val="4"/>
        <charset val="136"/>
      </rPr>
      <t>其他</t>
    </r>
  </si>
  <si>
    <r>
      <rPr>
        <sz val="12"/>
        <rFont val="標楷體"/>
        <family val="4"/>
        <charset val="136"/>
      </rPr>
      <t>非關係人其他投資</t>
    </r>
  </si>
  <si>
    <r>
      <rPr>
        <sz val="12"/>
        <rFont val="標楷體"/>
        <family val="4"/>
        <charset val="136"/>
      </rPr>
      <t>資金運用總計</t>
    </r>
  </si>
  <si>
    <r>
      <rPr>
        <sz val="12"/>
        <rFont val="標楷體"/>
        <family val="4"/>
        <charset val="136"/>
      </rPr>
      <t>自有資金</t>
    </r>
    <r>
      <rPr>
        <sz val="12"/>
        <rFont val="Times New Roman"/>
        <family val="1"/>
      </rPr>
      <t>(</t>
    </r>
    <r>
      <rPr>
        <sz val="12"/>
        <rFont val="標楷體"/>
        <family val="4"/>
        <charset val="136"/>
      </rPr>
      <t>業主權益</t>
    </r>
    <r>
      <rPr>
        <sz val="12"/>
        <rFont val="Times New Roman"/>
        <family val="1"/>
      </rPr>
      <t>)</t>
    </r>
  </si>
  <si>
    <r>
      <rPr>
        <sz val="12"/>
        <rFont val="標楷體"/>
        <family val="4"/>
        <charset val="136"/>
      </rPr>
      <t>軍保資金</t>
    </r>
  </si>
  <si>
    <r>
      <rPr>
        <sz val="12"/>
        <rFont val="標楷體"/>
        <family val="4"/>
        <charset val="136"/>
      </rPr>
      <t>各種責任準備金</t>
    </r>
  </si>
  <si>
    <r>
      <rPr>
        <sz val="12"/>
        <rFont val="標楷體"/>
        <family val="4"/>
        <charset val="136"/>
      </rPr>
      <t>壽險責任準備金</t>
    </r>
    <phoneticPr fontId="26" type="noConversion"/>
  </si>
  <si>
    <r>
      <rPr>
        <sz val="12"/>
        <rFont val="標楷體"/>
        <family val="4"/>
        <charset val="136"/>
      </rPr>
      <t>負債適足準備金</t>
    </r>
    <phoneticPr fontId="29" type="noConversion"/>
  </si>
  <si>
    <r>
      <rPr>
        <sz val="12"/>
        <rFont val="標楷體"/>
        <family val="4"/>
        <charset val="136"/>
      </rPr>
      <t>具金融商品性質之保險契約準備金</t>
    </r>
    <phoneticPr fontId="29" type="noConversion"/>
  </si>
  <si>
    <r>
      <rPr>
        <sz val="12"/>
        <rFont val="標楷體"/>
        <family val="4"/>
        <charset val="136"/>
      </rPr>
      <t>外匯價格變動準備</t>
    </r>
    <phoneticPr fontId="29" type="noConversion"/>
  </si>
  <si>
    <r>
      <rPr>
        <sz val="12"/>
        <rFont val="標楷體"/>
        <family val="4"/>
        <charset val="136"/>
      </rPr>
      <t>資金來源總計</t>
    </r>
  </si>
  <si>
    <r>
      <rPr>
        <sz val="12"/>
        <rFont val="標楷體"/>
        <family val="4"/>
        <charset val="136"/>
      </rPr>
      <t>列號</t>
    </r>
  </si>
  <si>
    <r>
      <rPr>
        <sz val="12"/>
        <rFont val="標楷體"/>
        <family val="4"/>
        <charset val="136"/>
      </rPr>
      <t>證券種類</t>
    </r>
  </si>
  <si>
    <r>
      <rPr>
        <sz val="12"/>
        <rFont val="標楷體"/>
        <family val="4"/>
        <charset val="136"/>
      </rPr>
      <t>證券種類小計</t>
    </r>
    <phoneticPr fontId="32" type="noConversion"/>
  </si>
  <si>
    <r>
      <t>ETF-</t>
    </r>
    <r>
      <rPr>
        <sz val="12"/>
        <rFont val="標楷體"/>
        <family val="4"/>
        <charset val="136"/>
      </rPr>
      <t>股票型</t>
    </r>
    <phoneticPr fontId="29" type="noConversion"/>
  </si>
  <si>
    <r>
      <rPr>
        <sz val="12"/>
        <rFont val="標楷體"/>
        <family val="4"/>
        <charset val="136"/>
      </rPr>
      <t>最近期成交日公允價值總金額</t>
    </r>
    <phoneticPr fontId="29" type="noConversion"/>
  </si>
  <si>
    <r>
      <rPr>
        <b/>
        <sz val="12"/>
        <rFont val="標楷體"/>
        <family val="4"/>
        <charset val="136"/>
      </rPr>
      <t>證券代號</t>
    </r>
  </si>
  <si>
    <r>
      <rPr>
        <b/>
        <sz val="12"/>
        <rFont val="標楷體"/>
        <family val="4"/>
        <charset val="136"/>
      </rPr>
      <t>證券名稱</t>
    </r>
  </si>
  <si>
    <r>
      <rPr>
        <b/>
        <sz val="12"/>
        <rFont val="標楷體"/>
        <family val="4"/>
        <charset val="136"/>
      </rPr>
      <t>證券種類</t>
    </r>
  </si>
  <si>
    <r>
      <rPr>
        <b/>
        <sz val="12"/>
        <rFont val="標楷體"/>
        <family val="4"/>
        <charset val="136"/>
      </rPr>
      <t>證券順位</t>
    </r>
  </si>
  <si>
    <r>
      <rPr>
        <b/>
        <sz val="12"/>
        <rFont val="標楷體"/>
        <family val="4"/>
        <charset val="136"/>
      </rPr>
      <t>募集方式</t>
    </r>
  </si>
  <si>
    <r>
      <rPr>
        <b/>
        <sz val="12"/>
        <rFont val="標楷體"/>
        <family val="4"/>
        <charset val="136"/>
      </rPr>
      <t>交易種類</t>
    </r>
  </si>
  <si>
    <r>
      <rPr>
        <b/>
        <sz val="12"/>
        <rFont val="標楷體"/>
        <family val="4"/>
        <charset val="136"/>
      </rPr>
      <t>投資型態</t>
    </r>
  </si>
  <si>
    <r>
      <rPr>
        <b/>
        <sz val="12"/>
        <rFont val="標楷體"/>
        <family val="4"/>
        <charset val="136"/>
      </rPr>
      <t>證券信用評等</t>
    </r>
  </si>
  <si>
    <r>
      <rPr>
        <b/>
        <sz val="12"/>
        <rFont val="標楷體"/>
        <family val="4"/>
        <charset val="136"/>
      </rPr>
      <t>發行機構</t>
    </r>
  </si>
  <si>
    <r>
      <rPr>
        <b/>
        <sz val="12"/>
        <rFont val="標楷體"/>
        <family val="4"/>
        <charset val="136"/>
      </rPr>
      <t>保證機構</t>
    </r>
  </si>
  <si>
    <r>
      <rPr>
        <b/>
        <sz val="12"/>
        <rFont val="標楷體"/>
        <family val="4"/>
        <charset val="136"/>
      </rPr>
      <t>持有資產幣別</t>
    </r>
  </si>
  <si>
    <r>
      <rPr>
        <b/>
        <sz val="12"/>
        <rFont val="標楷體"/>
        <family val="4"/>
        <charset val="136"/>
      </rPr>
      <t>到期
年月日</t>
    </r>
  </si>
  <si>
    <r>
      <rPr>
        <b/>
        <sz val="12"/>
        <rFont val="標楷體"/>
        <family val="4"/>
        <charset val="136"/>
      </rPr>
      <t>票面年利率</t>
    </r>
  </si>
  <si>
    <r>
      <rPr>
        <b/>
        <sz val="12"/>
        <rFont val="標楷體"/>
        <family val="4"/>
        <charset val="136"/>
      </rPr>
      <t>付息方式</t>
    </r>
  </si>
  <si>
    <r>
      <rPr>
        <b/>
        <sz val="12"/>
        <rFont val="標楷體"/>
        <family val="4"/>
        <charset val="136"/>
      </rPr>
      <t>面值總金額</t>
    </r>
  </si>
  <si>
    <r>
      <rPr>
        <b/>
        <sz val="12"/>
        <rFont val="標楷體"/>
        <family val="4"/>
        <charset val="136"/>
      </rPr>
      <t>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29" type="noConversion"/>
  </si>
  <si>
    <r>
      <rPr>
        <b/>
        <sz val="12"/>
        <rFont val="標楷體"/>
        <family val="4"/>
        <charset val="136"/>
      </rPr>
      <t>最近期成交日公允價值總金額</t>
    </r>
    <phoneticPr fontId="29" type="noConversion"/>
  </si>
  <si>
    <r>
      <rPr>
        <b/>
        <sz val="12"/>
        <rFont val="標楷體"/>
        <family val="4"/>
        <charset val="136"/>
      </rPr>
      <t>未實現損益</t>
    </r>
    <phoneticPr fontId="32" type="noConversion"/>
  </si>
  <si>
    <r>
      <rPr>
        <b/>
        <sz val="12"/>
        <rFont val="標楷體"/>
        <family val="4"/>
        <charset val="136"/>
      </rPr>
      <t>帳載金額占資金總額比率</t>
    </r>
    <r>
      <rPr>
        <b/>
        <sz val="12"/>
        <rFont val="Times New Roman"/>
        <family val="1"/>
      </rPr>
      <t>%</t>
    </r>
    <phoneticPr fontId="29" type="noConversion"/>
  </si>
  <si>
    <r>
      <rPr>
        <b/>
        <sz val="12"/>
        <rFont val="標楷體"/>
        <family val="4"/>
        <charset val="136"/>
      </rPr>
      <t>保管情形</t>
    </r>
  </si>
  <si>
    <r>
      <t xml:space="preserve"> </t>
    </r>
    <r>
      <rPr>
        <b/>
        <sz val="12"/>
        <rFont val="標楷體"/>
        <family val="4"/>
        <charset val="136"/>
      </rPr>
      <t>取得成本</t>
    </r>
    <phoneticPr fontId="29"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</si>
  <si>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15)</t>
    </r>
    <phoneticPr fontId="29" type="noConversion"/>
  </si>
  <si>
    <r>
      <rPr>
        <b/>
        <sz val="12"/>
        <rFont val="標楷體"/>
        <family val="4"/>
        <charset val="136"/>
      </rPr>
      <t>信用評等機構</t>
    </r>
  </si>
  <si>
    <r>
      <rPr>
        <b/>
        <sz val="12"/>
        <rFont val="標楷體"/>
        <family val="4"/>
        <charset val="136"/>
      </rPr>
      <t>評等等級</t>
    </r>
  </si>
  <si>
    <r>
      <rPr>
        <b/>
        <sz val="12"/>
        <rFont val="標楷體"/>
        <family val="4"/>
        <charset val="136"/>
      </rPr>
      <t>代號</t>
    </r>
  </si>
  <si>
    <r>
      <rPr>
        <b/>
        <sz val="12"/>
        <rFont val="標楷體"/>
        <family val="4"/>
        <charset val="136"/>
      </rPr>
      <t>名稱</t>
    </r>
  </si>
  <si>
    <r>
      <rPr>
        <b/>
        <sz val="12"/>
        <rFont val="標楷體"/>
        <family val="4"/>
        <charset val="136"/>
      </rPr>
      <t>是否為關係人</t>
    </r>
  </si>
  <si>
    <r>
      <rPr>
        <b/>
        <sz val="12"/>
        <rFont val="標楷體"/>
        <family val="4"/>
        <charset val="136"/>
      </rPr>
      <t>非以公允價值評價者</t>
    </r>
    <phoneticPr fontId="26" type="noConversion"/>
  </si>
  <si>
    <r>
      <rPr>
        <b/>
        <sz val="12"/>
        <rFont val="標楷體"/>
        <family val="4"/>
        <charset val="136"/>
      </rPr>
      <t>以公允價值評價者</t>
    </r>
  </si>
  <si>
    <t>(31)</t>
    <phoneticPr fontId="26" type="noConversion"/>
  </si>
  <si>
    <r>
      <rPr>
        <sz val="12"/>
        <rFont val="標楷體"/>
        <family val="4"/>
        <charset val="136"/>
      </rPr>
      <t>單位：新台幣元</t>
    </r>
    <r>
      <rPr>
        <sz val="12"/>
        <rFont val="Times New Roman"/>
        <family val="1"/>
      </rPr>
      <t>, %</t>
    </r>
    <phoneticPr fontId="29" type="noConversion"/>
  </si>
  <si>
    <t>註：</t>
    <phoneticPr fontId="26" type="noConversion"/>
  </si>
  <si>
    <t>證券代號及發行機構代號請洽由財團法人保險事業發展中心統一配賦。</t>
    <phoneticPr fontId="29" type="noConversion"/>
  </si>
  <si>
    <r>
      <rPr>
        <sz val="12"/>
        <rFont val="標楷體"/>
        <family val="4"/>
        <charset val="136"/>
      </rPr>
      <t>證券種類請填列</t>
    </r>
    <r>
      <rPr>
        <sz val="12"/>
        <rFont val="Times New Roman"/>
        <family val="1"/>
      </rPr>
      <t>A.</t>
    </r>
    <r>
      <rPr>
        <sz val="12"/>
        <rFont val="標楷體"/>
        <family val="4"/>
        <charset val="136"/>
      </rPr>
      <t>金融債券</t>
    </r>
    <r>
      <rPr>
        <sz val="12"/>
        <rFont val="Times New Roman"/>
        <family val="1"/>
      </rPr>
      <t>, B.</t>
    </r>
    <r>
      <rPr>
        <sz val="12"/>
        <rFont val="標楷體"/>
        <family val="4"/>
        <charset val="136"/>
      </rPr>
      <t>可轉讓定期存單</t>
    </r>
    <r>
      <rPr>
        <sz val="12"/>
        <rFont val="Times New Roman"/>
        <family val="1"/>
      </rPr>
      <t>, C.</t>
    </r>
    <r>
      <rPr>
        <sz val="12"/>
        <rFont val="標楷體"/>
        <family val="4"/>
        <charset val="136"/>
      </rPr>
      <t>銀行承兌匯票</t>
    </r>
    <r>
      <rPr>
        <sz val="12"/>
        <rFont val="Times New Roman"/>
        <family val="1"/>
      </rPr>
      <t>, D.</t>
    </r>
    <r>
      <rPr>
        <sz val="12"/>
        <rFont val="標楷體"/>
        <family val="4"/>
        <charset val="136"/>
      </rPr>
      <t>金融機構保證商業本票</t>
    </r>
    <r>
      <rPr>
        <sz val="12"/>
        <rFont val="Times New Roman"/>
        <family val="1"/>
      </rPr>
      <t>, E.</t>
    </r>
    <r>
      <rPr>
        <sz val="12"/>
        <rFont val="標楷體"/>
        <family val="4"/>
        <charset val="136"/>
      </rPr>
      <t>附買回條件債券投資</t>
    </r>
    <r>
      <rPr>
        <sz val="12"/>
        <rFont val="Times New Roman"/>
        <family val="1"/>
      </rPr>
      <t>, F.</t>
    </r>
    <r>
      <rPr>
        <sz val="12"/>
        <rFont val="標楷體"/>
        <family val="4"/>
        <charset val="136"/>
      </rPr>
      <t>結構型債券</t>
    </r>
    <r>
      <rPr>
        <sz val="12"/>
        <rFont val="Times New Roman"/>
        <family val="1"/>
      </rPr>
      <t>, G.</t>
    </r>
    <r>
      <rPr>
        <sz val="12"/>
        <rFont val="標楷體"/>
        <family val="4"/>
        <charset val="136"/>
      </rPr>
      <t>金融資產受益證券及資產基礎證券</t>
    </r>
    <r>
      <rPr>
        <sz val="12"/>
        <rFont val="Times New Roman"/>
        <family val="1"/>
      </rPr>
      <t xml:space="preserve">, </t>
    </r>
    <phoneticPr fontId="26" type="noConversion"/>
  </si>
  <si>
    <r>
      <rPr>
        <sz val="12"/>
        <rFont val="標楷體"/>
        <family val="4"/>
        <charset val="136"/>
      </rPr>
      <t>債券順位若屬第一順位請填</t>
    </r>
    <r>
      <rPr>
        <sz val="12"/>
        <rFont val="Times New Roman"/>
        <family val="1"/>
      </rPr>
      <t>1</t>
    </r>
    <r>
      <rPr>
        <sz val="12"/>
        <rFont val="標楷體"/>
        <family val="4"/>
        <charset val="136"/>
      </rPr>
      <t>，若屬第二順位請填</t>
    </r>
    <r>
      <rPr>
        <sz val="12"/>
        <rFont val="Times New Roman"/>
        <family val="1"/>
      </rPr>
      <t>2</t>
    </r>
    <r>
      <rPr>
        <sz val="12"/>
        <rFont val="標楷體"/>
        <family val="4"/>
        <charset val="136"/>
      </rPr>
      <t>，以下類推</t>
    </r>
    <r>
      <rPr>
        <sz val="12"/>
        <rFont val="Times New Roman"/>
        <family val="1"/>
      </rPr>
      <t>,</t>
    </r>
    <r>
      <rPr>
        <sz val="12"/>
        <rFont val="標楷體"/>
        <family val="4"/>
        <charset val="136"/>
      </rPr>
      <t>無順位者請填無。</t>
    </r>
    <phoneticPr fontId="29" type="noConversion"/>
  </si>
  <si>
    <r>
      <rPr>
        <sz val="12"/>
        <rFont val="標楷體"/>
        <family val="4"/>
        <charset val="136"/>
      </rPr>
      <t>募集方式請依序填</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phoneticPr fontId="29" type="noConversion"/>
  </si>
  <si>
    <r>
      <rPr>
        <sz val="12"/>
        <rFont val="標楷體"/>
        <family val="4"/>
        <charset val="136"/>
      </rPr>
      <t>交易種類請依序填</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29" type="noConversion"/>
  </si>
  <si>
    <r>
      <rPr>
        <sz val="12"/>
        <rFont val="標楷體"/>
        <family val="4"/>
        <charset val="136"/>
      </rPr>
      <t>投資型態請填</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 D.</t>
    </r>
    <r>
      <rPr>
        <sz val="12"/>
        <rFont val="標楷體"/>
        <family val="4"/>
        <charset val="136"/>
      </rPr>
      <t>約當現金</t>
    </r>
    <r>
      <rPr>
        <sz val="12"/>
        <rFont val="Times New Roman"/>
        <family val="1"/>
      </rPr>
      <t>, E.</t>
    </r>
    <r>
      <rPr>
        <sz val="12"/>
        <rFont val="標楷體"/>
        <family val="4"/>
        <charset val="136"/>
      </rPr>
      <t>其他金融資產。</t>
    </r>
    <phoneticPr fontId="29" type="noConversion"/>
  </si>
  <si>
    <r>
      <rPr>
        <sz val="12"/>
        <rFont val="標楷體"/>
        <family val="4"/>
        <charset val="136"/>
      </rPr>
      <t>信用評等機構填列如</t>
    </r>
    <r>
      <rPr>
        <sz val="12"/>
        <rFont val="Times New Roman"/>
        <family val="1"/>
      </rPr>
      <t>A.S&amp;P, B.AM Best, C.Moody's, D.Fitch, E.tw, F.</t>
    </r>
    <r>
      <rPr>
        <sz val="12"/>
        <rFont val="標楷體"/>
        <family val="4"/>
        <charset val="136"/>
      </rPr>
      <t>其他</t>
    </r>
    <r>
      <rPr>
        <sz val="12"/>
        <rFont val="Times New Roman"/>
        <family val="1"/>
      </rPr>
      <t xml:space="preserve">, </t>
    </r>
    <r>
      <rPr>
        <sz val="12"/>
        <rFont val="標楷體"/>
        <family val="4"/>
        <charset val="136"/>
      </rPr>
      <t>若無信用評等者請填無。</t>
    </r>
    <phoneticPr fontId="26" type="noConversion"/>
  </si>
  <si>
    <r>
      <rPr>
        <sz val="12"/>
        <rFont val="標楷體"/>
        <family val="4"/>
        <charset val="136"/>
      </rPr>
      <t>評等等級請依信用評等機構所列填寫</t>
    </r>
    <r>
      <rPr>
        <sz val="12"/>
        <rFont val="Times New Roman"/>
        <family val="1"/>
      </rPr>
      <t>,</t>
    </r>
    <r>
      <rPr>
        <sz val="12"/>
        <rFont val="標楷體"/>
        <family val="4"/>
        <charset val="136"/>
      </rPr>
      <t>並以最近一年之評等資料填寫</t>
    </r>
    <r>
      <rPr>
        <sz val="12"/>
        <rFont val="Times New Roman"/>
        <family val="1"/>
      </rPr>
      <t>,</t>
    </r>
    <r>
      <rPr>
        <sz val="12"/>
        <rFont val="標楷體"/>
        <family val="4"/>
        <charset val="136"/>
      </rPr>
      <t>若無信用評等者請填無。</t>
    </r>
    <phoneticPr fontId="29"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</si>
  <si>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t>
    </r>
    <phoneticPr fontId="29"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</si>
  <si>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29" type="noConversion"/>
  </si>
  <si>
    <r>
      <rPr>
        <sz val="12"/>
        <rFont val="標楷體"/>
        <family val="4"/>
        <charset val="136"/>
      </rPr>
      <t>本表均含國內外投資</t>
    </r>
    <r>
      <rPr>
        <sz val="12"/>
        <rFont val="Times New Roman"/>
        <family val="1"/>
      </rPr>
      <t>,</t>
    </r>
    <r>
      <rPr>
        <sz val="12"/>
        <rFont val="標楷體"/>
        <family val="4"/>
        <charset val="136"/>
      </rPr>
      <t>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29" type="noConversion"/>
  </si>
  <si>
    <r>
      <rPr>
        <sz val="12"/>
        <rFont val="標楷體"/>
        <family val="4"/>
        <charset val="136"/>
      </rPr>
      <t>到期年月日填寫方式為</t>
    </r>
    <r>
      <rPr>
        <sz val="12"/>
        <rFont val="Times New Roman"/>
        <family val="1"/>
      </rPr>
      <t>2005/06/25</t>
    </r>
    <phoneticPr fontId="29" type="noConversion"/>
  </si>
  <si>
    <r>
      <rPr>
        <sz val="12"/>
        <rFont val="標楷體"/>
        <family val="4"/>
        <charset val="136"/>
      </rPr>
      <t>付息方式請依序填列</t>
    </r>
    <r>
      <rPr>
        <sz val="12"/>
        <rFont val="Times New Roman"/>
        <family val="1"/>
      </rPr>
      <t>A.</t>
    </r>
    <r>
      <rPr>
        <sz val="12"/>
        <rFont val="標楷體"/>
        <family val="4"/>
        <charset val="136"/>
      </rPr>
      <t>每二年付息一次</t>
    </r>
    <r>
      <rPr>
        <sz val="12"/>
        <rFont val="Times New Roman"/>
        <family val="1"/>
      </rPr>
      <t>, B.</t>
    </r>
    <r>
      <rPr>
        <sz val="12"/>
        <rFont val="標楷體"/>
        <family val="4"/>
        <charset val="136"/>
      </rPr>
      <t>每一年付息一次</t>
    </r>
    <r>
      <rPr>
        <sz val="12"/>
        <rFont val="Times New Roman"/>
        <family val="1"/>
      </rPr>
      <t>, C.</t>
    </r>
    <r>
      <rPr>
        <sz val="12"/>
        <rFont val="標楷體"/>
        <family val="4"/>
        <charset val="136"/>
      </rPr>
      <t>每半年付息一次</t>
    </r>
    <r>
      <rPr>
        <sz val="12"/>
        <rFont val="Times New Roman"/>
        <family val="1"/>
      </rPr>
      <t>, D.</t>
    </r>
    <r>
      <rPr>
        <sz val="12"/>
        <rFont val="標楷體"/>
        <family val="4"/>
        <charset val="136"/>
      </rPr>
      <t>每季付息一次</t>
    </r>
    <r>
      <rPr>
        <sz val="12"/>
        <rFont val="Times New Roman"/>
        <family val="1"/>
      </rPr>
      <t>, E.</t>
    </r>
    <r>
      <rPr>
        <sz val="12"/>
        <rFont val="標楷體"/>
        <family val="4"/>
        <charset val="136"/>
      </rPr>
      <t>每月付息一次</t>
    </r>
    <r>
      <rPr>
        <sz val="12"/>
        <rFont val="Times New Roman"/>
        <family val="1"/>
      </rPr>
      <t>, F.</t>
    </r>
    <r>
      <rPr>
        <sz val="12"/>
        <rFont val="標楷體"/>
        <family val="4"/>
        <charset val="136"/>
      </rPr>
      <t>不付息</t>
    </r>
    <r>
      <rPr>
        <sz val="12"/>
        <rFont val="Times New Roman"/>
        <family val="1"/>
      </rPr>
      <t>, G.</t>
    </r>
    <r>
      <rPr>
        <sz val="12"/>
        <rFont val="標楷體"/>
        <family val="4"/>
        <charset val="136"/>
      </rPr>
      <t>其他。</t>
    </r>
    <phoneticPr fontId="29" type="noConversion"/>
  </si>
  <si>
    <r>
      <rPr>
        <sz val="12"/>
        <rFont val="標楷體"/>
        <family val="4"/>
        <charset val="136"/>
      </rPr>
      <t>保管情形請填保管機構名稱及帳號，若屬集保帳戶請填集保。</t>
    </r>
    <phoneticPr fontId="29" type="noConversion"/>
  </si>
  <si>
    <r>
      <rPr>
        <sz val="12"/>
        <rFont val="標楷體"/>
        <family val="4"/>
        <charset val="136"/>
      </rPr>
      <t>金融債到期日如為永久，按</t>
    </r>
    <r>
      <rPr>
        <sz val="12"/>
        <rFont val="Times New Roman"/>
        <family val="1"/>
      </rPr>
      <t>9999/99/99</t>
    </r>
    <r>
      <rPr>
        <sz val="12"/>
        <rFont val="標楷體"/>
        <family val="4"/>
        <charset val="136"/>
      </rPr>
      <t>填列。</t>
    </r>
    <phoneticPr fontId="29" type="noConversion"/>
  </si>
  <si>
    <t>15</t>
    <phoneticPr fontId="29" type="noConversion"/>
  </si>
  <si>
    <r>
      <rPr>
        <b/>
        <sz val="12"/>
        <rFont val="標楷體"/>
        <family val="4"/>
        <charset val="136"/>
      </rPr>
      <t>國內投資</t>
    </r>
  </si>
  <si>
    <r>
      <rPr>
        <b/>
        <sz val="12"/>
        <rFont val="標楷體"/>
        <family val="4"/>
        <charset val="136"/>
      </rPr>
      <t>國外投資</t>
    </r>
  </si>
  <si>
    <r>
      <t xml:space="preserve"> </t>
    </r>
    <r>
      <rPr>
        <b/>
        <sz val="12"/>
        <rFont val="標楷體"/>
        <family val="4"/>
        <charset val="136"/>
      </rPr>
      <t>國內外投資合計</t>
    </r>
    <r>
      <rPr>
        <b/>
        <sz val="12"/>
        <rFont val="Times New Roman"/>
        <family val="1"/>
      </rPr>
      <t xml:space="preserve">     </t>
    </r>
  </si>
  <si>
    <r>
      <rPr>
        <b/>
        <sz val="12"/>
        <rFont val="標楷體"/>
        <family val="4"/>
        <charset val="136"/>
      </rPr>
      <t>占資金總額比率</t>
    </r>
  </si>
  <si>
    <r>
      <rPr>
        <b/>
        <sz val="12"/>
        <rFont val="標楷體"/>
        <family val="4"/>
        <charset val="136"/>
      </rPr>
      <t>未實現損益</t>
    </r>
    <r>
      <rPr>
        <b/>
        <sz val="12"/>
        <rFont val="Times New Roman"/>
        <family val="1"/>
      </rPr>
      <t>-</t>
    </r>
    <r>
      <rPr>
        <b/>
        <sz val="12"/>
        <rFont val="標楷體"/>
        <family val="4"/>
        <charset val="136"/>
      </rPr>
      <t>非以公允價值評價者</t>
    </r>
    <phoneticPr fontId="32" type="noConversion"/>
  </si>
  <si>
    <r>
      <rPr>
        <b/>
        <sz val="12"/>
        <rFont val="標楷體"/>
        <family val="4"/>
        <charset val="136"/>
      </rPr>
      <t>未實現損益</t>
    </r>
    <r>
      <rPr>
        <b/>
        <sz val="12"/>
        <rFont val="Times New Roman"/>
        <family val="1"/>
      </rPr>
      <t>-</t>
    </r>
    <r>
      <rPr>
        <b/>
        <sz val="12"/>
        <rFont val="標楷體"/>
        <family val="4"/>
        <charset val="136"/>
      </rPr>
      <t>以公允價值評價者</t>
    </r>
  </si>
  <si>
    <r>
      <rPr>
        <sz val="12"/>
        <rFont val="標楷體"/>
        <family val="4"/>
        <charset val="136"/>
      </rPr>
      <t>總計</t>
    </r>
    <r>
      <rPr>
        <sz val="12"/>
        <rFont val="Times New Roman"/>
        <family val="1"/>
      </rPr>
      <t>(</t>
    </r>
    <r>
      <rPr>
        <sz val="12"/>
        <rFont val="標楷體"/>
        <family val="4"/>
        <charset val="136"/>
      </rPr>
      <t>種類</t>
    </r>
    <r>
      <rPr>
        <sz val="12"/>
        <rFont val="Times New Roman"/>
        <family val="1"/>
      </rPr>
      <t>)</t>
    </r>
  </si>
  <si>
    <r>
      <rPr>
        <sz val="12"/>
        <rFont val="標楷體"/>
        <family val="4"/>
        <charset val="136"/>
      </rPr>
      <t>金融債券</t>
    </r>
  </si>
  <si>
    <r>
      <rPr>
        <sz val="12"/>
        <rFont val="標楷體"/>
        <family val="4"/>
        <charset val="136"/>
      </rPr>
      <t>可轉讓定期存單</t>
    </r>
  </si>
  <si>
    <r>
      <rPr>
        <sz val="12"/>
        <rFont val="標楷體"/>
        <family val="4"/>
        <charset val="136"/>
      </rPr>
      <t>銀行承兌匯票</t>
    </r>
  </si>
  <si>
    <r>
      <rPr>
        <sz val="12"/>
        <rFont val="標楷體"/>
        <family val="4"/>
        <charset val="136"/>
      </rPr>
      <t>金融機構保證商業本票</t>
    </r>
  </si>
  <si>
    <r>
      <rPr>
        <sz val="12"/>
        <rFont val="標楷體"/>
        <family val="4"/>
        <charset val="136"/>
      </rPr>
      <t>附買回條件債券投資</t>
    </r>
    <phoneticPr fontId="26" type="noConversion"/>
  </si>
  <si>
    <r>
      <rPr>
        <sz val="12"/>
        <rFont val="標楷體"/>
        <family val="4"/>
        <charset val="136"/>
      </rPr>
      <t>結構型債券</t>
    </r>
  </si>
  <si>
    <r>
      <rPr>
        <sz val="12"/>
        <rFont val="標楷體"/>
        <family val="4"/>
        <charset val="136"/>
      </rPr>
      <t>不動產資產信託受益證券</t>
    </r>
    <r>
      <rPr>
        <sz val="12"/>
        <rFont val="Times New Roman"/>
        <family val="1"/>
      </rPr>
      <t>(REAT)</t>
    </r>
    <phoneticPr fontId="26" type="noConversion"/>
  </si>
  <si>
    <r>
      <rPr>
        <sz val="12"/>
        <rFont val="標楷體"/>
        <family val="4"/>
        <charset val="136"/>
      </rPr>
      <t>不動產投資信託受益證券</t>
    </r>
    <r>
      <rPr>
        <sz val="12"/>
        <rFont val="Times New Roman"/>
        <family val="1"/>
      </rPr>
      <t>(REIT)</t>
    </r>
  </si>
  <si>
    <r>
      <t>ETF-</t>
    </r>
    <r>
      <rPr>
        <sz val="12"/>
        <rFont val="標楷體"/>
        <family val="4"/>
        <charset val="136"/>
      </rPr>
      <t>債券型</t>
    </r>
    <phoneticPr fontId="29" type="noConversion"/>
  </si>
  <si>
    <r>
      <t>ETF-</t>
    </r>
    <r>
      <rPr>
        <sz val="12"/>
        <rFont val="標楷體"/>
        <family val="4"/>
        <charset val="136"/>
      </rPr>
      <t>其他型</t>
    </r>
    <phoneticPr fontId="29" type="noConversion"/>
  </si>
  <si>
    <t>ETN</t>
    <phoneticPr fontId="29" type="noConversion"/>
  </si>
  <si>
    <r>
      <rPr>
        <sz val="12"/>
        <rFont val="標楷體"/>
        <family val="4"/>
        <charset val="136"/>
      </rPr>
      <t>總計</t>
    </r>
    <r>
      <rPr>
        <sz val="12"/>
        <rFont val="Times New Roman"/>
        <family val="1"/>
      </rPr>
      <t>(</t>
    </r>
    <r>
      <rPr>
        <sz val="12"/>
        <rFont val="標楷體"/>
        <family val="4"/>
        <charset val="136"/>
      </rPr>
      <t>交易對象</t>
    </r>
    <r>
      <rPr>
        <sz val="12"/>
        <rFont val="Times New Roman"/>
        <family val="1"/>
      </rPr>
      <t>)</t>
    </r>
  </si>
  <si>
    <r>
      <rPr>
        <sz val="12"/>
        <rFont val="標楷體"/>
        <family val="4"/>
        <charset val="136"/>
      </rPr>
      <t>發行機構為關係人之金融債券交易</t>
    </r>
  </si>
  <si>
    <r>
      <rPr>
        <sz val="12"/>
        <rFont val="標楷體"/>
        <family val="4"/>
        <charset val="136"/>
      </rPr>
      <t>發行機構為非關係人之金融債券交易</t>
    </r>
  </si>
  <si>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phoneticPr fontId="26" type="noConversion"/>
  </si>
  <si>
    <r>
      <rPr>
        <sz val="12"/>
        <rFont val="標楷體"/>
        <family val="4"/>
        <charset val="136"/>
      </rPr>
      <t>金融資產受益證券及資產基礎證券</t>
    </r>
    <phoneticPr fontId="26" type="noConversion"/>
  </si>
  <si>
    <r>
      <rPr>
        <sz val="12"/>
        <rFont val="標楷體"/>
        <family val="4"/>
        <charset val="136"/>
      </rPr>
      <t>特別股持股比率為持有該發行公司特別股帳面價值</t>
    </r>
    <r>
      <rPr>
        <sz val="12"/>
        <rFont val="Times New Roman"/>
        <family val="1"/>
      </rPr>
      <t>/</t>
    </r>
    <r>
      <rPr>
        <sz val="12"/>
        <rFont val="標楷體"/>
        <family val="4"/>
        <charset val="136"/>
      </rPr>
      <t>發行公司實收資本額計算之比率；所稱特別股帳面價值係指按「特別股面額</t>
    </r>
    <r>
      <rPr>
        <sz val="12"/>
        <rFont val="Times New Roman"/>
        <family val="1"/>
      </rPr>
      <t>*</t>
    </r>
    <r>
      <rPr>
        <sz val="12"/>
        <rFont val="標楷體"/>
        <family val="4"/>
        <charset val="136"/>
      </rPr>
      <t>持有特別股股數」計算之價值，而發行公司實收資本額則包含普通股與特別股。</t>
    </r>
    <phoneticPr fontId="29" type="noConversion"/>
  </si>
  <si>
    <r>
      <rPr>
        <sz val="12"/>
        <rFont val="標楷體"/>
        <family val="4"/>
        <charset val="136"/>
      </rPr>
      <t>若屬國外投資</t>
    </r>
    <r>
      <rPr>
        <sz val="12"/>
        <rFont val="Times New Roman"/>
        <family val="1"/>
      </rPr>
      <t>,</t>
    </r>
    <r>
      <rPr>
        <sz val="12"/>
        <rFont val="標楷體"/>
        <family val="4"/>
        <charset val="136"/>
      </rPr>
      <t>請以期末匯率換算為新台幣帳面價值</t>
    </r>
  </si>
  <si>
    <r>
      <rPr>
        <b/>
        <sz val="12"/>
        <rFont val="標楷體"/>
        <family val="4"/>
        <charset val="136"/>
      </rPr>
      <t>發行公司</t>
    </r>
  </si>
  <si>
    <r>
      <rPr>
        <b/>
        <sz val="12"/>
        <rFont val="標楷體"/>
        <family val="4"/>
        <charset val="136"/>
      </rPr>
      <t>發行公司隸屬國家</t>
    </r>
  </si>
  <si>
    <r>
      <rPr>
        <b/>
        <sz val="12"/>
        <rFont val="標楷體"/>
        <family val="4"/>
        <charset val="136"/>
      </rPr>
      <t>交易市場型態</t>
    </r>
  </si>
  <si>
    <r>
      <rPr>
        <b/>
        <sz val="12"/>
        <rFont val="標楷體"/>
        <family val="4"/>
        <charset val="136"/>
      </rPr>
      <t>占有董監事席次比率</t>
    </r>
  </si>
  <si>
    <r>
      <rPr>
        <b/>
        <sz val="12"/>
        <rFont val="標楷體"/>
        <family val="4"/>
        <charset val="136"/>
      </rPr>
      <t>持有股數</t>
    </r>
  </si>
  <si>
    <r>
      <rPr>
        <b/>
        <sz val="12"/>
        <rFont val="標楷體"/>
        <family val="4"/>
        <charset val="136"/>
      </rPr>
      <t>持股比率</t>
    </r>
    <r>
      <rPr>
        <b/>
        <sz val="12"/>
        <rFont val="Times New Roman"/>
        <family val="1"/>
      </rPr>
      <t>%</t>
    </r>
  </si>
  <si>
    <r>
      <rPr>
        <b/>
        <sz val="12"/>
        <rFont val="標楷體"/>
        <family val="4"/>
        <charset val="136"/>
      </rPr>
      <t>取得成本</t>
    </r>
    <phoneticPr fontId="29" type="noConversion"/>
  </si>
  <si>
    <r>
      <rPr>
        <b/>
        <sz val="12"/>
        <rFont val="標楷體"/>
        <family val="4"/>
        <charset val="136"/>
      </rPr>
      <t>本期增加</t>
    </r>
  </si>
  <si>
    <r>
      <rPr>
        <b/>
        <sz val="12"/>
        <rFont val="標楷體"/>
        <family val="4"/>
        <charset val="136"/>
      </rPr>
      <t>本期減少</t>
    </r>
  </si>
  <si>
    <r>
      <rPr>
        <b/>
        <sz val="12"/>
        <rFont val="標楷體"/>
        <family val="4"/>
        <charset val="136"/>
      </rPr>
      <t xml:space="preserve">期末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</si>
  <si>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r>
      <rPr>
        <sz val="12"/>
        <rFont val="Times New Roman"/>
        <family val="1"/>
      </rPr>
      <t>(</t>
    </r>
    <r>
      <rPr>
        <sz val="12"/>
        <rFont val="標楷體"/>
        <family val="4"/>
        <charset val="136"/>
      </rPr>
      <t>公開公司</t>
    </r>
    <r>
      <rPr>
        <sz val="12"/>
        <rFont val="Times New Roman"/>
        <family val="1"/>
      </rPr>
      <t>), E.</t>
    </r>
    <r>
      <rPr>
        <sz val="12"/>
        <rFont val="標楷體"/>
        <family val="4"/>
        <charset val="136"/>
      </rPr>
      <t>其他</t>
    </r>
    <r>
      <rPr>
        <sz val="12"/>
        <rFont val="Times New Roman"/>
        <family val="1"/>
      </rPr>
      <t>(</t>
    </r>
    <r>
      <rPr>
        <sz val="12"/>
        <rFont val="標楷體"/>
        <family val="4"/>
        <charset val="136"/>
      </rPr>
      <t>非公開公司</t>
    </r>
    <r>
      <rPr>
        <sz val="12"/>
        <rFont val="Times New Roman"/>
        <family val="1"/>
      </rPr>
      <t>)</t>
    </r>
    <r>
      <rPr>
        <sz val="12"/>
        <rFont val="標楷體"/>
        <family val="4"/>
        <charset val="136"/>
      </rPr>
      <t>。</t>
    </r>
    <phoneticPr fontId="29"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</si>
  <si>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xml:space="preserve">, </t>
    </r>
    <phoneticPr fontId="29"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</si>
  <si>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t>
    </r>
    <phoneticPr fontId="29" type="noConversion"/>
  </si>
  <si>
    <r>
      <rPr>
        <sz val="12"/>
        <rFont val="標楷體"/>
        <family val="4"/>
        <charset val="136"/>
      </rPr>
      <t>保管情形請填保管機構名稱及帳號</t>
    </r>
    <r>
      <rPr>
        <sz val="12"/>
        <rFont val="Times New Roman"/>
        <family val="1"/>
      </rPr>
      <t>,</t>
    </r>
    <r>
      <rPr>
        <sz val="12"/>
        <rFont val="標楷體"/>
        <family val="4"/>
        <charset val="136"/>
      </rPr>
      <t>若屬集保帳戶請填集保。</t>
    </r>
    <phoneticPr fontId="29" type="noConversion"/>
  </si>
  <si>
    <r>
      <rPr>
        <sz val="12"/>
        <rFont val="標楷體"/>
        <family val="4"/>
        <charset val="136"/>
      </rPr>
      <t>若為特定目的公司投資預付款則無須填列發行公司相關欄位。</t>
    </r>
    <phoneticPr fontId="29" type="noConversion"/>
  </si>
  <si>
    <r>
      <rPr>
        <b/>
        <sz val="12"/>
        <rFont val="標楷體"/>
        <family val="4"/>
        <charset val="136"/>
      </rPr>
      <t>國內外投資合計</t>
    </r>
  </si>
  <si>
    <r>
      <rPr>
        <b/>
        <sz val="12"/>
        <rFont val="標楷體"/>
        <family val="4"/>
        <charset val="136"/>
      </rPr>
      <t>最近公允價值或淨值總金額</t>
    </r>
    <phoneticPr fontId="29"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</si>
  <si>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4)</t>
    </r>
    <phoneticPr fontId="29" type="noConversion"/>
  </si>
  <si>
    <r>
      <rPr>
        <sz val="12"/>
        <rFont val="標楷體"/>
        <family val="4"/>
        <charset val="136"/>
      </rPr>
      <t>小計</t>
    </r>
  </si>
  <si>
    <r>
      <rPr>
        <sz val="12"/>
        <rFont val="標楷體"/>
        <family val="4"/>
        <charset val="136"/>
      </rPr>
      <t>總計</t>
    </r>
    <r>
      <rPr>
        <sz val="12"/>
        <rFont val="Times New Roman"/>
        <family val="1"/>
      </rPr>
      <t>(</t>
    </r>
    <r>
      <rPr>
        <sz val="12"/>
        <rFont val="標楷體"/>
        <family val="4"/>
        <charset val="136"/>
      </rPr>
      <t>交易種類</t>
    </r>
    <r>
      <rPr>
        <sz val="12"/>
        <rFont val="Times New Roman"/>
        <family val="1"/>
      </rPr>
      <t>)</t>
    </r>
  </si>
  <si>
    <r>
      <rPr>
        <sz val="12"/>
        <rFont val="標楷體"/>
        <family val="4"/>
        <charset val="136"/>
      </rPr>
      <t>上市股票</t>
    </r>
  </si>
  <si>
    <r>
      <rPr>
        <sz val="12"/>
        <rFont val="標楷體"/>
        <family val="4"/>
        <charset val="136"/>
      </rPr>
      <t>興櫃股票</t>
    </r>
  </si>
  <si>
    <r>
      <rPr>
        <sz val="12"/>
        <rFont val="標楷體"/>
        <family val="4"/>
        <charset val="136"/>
      </rPr>
      <t>非屬上市上櫃興櫃之其他股票</t>
    </r>
  </si>
  <si>
    <r>
      <rPr>
        <sz val="12"/>
        <rFont val="標楷體"/>
        <family val="4"/>
        <charset val="136"/>
      </rPr>
      <t>創業投資事業股票</t>
    </r>
  </si>
  <si>
    <r>
      <rPr>
        <sz val="12"/>
        <rFont val="標楷體"/>
        <family val="4"/>
        <charset val="136"/>
      </rPr>
      <t>特別股</t>
    </r>
  </si>
  <si>
    <r>
      <rPr>
        <sz val="12"/>
        <rFont val="標楷體"/>
        <family val="4"/>
        <charset val="136"/>
      </rPr>
      <t>專案運用股票</t>
    </r>
  </si>
  <si>
    <r>
      <rPr>
        <sz val="12"/>
        <rFont val="標楷體"/>
        <family val="4"/>
        <charset val="136"/>
      </rPr>
      <t>公共投資股票</t>
    </r>
  </si>
  <si>
    <r>
      <rPr>
        <sz val="12"/>
        <rFont val="標楷體"/>
        <family val="4"/>
        <charset val="136"/>
      </rPr>
      <t>保險相關事業股票</t>
    </r>
  </si>
  <si>
    <r>
      <rPr>
        <sz val="12"/>
        <rFont val="標楷體"/>
        <family val="4"/>
        <charset val="136"/>
      </rPr>
      <t>私募股票</t>
    </r>
  </si>
  <si>
    <r>
      <rPr>
        <sz val="12"/>
        <rFont val="標楷體"/>
        <family val="4"/>
        <charset val="136"/>
      </rPr>
      <t>關係人</t>
    </r>
    <phoneticPr fontId="29" type="noConversion"/>
  </si>
  <si>
    <r>
      <rPr>
        <sz val="12"/>
        <rFont val="標楷體"/>
        <family val="4"/>
        <charset val="136"/>
      </rPr>
      <t>非關係人</t>
    </r>
    <phoneticPr fontId="29" type="noConversion"/>
  </si>
  <si>
    <r>
      <rPr>
        <sz val="12"/>
        <rFont val="標楷體"/>
        <family val="4"/>
        <charset val="136"/>
      </rPr>
      <t>小計</t>
    </r>
    <r>
      <rPr>
        <sz val="12"/>
        <rFont val="Times New Roman"/>
        <family val="1"/>
      </rPr>
      <t>(</t>
    </r>
    <r>
      <rPr>
        <sz val="12"/>
        <rFont val="標楷體"/>
        <family val="4"/>
        <charset val="136"/>
      </rPr>
      <t>註</t>
    </r>
    <r>
      <rPr>
        <sz val="12"/>
        <rFont val="Times New Roman"/>
        <family val="1"/>
      </rPr>
      <t>3)</t>
    </r>
    <phoneticPr fontId="29" type="noConversion"/>
  </si>
  <si>
    <r>
      <rPr>
        <sz val="12"/>
        <rFont val="標楷體"/>
        <family val="4"/>
        <charset val="136"/>
      </rPr>
      <t>期末股票投資餘額</t>
    </r>
    <r>
      <rPr>
        <sz val="12"/>
        <rFont val="Times New Roman"/>
        <family val="1"/>
      </rPr>
      <t>(</t>
    </r>
    <r>
      <rPr>
        <sz val="12"/>
        <rFont val="標楷體"/>
        <family val="4"/>
        <charset val="136"/>
      </rPr>
      <t>列</t>
    </r>
    <r>
      <rPr>
        <sz val="12"/>
        <rFont val="Times New Roman"/>
        <family val="1"/>
      </rPr>
      <t>15</t>
    </r>
    <r>
      <rPr>
        <sz val="12"/>
        <rFont val="標楷體"/>
        <family val="4"/>
        <charset val="136"/>
      </rPr>
      <t>或列</t>
    </r>
    <r>
      <rPr>
        <sz val="12"/>
        <rFont val="Times New Roman"/>
        <family val="1"/>
      </rPr>
      <t>20)</t>
    </r>
    <phoneticPr fontId="29" type="noConversion"/>
  </si>
  <si>
    <r>
      <rPr>
        <sz val="12"/>
        <rFont val="標楷體"/>
        <family val="4"/>
        <charset val="136"/>
      </rPr>
      <t>所稱保險相關事業於國內投資係指依保險法第一百四十六條之六規定之投資</t>
    </r>
    <r>
      <rPr>
        <sz val="12"/>
        <rFont val="Times New Roman"/>
        <family val="1"/>
      </rPr>
      <t>,</t>
    </r>
    <r>
      <rPr>
        <sz val="12"/>
        <rFont val="標楷體"/>
        <family val="4"/>
        <charset val="136"/>
      </rPr>
      <t>於國外投資係指依保險業辦理國外投資範圍及內容準則第三條第一項第三款及至大陸地區及香港澳門地區之投資。</t>
    </r>
    <phoneticPr fontId="29" type="noConversion"/>
  </si>
  <si>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報表時，大陸地區之分公司、子公司或參股投資之大陸地區保險業應填列於「國外保險相關事業」相關欄位。</t>
    </r>
    <phoneticPr fontId="29" type="noConversion"/>
  </si>
  <si>
    <r>
      <rPr>
        <sz val="12"/>
        <rFont val="標楷體"/>
        <family val="4"/>
        <charset val="136"/>
      </rPr>
      <t>單位</t>
    </r>
    <r>
      <rPr>
        <sz val="12"/>
        <rFont val="Times New Roman"/>
        <family val="1"/>
      </rPr>
      <t>:</t>
    </r>
    <r>
      <rPr>
        <sz val="12"/>
        <rFont val="標楷體"/>
        <family val="4"/>
        <charset val="136"/>
      </rPr>
      <t>新台幣元</t>
    </r>
    <r>
      <rPr>
        <sz val="12"/>
        <rFont val="Times New Roman"/>
        <family val="1"/>
      </rPr>
      <t>, %</t>
    </r>
    <phoneticPr fontId="29" type="noConversion"/>
  </si>
  <si>
    <r>
      <rPr>
        <sz val="12"/>
        <rFont val="標楷體"/>
        <family val="4"/>
        <charset val="136"/>
      </rPr>
      <t>關係人股票投資</t>
    </r>
    <phoneticPr fontId="29" type="noConversion"/>
  </si>
  <si>
    <r>
      <rPr>
        <sz val="12"/>
        <rFont val="標楷體"/>
        <family val="4"/>
        <charset val="136"/>
      </rPr>
      <t>透過損益按公允價值衡量之金融資產</t>
    </r>
    <r>
      <rPr>
        <sz val="12"/>
        <rFont val="Times New Roman"/>
        <family val="1"/>
      </rPr>
      <t>-</t>
    </r>
    <r>
      <rPr>
        <sz val="12"/>
        <rFont val="標楷體"/>
        <family val="4"/>
        <charset val="136"/>
      </rPr>
      <t>採用覆蓋法</t>
    </r>
  </si>
  <si>
    <r>
      <rPr>
        <sz val="12"/>
        <rFont val="標楷體"/>
        <family val="4"/>
        <charset val="136"/>
      </rPr>
      <t>透過損益按公允價值衡量之金融資產</t>
    </r>
    <r>
      <rPr>
        <sz val="12"/>
        <rFont val="Times New Roman"/>
        <family val="1"/>
      </rPr>
      <t>-</t>
    </r>
    <r>
      <rPr>
        <sz val="12"/>
        <rFont val="標楷體"/>
        <family val="4"/>
        <charset val="136"/>
      </rPr>
      <t>未採用覆蓋法</t>
    </r>
  </si>
  <si>
    <r>
      <rPr>
        <sz val="12"/>
        <rFont val="標楷體"/>
        <family val="4"/>
        <charset val="136"/>
      </rPr>
      <t>透過其他綜合損益按公允價值衡量之金融資產</t>
    </r>
  </si>
  <si>
    <r>
      <rPr>
        <sz val="12"/>
        <rFont val="標楷體"/>
        <family val="4"/>
        <charset val="136"/>
      </rPr>
      <t>按攤銷後成本衡量之金融資產</t>
    </r>
  </si>
  <si>
    <r>
      <rPr>
        <sz val="12"/>
        <rFont val="標楷體"/>
        <family val="4"/>
        <charset val="136"/>
      </rPr>
      <t>待出售資產</t>
    </r>
  </si>
  <si>
    <r>
      <rPr>
        <sz val="12"/>
        <rFont val="標楷體"/>
        <family val="4"/>
        <charset val="136"/>
      </rPr>
      <t>採用權益法之投資</t>
    </r>
  </si>
  <si>
    <r>
      <rPr>
        <sz val="12"/>
        <rFont val="標楷體"/>
        <family val="4"/>
        <charset val="136"/>
      </rPr>
      <t>非關係人股票投資</t>
    </r>
    <phoneticPr fontId="29" type="noConversion"/>
  </si>
  <si>
    <r>
      <rPr>
        <sz val="12"/>
        <rFont val="標楷體"/>
        <family val="4"/>
        <charset val="136"/>
      </rPr>
      <t>固定收益特別股</t>
    </r>
  </si>
  <si>
    <r>
      <rPr>
        <b/>
        <sz val="12"/>
        <rFont val="標楷體"/>
        <family val="4"/>
        <charset val="136"/>
      </rPr>
      <t>是否為專案運用公共及社會福利事業投資及投資保險相關事業</t>
    </r>
    <phoneticPr fontId="29" type="noConversion"/>
  </si>
  <si>
    <r>
      <rPr>
        <b/>
        <sz val="12"/>
        <rFont val="標楷體"/>
        <family val="4"/>
        <charset val="136"/>
      </rPr>
      <t>最近公允價值</t>
    </r>
    <r>
      <rPr>
        <b/>
        <sz val="12"/>
        <rFont val="Times New Roman"/>
        <family val="1"/>
      </rPr>
      <t>/</t>
    </r>
    <r>
      <rPr>
        <b/>
        <sz val="12"/>
        <rFont val="標楷體"/>
        <family val="4"/>
        <charset val="136"/>
      </rPr>
      <t>淨值總金額</t>
    </r>
    <r>
      <rPr>
        <b/>
        <sz val="12"/>
        <rFont val="Times New Roman"/>
        <family val="1"/>
      </rPr>
      <t>(</t>
    </r>
    <r>
      <rPr>
        <b/>
        <sz val="12"/>
        <rFont val="標楷體"/>
        <family val="4"/>
        <charset val="136"/>
      </rPr>
      <t>註</t>
    </r>
    <r>
      <rPr>
        <b/>
        <sz val="12"/>
        <rFont val="Times New Roman"/>
        <family val="1"/>
      </rPr>
      <t>:</t>
    </r>
    <r>
      <rPr>
        <b/>
        <sz val="12"/>
        <rFont val="標楷體"/>
        <family val="4"/>
        <charset val="136"/>
      </rPr>
      <t>未上市櫃股填淨值</t>
    </r>
    <r>
      <rPr>
        <b/>
        <sz val="12"/>
        <rFont val="Times New Roman"/>
        <family val="1"/>
      </rPr>
      <t>)</t>
    </r>
    <phoneticPr fontId="29" type="noConversion"/>
  </si>
  <si>
    <r>
      <rPr>
        <b/>
        <sz val="12"/>
        <rFont val="標楷體"/>
        <family val="4"/>
        <charset val="136"/>
      </rPr>
      <t>帳載金額占資金總額比率％</t>
    </r>
    <phoneticPr fontId="29"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</si>
  <si>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18)</t>
    </r>
    <phoneticPr fontId="29" type="noConversion"/>
  </si>
  <si>
    <r>
      <rPr>
        <sz val="12"/>
        <rFont val="標楷體"/>
        <family val="4"/>
        <charset val="136"/>
      </rPr>
      <t>發行公司代號請洽由財團法人保險事業發展中心統一配賦。</t>
    </r>
    <phoneticPr fontId="29"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</si>
  <si>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,C.</t>
    </r>
    <r>
      <rPr>
        <sz val="12"/>
        <rFont val="標楷體"/>
        <family val="4"/>
        <charset val="136"/>
      </rPr>
      <t>關係人</t>
    </r>
    <r>
      <rPr>
        <sz val="12"/>
        <rFont val="Times New Roman"/>
        <family val="1"/>
      </rPr>
      <t>-</t>
    </r>
    <r>
      <rPr>
        <sz val="12"/>
        <rFont val="標楷體"/>
        <family val="4"/>
        <charset val="136"/>
      </rPr>
      <t>具控制與從屬關係；</t>
    </r>
    <phoneticPr fontId="29" type="noConversion"/>
  </si>
  <si>
    <r>
      <rPr>
        <sz val="12"/>
        <rFont val="標楷體"/>
        <family val="4"/>
        <charset val="136"/>
      </rPr>
      <t>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29" type="noConversion"/>
  </si>
  <si>
    <r>
      <rPr>
        <sz val="12"/>
        <rFont val="標楷體"/>
        <family val="4"/>
        <charset val="136"/>
      </rPr>
      <t>募集方式請依序填列</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r>
      <rPr>
        <sz val="12"/>
        <rFont val="Times New Roman"/>
        <family val="1"/>
      </rPr>
      <t>, C.</t>
    </r>
    <r>
      <rPr>
        <sz val="12"/>
        <rFont val="標楷體"/>
        <family val="4"/>
        <charset val="136"/>
      </rPr>
      <t>其他。</t>
    </r>
    <phoneticPr fontId="29" type="noConversion"/>
  </si>
  <si>
    <r>
      <t>C.</t>
    </r>
    <r>
      <rPr>
        <sz val="12"/>
        <rFont val="標楷體"/>
        <family val="4"/>
        <charset val="136"/>
      </rPr>
      <t>按攤銷後成本衡量之金融資產</t>
    </r>
    <r>
      <rPr>
        <sz val="12"/>
        <rFont val="Times New Roman"/>
        <family val="1"/>
      </rPr>
      <t>, D1.</t>
    </r>
    <r>
      <rPr>
        <sz val="12"/>
        <rFont val="標楷體"/>
        <family val="4"/>
        <charset val="136"/>
      </rPr>
      <t>採用權益法之投資</t>
    </r>
    <r>
      <rPr>
        <sz val="12"/>
        <rFont val="Times New Roman"/>
        <family val="1"/>
      </rPr>
      <t>, D2.</t>
    </r>
    <r>
      <rPr>
        <sz val="12"/>
        <rFont val="標楷體"/>
        <family val="4"/>
        <charset val="136"/>
      </rPr>
      <t>採用權益法之投資</t>
    </r>
    <r>
      <rPr>
        <sz val="12"/>
        <rFont val="Times New Roman"/>
        <family val="1"/>
      </rPr>
      <t>-</t>
    </r>
    <r>
      <rPr>
        <sz val="12"/>
        <rFont val="標楷體"/>
        <family val="4"/>
        <charset val="136"/>
      </rPr>
      <t>特定目的公司</t>
    </r>
    <r>
      <rPr>
        <sz val="12"/>
        <rFont val="Times New Roman"/>
        <family val="1"/>
      </rPr>
      <t>(</t>
    </r>
    <r>
      <rPr>
        <sz val="12"/>
        <rFont val="標楷體"/>
        <family val="4"/>
        <charset val="136"/>
      </rPr>
      <t>間接持有國外不動產者</t>
    </r>
    <r>
      <rPr>
        <sz val="12"/>
        <rFont val="Times New Roman"/>
        <family val="1"/>
      </rPr>
      <t>/</t>
    </r>
    <r>
      <rPr>
        <sz val="12"/>
        <rFont val="標楷體"/>
        <family val="4"/>
        <charset val="136"/>
      </rPr>
      <t>含投資預付款</t>
    </r>
    <r>
      <rPr>
        <sz val="12"/>
        <rFont val="Times New Roman"/>
        <family val="1"/>
      </rPr>
      <t>), E.</t>
    </r>
    <r>
      <rPr>
        <sz val="12"/>
        <rFont val="標楷體"/>
        <family val="4"/>
        <charset val="136"/>
      </rPr>
      <t>待出售資產。</t>
    </r>
    <phoneticPr fontId="29" type="noConversion"/>
  </si>
  <si>
    <r>
      <rPr>
        <sz val="12"/>
        <rFont val="標楷體"/>
        <family val="4"/>
        <charset val="136"/>
      </rPr>
      <t>是否為專案運用公共及社會福利事業投資請依序填列</t>
    </r>
    <r>
      <rPr>
        <sz val="12"/>
        <rFont val="Times New Roman"/>
        <family val="1"/>
      </rPr>
      <t>A.</t>
    </r>
    <r>
      <rPr>
        <sz val="12"/>
        <rFont val="標楷體"/>
        <family val="4"/>
        <charset val="136"/>
      </rPr>
      <t>專案運用</t>
    </r>
    <r>
      <rPr>
        <sz val="12"/>
        <rFont val="Times New Roman"/>
        <family val="1"/>
      </rPr>
      <t>-</t>
    </r>
    <r>
      <rPr>
        <sz val="12"/>
        <rFont val="標楷體"/>
        <family val="4"/>
        <charset val="136"/>
      </rPr>
      <t>非創業投資</t>
    </r>
    <r>
      <rPr>
        <sz val="12"/>
        <rFont val="Times New Roman"/>
        <family val="1"/>
      </rPr>
      <t>, B.</t>
    </r>
    <r>
      <rPr>
        <sz val="12"/>
        <rFont val="標楷體"/>
        <family val="4"/>
        <charset val="136"/>
      </rPr>
      <t>專案運用</t>
    </r>
    <r>
      <rPr>
        <sz val="12"/>
        <rFont val="Times New Roman"/>
        <family val="1"/>
      </rPr>
      <t>-</t>
    </r>
    <r>
      <rPr>
        <sz val="12"/>
        <rFont val="標楷體"/>
        <family val="4"/>
        <charset val="136"/>
      </rPr>
      <t>創業投資</t>
    </r>
    <r>
      <rPr>
        <sz val="12"/>
        <rFont val="Times New Roman"/>
        <family val="1"/>
      </rPr>
      <t>, C1.</t>
    </r>
    <r>
      <rPr>
        <sz val="12"/>
        <rFont val="標楷體"/>
        <family val="4"/>
        <charset val="136"/>
      </rPr>
      <t>投資保險相關事業</t>
    </r>
    <r>
      <rPr>
        <sz val="12"/>
        <rFont val="Times New Roman"/>
        <family val="1"/>
      </rPr>
      <t>-</t>
    </r>
    <r>
      <rPr>
        <sz val="12"/>
        <rFont val="標楷體"/>
        <family val="4"/>
        <charset val="136"/>
      </rPr>
      <t>保險業</t>
    </r>
    <r>
      <rPr>
        <sz val="12"/>
        <rFont val="Times New Roman"/>
        <family val="1"/>
      </rPr>
      <t>, C2.</t>
    </r>
    <r>
      <rPr>
        <sz val="12"/>
        <rFont val="標楷體"/>
        <family val="4"/>
        <charset val="136"/>
      </rPr>
      <t>投資保險相關事業</t>
    </r>
    <r>
      <rPr>
        <sz val="12"/>
        <rFont val="Times New Roman"/>
        <family val="1"/>
      </rPr>
      <t>-</t>
    </r>
    <r>
      <rPr>
        <sz val="12"/>
        <rFont val="標楷體"/>
        <family val="4"/>
        <charset val="136"/>
      </rPr>
      <t>非保險業且有資本適足要求之產業</t>
    </r>
    <r>
      <rPr>
        <sz val="12"/>
        <rFont val="Times New Roman"/>
        <family val="1"/>
      </rPr>
      <t xml:space="preserve">, </t>
    </r>
    <phoneticPr fontId="29" type="noConversion"/>
  </si>
  <si>
    <r>
      <t>C3.</t>
    </r>
    <r>
      <rPr>
        <sz val="12"/>
        <rFont val="標楷體"/>
        <family val="4"/>
        <charset val="136"/>
      </rPr>
      <t>投資保險相關事業</t>
    </r>
    <r>
      <rPr>
        <sz val="12"/>
        <rFont val="Times New Roman"/>
        <family val="1"/>
      </rPr>
      <t>-</t>
    </r>
    <r>
      <rPr>
        <sz val="12"/>
        <rFont val="標楷體"/>
        <family val="4"/>
        <charset val="136"/>
      </rPr>
      <t>其他保險相關事業</t>
    </r>
    <r>
      <rPr>
        <sz val="12"/>
        <rFont val="Times New Roman"/>
        <family val="1"/>
      </rPr>
      <t>, D.</t>
    </r>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r>
      <rPr>
        <sz val="12"/>
        <rFont val="Times New Roman"/>
        <family val="1"/>
      </rPr>
      <t>, E.</t>
    </r>
    <r>
      <rPr>
        <sz val="12"/>
        <rFont val="標楷體"/>
        <family val="4"/>
        <charset val="136"/>
      </rPr>
      <t>非政策性專案運用公共及社會福利事業投資</t>
    </r>
    <r>
      <rPr>
        <sz val="12"/>
        <rFont val="Times New Roman"/>
        <family val="1"/>
      </rPr>
      <t>, F.</t>
    </r>
    <r>
      <rPr>
        <sz val="12"/>
        <rFont val="標楷體"/>
        <family val="4"/>
        <charset val="136"/>
      </rPr>
      <t>其他。</t>
    </r>
    <phoneticPr fontId="29" type="noConversion"/>
  </si>
  <si>
    <r>
      <rPr>
        <sz val="12"/>
        <rFont val="標楷體"/>
        <family val="4"/>
        <charset val="136"/>
      </rPr>
      <t>交易市場型態請填列</t>
    </r>
    <r>
      <rPr>
        <sz val="12"/>
        <rFont val="Times New Roman"/>
        <family val="1"/>
      </rPr>
      <t>A.</t>
    </r>
    <r>
      <rPr>
        <sz val="12"/>
        <rFont val="標楷體"/>
        <family val="4"/>
        <charset val="136"/>
      </rPr>
      <t>集中</t>
    </r>
    <r>
      <rPr>
        <sz val="12"/>
        <rFont val="Times New Roman"/>
        <family val="1"/>
      </rPr>
      <t>, B.</t>
    </r>
    <r>
      <rPr>
        <sz val="12"/>
        <rFont val="標楷體"/>
        <family val="4"/>
        <charset val="136"/>
      </rPr>
      <t>店頭</t>
    </r>
    <r>
      <rPr>
        <sz val="12"/>
        <rFont val="Times New Roman"/>
        <family val="1"/>
      </rPr>
      <t>, C.</t>
    </r>
    <r>
      <rPr>
        <sz val="12"/>
        <rFont val="標楷體"/>
        <family val="4"/>
        <charset val="136"/>
      </rPr>
      <t>其他。</t>
    </r>
    <phoneticPr fontId="29" type="noConversion"/>
  </si>
  <si>
    <r>
      <rPr>
        <sz val="12"/>
        <rFont val="標楷體"/>
        <family val="4"/>
        <charset val="136"/>
      </rPr>
      <t>占有董監事席次比率為填表時本</t>
    </r>
    <r>
      <rPr>
        <sz val="12"/>
        <rFont val="Times New Roman"/>
        <family val="1"/>
      </rPr>
      <t>(</t>
    </r>
    <r>
      <rPr>
        <sz val="12"/>
        <rFont val="標楷體"/>
        <family val="4"/>
        <charset val="136"/>
      </rPr>
      <t>分</t>
    </r>
    <r>
      <rPr>
        <sz val="12"/>
        <rFont val="Times New Roman"/>
        <family val="1"/>
      </rPr>
      <t>)</t>
    </r>
    <r>
      <rPr>
        <sz val="12"/>
        <rFont val="標楷體"/>
        <family val="4"/>
        <charset val="136"/>
      </rPr>
      <t>公司所指派董監事席次占該被投資公司董監事所有席次之比率。</t>
    </r>
    <phoneticPr fontId="29" type="noConversion"/>
  </si>
  <si>
    <r>
      <rPr>
        <sz val="12"/>
        <rFont val="標楷體"/>
        <family val="4"/>
        <charset val="136"/>
      </rPr>
      <t>持股比率超過</t>
    </r>
    <r>
      <rPr>
        <sz val="12"/>
        <rFont val="Times New Roman"/>
        <family val="1"/>
      </rPr>
      <t>10%</t>
    </r>
    <r>
      <rPr>
        <sz val="12"/>
        <rFont val="標楷體"/>
        <family val="4"/>
        <charset val="136"/>
      </rPr>
      <t>以上者，請於備註欄填具主管機關最近核定日期及文號。</t>
    </r>
    <phoneticPr fontId="29" type="noConversion"/>
  </si>
  <si>
    <r>
      <rPr>
        <sz val="12"/>
        <rFont val="標楷體"/>
        <family val="4"/>
        <charset val="136"/>
      </rPr>
      <t>固定收益特別股係指同時符合下列五條件者：①有固定到期日②固定股利率③可累積④到期償還本金⑤非強制轉換。</t>
    </r>
    <phoneticPr fontId="26" type="noConversion"/>
  </si>
  <si>
    <r>
      <rPr>
        <sz val="12"/>
        <rFont val="標楷體"/>
        <family val="4"/>
        <charset val="136"/>
      </rPr>
      <t>係指依資產負債表日前半年每日收盤價計算之算術平均價格。</t>
    </r>
    <phoneticPr fontId="29" type="noConversion"/>
  </si>
  <si>
    <r>
      <rPr>
        <sz val="12"/>
        <rFont val="標楷體"/>
        <family val="4"/>
        <charset val="136"/>
      </rPr>
      <t>表</t>
    </r>
    <r>
      <rPr>
        <sz val="12"/>
        <rFont val="Times New Roman"/>
        <family val="1"/>
      </rPr>
      <t>10-2</t>
    </r>
    <r>
      <rPr>
        <sz val="12"/>
        <rFont val="標楷體"/>
        <family val="4"/>
        <charset val="136"/>
      </rPr>
      <t>：股票餘額明細表</t>
    </r>
    <r>
      <rPr>
        <sz val="12"/>
        <rFont val="Times New Roman"/>
        <family val="1"/>
      </rPr>
      <t>(</t>
    </r>
    <r>
      <rPr>
        <sz val="12"/>
        <rFont val="標楷體"/>
        <family val="4"/>
        <charset val="136"/>
      </rPr>
      <t>總計</t>
    </r>
    <r>
      <rPr>
        <sz val="12"/>
        <rFont val="Times New Roman"/>
        <family val="1"/>
      </rPr>
      <t>)</t>
    </r>
    <phoneticPr fontId="29" type="noConversion"/>
  </si>
  <si>
    <r>
      <rPr>
        <b/>
        <sz val="12"/>
        <rFont val="標楷體"/>
        <family val="4"/>
        <charset val="136"/>
      </rPr>
      <t>項目</t>
    </r>
  </si>
  <si>
    <r>
      <rPr>
        <b/>
        <sz val="12"/>
        <rFont val="標楷體"/>
        <family val="4"/>
        <charset val="136"/>
      </rPr>
      <t>淨值</t>
    </r>
    <phoneticPr fontId="26" type="noConversion"/>
  </si>
  <si>
    <r>
      <rPr>
        <b/>
        <sz val="12"/>
        <rFont val="標楷體"/>
        <family val="4"/>
        <charset val="136"/>
      </rPr>
      <t>採權益法評價者之
帳載金額</t>
    </r>
    <phoneticPr fontId="32" type="noConversion"/>
  </si>
  <si>
    <r>
      <rPr>
        <b/>
        <sz val="12"/>
        <rFont val="標楷體"/>
        <family val="4"/>
        <charset val="136"/>
      </rPr>
      <t>上市上櫃股票</t>
    </r>
    <phoneticPr fontId="26" type="noConversion"/>
  </si>
  <si>
    <r>
      <rPr>
        <b/>
        <sz val="12"/>
        <rFont val="標楷體"/>
        <family val="4"/>
        <charset val="136"/>
      </rPr>
      <t>非上市上櫃股票</t>
    </r>
    <phoneticPr fontId="26" type="noConversion"/>
  </si>
  <si>
    <r>
      <rPr>
        <b/>
        <sz val="12"/>
        <rFont val="標楷體"/>
        <family val="4"/>
        <charset val="136"/>
      </rPr>
      <t>非上市上櫃股票</t>
    </r>
  </si>
  <si>
    <t>(7)</t>
    <phoneticPr fontId="26" type="noConversion"/>
  </si>
  <si>
    <r>
      <rPr>
        <b/>
        <sz val="12"/>
        <rFont val="標楷體"/>
        <family val="4"/>
        <charset val="136"/>
      </rPr>
      <t>帳載金額與淨值孰低</t>
    </r>
    <phoneticPr fontId="26" type="noConversion"/>
  </si>
  <si>
    <r>
      <rPr>
        <sz val="12"/>
        <rFont val="標楷體"/>
        <family val="4"/>
        <charset val="136"/>
      </rPr>
      <t>總計</t>
    </r>
  </si>
  <si>
    <r>
      <rPr>
        <sz val="12"/>
        <rFont val="標楷體"/>
        <family val="4"/>
        <charset val="136"/>
      </rPr>
      <t>註</t>
    </r>
    <r>
      <rPr>
        <sz val="12"/>
        <rFont val="Times New Roman"/>
        <family val="1"/>
      </rPr>
      <t>6</t>
    </r>
    <phoneticPr fontId="26" type="noConversion"/>
  </si>
  <si>
    <r>
      <rPr>
        <sz val="12"/>
        <rFont val="標楷體"/>
        <family val="4"/>
        <charset val="136"/>
      </rPr>
      <t>註</t>
    </r>
    <r>
      <rPr>
        <sz val="12"/>
        <rFont val="Times New Roman"/>
        <family val="1"/>
      </rPr>
      <t>7</t>
    </r>
    <phoneticPr fontId="26" type="noConversion"/>
  </si>
  <si>
    <r>
      <rPr>
        <sz val="12"/>
        <rFont val="標楷體"/>
        <family val="4"/>
        <charset val="136"/>
      </rPr>
      <t>單位：新台幣元</t>
    </r>
    <r>
      <rPr>
        <sz val="12"/>
        <rFont val="Times New Roman"/>
        <family val="1"/>
      </rPr>
      <t>, %</t>
    </r>
    <phoneticPr fontId="26" type="noConversion"/>
  </si>
  <si>
    <r>
      <rPr>
        <sz val="12"/>
        <rFont val="標楷體"/>
        <family val="4"/>
        <charset val="136"/>
      </rPr>
      <t>一、國內關係人股票投資</t>
    </r>
    <phoneticPr fontId="26" type="noConversion"/>
  </si>
  <si>
    <r>
      <rPr>
        <sz val="12"/>
        <rFont val="標楷體"/>
        <family val="4"/>
        <charset val="136"/>
      </rPr>
      <t>具控制與從屬關係</t>
    </r>
  </si>
  <si>
    <r>
      <rPr>
        <sz val="12"/>
        <rFont val="標楷體"/>
        <family val="4"/>
        <charset val="136"/>
      </rPr>
      <t>投資國內保險相關事業：</t>
    </r>
  </si>
  <si>
    <r>
      <rPr>
        <sz val="12"/>
        <rFont val="標楷體"/>
        <family val="4"/>
        <charset val="136"/>
      </rPr>
      <t>保險業</t>
    </r>
  </si>
  <si>
    <r>
      <rPr>
        <sz val="12"/>
        <rFont val="標楷體"/>
        <family val="4"/>
        <charset val="136"/>
      </rPr>
      <t>非保險業且有資本適足要求之產業</t>
    </r>
  </si>
  <si>
    <r>
      <rPr>
        <sz val="12"/>
        <rFont val="標楷體"/>
        <family val="4"/>
        <charset val="136"/>
      </rPr>
      <t>其他保險相關事業</t>
    </r>
  </si>
  <si>
    <r>
      <rPr>
        <sz val="12"/>
        <rFont val="標楷體"/>
        <family val="4"/>
        <charset val="136"/>
      </rPr>
      <t>投資國內非保險相關事業：</t>
    </r>
  </si>
  <si>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</si>
  <si>
    <r>
      <rPr>
        <sz val="12"/>
        <rFont val="標楷體"/>
        <family val="4"/>
        <charset val="136"/>
      </rPr>
      <t>採權益法評價之創業投資</t>
    </r>
  </si>
  <si>
    <r>
      <rPr>
        <sz val="12"/>
        <rFont val="標楷體"/>
        <family val="4"/>
        <charset val="136"/>
      </rPr>
      <t>以股票方式投資之專案運用公共及社會福利事業投資</t>
    </r>
  </si>
  <si>
    <r>
      <rPr>
        <sz val="12"/>
        <rFont val="標楷體"/>
        <family val="4"/>
        <charset val="136"/>
      </rPr>
      <t>非控制與從屬關係</t>
    </r>
  </si>
  <si>
    <r>
      <rPr>
        <sz val="12"/>
        <rFont val="標楷體"/>
        <family val="4"/>
        <charset val="136"/>
      </rPr>
      <t>非採權益法評價之創業投資</t>
    </r>
  </si>
  <si>
    <r>
      <rPr>
        <sz val="12"/>
        <rFont val="標楷體"/>
        <family val="4"/>
        <charset val="136"/>
      </rPr>
      <t>二、國外關係人股票投資</t>
    </r>
    <phoneticPr fontId="26" type="noConversion"/>
  </si>
  <si>
    <r>
      <rPr>
        <sz val="12"/>
        <rFont val="標楷體"/>
        <family val="4"/>
        <charset val="136"/>
      </rPr>
      <t>投資國外保險相關事業：</t>
    </r>
  </si>
  <si>
    <r>
      <rPr>
        <sz val="12"/>
        <rFont val="標楷體"/>
        <family val="4"/>
        <charset val="136"/>
      </rPr>
      <t>投資國外非保險相關事業</t>
    </r>
  </si>
  <si>
    <r>
      <rPr>
        <sz val="12"/>
        <rFont val="標楷體"/>
        <family val="4"/>
        <charset val="136"/>
      </rPr>
      <t>投資特定目的公司</t>
    </r>
    <r>
      <rPr>
        <sz val="12"/>
        <rFont val="Times New Roman"/>
        <family val="1"/>
      </rPr>
      <t>(</t>
    </r>
    <r>
      <rPr>
        <sz val="12"/>
        <rFont val="標楷體"/>
        <family val="4"/>
        <charset val="136"/>
      </rPr>
      <t>間接持有國外不動產者</t>
    </r>
    <r>
      <rPr>
        <sz val="12"/>
        <rFont val="Times New Roman"/>
        <family val="1"/>
      </rPr>
      <t>)</t>
    </r>
  </si>
  <si>
    <r>
      <rPr>
        <sz val="12"/>
        <rFont val="標楷體"/>
        <family val="4"/>
        <charset val="136"/>
      </rPr>
      <t>非具控制與從屬關係</t>
    </r>
  </si>
  <si>
    <r>
      <rPr>
        <sz val="12"/>
        <rFont val="標楷體"/>
        <family val="4"/>
        <charset val="136"/>
      </rPr>
      <t>係指依資產負債表日前半年每日收盤價計算之算術平均價格。本欄不包含採權益法評價之上市上櫃股票。</t>
    </r>
    <phoneticPr fontId="26" type="noConversion"/>
  </si>
  <si>
    <r>
      <rPr>
        <b/>
        <sz val="12"/>
        <rFont val="標楷體"/>
        <family val="4"/>
        <charset val="136"/>
      </rPr>
      <t>二、國外非關係人股票投資</t>
    </r>
    <phoneticPr fontId="26" type="noConversion"/>
  </si>
  <si>
    <r>
      <rPr>
        <b/>
        <sz val="12"/>
        <rFont val="標楷體"/>
        <family val="4"/>
        <charset val="136"/>
      </rPr>
      <t>非關係人股票投資總額</t>
    </r>
    <phoneticPr fontId="26" type="noConversion"/>
  </si>
  <si>
    <r>
      <rPr>
        <sz val="12"/>
        <rFont val="標楷體"/>
        <family val="4"/>
        <charset val="136"/>
      </rPr>
      <t>係指依資產負債表日前半年每日收盤價計算之算術平均價格</t>
    </r>
    <phoneticPr fontId="26" type="noConversion"/>
  </si>
  <si>
    <r>
      <rPr>
        <b/>
        <sz val="12"/>
        <rFont val="標楷體"/>
        <family val="4"/>
        <charset val="136"/>
      </rPr>
      <t>帳載金額</t>
    </r>
    <phoneticPr fontId="26" type="noConversion"/>
  </si>
  <si>
    <r>
      <rPr>
        <b/>
        <sz val="12"/>
        <rFont val="標楷體"/>
        <family val="4"/>
        <charset val="136"/>
      </rPr>
      <t>公允價值</t>
    </r>
    <phoneticPr fontId="26"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</si>
  <si>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12)</t>
    </r>
    <phoneticPr fontId="26" type="noConversion"/>
  </si>
  <si>
    <r>
      <rPr>
        <b/>
        <sz val="12"/>
        <rFont val="標楷體"/>
        <family val="4"/>
        <charset val="136"/>
      </rPr>
      <t>一、國內非關係人股票投資</t>
    </r>
    <phoneticPr fontId="26" type="noConversion"/>
  </si>
  <si>
    <r>
      <t>(</t>
    </r>
    <r>
      <rPr>
        <sz val="12"/>
        <rFont val="標楷體"/>
        <family val="4"/>
        <charset val="136"/>
      </rPr>
      <t>一</t>
    </r>
    <r>
      <rPr>
        <sz val="12"/>
        <rFont val="Times New Roman"/>
        <family val="1"/>
      </rPr>
      <t>)</t>
    </r>
    <r>
      <rPr>
        <sz val="12"/>
        <rFont val="標楷體"/>
        <family val="4"/>
        <charset val="136"/>
      </rPr>
      <t>上市普通股</t>
    </r>
    <phoneticPr fontId="26" type="noConversion"/>
  </si>
  <si>
    <r>
      <t>1.</t>
    </r>
    <r>
      <rPr>
        <sz val="12"/>
        <rFont val="標楷體"/>
        <family val="4"/>
        <charset val="136"/>
      </rPr>
      <t>擔任被投資公司之董監事</t>
    </r>
  </si>
  <si>
    <r>
      <t>2.</t>
    </r>
    <r>
      <rPr>
        <sz val="12"/>
        <rFont val="標楷體"/>
        <family val="4"/>
        <charset val="136"/>
      </rPr>
      <t>未擔任被投資公司之董監事</t>
    </r>
  </si>
  <si>
    <r>
      <t>(</t>
    </r>
    <r>
      <rPr>
        <sz val="12"/>
        <rFont val="標楷體"/>
        <family val="4"/>
        <charset val="136"/>
      </rPr>
      <t>二</t>
    </r>
    <r>
      <rPr>
        <sz val="12"/>
        <rFont val="Times New Roman"/>
        <family val="1"/>
      </rPr>
      <t>)</t>
    </r>
    <r>
      <rPr>
        <sz val="12"/>
        <rFont val="標楷體"/>
        <family val="4"/>
        <charset val="136"/>
      </rPr>
      <t>上櫃普通股</t>
    </r>
  </si>
  <si>
    <r>
      <t>(</t>
    </r>
    <r>
      <rPr>
        <sz val="12"/>
        <rFont val="標楷體"/>
        <family val="4"/>
        <charset val="136"/>
      </rPr>
      <t>三</t>
    </r>
    <r>
      <rPr>
        <sz val="12"/>
        <rFont val="Times New Roman"/>
        <family val="1"/>
      </rPr>
      <t>)</t>
    </r>
    <r>
      <rPr>
        <sz val="12"/>
        <rFont val="標楷體"/>
        <family val="4"/>
        <charset val="136"/>
      </rPr>
      <t>非上市上櫃普通股</t>
    </r>
  </si>
  <si>
    <r>
      <t>(</t>
    </r>
    <r>
      <rPr>
        <sz val="12"/>
        <rFont val="標楷體"/>
        <family val="4"/>
        <charset val="136"/>
      </rPr>
      <t>四</t>
    </r>
    <r>
      <rPr>
        <sz val="12"/>
        <rFont val="Times New Roman"/>
        <family val="1"/>
      </rPr>
      <t>)</t>
    </r>
    <r>
      <rPr>
        <sz val="12"/>
        <rFont val="標楷體"/>
        <family val="4"/>
        <charset val="136"/>
      </rPr>
      <t>特別股</t>
    </r>
  </si>
  <si>
    <r>
      <t>1.</t>
    </r>
    <r>
      <rPr>
        <sz val="12"/>
        <rFont val="標楷體"/>
        <family val="4"/>
        <charset val="136"/>
      </rPr>
      <t>固定收益特別股</t>
    </r>
  </si>
  <si>
    <r>
      <t>2.</t>
    </r>
    <r>
      <rPr>
        <sz val="12"/>
        <rFont val="標楷體"/>
        <family val="4"/>
        <charset val="136"/>
      </rPr>
      <t>非固定收益特別股</t>
    </r>
  </si>
  <si>
    <r>
      <t>(1)</t>
    </r>
    <r>
      <rPr>
        <sz val="12"/>
        <rFont val="標楷體"/>
        <family val="4"/>
        <charset val="136"/>
      </rPr>
      <t>上市上櫃</t>
    </r>
  </si>
  <si>
    <r>
      <t>(2)</t>
    </r>
    <r>
      <rPr>
        <sz val="12"/>
        <rFont val="標楷體"/>
        <family val="4"/>
        <charset val="136"/>
      </rPr>
      <t>非上市上櫃</t>
    </r>
  </si>
  <si>
    <r>
      <t>(</t>
    </r>
    <r>
      <rPr>
        <sz val="12"/>
        <rFont val="標楷體"/>
        <family val="4"/>
        <charset val="136"/>
      </rPr>
      <t>五</t>
    </r>
    <r>
      <rPr>
        <sz val="12"/>
        <rFont val="Times New Roman"/>
        <family val="1"/>
      </rPr>
      <t>)</t>
    </r>
    <r>
      <rPr>
        <sz val="12"/>
        <rFont val="標楷體"/>
        <family val="4"/>
        <charset val="136"/>
      </rPr>
      <t>專案運用公共及社會福利事業投資</t>
    </r>
  </si>
  <si>
    <r>
      <t>1.</t>
    </r>
    <r>
      <rPr>
        <sz val="12"/>
        <rFont val="標楷體"/>
        <family val="4"/>
        <charset val="136"/>
      </rPr>
      <t>政策性之專案運用公共及社會福利事業投資</t>
    </r>
  </si>
  <si>
    <r>
      <t>2.</t>
    </r>
    <r>
      <rPr>
        <sz val="12"/>
        <rFont val="標楷體"/>
        <family val="4"/>
        <charset val="136"/>
      </rPr>
      <t>創業投資</t>
    </r>
  </si>
  <si>
    <r>
      <t>3.</t>
    </r>
    <r>
      <rPr>
        <sz val="12"/>
        <rFont val="標楷體"/>
        <family val="4"/>
        <charset val="136"/>
      </rPr>
      <t>以股票方式投資</t>
    </r>
    <r>
      <rPr>
        <sz val="12"/>
        <rFont val="Times New Roman"/>
        <family val="1"/>
      </rPr>
      <t>(</t>
    </r>
    <r>
      <rPr>
        <sz val="12"/>
        <rFont val="標楷體"/>
        <family val="4"/>
        <charset val="136"/>
      </rPr>
      <t>非創投</t>
    </r>
    <r>
      <rPr>
        <sz val="12"/>
        <rFont val="Times New Roman"/>
        <family val="1"/>
      </rPr>
      <t>)</t>
    </r>
    <r>
      <rPr>
        <sz val="12"/>
        <rFont val="標楷體"/>
        <family val="4"/>
        <charset val="136"/>
      </rPr>
      <t>之專案運用公共及社會福利事業投資</t>
    </r>
    <phoneticPr fontId="26" type="noConversion"/>
  </si>
  <si>
    <r>
      <t>(1)</t>
    </r>
    <r>
      <rPr>
        <sz val="12"/>
        <rFont val="標楷體"/>
        <family val="4"/>
        <charset val="136"/>
      </rPr>
      <t>上市普通股</t>
    </r>
    <phoneticPr fontId="26" type="noConversion"/>
  </si>
  <si>
    <r>
      <t>a.</t>
    </r>
    <r>
      <rPr>
        <sz val="12"/>
        <rFont val="標楷體"/>
        <family val="4"/>
        <charset val="136"/>
      </rPr>
      <t>擔任被投資公司之董監事</t>
    </r>
  </si>
  <si>
    <r>
      <t>b.</t>
    </r>
    <r>
      <rPr>
        <sz val="12"/>
        <rFont val="標楷體"/>
        <family val="4"/>
        <charset val="136"/>
      </rPr>
      <t>未擔任被投資公司之董監事</t>
    </r>
  </si>
  <si>
    <r>
      <t>(2)</t>
    </r>
    <r>
      <rPr>
        <sz val="12"/>
        <rFont val="標楷體"/>
        <family val="4"/>
        <charset val="136"/>
      </rPr>
      <t>上櫃普通股</t>
    </r>
    <phoneticPr fontId="26" type="noConversion"/>
  </si>
  <si>
    <r>
      <t>(3)</t>
    </r>
    <r>
      <rPr>
        <sz val="12"/>
        <rFont val="標楷體"/>
        <family val="4"/>
        <charset val="136"/>
      </rPr>
      <t>非上市上櫃普通股</t>
    </r>
    <phoneticPr fontId="26" type="noConversion"/>
  </si>
  <si>
    <r>
      <t>(4)</t>
    </r>
    <r>
      <rPr>
        <sz val="12"/>
        <rFont val="標楷體"/>
        <family val="4"/>
        <charset val="136"/>
      </rPr>
      <t>特別股</t>
    </r>
    <phoneticPr fontId="26" type="noConversion"/>
  </si>
  <si>
    <r>
      <t>a.</t>
    </r>
    <r>
      <rPr>
        <sz val="12"/>
        <rFont val="標楷體"/>
        <family val="4"/>
        <charset val="136"/>
      </rPr>
      <t>固定收益特別股</t>
    </r>
  </si>
  <si>
    <r>
      <t>b.</t>
    </r>
    <r>
      <rPr>
        <sz val="12"/>
        <rFont val="標楷體"/>
        <family val="4"/>
        <charset val="136"/>
      </rPr>
      <t>非固定收益特別股</t>
    </r>
  </si>
  <si>
    <r>
      <t>b-1</t>
    </r>
    <r>
      <rPr>
        <sz val="12"/>
        <rFont val="標楷體"/>
        <family val="4"/>
        <charset val="136"/>
      </rPr>
      <t>上市櫃</t>
    </r>
    <phoneticPr fontId="26" type="noConversion"/>
  </si>
  <si>
    <r>
      <t>b-2</t>
    </r>
    <r>
      <rPr>
        <sz val="12"/>
        <rFont val="標楷體"/>
        <family val="4"/>
        <charset val="136"/>
      </rPr>
      <t>非上市上櫃</t>
    </r>
    <phoneticPr fontId="26" type="noConversion"/>
  </si>
  <si>
    <r>
      <rPr>
        <b/>
        <sz val="12"/>
        <rFont val="標楷體"/>
        <family val="4"/>
        <charset val="136"/>
      </rPr>
      <t>國內非關係人股票投資總額</t>
    </r>
  </si>
  <si>
    <r>
      <t>(</t>
    </r>
    <r>
      <rPr>
        <sz val="12"/>
        <rFont val="標楷體"/>
        <family val="4"/>
        <charset val="136"/>
      </rPr>
      <t>一</t>
    </r>
    <r>
      <rPr>
        <sz val="12"/>
        <rFont val="Times New Roman"/>
        <family val="1"/>
      </rPr>
      <t>)</t>
    </r>
    <r>
      <rPr>
        <sz val="12"/>
        <rFont val="標楷體"/>
        <family val="4"/>
        <charset val="136"/>
      </rPr>
      <t>已開發國家</t>
    </r>
  </si>
  <si>
    <r>
      <t>1.</t>
    </r>
    <r>
      <rPr>
        <sz val="12"/>
        <rFont val="標楷體"/>
        <family val="4"/>
        <charset val="136"/>
      </rPr>
      <t>上市上櫃普通股</t>
    </r>
  </si>
  <si>
    <r>
      <t>2.</t>
    </r>
    <r>
      <rPr>
        <sz val="12"/>
        <rFont val="標楷體"/>
        <family val="4"/>
        <charset val="136"/>
      </rPr>
      <t>非上市上櫃普通股</t>
    </r>
  </si>
  <si>
    <r>
      <t>3.</t>
    </r>
    <r>
      <rPr>
        <sz val="12"/>
        <rFont val="標楷體"/>
        <family val="4"/>
        <charset val="136"/>
      </rPr>
      <t>特別股</t>
    </r>
  </si>
  <si>
    <r>
      <t>(1)</t>
    </r>
    <r>
      <rPr>
        <sz val="12"/>
        <rFont val="標楷體"/>
        <family val="4"/>
        <charset val="136"/>
      </rPr>
      <t>固定收益特別股</t>
    </r>
  </si>
  <si>
    <r>
      <t>(2)</t>
    </r>
    <r>
      <rPr>
        <sz val="12"/>
        <rFont val="標楷體"/>
        <family val="4"/>
        <charset val="136"/>
      </rPr>
      <t>非固定收益特別股</t>
    </r>
  </si>
  <si>
    <r>
      <t>a.</t>
    </r>
    <r>
      <rPr>
        <sz val="12"/>
        <rFont val="標楷體"/>
        <family val="4"/>
        <charset val="136"/>
      </rPr>
      <t>上市櫃</t>
    </r>
  </si>
  <si>
    <r>
      <t>b.</t>
    </r>
    <r>
      <rPr>
        <sz val="12"/>
        <rFont val="標楷體"/>
        <family val="4"/>
        <charset val="136"/>
      </rPr>
      <t>非上市櫃</t>
    </r>
  </si>
  <si>
    <r>
      <t>(</t>
    </r>
    <r>
      <rPr>
        <sz val="12"/>
        <rFont val="標楷體"/>
        <family val="4"/>
        <charset val="136"/>
      </rPr>
      <t>二</t>
    </r>
    <r>
      <rPr>
        <sz val="12"/>
        <rFont val="Times New Roman"/>
        <family val="1"/>
      </rPr>
      <t>)</t>
    </r>
    <r>
      <rPr>
        <sz val="12"/>
        <rFont val="標楷體"/>
        <family val="4"/>
        <charset val="136"/>
      </rPr>
      <t>新興市場</t>
    </r>
  </si>
  <si>
    <r>
      <rPr>
        <b/>
        <sz val="12"/>
        <rFont val="標楷體"/>
        <family val="4"/>
        <charset val="136"/>
      </rPr>
      <t>國外非關係人股票投資總額</t>
    </r>
  </si>
  <si>
    <r>
      <rPr>
        <sz val="12"/>
        <rFont val="標楷體"/>
        <family val="4"/>
        <charset val="136"/>
      </rPr>
      <t>註</t>
    </r>
    <r>
      <rPr>
        <sz val="12"/>
        <rFont val="Times New Roman"/>
        <family val="1"/>
      </rPr>
      <t>1</t>
    </r>
    <phoneticPr fontId="26" type="noConversion"/>
  </si>
  <si>
    <r>
      <rPr>
        <sz val="12"/>
        <rFont val="標楷體"/>
        <family val="4"/>
        <charset val="136"/>
      </rPr>
      <t>註</t>
    </r>
    <r>
      <rPr>
        <sz val="12"/>
        <rFont val="Times New Roman"/>
        <family val="1"/>
      </rPr>
      <t>2</t>
    </r>
    <phoneticPr fontId="26" type="noConversion"/>
  </si>
  <si>
    <r>
      <rPr>
        <sz val="12"/>
        <rFont val="標楷體"/>
        <family val="4"/>
        <charset val="136"/>
      </rPr>
      <t>註</t>
    </r>
    <r>
      <rPr>
        <sz val="12"/>
        <rFont val="Times New Roman"/>
        <family val="1"/>
      </rPr>
      <t>3</t>
    </r>
    <phoneticPr fontId="26" type="noConversion"/>
  </si>
  <si>
    <r>
      <rPr>
        <sz val="12"/>
        <rFont val="標楷體"/>
        <family val="4"/>
        <charset val="136"/>
      </rPr>
      <t>註</t>
    </r>
    <r>
      <rPr>
        <sz val="12"/>
        <rFont val="Times New Roman"/>
        <family val="1"/>
      </rPr>
      <t>5</t>
    </r>
    <phoneticPr fontId="26" type="noConversion"/>
  </si>
  <si>
    <r>
      <rPr>
        <sz val="12"/>
        <rFont val="標楷體"/>
        <family val="4"/>
        <charset val="136"/>
      </rPr>
      <t>註</t>
    </r>
    <r>
      <rPr>
        <sz val="12"/>
        <rFont val="Times New Roman"/>
        <family val="1"/>
      </rPr>
      <t>8</t>
    </r>
    <phoneticPr fontId="26" type="noConversion"/>
  </si>
  <si>
    <r>
      <rPr>
        <sz val="12"/>
        <rFont val="標楷體"/>
        <family val="4"/>
        <charset val="136"/>
      </rPr>
      <t>註</t>
    </r>
    <r>
      <rPr>
        <sz val="12"/>
        <rFont val="Times New Roman"/>
        <family val="1"/>
      </rPr>
      <t>9</t>
    </r>
    <phoneticPr fontId="26" type="noConversion"/>
  </si>
  <si>
    <r>
      <rPr>
        <sz val="12"/>
        <rFont val="標楷體"/>
        <family val="4"/>
        <charset val="136"/>
      </rPr>
      <t>註</t>
    </r>
    <r>
      <rPr>
        <sz val="12"/>
        <rFont val="Times New Roman"/>
        <family val="1"/>
      </rPr>
      <t>10</t>
    </r>
  </si>
  <si>
    <r>
      <rPr>
        <sz val="12"/>
        <rFont val="標楷體"/>
        <family val="4"/>
        <charset val="136"/>
      </rPr>
      <t>註</t>
    </r>
    <r>
      <rPr>
        <sz val="12"/>
        <rFont val="Times New Roman"/>
        <family val="1"/>
      </rPr>
      <t>11</t>
    </r>
  </si>
  <si>
    <r>
      <rPr>
        <sz val="12"/>
        <rFont val="標楷體"/>
        <family val="4"/>
        <charset val="136"/>
      </rPr>
      <t>註</t>
    </r>
    <r>
      <rPr>
        <sz val="12"/>
        <rFont val="Times New Roman"/>
        <family val="1"/>
      </rPr>
      <t>12</t>
    </r>
  </si>
  <si>
    <r>
      <rPr>
        <sz val="12"/>
        <rFont val="標楷體"/>
        <family val="4"/>
        <charset val="136"/>
      </rPr>
      <t>表</t>
    </r>
    <r>
      <rPr>
        <sz val="12"/>
        <rFont val="Times New Roman"/>
        <family val="1"/>
      </rPr>
      <t>11-1</t>
    </r>
    <r>
      <rPr>
        <sz val="12"/>
        <rFont val="標楷體"/>
        <family val="4"/>
        <charset val="136"/>
      </rPr>
      <t>：公司債餘額明細表</t>
    </r>
    <phoneticPr fontId="29" type="noConversion"/>
  </si>
  <si>
    <r>
      <rPr>
        <b/>
        <sz val="12"/>
        <rFont val="標楷體"/>
        <family val="4"/>
        <charset val="136"/>
      </rPr>
      <t>證券標的</t>
    </r>
  </si>
  <si>
    <r>
      <rPr>
        <b/>
        <sz val="12"/>
        <rFont val="標楷體"/>
        <family val="4"/>
        <charset val="136"/>
      </rPr>
      <t>是否為專案運用公共及社會福利事業投資</t>
    </r>
    <phoneticPr fontId="29" type="noConversion"/>
  </si>
  <si>
    <r>
      <rPr>
        <b/>
        <sz val="12"/>
        <rFont val="標楷體"/>
        <family val="4"/>
        <charset val="136"/>
      </rPr>
      <t>是否為具資本性質債券</t>
    </r>
    <phoneticPr fontId="29" type="noConversion"/>
  </si>
  <si>
    <r>
      <rPr>
        <b/>
        <sz val="12"/>
        <rFont val="標楷體"/>
        <family val="4"/>
        <charset val="136"/>
      </rPr>
      <t>是否為擔保公司債</t>
    </r>
  </si>
  <si>
    <r>
      <rPr>
        <b/>
        <sz val="12"/>
        <rFont val="標楷體"/>
        <family val="4"/>
        <charset val="136"/>
      </rPr>
      <t xml:space="preserve">期末帳載金額
</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29" type="noConversion"/>
  </si>
  <si>
    <r>
      <rPr>
        <b/>
        <sz val="12"/>
        <rFont val="標楷體"/>
        <family val="4"/>
        <charset val="136"/>
      </rPr>
      <t>帳載金額占該發行公司債之公司實收資本額比率</t>
    </r>
    <r>
      <rPr>
        <b/>
        <sz val="12"/>
        <rFont val="Times New Roman"/>
        <family val="1"/>
      </rPr>
      <t>%</t>
    </r>
    <phoneticPr fontId="26" type="noConversion"/>
  </si>
  <si>
    <r>
      <rPr>
        <b/>
        <sz val="12"/>
        <rFont val="標楷體"/>
        <family val="4"/>
        <charset val="136"/>
      </rPr>
      <t>帳載金額占資金總額比率</t>
    </r>
    <phoneticPr fontId="29" type="noConversion"/>
  </si>
  <si>
    <t xml:space="preserve"> (11)</t>
    <phoneticPr fontId="26" type="noConversion"/>
  </si>
  <si>
    <t xml:space="preserve"> (12)</t>
    <phoneticPr fontId="26" type="noConversion"/>
  </si>
  <si>
    <t xml:space="preserve"> (13)</t>
    <phoneticPr fontId="26" type="noConversion"/>
  </si>
  <si>
    <t xml:space="preserve"> (14)</t>
  </si>
  <si>
    <t>(15)</t>
    <phoneticPr fontId="29" type="noConversion"/>
  </si>
  <si>
    <t>(31)</t>
    <phoneticPr fontId="29" type="noConversion"/>
  </si>
  <si>
    <r>
      <rPr>
        <sz val="12"/>
        <rFont val="標楷體"/>
        <family val="4"/>
        <charset val="136"/>
      </rPr>
      <t>證券標的及發行公司代號請洽由財團法人保險事業發展中心統一配賦。</t>
    </r>
    <phoneticPr fontId="29" type="noConversion"/>
  </si>
  <si>
    <r>
      <rPr>
        <sz val="12"/>
        <rFont val="標楷體"/>
        <family val="4"/>
        <charset val="136"/>
      </rPr>
      <t>信用評等機構填列如</t>
    </r>
    <r>
      <rPr>
        <sz val="12"/>
        <rFont val="Times New Roman"/>
        <family val="1"/>
      </rPr>
      <t>A.S&amp;P, B.AM Best, C.Moody's, D.Fitch, E.tw, F.</t>
    </r>
    <r>
      <rPr>
        <sz val="12"/>
        <rFont val="標楷體"/>
        <family val="4"/>
        <charset val="136"/>
      </rPr>
      <t>其他。</t>
    </r>
    <phoneticPr fontId="26" type="noConversion"/>
  </si>
  <si>
    <r>
      <rPr>
        <sz val="12"/>
        <rFont val="標楷體"/>
        <family val="4"/>
        <charset val="136"/>
      </rPr>
      <t>評等等級請依信用評等機構所列填寫，並以最近一年之評等資料填寫，若無信用評等者請填無。</t>
    </r>
    <phoneticPr fontId="29"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</si>
  <si>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29" type="noConversion"/>
  </si>
  <si>
    <r>
      <t>C.</t>
    </r>
    <r>
      <rPr>
        <sz val="12"/>
        <rFont val="標楷體"/>
        <family val="4"/>
        <charset val="136"/>
      </rPr>
      <t>按攤銷後成本衡量之金融資產</t>
    </r>
    <r>
      <rPr>
        <sz val="12"/>
        <rFont val="Times New Roman"/>
        <family val="1"/>
      </rPr>
      <t>(</t>
    </r>
    <r>
      <rPr>
        <sz val="12"/>
        <rFont val="標楷體"/>
        <family val="4"/>
        <charset val="136"/>
      </rPr>
      <t>以上均含其他、存出抵繳保證金、財務危機之公司債券等</t>
    </r>
    <r>
      <rPr>
        <sz val="12"/>
        <rFont val="Times New Roman"/>
        <family val="1"/>
      </rPr>
      <t>)</t>
    </r>
    <r>
      <rPr>
        <sz val="12"/>
        <rFont val="標楷體"/>
        <family val="4"/>
        <charset val="136"/>
      </rPr>
      <t>。</t>
    </r>
    <phoneticPr fontId="29" type="noConversion"/>
  </si>
  <si>
    <r>
      <rPr>
        <sz val="12"/>
        <rFont val="標楷體"/>
        <family val="4"/>
        <charset val="136"/>
      </rPr>
      <t>是否為專案運用公共及社會福利事業投資請依序填列</t>
    </r>
    <r>
      <rPr>
        <sz val="12"/>
        <rFont val="Times New Roman"/>
        <family val="1"/>
      </rPr>
      <t>A.</t>
    </r>
    <r>
      <rPr>
        <sz val="12"/>
        <rFont val="標楷體"/>
        <family val="4"/>
        <charset val="136"/>
      </rPr>
      <t>專案運用</t>
    </r>
    <r>
      <rPr>
        <sz val="12"/>
        <rFont val="Times New Roman"/>
        <family val="1"/>
      </rPr>
      <t>-</t>
    </r>
    <r>
      <rPr>
        <sz val="12"/>
        <rFont val="標楷體"/>
        <family val="4"/>
        <charset val="136"/>
      </rPr>
      <t>非創業投資</t>
    </r>
    <r>
      <rPr>
        <sz val="12"/>
        <rFont val="Times New Roman"/>
        <family val="1"/>
      </rPr>
      <t>, B.</t>
    </r>
    <r>
      <rPr>
        <sz val="12"/>
        <rFont val="標楷體"/>
        <family val="4"/>
        <charset val="136"/>
      </rPr>
      <t>專案運用</t>
    </r>
    <r>
      <rPr>
        <sz val="12"/>
        <rFont val="Times New Roman"/>
        <family val="1"/>
      </rPr>
      <t>-</t>
    </r>
    <r>
      <rPr>
        <sz val="12"/>
        <rFont val="標楷體"/>
        <family val="4"/>
        <charset val="136"/>
      </rPr>
      <t>創業投資</t>
    </r>
    <r>
      <rPr>
        <sz val="12"/>
        <rFont val="Times New Roman"/>
        <family val="1"/>
      </rPr>
      <t>, C.</t>
    </r>
    <r>
      <rPr>
        <sz val="12"/>
        <rFont val="標楷體"/>
        <family val="4"/>
        <charset val="136"/>
      </rPr>
      <t>政策性之專案運用、公共及社會福利事業投資</t>
    </r>
    <r>
      <rPr>
        <sz val="12"/>
        <rFont val="Times New Roman"/>
        <family val="1"/>
      </rPr>
      <t>(</t>
    </r>
    <r>
      <rPr>
        <sz val="12"/>
        <rFont val="標楷體"/>
        <family val="4"/>
        <charset val="136"/>
      </rPr>
      <t>含長期照護產業</t>
    </r>
    <r>
      <rPr>
        <sz val="12"/>
        <rFont val="Times New Roman"/>
        <family val="1"/>
      </rPr>
      <t>)</t>
    </r>
    <r>
      <rPr>
        <sz val="12"/>
        <rFont val="標楷體"/>
        <family val="4"/>
        <charset val="136"/>
      </rPr>
      <t>與其他主管機關核准項目</t>
    </r>
    <r>
      <rPr>
        <sz val="12"/>
        <rFont val="Times New Roman"/>
        <family val="1"/>
      </rPr>
      <t>, D.</t>
    </r>
    <r>
      <rPr>
        <sz val="12"/>
        <rFont val="標楷體"/>
        <family val="4"/>
        <charset val="136"/>
      </rPr>
      <t>非屬專案運用公共及社會福利事業投資。</t>
    </r>
    <phoneticPr fontId="29" type="noConversion"/>
  </si>
  <si>
    <r>
      <rPr>
        <sz val="12"/>
        <rFont val="標楷體"/>
        <family val="4"/>
        <charset val="136"/>
      </rPr>
      <t>是否為擔保公司債請依序填列</t>
    </r>
    <r>
      <rPr>
        <sz val="12"/>
        <rFont val="Times New Roman"/>
        <family val="1"/>
      </rPr>
      <t>A.</t>
    </r>
    <r>
      <rPr>
        <sz val="12"/>
        <rFont val="標楷體"/>
        <family val="4"/>
        <charset val="136"/>
      </rPr>
      <t>有擔保公司債</t>
    </r>
    <r>
      <rPr>
        <sz val="12"/>
        <rFont val="Times New Roman"/>
        <family val="1"/>
      </rPr>
      <t>, B.</t>
    </r>
    <r>
      <rPr>
        <sz val="12"/>
        <rFont val="標楷體"/>
        <family val="4"/>
        <charset val="136"/>
      </rPr>
      <t>無擔保公司債</t>
    </r>
    <r>
      <rPr>
        <sz val="12"/>
        <rFont val="Times New Roman"/>
        <family val="1"/>
      </rPr>
      <t>, C.</t>
    </r>
    <r>
      <rPr>
        <sz val="12"/>
        <rFont val="標楷體"/>
        <family val="4"/>
        <charset val="136"/>
      </rPr>
      <t>可轉換公司債及附認股權公司債</t>
    </r>
    <r>
      <rPr>
        <sz val="12"/>
        <rFont val="Times New Roman"/>
        <family val="1"/>
      </rPr>
      <t>, D.</t>
    </r>
    <r>
      <rPr>
        <sz val="12"/>
        <rFont val="標楷體"/>
        <family val="4"/>
        <charset val="136"/>
      </rPr>
      <t>其他。</t>
    </r>
    <phoneticPr fontId="26" type="noConversion"/>
  </si>
  <si>
    <r>
      <rPr>
        <sz val="12"/>
        <rFont val="標楷體"/>
        <family val="4"/>
        <charset val="136"/>
      </rPr>
      <t>本表均含國內外投資</t>
    </r>
    <r>
      <rPr>
        <sz val="12"/>
        <rFont val="Times New Roman"/>
        <family val="1"/>
      </rPr>
      <t>,</t>
    </r>
    <r>
      <rPr>
        <sz val="12"/>
        <rFont val="標楷體"/>
        <family val="4"/>
        <charset val="136"/>
      </rPr>
      <t>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t>
    </r>
    <phoneticPr fontId="29" type="noConversion"/>
  </si>
  <si>
    <r>
      <rPr>
        <sz val="12"/>
        <rFont val="標楷體"/>
        <family val="4"/>
        <charset val="136"/>
      </rPr>
      <t>到期年月日填寫方式為</t>
    </r>
    <r>
      <rPr>
        <sz val="12"/>
        <rFont val="Times New Roman"/>
        <family val="1"/>
      </rPr>
      <t>2005/06/25</t>
    </r>
    <r>
      <rPr>
        <sz val="12"/>
        <rFont val="標楷體"/>
        <family val="4"/>
        <charset val="136"/>
      </rPr>
      <t>。</t>
    </r>
    <phoneticPr fontId="29" type="noConversion"/>
  </si>
  <si>
    <r>
      <rPr>
        <sz val="12"/>
        <rFont val="標楷體"/>
        <family val="4"/>
        <charset val="136"/>
      </rPr>
      <t>若屬國外投資</t>
    </r>
    <r>
      <rPr>
        <sz val="12"/>
        <rFont val="Times New Roman"/>
        <family val="1"/>
      </rPr>
      <t>,</t>
    </r>
    <r>
      <rPr>
        <sz val="12"/>
        <rFont val="標楷體"/>
        <family val="4"/>
        <charset val="136"/>
      </rPr>
      <t>請以期末匯率換算為新台幣帳面價值，並以該發行公司債之公司股東權益金額計算其投資比率。</t>
    </r>
    <phoneticPr fontId="29" type="noConversion"/>
  </si>
  <si>
    <r>
      <rPr>
        <sz val="12"/>
        <rFont val="標楷體"/>
        <family val="4"/>
        <charset val="136"/>
      </rPr>
      <t>是否為具資本性質債券，請填列</t>
    </r>
    <r>
      <rPr>
        <sz val="12"/>
        <rFont val="Times New Roman"/>
        <family val="1"/>
      </rPr>
      <t>Y.</t>
    </r>
    <r>
      <rPr>
        <sz val="12"/>
        <rFont val="標楷體"/>
        <family val="4"/>
        <charset val="136"/>
      </rPr>
      <t>具資本性質債券</t>
    </r>
    <r>
      <rPr>
        <sz val="12"/>
        <rFont val="Times New Roman"/>
        <family val="1"/>
      </rPr>
      <t>, N.</t>
    </r>
    <r>
      <rPr>
        <sz val="12"/>
        <rFont val="標楷體"/>
        <family val="4"/>
        <charset val="136"/>
      </rPr>
      <t>非具資本性質債券。</t>
    </r>
    <phoneticPr fontId="29" type="noConversion"/>
  </si>
  <si>
    <r>
      <rPr>
        <sz val="12"/>
        <rFont val="標楷體"/>
        <family val="4"/>
        <charset val="136"/>
      </rPr>
      <t>國內投資</t>
    </r>
  </si>
  <si>
    <r>
      <rPr>
        <sz val="12"/>
        <rFont val="標楷體"/>
        <family val="4"/>
        <charset val="136"/>
      </rPr>
      <t>國外投資</t>
    </r>
  </si>
  <si>
    <r>
      <rPr>
        <sz val="12"/>
        <rFont val="標楷體"/>
        <family val="4"/>
        <charset val="136"/>
      </rPr>
      <t>國內外投資合計</t>
    </r>
  </si>
  <si>
    <r>
      <rPr>
        <sz val="12"/>
        <rFont val="標楷體"/>
        <family val="4"/>
        <charset val="136"/>
      </rPr>
      <t>未實現損益</t>
    </r>
    <r>
      <rPr>
        <sz val="12"/>
        <rFont val="Times New Roman"/>
        <family val="1"/>
      </rPr>
      <t>-</t>
    </r>
    <r>
      <rPr>
        <sz val="12"/>
        <rFont val="標楷體"/>
        <family val="4"/>
        <charset val="136"/>
      </rPr>
      <t>以公允價值評價者</t>
    </r>
  </si>
  <si>
    <r>
      <rPr>
        <sz val="12"/>
        <rFont val="標楷體"/>
        <family val="4"/>
        <charset val="136"/>
      </rPr>
      <t>未實現損益</t>
    </r>
    <r>
      <rPr>
        <sz val="12"/>
        <rFont val="Times New Roman"/>
        <family val="1"/>
      </rPr>
      <t>-</t>
    </r>
    <r>
      <rPr>
        <sz val="12"/>
        <rFont val="標楷體"/>
        <family val="4"/>
        <charset val="136"/>
      </rPr>
      <t>非以公允價值評價者</t>
    </r>
    <phoneticPr fontId="32" type="noConversion"/>
  </si>
  <si>
    <r>
      <rPr>
        <sz val="12"/>
        <rFont val="標楷體"/>
        <family val="4"/>
        <charset val="136"/>
      </rPr>
      <t>關係人公司債投資：</t>
    </r>
    <phoneticPr fontId="29" type="noConversion"/>
  </si>
  <si>
    <r>
      <rPr>
        <sz val="12"/>
        <rFont val="標楷體"/>
        <family val="4"/>
        <charset val="136"/>
      </rPr>
      <t>上市公司債</t>
    </r>
  </si>
  <si>
    <r>
      <rPr>
        <sz val="12"/>
        <rFont val="標楷體"/>
        <family val="4"/>
        <charset val="136"/>
      </rPr>
      <t>上櫃公司債</t>
    </r>
  </si>
  <si>
    <r>
      <rPr>
        <sz val="12"/>
        <rFont val="標楷體"/>
        <family val="4"/>
        <charset val="136"/>
      </rPr>
      <t>興櫃公司債</t>
    </r>
  </si>
  <si>
    <r>
      <rPr>
        <sz val="12"/>
        <rFont val="標楷體"/>
        <family val="4"/>
        <charset val="136"/>
      </rPr>
      <t>非屬上市上櫃興櫃之其他公司債</t>
    </r>
  </si>
  <si>
    <r>
      <rPr>
        <sz val="12"/>
        <rFont val="標楷體"/>
        <family val="4"/>
        <charset val="136"/>
      </rPr>
      <t>可轉換公司債及附認股權公司債</t>
    </r>
    <phoneticPr fontId="26" type="noConversion"/>
  </si>
  <si>
    <r>
      <rPr>
        <sz val="12"/>
        <rFont val="標楷體"/>
        <family val="4"/>
        <charset val="136"/>
      </rPr>
      <t>總計</t>
    </r>
    <r>
      <rPr>
        <sz val="12"/>
        <rFont val="Times New Roman"/>
        <family val="1"/>
      </rPr>
      <t>(</t>
    </r>
    <r>
      <rPr>
        <sz val="12"/>
        <rFont val="標楷體"/>
        <family val="4"/>
        <charset val="136"/>
      </rPr>
      <t>具資本性質債券</t>
    </r>
    <r>
      <rPr>
        <sz val="12"/>
        <rFont val="Times New Roman"/>
        <family val="1"/>
      </rPr>
      <t>)</t>
    </r>
    <phoneticPr fontId="29" type="noConversion"/>
  </si>
  <si>
    <r>
      <rPr>
        <sz val="12"/>
        <rFont val="標楷體"/>
        <family val="4"/>
        <charset val="136"/>
      </rPr>
      <t>具控制與從屬關係</t>
    </r>
    <phoneticPr fontId="29" type="noConversion"/>
  </si>
  <si>
    <r>
      <rPr>
        <sz val="12"/>
        <rFont val="標楷體"/>
        <family val="4"/>
        <charset val="136"/>
      </rPr>
      <t>投資非保險相關事業</t>
    </r>
    <phoneticPr fontId="29" type="noConversion"/>
  </si>
  <si>
    <r>
      <rPr>
        <sz val="12"/>
        <rFont val="標楷體"/>
        <family val="4"/>
        <charset val="136"/>
      </rPr>
      <t>非控制與從屬關係</t>
    </r>
    <phoneticPr fontId="29" type="noConversion"/>
  </si>
  <si>
    <r>
      <rPr>
        <sz val="12"/>
        <rFont val="標楷體"/>
        <family val="4"/>
        <charset val="136"/>
      </rPr>
      <t>投資保險相關事業</t>
    </r>
    <phoneticPr fontId="29" type="noConversion"/>
  </si>
  <si>
    <r>
      <rPr>
        <sz val="12"/>
        <rFont val="標楷體"/>
        <family val="4"/>
        <charset val="136"/>
      </rPr>
      <t>小計</t>
    </r>
    <r>
      <rPr>
        <sz val="12"/>
        <rFont val="Times New Roman"/>
        <family val="1"/>
      </rPr>
      <t>(</t>
    </r>
    <r>
      <rPr>
        <sz val="12"/>
        <rFont val="標楷體"/>
        <family val="4"/>
        <charset val="136"/>
      </rPr>
      <t>註</t>
    </r>
    <r>
      <rPr>
        <sz val="12"/>
        <rFont val="Times New Roman"/>
        <family val="1"/>
      </rPr>
      <t>2)</t>
    </r>
    <phoneticPr fontId="29" type="noConversion"/>
  </si>
  <si>
    <r>
      <rPr>
        <sz val="12"/>
        <rFont val="標楷體"/>
        <family val="4"/>
        <charset val="136"/>
      </rPr>
      <t>創業投資事業公司債</t>
    </r>
    <phoneticPr fontId="29" type="noConversion"/>
  </si>
  <si>
    <r>
      <rPr>
        <sz val="12"/>
        <rFont val="標楷體"/>
        <family val="4"/>
        <charset val="136"/>
      </rPr>
      <t>無擔保公司債</t>
    </r>
    <phoneticPr fontId="29" type="noConversion"/>
  </si>
  <si>
    <r>
      <rPr>
        <sz val="12"/>
        <rFont val="標楷體"/>
        <family val="4"/>
        <charset val="136"/>
      </rPr>
      <t>透過損益按公允價值衡量之金融資產</t>
    </r>
    <r>
      <rPr>
        <sz val="12"/>
        <rFont val="Times New Roman"/>
        <family val="1"/>
      </rPr>
      <t>-</t>
    </r>
    <r>
      <rPr>
        <sz val="12"/>
        <rFont val="標楷體"/>
        <family val="4"/>
        <charset val="136"/>
      </rPr>
      <t>未採用覆蓋法</t>
    </r>
    <phoneticPr fontId="29" type="noConversion"/>
  </si>
  <si>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phoneticPr fontId="26" type="noConversion"/>
  </si>
  <si>
    <r>
      <rPr>
        <sz val="12"/>
        <rFont val="標楷體"/>
        <family val="4"/>
        <charset val="136"/>
      </rPr>
      <t>透過損益按公允價值衡量之金融資產</t>
    </r>
    <r>
      <rPr>
        <sz val="12"/>
        <rFont val="Times New Roman"/>
        <family val="1"/>
      </rPr>
      <t>-</t>
    </r>
    <r>
      <rPr>
        <sz val="12"/>
        <rFont val="標楷體"/>
        <family val="4"/>
        <charset val="136"/>
      </rPr>
      <t>採用覆蓋法</t>
    </r>
    <phoneticPr fontId="29" type="noConversion"/>
  </si>
  <si>
    <r>
      <rPr>
        <sz val="12"/>
        <rFont val="標楷體"/>
        <family val="4"/>
        <charset val="136"/>
      </rPr>
      <t>透過其他綜合損益按公允價值衡量之金融資產</t>
    </r>
    <phoneticPr fontId="29" type="noConversion"/>
  </si>
  <si>
    <r>
      <rPr>
        <sz val="12"/>
        <rFont val="標楷體"/>
        <family val="4"/>
        <charset val="136"/>
      </rPr>
      <t>按攤銷後成本衡量之金融資產</t>
    </r>
    <phoneticPr fontId="29" type="noConversion"/>
  </si>
  <si>
    <r>
      <rPr>
        <sz val="12"/>
        <rFont val="標楷體"/>
        <family val="4"/>
        <charset val="136"/>
      </rPr>
      <t>非關係人公司債投資：</t>
    </r>
    <phoneticPr fontId="29" type="noConversion"/>
  </si>
  <si>
    <r>
      <rPr>
        <sz val="12"/>
        <rFont val="標楷體"/>
        <family val="4"/>
        <charset val="136"/>
      </rPr>
      <t>有擔保公司債</t>
    </r>
    <phoneticPr fontId="29" type="noConversion"/>
  </si>
  <si>
    <r>
      <rPr>
        <sz val="12"/>
        <rFont val="標楷體"/>
        <family val="4"/>
        <charset val="136"/>
      </rPr>
      <t>私募公司債</t>
    </r>
    <phoneticPr fontId="29" type="noConversion"/>
  </si>
  <si>
    <r>
      <rPr>
        <sz val="12"/>
        <rFont val="標楷體"/>
        <family val="4"/>
        <charset val="136"/>
      </rPr>
      <t>非屬實質互相投資</t>
    </r>
    <phoneticPr fontId="29" type="noConversion"/>
  </si>
  <si>
    <r>
      <rPr>
        <sz val="12"/>
        <rFont val="標楷體"/>
        <family val="4"/>
        <charset val="136"/>
      </rPr>
      <t>小計應與「表</t>
    </r>
    <r>
      <rPr>
        <sz val="12"/>
        <rFont val="Times New Roman"/>
        <family val="1"/>
      </rPr>
      <t>11-1</t>
    </r>
    <r>
      <rPr>
        <sz val="12"/>
        <rFont val="標楷體"/>
        <family val="4"/>
        <charset val="136"/>
      </rPr>
      <t>：公司債餘額明細表」第</t>
    </r>
    <r>
      <rPr>
        <sz val="12"/>
        <rFont val="Times New Roman"/>
        <family val="1"/>
      </rPr>
      <t>(14)</t>
    </r>
    <r>
      <rPr>
        <sz val="12"/>
        <rFont val="標楷體"/>
        <family val="4"/>
        <charset val="136"/>
      </rPr>
      <t>欄填列為</t>
    </r>
    <r>
      <rPr>
        <sz val="12"/>
        <rFont val="Times New Roman"/>
        <family val="1"/>
      </rPr>
      <t>"Y"</t>
    </r>
    <r>
      <rPr>
        <sz val="12"/>
        <rFont val="標楷體"/>
        <family val="4"/>
        <charset val="136"/>
      </rPr>
      <t>者之期末帳載金額合計數相同。</t>
    </r>
    <phoneticPr fontId="29" type="noConversion"/>
  </si>
  <si>
    <r>
      <rPr>
        <sz val="12"/>
        <rFont val="標楷體"/>
        <family val="4"/>
        <charset val="136"/>
      </rPr>
      <t>表</t>
    </r>
    <r>
      <rPr>
        <sz val="12"/>
        <rFont val="Times New Roman"/>
        <family val="1"/>
      </rPr>
      <t>12-1</t>
    </r>
    <r>
      <rPr>
        <sz val="12"/>
        <rFont val="標楷體"/>
        <family val="4"/>
        <charset val="136"/>
      </rPr>
      <t>：受益憑證及國外表彰基金餘額明細表</t>
    </r>
    <phoneticPr fontId="29" type="noConversion"/>
  </si>
  <si>
    <r>
      <rPr>
        <sz val="12"/>
        <rFont val="標楷體"/>
        <family val="4"/>
        <charset val="136"/>
      </rPr>
      <t>註</t>
    </r>
    <r>
      <rPr>
        <sz val="12"/>
        <rFont val="Times New Roman"/>
        <family val="1"/>
      </rPr>
      <t>:</t>
    </r>
    <phoneticPr fontId="32" type="noConversion"/>
  </si>
  <si>
    <r>
      <rPr>
        <sz val="12"/>
        <rFont val="標楷體"/>
        <family val="4"/>
        <charset val="136"/>
      </rPr>
      <t>證券及管理機構代號請洽由財團法人保險事業發展中心統一配賦。</t>
    </r>
    <phoneticPr fontId="29"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</si>
  <si>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29"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</si>
  <si>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,D.</t>
    </r>
    <r>
      <rPr>
        <sz val="12"/>
        <rFont val="標楷體"/>
        <family val="4"/>
        <charset val="136"/>
      </rPr>
      <t>其他金融資產。</t>
    </r>
    <phoneticPr fontId="29" type="noConversion"/>
  </si>
  <si>
    <r>
      <rPr>
        <sz val="12"/>
        <rFont val="標楷體"/>
        <family val="4"/>
        <charset val="136"/>
      </rPr>
      <t>管理機構規模欄請填列管理機構所管理基金總資產淨值幾億美元（請以期末匯率換算</t>
    </r>
    <r>
      <rPr>
        <sz val="12"/>
        <rFont val="Times New Roman"/>
        <family val="1"/>
      </rPr>
      <t>,</t>
    </r>
    <r>
      <rPr>
        <sz val="12"/>
        <rFont val="標楷體"/>
        <family val="4"/>
        <charset val="136"/>
      </rPr>
      <t>若屬非美元資產請換算為美元資產），國內投資免填。</t>
    </r>
    <phoneticPr fontId="29" type="noConversion"/>
  </si>
  <si>
    <r>
      <rPr>
        <sz val="12"/>
        <rFont val="標楷體"/>
        <family val="4"/>
        <charset val="136"/>
      </rPr>
      <t>基金規模與管理機構規模及成立年期均以購買時點認計，並得自九十三年一月一日以後新購之標的予以填列，國內投資免填。</t>
    </r>
    <phoneticPr fontId="29"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</si>
  <si>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29" type="noConversion"/>
  </si>
  <si>
    <r>
      <rPr>
        <b/>
        <sz val="12"/>
        <rFont val="標楷體"/>
        <family val="4"/>
        <charset val="136"/>
      </rPr>
      <t>管理機構</t>
    </r>
  </si>
  <si>
    <r>
      <rPr>
        <b/>
        <sz val="12"/>
        <rFont val="標楷體"/>
        <family val="4"/>
        <charset val="136"/>
      </rPr>
      <t>持有單位數</t>
    </r>
  </si>
  <si>
    <r>
      <rPr>
        <b/>
        <sz val="12"/>
        <rFont val="標楷體"/>
        <family val="4"/>
        <charset val="136"/>
      </rPr>
      <t>帳載金額占該基金規模比率</t>
    </r>
    <phoneticPr fontId="29" type="noConversion"/>
  </si>
  <si>
    <r>
      <rPr>
        <b/>
        <sz val="12"/>
        <rFont val="標楷體"/>
        <family val="4"/>
        <charset val="136"/>
      </rPr>
      <t>本期增加帳載金額</t>
    </r>
    <phoneticPr fontId="29" type="noConversion"/>
  </si>
  <si>
    <r>
      <rPr>
        <b/>
        <sz val="12"/>
        <rFont val="標楷體"/>
        <family val="4"/>
        <charset val="136"/>
      </rPr>
      <t>本期減少帳載金額</t>
    </r>
    <phoneticPr fontId="29" type="noConversion"/>
  </si>
  <si>
    <r>
      <rPr>
        <b/>
        <sz val="12"/>
        <rFont val="標楷體"/>
        <family val="4"/>
        <charset val="136"/>
      </rPr>
      <t>期末帳載金額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29" type="noConversion"/>
  </si>
  <si>
    <r>
      <rPr>
        <b/>
        <sz val="12"/>
        <rFont val="標楷體"/>
        <family val="4"/>
        <charset val="136"/>
      </rPr>
      <t>最近收盤日公允價值或淨值總金額</t>
    </r>
    <phoneticPr fontId="26"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</si>
  <si>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11)</t>
    </r>
    <phoneticPr fontId="29" type="noConversion"/>
  </si>
  <si>
    <r>
      <rPr>
        <b/>
        <sz val="12"/>
        <rFont val="標楷體"/>
        <family val="4"/>
        <charset val="136"/>
      </rPr>
      <t>規模</t>
    </r>
  </si>
  <si>
    <r>
      <rPr>
        <b/>
        <sz val="12"/>
        <rFont val="標楷體"/>
        <family val="4"/>
        <charset val="136"/>
      </rPr>
      <t>成立年期</t>
    </r>
  </si>
  <si>
    <r>
      <rPr>
        <sz val="12"/>
        <rFont val="標楷體"/>
        <family val="4"/>
        <charset val="136"/>
      </rPr>
      <t>單位：新台幣元</t>
    </r>
    <r>
      <rPr>
        <sz val="12"/>
        <rFont val="Times New Roman"/>
        <family val="1"/>
      </rPr>
      <t xml:space="preserve">, %, </t>
    </r>
    <r>
      <rPr>
        <sz val="12"/>
        <rFont val="標楷體"/>
        <family val="4"/>
        <charset val="136"/>
      </rPr>
      <t>千股</t>
    </r>
    <phoneticPr fontId="26" type="noConversion"/>
  </si>
  <si>
    <r>
      <rPr>
        <sz val="12"/>
        <rFont val="標楷體"/>
        <family val="4"/>
        <charset val="136"/>
      </rPr>
      <t>國外對沖基金</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</si>
  <si>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phoneticPr fontId="29" type="noConversion"/>
  </si>
  <si>
    <r>
      <rPr>
        <sz val="12"/>
        <rFont val="標楷體"/>
        <family val="4"/>
        <charset val="136"/>
      </rPr>
      <t>非控制與從屬關係之關係人受益憑證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</si>
  <si>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其他國內私募受益憑證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</si>
  <si>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國外私募股權基金</t>
    </r>
    <phoneticPr fontId="29" type="noConversion"/>
  </si>
  <si>
    <r>
      <rPr>
        <sz val="12"/>
        <rFont val="標楷體"/>
        <family val="4"/>
        <charset val="136"/>
      </rPr>
      <t>各列屬於屬性分類無需加總</t>
    </r>
  </si>
  <si>
    <r>
      <rPr>
        <b/>
        <sz val="12"/>
        <rFont val="標楷體"/>
        <family val="4"/>
        <charset val="136"/>
      </rPr>
      <t>受益憑證</t>
    </r>
    <r>
      <rPr>
        <b/>
        <sz val="12"/>
        <rFont val="Times New Roman"/>
        <family val="1"/>
      </rPr>
      <t>(</t>
    </r>
    <r>
      <rPr>
        <b/>
        <sz val="12"/>
        <rFont val="標楷體"/>
        <family val="4"/>
        <charset val="136"/>
      </rPr>
      <t>基金</t>
    </r>
    <r>
      <rPr>
        <b/>
        <sz val="12"/>
        <rFont val="Times New Roman"/>
        <family val="1"/>
      </rPr>
      <t>)</t>
    </r>
    <r>
      <rPr>
        <b/>
        <sz val="12"/>
        <rFont val="標楷體"/>
        <family val="4"/>
        <charset val="136"/>
      </rPr>
      <t>種類</t>
    </r>
    <phoneticPr fontId="29" type="noConversion"/>
  </si>
  <si>
    <r>
      <rPr>
        <sz val="12"/>
        <rFont val="標楷體"/>
        <family val="4"/>
        <charset val="136"/>
      </rPr>
      <t>非屬上市上櫃興櫃之其他受益憑證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</si>
  <si>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</si>
  <si>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國內避險型受益憑證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</si>
  <si>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phoneticPr fontId="26" type="noConversion"/>
  </si>
  <si>
    <r>
      <rPr>
        <sz val="12"/>
        <rFont val="標楷體"/>
        <family val="4"/>
        <charset val="136"/>
      </rPr>
      <t>指數型基金</t>
    </r>
    <phoneticPr fontId="29" type="noConversion"/>
  </si>
  <si>
    <t>19-2</t>
    <phoneticPr fontId="29" type="noConversion"/>
  </si>
  <si>
    <r>
      <rPr>
        <sz val="12"/>
        <rFont val="標楷體"/>
        <family val="4"/>
        <charset val="136"/>
      </rPr>
      <t>國外私募債權基金</t>
    </r>
    <phoneticPr fontId="29" type="noConversion"/>
  </si>
  <si>
    <t>19-3</t>
    <phoneticPr fontId="29" type="noConversion"/>
  </si>
  <si>
    <r>
      <rPr>
        <sz val="12"/>
        <rFont val="標楷體"/>
        <family val="4"/>
        <charset val="136"/>
      </rPr>
      <t>其他</t>
    </r>
    <phoneticPr fontId="29" type="noConversion"/>
  </si>
  <si>
    <r>
      <rPr>
        <sz val="12"/>
        <rFont val="標楷體"/>
        <family val="4"/>
        <charset val="136"/>
      </rPr>
      <t>期末受益憑證</t>
    </r>
    <r>
      <rPr>
        <sz val="12"/>
        <rFont val="Times New Roman"/>
        <family val="1"/>
      </rPr>
      <t>(</t>
    </r>
    <r>
      <rPr>
        <sz val="12"/>
        <rFont val="標楷體"/>
        <family val="4"/>
        <charset val="136"/>
      </rPr>
      <t>基金</t>
    </r>
    <r>
      <rPr>
        <sz val="12"/>
        <rFont val="Times New Roman"/>
        <family val="1"/>
      </rPr>
      <t>)</t>
    </r>
    <r>
      <rPr>
        <sz val="12"/>
        <rFont val="標楷體"/>
        <family val="4"/>
        <charset val="136"/>
      </rPr>
      <t>投資餘額</t>
    </r>
    <r>
      <rPr>
        <sz val="12"/>
        <rFont val="Times New Roman"/>
        <family val="1"/>
      </rPr>
      <t>(</t>
    </r>
    <r>
      <rPr>
        <sz val="12"/>
        <rFont val="標楷體"/>
        <family val="4"/>
        <charset val="136"/>
      </rPr>
      <t>列</t>
    </r>
    <r>
      <rPr>
        <sz val="12"/>
        <rFont val="Times New Roman"/>
        <family val="1"/>
      </rPr>
      <t>6-9</t>
    </r>
    <r>
      <rPr>
        <sz val="12"/>
        <rFont val="標楷體"/>
        <family val="4"/>
        <charset val="136"/>
      </rPr>
      <t>合計</t>
    </r>
    <r>
      <rPr>
        <sz val="12"/>
        <rFont val="Times New Roman"/>
        <family val="1"/>
      </rPr>
      <t>)</t>
    </r>
    <phoneticPr fontId="29" type="noConversion"/>
  </si>
  <si>
    <r>
      <rPr>
        <b/>
        <sz val="12"/>
        <rFont val="標楷體"/>
        <family val="4"/>
        <charset val="136"/>
      </rPr>
      <t>列號</t>
    </r>
    <phoneticPr fontId="29" type="noConversion"/>
  </si>
  <si>
    <r>
      <rPr>
        <b/>
        <sz val="12"/>
        <rFont val="標楷體"/>
        <family val="4"/>
        <charset val="136"/>
      </rPr>
      <t>半年收盤平均價</t>
    </r>
    <phoneticPr fontId="29" type="noConversion"/>
  </si>
  <si>
    <t>(16)</t>
    <phoneticPr fontId="29" type="noConversion"/>
  </si>
  <si>
    <r>
      <rPr>
        <sz val="12"/>
        <rFont val="標楷體"/>
        <family val="4"/>
        <charset val="136"/>
      </rPr>
      <t>註</t>
    </r>
    <r>
      <rPr>
        <sz val="12"/>
        <rFont val="Times New Roman"/>
        <family val="1"/>
      </rPr>
      <t>:</t>
    </r>
    <phoneticPr fontId="29" type="noConversion"/>
  </si>
  <si>
    <t>1</t>
    <phoneticPr fontId="29" type="noConversion"/>
  </si>
  <si>
    <r>
      <rPr>
        <sz val="12"/>
        <rFont val="標楷體"/>
        <family val="4"/>
        <charset val="136"/>
      </rPr>
      <t>半年收盤平均價係指依資產負債表日前半年每日收盤價計算之算術平均價格</t>
    </r>
    <phoneticPr fontId="29"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</si>
  <si>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新興市場</t>
    </r>
    <r>
      <rPr>
        <sz val="12"/>
        <rFont val="Times New Roman"/>
        <family val="1"/>
      </rPr>
      <t>)</t>
    </r>
    <r>
      <rPr>
        <sz val="12"/>
        <rFont val="標楷體"/>
        <family val="4"/>
        <charset val="136"/>
      </rPr>
      <t>列</t>
    </r>
    <phoneticPr fontId="29" type="noConversion"/>
  </si>
  <si>
    <r>
      <t xml:space="preserve">0.1.2.3.1 </t>
    </r>
    <r>
      <rPr>
        <sz val="12"/>
        <rFont val="標楷體"/>
        <family val="4"/>
        <charset val="136"/>
      </rPr>
      <t>股票型共同基金</t>
    </r>
    <phoneticPr fontId="26" type="noConversion"/>
  </si>
  <si>
    <r>
      <t xml:space="preserve">0.1.2.3.2 </t>
    </r>
    <r>
      <rPr>
        <sz val="12"/>
        <rFont val="標楷體"/>
        <family val="4"/>
        <charset val="136"/>
      </rPr>
      <t>債券型共同基金</t>
    </r>
    <phoneticPr fontId="26" type="noConversion"/>
  </si>
  <si>
    <r>
      <t xml:space="preserve">0.2.1.1 </t>
    </r>
    <r>
      <rPr>
        <sz val="12"/>
        <rFont val="標楷體"/>
        <family val="4"/>
        <charset val="136"/>
      </rPr>
      <t>投資保險相關事業</t>
    </r>
    <phoneticPr fontId="26" type="noConversion"/>
  </si>
  <si>
    <r>
      <t xml:space="preserve">0.2.2.3.1 </t>
    </r>
    <r>
      <rPr>
        <sz val="12"/>
        <rFont val="標楷體"/>
        <family val="4"/>
        <charset val="136"/>
      </rPr>
      <t>股票型共同基金</t>
    </r>
    <phoneticPr fontId="26" type="noConversion"/>
  </si>
  <si>
    <r>
      <t xml:space="preserve">0.2.2.3.4 </t>
    </r>
    <r>
      <rPr>
        <sz val="12"/>
        <rFont val="標楷體"/>
        <family val="4"/>
        <charset val="136"/>
      </rPr>
      <t>貨幣型共同基金</t>
    </r>
    <phoneticPr fontId="26" type="noConversion"/>
  </si>
  <si>
    <r>
      <t xml:space="preserve">0.2.2.5 </t>
    </r>
    <r>
      <rPr>
        <sz val="12"/>
        <rFont val="標楷體"/>
        <family val="4"/>
        <charset val="136"/>
      </rPr>
      <t>放款</t>
    </r>
    <phoneticPr fontId="26" type="noConversion"/>
  </si>
  <si>
    <r>
      <t xml:space="preserve">0.2.2.6 </t>
    </r>
    <r>
      <rPr>
        <sz val="12"/>
        <rFont val="標楷體"/>
        <family val="4"/>
        <charset val="136"/>
      </rPr>
      <t>應收票據</t>
    </r>
    <phoneticPr fontId="26"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</si>
  <si>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(9+10+11)</t>
    </r>
    <r>
      <rPr>
        <sz val="12"/>
        <rFont val="標楷體"/>
        <family val="4"/>
        <charset val="136"/>
      </rPr>
      <t>列</t>
    </r>
    <phoneticPr fontId="29"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</si>
  <si>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(10)</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</si>
  <si>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(29)</t>
    </r>
    <r>
      <rPr>
        <sz val="12"/>
        <rFont val="標楷體"/>
        <family val="4"/>
        <charset val="136"/>
      </rPr>
      <t>列</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</si>
  <si>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(30)</t>
    </r>
    <r>
      <rPr>
        <sz val="12"/>
        <rFont val="標楷體"/>
        <family val="4"/>
        <charset val="136"/>
      </rPr>
      <t>列</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</si>
  <si>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(31)</t>
    </r>
    <r>
      <rPr>
        <sz val="12"/>
        <rFont val="標楷體"/>
        <family val="4"/>
        <charset val="136"/>
      </rPr>
      <t>列</t>
    </r>
    <phoneticPr fontId="29" type="noConversion"/>
  </si>
  <si>
    <r>
      <t xml:space="preserve">0.1.2.5.1 </t>
    </r>
    <r>
      <rPr>
        <sz val="12"/>
        <rFont val="標楷體"/>
        <family val="4"/>
        <charset val="136"/>
      </rPr>
      <t>放款</t>
    </r>
    <r>
      <rPr>
        <sz val="12"/>
        <rFont val="Times New Roman"/>
        <family val="1"/>
      </rPr>
      <t>(</t>
    </r>
    <r>
      <rPr>
        <sz val="12"/>
        <rFont val="標楷體"/>
        <family val="4"/>
        <charset val="136"/>
      </rPr>
      <t>除</t>
    </r>
    <r>
      <rPr>
        <sz val="12"/>
        <rFont val="Times New Roman"/>
        <family val="1"/>
      </rPr>
      <t>0.1.2.5.2</t>
    </r>
    <r>
      <rPr>
        <sz val="12"/>
        <rFont val="標楷體"/>
        <family val="4"/>
        <charset val="136"/>
      </rPr>
      <t>外</t>
    </r>
    <r>
      <rPr>
        <sz val="12"/>
        <rFont val="Times New Roman"/>
        <family val="1"/>
      </rPr>
      <t>)</t>
    </r>
    <phoneticPr fontId="26" type="noConversion"/>
  </si>
  <si>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(11)</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</si>
  <si>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(38)</t>
    </r>
    <r>
      <rPr>
        <sz val="12"/>
        <rFont val="標楷體"/>
        <family val="4"/>
        <charset val="136"/>
      </rPr>
      <t>列</t>
    </r>
    <phoneticPr fontId="29"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</si>
  <si>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(8+9)</t>
    </r>
    <r>
      <rPr>
        <sz val="12"/>
        <rFont val="標楷體"/>
        <family val="4"/>
        <charset val="136"/>
      </rPr>
      <t>列</t>
    </r>
    <phoneticPr fontId="29"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</si>
  <si>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(10)</t>
    </r>
    <r>
      <rPr>
        <sz val="12"/>
        <rFont val="標楷體"/>
        <family val="4"/>
        <charset val="136"/>
      </rPr>
      <t>欄第</t>
    </r>
    <r>
      <rPr>
        <sz val="12"/>
        <rFont val="Times New Roman"/>
        <family val="1"/>
      </rPr>
      <t>(22)</t>
    </r>
    <r>
      <rPr>
        <sz val="12"/>
        <rFont val="標楷體"/>
        <family val="4"/>
        <charset val="136"/>
      </rPr>
      <t>列</t>
    </r>
    <phoneticPr fontId="29" type="noConversion"/>
  </si>
  <si>
    <r>
      <rPr>
        <sz val="12"/>
        <rFont val="標楷體"/>
        <family val="4"/>
        <charset val="136"/>
      </rPr>
      <t>註</t>
    </r>
    <r>
      <rPr>
        <sz val="12"/>
        <rFont val="Times New Roman"/>
        <family val="1"/>
      </rPr>
      <t>2</t>
    </r>
    <r>
      <rPr>
        <sz val="12"/>
        <rFont val="標楷體"/>
        <family val="4"/>
        <charset val="136"/>
      </rPr>
      <t xml:space="preserve">：針對存款於關係人之機構或投資關係人之受益憑證者，若該機構已經信用評等機構評定達一定程度以上者，公司可提供該項信評資料，以作為係數上扣減之憑據；
</t>
    </r>
    <r>
      <rPr>
        <sz val="12"/>
        <rFont val="Times New Roman"/>
        <family val="1"/>
      </rPr>
      <t xml:space="preserve">     </t>
    </r>
    <r>
      <rPr>
        <sz val="12"/>
        <rFont val="標楷體"/>
        <family val="4"/>
        <charset val="136"/>
      </rPr>
      <t>相關信用評等規範詳「保險業計算資本適足率之信用評等資訊係數調整規範」。但不包括以</t>
    </r>
    <r>
      <rPr>
        <sz val="12"/>
        <rFont val="Times New Roman"/>
        <family val="1"/>
      </rPr>
      <t>β</t>
    </r>
    <r>
      <rPr>
        <sz val="12"/>
        <rFont val="標楷體"/>
        <family val="4"/>
        <charset val="136"/>
      </rPr>
      <t>值計算係數之受益憑證。</t>
    </r>
    <phoneticPr fontId="26"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</si>
  <si>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(15+16)</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(12)</t>
    </r>
    <r>
      <rPr>
        <sz val="12"/>
        <rFont val="標楷體"/>
        <family val="4"/>
        <charset val="136"/>
      </rPr>
      <t>欄第</t>
    </r>
    <r>
      <rPr>
        <sz val="12"/>
        <rFont val="Times New Roman"/>
        <family val="1"/>
      </rPr>
      <t>(9+10)</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(6+7)</t>
    </r>
    <r>
      <rPr>
        <sz val="12"/>
        <rFont val="標楷體"/>
        <family val="4"/>
        <charset val="136"/>
      </rPr>
      <t>列</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</si>
  <si>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(34)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非控制與從屬關係</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</si>
  <si>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(40)</t>
    </r>
    <r>
      <rPr>
        <sz val="12"/>
        <rFont val="標楷體"/>
        <family val="4"/>
        <charset val="136"/>
      </rPr>
      <t>列</t>
    </r>
    <phoneticPr fontId="29"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</si>
  <si>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(17+18)</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(12)</t>
    </r>
    <r>
      <rPr>
        <sz val="12"/>
        <rFont val="標楷體"/>
        <family val="4"/>
        <charset val="136"/>
      </rPr>
      <t>欄第</t>
    </r>
    <r>
      <rPr>
        <sz val="12"/>
        <rFont val="Times New Roman"/>
        <family val="1"/>
      </rPr>
      <t>(11+12)</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(8+9)</t>
    </r>
    <r>
      <rPr>
        <sz val="12"/>
        <rFont val="標楷體"/>
        <family val="4"/>
        <charset val="136"/>
      </rPr>
      <t>列</t>
    </r>
    <phoneticPr fontId="29" type="noConversion"/>
  </si>
  <si>
    <r>
      <t xml:space="preserve">0.2.2.2 </t>
    </r>
    <r>
      <rPr>
        <sz val="12"/>
        <rFont val="標楷體"/>
        <family val="4"/>
        <charset val="136"/>
      </rPr>
      <t>債券、票券及不動產受益證劵及金融資產受益證券</t>
    </r>
    <r>
      <rPr>
        <sz val="12"/>
        <rFont val="Times New Roman"/>
        <family val="1"/>
      </rPr>
      <t>(</t>
    </r>
    <r>
      <rPr>
        <sz val="12"/>
        <rFont val="標楷體"/>
        <family val="4"/>
        <charset val="136"/>
      </rPr>
      <t>含資產基礎證券</t>
    </r>
    <r>
      <rPr>
        <sz val="12"/>
        <rFont val="Times New Roman"/>
        <family val="1"/>
      </rPr>
      <t>)</t>
    </r>
    <phoneticPr fontId="26"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</si>
  <si>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(32)</t>
    </r>
    <r>
      <rPr>
        <sz val="12"/>
        <rFont val="標楷體"/>
        <family val="4"/>
        <charset val="136"/>
      </rPr>
      <t>列</t>
    </r>
    <phoneticPr fontId="29" type="noConversion"/>
  </si>
  <si>
    <r>
      <rPr>
        <sz val="12"/>
        <rFont val="標楷體"/>
        <family val="4"/>
        <charset val="136"/>
      </rPr>
      <t>註</t>
    </r>
    <r>
      <rPr>
        <sz val="12"/>
        <rFont val="Times New Roman"/>
        <family val="1"/>
      </rPr>
      <t>4</t>
    </r>
    <r>
      <rPr>
        <sz val="12"/>
        <rFont val="標楷體"/>
        <family val="4"/>
        <charset val="136"/>
      </rPr>
      <t>：大陸地區設立之分公司、子公司或參股投資之大陸地區保險業，雖非屬於保險法第</t>
    </r>
    <r>
      <rPr>
        <sz val="12"/>
        <rFont val="Times New Roman"/>
        <family val="1"/>
      </rPr>
      <t>146</t>
    </r>
    <r>
      <rPr>
        <sz val="12"/>
        <rFont val="標楷體"/>
        <family val="4"/>
        <charset val="136"/>
      </rPr>
      <t>條之</t>
    </r>
    <r>
      <rPr>
        <sz val="12"/>
        <rFont val="Times New Roman"/>
        <family val="1"/>
      </rPr>
      <t>4</t>
    </r>
    <r>
      <rPr>
        <sz val="12"/>
        <rFont val="標楷體"/>
        <family val="4"/>
        <charset val="136"/>
      </rPr>
      <t>規定及同條第</t>
    </r>
    <r>
      <rPr>
        <sz val="12"/>
        <rFont val="Times New Roman"/>
        <family val="1"/>
      </rPr>
      <t>3</t>
    </r>
    <r>
      <rPr>
        <sz val="12"/>
        <rFont val="標楷體"/>
        <family val="4"/>
        <charset val="136"/>
      </rPr>
      <t>項授權訂定之國外投資管理辦法所稱「國外保險相關事業」，惟於填報</t>
    </r>
    <r>
      <rPr>
        <sz val="12"/>
        <rFont val="Times New Roman"/>
        <family val="1"/>
      </rPr>
      <t>RBC</t>
    </r>
    <r>
      <rPr>
        <sz val="12"/>
        <rFont val="標楷體"/>
        <family val="4"/>
        <charset val="136"/>
      </rPr>
      <t>報表時，大陸地區之分公司、子公司或參股投資之大陸地區保險業應填列於「國外保險相關事業」相關欄位。</t>
    </r>
    <phoneticPr fontId="26" type="noConversion"/>
  </si>
  <si>
    <r>
      <rPr>
        <sz val="12"/>
        <rFont val="標楷體"/>
        <family val="4"/>
        <charset val="136"/>
      </rPr>
      <t>註</t>
    </r>
    <r>
      <rPr>
        <sz val="12"/>
        <rFont val="Times New Roman"/>
        <family val="1"/>
      </rPr>
      <t>5</t>
    </r>
    <r>
      <rPr>
        <sz val="12"/>
        <rFont val="標楷體"/>
        <family val="4"/>
        <charset val="136"/>
      </rPr>
      <t>：依「保險業資金辦理專案運用公共及社會福利事業投資管理辦法」第</t>
    </r>
    <r>
      <rPr>
        <sz val="12"/>
        <rFont val="Times New Roman"/>
        <family val="1"/>
      </rPr>
      <t>5</t>
    </r>
    <r>
      <rPr>
        <sz val="12"/>
        <rFont val="標楷體"/>
        <family val="4"/>
        <charset val="136"/>
      </rPr>
      <t>條第</t>
    </r>
    <r>
      <rPr>
        <sz val="12"/>
        <rFont val="Times New Roman"/>
        <family val="1"/>
      </rPr>
      <t>2</t>
    </r>
    <r>
      <rPr>
        <sz val="12"/>
        <rFont val="標楷體"/>
        <family val="4"/>
        <charset val="136"/>
      </rPr>
      <t>項第</t>
    </r>
    <r>
      <rPr>
        <sz val="12"/>
        <rFont val="Times New Roman"/>
        <family val="1"/>
      </rPr>
      <t>3</t>
    </r>
    <r>
      <rPr>
        <sz val="12"/>
        <rFont val="標楷體"/>
        <family val="4"/>
        <charset val="136"/>
      </rPr>
      <t>款投資國家級投資公司、證投信及證券商轉投資子公司擔任普通合夥人設立之國內私募股權基金並投資於公共投資及金管保財字第</t>
    </r>
    <r>
      <rPr>
        <sz val="12"/>
        <rFont val="Times New Roman"/>
        <family val="1"/>
      </rPr>
      <t xml:space="preserve"> 10610908021</t>
    </r>
    <r>
      <rPr>
        <sz val="12"/>
        <rFont val="標楷體"/>
        <family val="4"/>
        <charset val="136"/>
      </rPr>
      <t xml:space="preserve">號令第一點各款所列事項。
</t>
    </r>
    <r>
      <rPr>
        <sz val="12"/>
        <rFont val="Times New Roman"/>
        <family val="1"/>
      </rPr>
      <t xml:space="preserve">            10610908021</t>
    </r>
    <r>
      <rPr>
        <sz val="12"/>
        <rFont val="標楷體"/>
        <family val="4"/>
        <charset val="136"/>
      </rPr>
      <t>號令第一點各款所列事項。</t>
    </r>
    <phoneticPr fontId="26" type="noConversion"/>
  </si>
  <si>
    <r>
      <t xml:space="preserve">0.1.1 </t>
    </r>
    <r>
      <rPr>
        <sz val="12"/>
        <rFont val="標楷體"/>
        <family val="4"/>
        <charset val="136"/>
      </rPr>
      <t>投資股票</t>
    </r>
    <phoneticPr fontId="26" type="noConversion"/>
  </si>
  <si>
    <r>
      <t xml:space="preserve">0.1.1.1 </t>
    </r>
    <r>
      <rPr>
        <sz val="12"/>
        <rFont val="標楷體"/>
        <family val="4"/>
        <charset val="136"/>
      </rPr>
      <t>投資保險相關事業</t>
    </r>
    <phoneticPr fontId="26" type="noConversion"/>
  </si>
  <si>
    <r>
      <t xml:space="preserve">0.1.1.2.1 </t>
    </r>
    <r>
      <rPr>
        <sz val="12"/>
        <rFont val="標楷體"/>
        <family val="4"/>
        <charset val="136"/>
      </rPr>
      <t>國內非保險相關事業</t>
    </r>
    <phoneticPr fontId="26" type="noConversion"/>
  </si>
  <si>
    <r>
      <t xml:space="preserve">0.1.1.2.2.1 </t>
    </r>
    <r>
      <rPr>
        <sz val="12"/>
        <rFont val="標楷體"/>
        <family val="4"/>
        <charset val="136"/>
      </rPr>
      <t>投資特定目的公司</t>
    </r>
    <r>
      <rPr>
        <sz val="12"/>
        <rFont val="Times New Roman"/>
        <family val="1"/>
      </rPr>
      <t>(</t>
    </r>
    <r>
      <rPr>
        <sz val="12"/>
        <rFont val="標楷體"/>
        <family val="4"/>
        <charset val="136"/>
      </rPr>
      <t>間接持有國外不動產</t>
    </r>
    <r>
      <rPr>
        <sz val="12"/>
        <rFont val="Times New Roman"/>
        <family val="1"/>
      </rPr>
      <t>)</t>
    </r>
    <phoneticPr fontId="29" type="noConversion"/>
  </si>
  <si>
    <r>
      <t xml:space="preserve">0.1.2.1 </t>
    </r>
    <r>
      <rPr>
        <sz val="12"/>
        <rFont val="標楷體"/>
        <family val="4"/>
        <charset val="136"/>
      </rPr>
      <t>存款</t>
    </r>
    <r>
      <rPr>
        <sz val="12"/>
        <rFont val="Times New Roman"/>
        <family val="1"/>
      </rPr>
      <t>(</t>
    </r>
    <r>
      <rPr>
        <sz val="12"/>
        <rFont val="標楷體"/>
        <family val="4"/>
        <charset val="136"/>
      </rPr>
      <t>註</t>
    </r>
    <r>
      <rPr>
        <sz val="12"/>
        <rFont val="Times New Roman"/>
        <family val="1"/>
      </rPr>
      <t>2)</t>
    </r>
    <phoneticPr fontId="26" type="noConversion"/>
  </si>
  <si>
    <r>
      <t xml:space="preserve">0.1.2.2.3 </t>
    </r>
    <r>
      <rPr>
        <sz val="12"/>
        <rFont val="標楷體"/>
        <family val="4"/>
        <charset val="136"/>
      </rPr>
      <t>其他</t>
    </r>
    <phoneticPr fontId="29" type="noConversion"/>
  </si>
  <si>
    <r>
      <t xml:space="preserve">0.1.2.3 </t>
    </r>
    <r>
      <rPr>
        <sz val="12"/>
        <rFont val="標楷體"/>
        <family val="4"/>
        <charset val="136"/>
      </rPr>
      <t>受益憑證</t>
    </r>
    <r>
      <rPr>
        <sz val="12"/>
        <rFont val="Times New Roman"/>
        <family val="1"/>
      </rPr>
      <t>(</t>
    </r>
    <r>
      <rPr>
        <sz val="12"/>
        <rFont val="標楷體"/>
        <family val="4"/>
        <charset val="136"/>
      </rPr>
      <t>註</t>
    </r>
    <r>
      <rPr>
        <sz val="12"/>
        <rFont val="Times New Roman"/>
        <family val="1"/>
      </rPr>
      <t>2)</t>
    </r>
    <phoneticPr fontId="26" type="noConversion"/>
  </si>
  <si>
    <r>
      <t xml:space="preserve">0.1.2.3.4 </t>
    </r>
    <r>
      <rPr>
        <sz val="12"/>
        <rFont val="標楷體"/>
        <family val="4"/>
        <charset val="136"/>
      </rPr>
      <t>貨幣型共同基金</t>
    </r>
    <phoneticPr fontId="26" type="noConversion"/>
  </si>
  <si>
    <r>
      <t xml:space="preserve">0.1.2.3.5 </t>
    </r>
    <r>
      <rPr>
        <sz val="12"/>
        <rFont val="標楷體"/>
        <family val="4"/>
        <charset val="136"/>
      </rPr>
      <t>私募基金</t>
    </r>
    <phoneticPr fontId="29" type="noConversion"/>
  </si>
  <si>
    <r>
      <t xml:space="preserve">0.1.2.3.6 </t>
    </r>
    <r>
      <rPr>
        <sz val="12"/>
        <rFont val="標楷體"/>
        <family val="4"/>
        <charset val="136"/>
      </rPr>
      <t>國外投資受益憑證</t>
    </r>
    <phoneticPr fontId="26" type="noConversion"/>
  </si>
  <si>
    <r>
      <t xml:space="preserve">0.1.2.3.6.1 </t>
    </r>
    <r>
      <rPr>
        <sz val="12"/>
        <rFont val="標楷體"/>
        <family val="4"/>
        <charset val="136"/>
      </rPr>
      <t>股票型共同基金</t>
    </r>
    <phoneticPr fontId="29" type="noConversion"/>
  </si>
  <si>
    <r>
      <t xml:space="preserve">0.1.2.3.6.2 </t>
    </r>
    <r>
      <rPr>
        <sz val="12"/>
        <rFont val="標楷體"/>
        <family val="4"/>
        <charset val="136"/>
      </rPr>
      <t>債券型共同基金</t>
    </r>
    <phoneticPr fontId="29" type="noConversion"/>
  </si>
  <si>
    <r>
      <t xml:space="preserve">0.1.2.3.6.4 </t>
    </r>
    <r>
      <rPr>
        <sz val="12"/>
        <rFont val="標楷體"/>
        <family val="4"/>
        <charset val="136"/>
      </rPr>
      <t>貨幣型共同基金</t>
    </r>
    <phoneticPr fontId="29" type="noConversion"/>
  </si>
  <si>
    <r>
      <t xml:space="preserve">0.1.2.3.6.6 </t>
    </r>
    <r>
      <rPr>
        <sz val="12"/>
        <rFont val="標楷體"/>
        <family val="4"/>
        <charset val="136"/>
      </rPr>
      <t>私募債權基金</t>
    </r>
    <phoneticPr fontId="29" type="noConversion"/>
  </si>
  <si>
    <r>
      <t xml:space="preserve">0.1.2.3.6.7 </t>
    </r>
    <r>
      <rPr>
        <sz val="12"/>
        <rFont val="標楷體"/>
        <family val="4"/>
        <charset val="136"/>
      </rPr>
      <t>不動產私募基金</t>
    </r>
    <phoneticPr fontId="29" type="noConversion"/>
  </si>
  <si>
    <r>
      <t xml:space="preserve">0.1.2.4.1 </t>
    </r>
    <r>
      <rPr>
        <sz val="12"/>
        <rFont val="標楷體"/>
        <family val="4"/>
        <charset val="136"/>
      </rPr>
      <t>不動產</t>
    </r>
    <r>
      <rPr>
        <sz val="12"/>
        <rFont val="Times New Roman"/>
        <family val="1"/>
      </rPr>
      <t>(</t>
    </r>
    <r>
      <rPr>
        <sz val="12"/>
        <rFont val="標楷體"/>
        <family val="4"/>
        <charset val="136"/>
      </rPr>
      <t>除</t>
    </r>
    <r>
      <rPr>
        <sz val="12"/>
        <rFont val="Times New Roman"/>
        <family val="1"/>
      </rPr>
      <t>0.1.2.4.2</t>
    </r>
    <r>
      <rPr>
        <sz val="12"/>
        <rFont val="標楷體"/>
        <family val="4"/>
        <charset val="136"/>
      </rPr>
      <t>外</t>
    </r>
    <r>
      <rPr>
        <sz val="12"/>
        <rFont val="Times New Roman"/>
        <family val="1"/>
      </rPr>
      <t>)</t>
    </r>
    <phoneticPr fontId="29" type="noConversion"/>
  </si>
  <si>
    <r>
      <t xml:space="preserve">0.1.2.5.2 </t>
    </r>
    <r>
      <rPr>
        <sz val="12"/>
        <rFont val="標楷體"/>
        <family val="4"/>
        <charset val="136"/>
      </rPr>
      <t>經由投資特定目的公司以貸款方式取得國外及大陸地區不動產</t>
    </r>
    <phoneticPr fontId="26" type="noConversion"/>
  </si>
  <si>
    <r>
      <t xml:space="preserve">0.1.2.6 </t>
    </r>
    <r>
      <rPr>
        <sz val="12"/>
        <rFont val="標楷體"/>
        <family val="4"/>
        <charset val="136"/>
      </rPr>
      <t>應收票據</t>
    </r>
    <phoneticPr fontId="26" type="noConversion"/>
  </si>
  <si>
    <t>0.1.2.7 ETF</t>
  </si>
  <si>
    <t>0.1.2.8 ETN</t>
  </si>
  <si>
    <r>
      <t xml:space="preserve">0.2 </t>
    </r>
    <r>
      <rPr>
        <sz val="12"/>
        <rFont val="標楷體"/>
        <family val="4"/>
        <charset val="136"/>
      </rPr>
      <t>非控制與從屬關係之關係人交易</t>
    </r>
    <phoneticPr fontId="26" type="noConversion"/>
  </si>
  <si>
    <r>
      <t xml:space="preserve">0.2.1 </t>
    </r>
    <r>
      <rPr>
        <sz val="12"/>
        <rFont val="標楷體"/>
        <family val="4"/>
        <charset val="136"/>
      </rPr>
      <t>投資股票</t>
    </r>
    <phoneticPr fontId="26" type="noConversion"/>
  </si>
  <si>
    <r>
      <t xml:space="preserve">0.2.1.2 </t>
    </r>
    <r>
      <rPr>
        <sz val="12"/>
        <rFont val="標楷體"/>
        <family val="4"/>
        <charset val="136"/>
      </rPr>
      <t>投資非保險相關事業</t>
    </r>
    <phoneticPr fontId="26" type="noConversion"/>
  </si>
  <si>
    <r>
      <t xml:space="preserve">0.2.1.2.1 </t>
    </r>
    <r>
      <rPr>
        <sz val="12"/>
        <rFont val="標楷體"/>
        <family val="4"/>
        <charset val="136"/>
      </rPr>
      <t>國內非保險相關事業</t>
    </r>
    <phoneticPr fontId="26" type="noConversion"/>
  </si>
  <si>
    <r>
      <t xml:space="preserve">0.2.1.2.2 </t>
    </r>
    <r>
      <rPr>
        <sz val="12"/>
        <rFont val="標楷體"/>
        <family val="4"/>
        <charset val="136"/>
      </rPr>
      <t>國外非保險相關事業</t>
    </r>
    <phoneticPr fontId="26" type="noConversion"/>
  </si>
  <si>
    <r>
      <t xml:space="preserve">0.2.2 </t>
    </r>
    <r>
      <rPr>
        <sz val="12"/>
        <rFont val="標楷體"/>
        <family val="4"/>
        <charset val="136"/>
      </rPr>
      <t>投資其他資產</t>
    </r>
    <phoneticPr fontId="26" type="noConversion"/>
  </si>
  <si>
    <r>
      <t xml:space="preserve">0.2.2.1 </t>
    </r>
    <r>
      <rPr>
        <sz val="12"/>
        <rFont val="標楷體"/>
        <family val="4"/>
        <charset val="136"/>
      </rPr>
      <t>存款</t>
    </r>
    <r>
      <rPr>
        <sz val="12"/>
        <rFont val="Times New Roman"/>
        <family val="1"/>
      </rPr>
      <t>(</t>
    </r>
    <r>
      <rPr>
        <sz val="12"/>
        <rFont val="標楷體"/>
        <family val="4"/>
        <charset val="136"/>
      </rPr>
      <t>註</t>
    </r>
    <r>
      <rPr>
        <sz val="12"/>
        <rFont val="Times New Roman"/>
        <family val="1"/>
      </rPr>
      <t>2)</t>
    </r>
    <phoneticPr fontId="26" type="noConversion"/>
  </si>
  <si>
    <r>
      <t xml:space="preserve">0.2.2.2.2.1 </t>
    </r>
    <r>
      <rPr>
        <sz val="12"/>
        <rFont val="標楷體"/>
        <family val="4"/>
        <charset val="136"/>
      </rPr>
      <t>國內保險相關事業</t>
    </r>
    <phoneticPr fontId="29" type="noConversion"/>
  </si>
  <si>
    <r>
      <t xml:space="preserve">0.2.2.2.2.2 </t>
    </r>
    <r>
      <rPr>
        <sz val="12"/>
        <rFont val="標楷體"/>
        <family val="4"/>
        <charset val="136"/>
      </rPr>
      <t>國外保險相關事業</t>
    </r>
    <phoneticPr fontId="29" type="noConversion"/>
  </si>
  <si>
    <r>
      <t xml:space="preserve">0.2.2.2.3   </t>
    </r>
    <r>
      <rPr>
        <sz val="12"/>
        <rFont val="標楷體"/>
        <family val="4"/>
        <charset val="136"/>
      </rPr>
      <t>其他</t>
    </r>
    <phoneticPr fontId="29" type="noConversion"/>
  </si>
  <si>
    <r>
      <t xml:space="preserve">0.2.2.3 </t>
    </r>
    <r>
      <rPr>
        <sz val="12"/>
        <rFont val="標楷體"/>
        <family val="4"/>
        <charset val="136"/>
      </rPr>
      <t>受益憑證</t>
    </r>
    <r>
      <rPr>
        <sz val="12"/>
        <rFont val="Times New Roman"/>
        <family val="1"/>
      </rPr>
      <t>(</t>
    </r>
    <r>
      <rPr>
        <sz val="12"/>
        <rFont val="標楷體"/>
        <family val="4"/>
        <charset val="136"/>
      </rPr>
      <t>註</t>
    </r>
    <r>
      <rPr>
        <sz val="12"/>
        <rFont val="Times New Roman"/>
        <family val="1"/>
      </rPr>
      <t>2)</t>
    </r>
    <phoneticPr fontId="26" type="noConversion"/>
  </si>
  <si>
    <r>
      <t xml:space="preserve">0.2.2.3.2 </t>
    </r>
    <r>
      <rPr>
        <sz val="12"/>
        <rFont val="標楷體"/>
        <family val="4"/>
        <charset val="136"/>
      </rPr>
      <t>債券型共同基金</t>
    </r>
    <phoneticPr fontId="26" type="noConversion"/>
  </si>
  <si>
    <r>
      <t xml:space="preserve">0.2.2.3.5 </t>
    </r>
    <r>
      <rPr>
        <sz val="12"/>
        <rFont val="標楷體"/>
        <family val="4"/>
        <charset val="136"/>
      </rPr>
      <t>私募基金</t>
    </r>
    <phoneticPr fontId="29" type="noConversion"/>
  </si>
  <si>
    <r>
      <t xml:space="preserve">0.2.2.3.6 </t>
    </r>
    <r>
      <rPr>
        <sz val="12"/>
        <rFont val="標楷體"/>
        <family val="4"/>
        <charset val="136"/>
      </rPr>
      <t>國外投資受益憑證</t>
    </r>
    <phoneticPr fontId="26" type="noConversion"/>
  </si>
  <si>
    <r>
      <t xml:space="preserve">0.2.2.3.6.1 </t>
    </r>
    <r>
      <rPr>
        <sz val="12"/>
        <rFont val="標楷體"/>
        <family val="4"/>
        <charset val="136"/>
      </rPr>
      <t>股票型共同基金</t>
    </r>
    <phoneticPr fontId="29" type="noConversion"/>
  </si>
  <si>
    <r>
      <t xml:space="preserve">0.2.2.3.6.2 </t>
    </r>
    <r>
      <rPr>
        <sz val="12"/>
        <rFont val="標楷體"/>
        <family val="4"/>
        <charset val="136"/>
      </rPr>
      <t>債券型共同基金</t>
    </r>
    <phoneticPr fontId="29" type="noConversion"/>
  </si>
  <si>
    <r>
      <t xml:space="preserve">0.2.2.3.6.4 </t>
    </r>
    <r>
      <rPr>
        <sz val="12"/>
        <rFont val="標楷體"/>
        <family val="4"/>
        <charset val="136"/>
      </rPr>
      <t>貨幣型共同基金</t>
    </r>
    <phoneticPr fontId="29" type="noConversion"/>
  </si>
  <si>
    <r>
      <t xml:space="preserve">0.2.2.3.6.5 </t>
    </r>
    <r>
      <rPr>
        <sz val="12"/>
        <rFont val="標楷體"/>
        <family val="4"/>
        <charset val="136"/>
      </rPr>
      <t>私募股權基金</t>
    </r>
    <phoneticPr fontId="29" type="noConversion"/>
  </si>
  <si>
    <r>
      <t xml:space="preserve">0.2.2.3.6.6 </t>
    </r>
    <r>
      <rPr>
        <sz val="12"/>
        <rFont val="標楷體"/>
        <family val="4"/>
        <charset val="136"/>
      </rPr>
      <t>私募債權基金</t>
    </r>
    <phoneticPr fontId="29" type="noConversion"/>
  </si>
  <si>
    <r>
      <t xml:space="preserve">0.2.2.3.6.7 </t>
    </r>
    <r>
      <rPr>
        <sz val="12"/>
        <rFont val="標楷體"/>
        <family val="4"/>
        <charset val="136"/>
      </rPr>
      <t>不動產私募基金</t>
    </r>
    <phoneticPr fontId="29" type="noConversion"/>
  </si>
  <si>
    <r>
      <t xml:space="preserve">0.2.2.3.6.8 </t>
    </r>
    <r>
      <rPr>
        <sz val="12"/>
        <rFont val="標楷體"/>
        <family val="4"/>
        <charset val="136"/>
      </rPr>
      <t>基礎建設基金</t>
    </r>
    <phoneticPr fontId="29" type="noConversion"/>
  </si>
  <si>
    <r>
      <t xml:space="preserve">0.2.2.4 </t>
    </r>
    <r>
      <rPr>
        <sz val="12"/>
        <rFont val="標楷體"/>
        <family val="4"/>
        <charset val="136"/>
      </rPr>
      <t>不動產</t>
    </r>
    <phoneticPr fontId="26" type="noConversion"/>
  </si>
  <si>
    <r>
      <t xml:space="preserve">0.2.2.4.1 </t>
    </r>
    <r>
      <rPr>
        <sz val="12"/>
        <rFont val="標楷體"/>
        <family val="4"/>
        <charset val="136"/>
      </rPr>
      <t>不動產</t>
    </r>
    <r>
      <rPr>
        <sz val="12"/>
        <rFont val="Times New Roman"/>
        <family val="1"/>
      </rPr>
      <t>(</t>
    </r>
    <r>
      <rPr>
        <sz val="12"/>
        <rFont val="標楷體"/>
        <family val="4"/>
        <charset val="136"/>
      </rPr>
      <t>除</t>
    </r>
    <r>
      <rPr>
        <sz val="12"/>
        <rFont val="Times New Roman"/>
        <family val="1"/>
      </rPr>
      <t>0.2.2.4.2</t>
    </r>
    <r>
      <rPr>
        <sz val="12"/>
        <rFont val="標楷體"/>
        <family val="4"/>
        <charset val="136"/>
      </rPr>
      <t>外</t>
    </r>
    <r>
      <rPr>
        <sz val="12"/>
        <rFont val="Times New Roman"/>
        <family val="1"/>
      </rPr>
      <t>)</t>
    </r>
    <phoneticPr fontId="29" type="noConversion"/>
  </si>
  <si>
    <t>0.2.2.7 ETF</t>
    <phoneticPr fontId="26" type="noConversion"/>
  </si>
  <si>
    <t>0.2.2.8 ETN</t>
    <phoneticPr fontId="26"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</si>
  <si>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(27)</t>
    </r>
    <r>
      <rPr>
        <sz val="12"/>
        <rFont val="標楷體"/>
        <family val="4"/>
        <charset val="136"/>
      </rPr>
      <t>列</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</si>
  <si>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(26)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具控制與從屬關係</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</si>
  <si>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(32)</t>
    </r>
    <r>
      <rPr>
        <sz val="12"/>
        <rFont val="標楷體"/>
        <family val="4"/>
        <charset val="136"/>
      </rPr>
      <t>列</t>
    </r>
    <phoneticPr fontId="29"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</si>
  <si>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(7)</t>
    </r>
    <r>
      <rPr>
        <sz val="12"/>
        <rFont val="標楷體"/>
        <family val="4"/>
        <charset val="136"/>
      </rPr>
      <t>欄第</t>
    </r>
    <r>
      <rPr>
        <sz val="12"/>
        <rFont val="Times New Roman"/>
        <family val="1"/>
      </rPr>
      <t>(5)</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</si>
  <si>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(195)</t>
    </r>
    <r>
      <rPr>
        <sz val="12"/>
        <rFont val="標楷體"/>
        <family val="4"/>
        <charset val="136"/>
      </rPr>
      <t>列</t>
    </r>
    <phoneticPr fontId="29"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</si>
  <si>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(9)</t>
    </r>
    <r>
      <rPr>
        <sz val="12"/>
        <rFont val="標楷體"/>
        <family val="4"/>
        <charset val="136"/>
      </rPr>
      <t>欄第</t>
    </r>
    <r>
      <rPr>
        <sz val="12"/>
        <rFont val="Times New Roman"/>
        <family val="1"/>
      </rPr>
      <t>(44)</t>
    </r>
    <r>
      <rPr>
        <sz val="12"/>
        <rFont val="標楷體"/>
        <family val="4"/>
        <charset val="136"/>
      </rPr>
      <t>列</t>
    </r>
    <phoneticPr fontId="29"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</si>
  <si>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(34)</t>
    </r>
    <r>
      <rPr>
        <sz val="12"/>
        <rFont val="標楷體"/>
        <family val="4"/>
        <charset val="136"/>
      </rPr>
      <t>列</t>
    </r>
    <phoneticPr fontId="29"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</si>
  <si>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(35)</t>
    </r>
    <r>
      <rPr>
        <sz val="12"/>
        <rFont val="標楷體"/>
        <family val="4"/>
        <charset val="136"/>
      </rPr>
      <t>列</t>
    </r>
    <r>
      <rPr>
        <b/>
        <sz val="12"/>
        <rFont val="Times New Roman"/>
        <family val="1"/>
      </rPr>
      <t/>
    </r>
    <phoneticPr fontId="29"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</si>
  <si>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(7)</t>
    </r>
    <r>
      <rPr>
        <sz val="12"/>
        <rFont val="標楷體"/>
        <family val="4"/>
        <charset val="136"/>
      </rPr>
      <t>欄第</t>
    </r>
    <r>
      <rPr>
        <sz val="12"/>
        <rFont val="Times New Roman"/>
        <family val="1"/>
      </rPr>
      <t>(6)</t>
    </r>
    <r>
      <rPr>
        <sz val="12"/>
        <rFont val="標楷體"/>
        <family val="4"/>
        <charset val="136"/>
      </rPr>
      <t>列</t>
    </r>
    <phoneticPr fontId="29" type="noConversion"/>
  </si>
  <si>
    <t>N/A(註3)</t>
  </si>
  <si>
    <r>
      <rPr>
        <b/>
        <sz val="12"/>
        <rFont val="標楷體"/>
        <family val="4"/>
        <charset val="136"/>
      </rPr>
      <t>占調整前風險資本總額之比率</t>
    </r>
  </si>
  <si>
    <r>
      <rPr>
        <b/>
        <sz val="12"/>
        <rFont val="標楷體"/>
        <family val="4"/>
        <charset val="136"/>
      </rPr>
      <t>占風險資本總額之比率</t>
    </r>
    <phoneticPr fontId="26" type="noConversion"/>
  </si>
  <si>
    <r>
      <rPr>
        <sz val="12"/>
        <rFont val="標楷體"/>
        <family val="4"/>
        <charset val="136"/>
      </rPr>
      <t>風險資本總額</t>
    </r>
    <r>
      <rPr>
        <sz val="12"/>
        <rFont val="Times New Roman"/>
        <family val="1"/>
      </rPr>
      <t>(</t>
    </r>
    <r>
      <rPr>
        <sz val="12"/>
        <rFont val="標楷體"/>
        <family val="4"/>
        <charset val="136"/>
      </rPr>
      <t>註</t>
    </r>
    <r>
      <rPr>
        <sz val="12"/>
        <rFont val="Times New Roman"/>
        <family val="1"/>
      </rPr>
      <t>)</t>
    </r>
    <phoneticPr fontId="26" type="noConversion"/>
  </si>
  <si>
    <r>
      <t>R</t>
    </r>
    <r>
      <rPr>
        <vertAlign val="subscript"/>
        <sz val="12"/>
        <rFont val="Times New Roman"/>
        <family val="1"/>
      </rPr>
      <t>1O</t>
    </r>
    <r>
      <rPr>
        <sz val="12"/>
        <rFont val="標楷體"/>
        <family val="4"/>
        <charset val="136"/>
      </rPr>
      <t>：資產風險</t>
    </r>
    <r>
      <rPr>
        <sz val="12"/>
        <rFont val="Times New Roman"/>
        <family val="1"/>
      </rPr>
      <t>--</t>
    </r>
    <r>
      <rPr>
        <sz val="12"/>
        <rFont val="標楷體"/>
        <family val="4"/>
        <charset val="136"/>
      </rPr>
      <t>除股票及匯率以外之資產風險</t>
    </r>
    <phoneticPr fontId="26" type="noConversion"/>
  </si>
  <si>
    <r>
      <t>R</t>
    </r>
    <r>
      <rPr>
        <vertAlign val="subscript"/>
        <sz val="12"/>
        <rFont val="Times New Roman"/>
        <family val="1"/>
      </rPr>
      <t>1C</t>
    </r>
    <r>
      <rPr>
        <sz val="12"/>
        <rFont val="標楷體"/>
        <family val="4"/>
        <charset val="136"/>
      </rPr>
      <t>：資產風險</t>
    </r>
    <r>
      <rPr>
        <sz val="12"/>
        <rFont val="Times New Roman"/>
        <family val="1"/>
      </rPr>
      <t>--</t>
    </r>
    <r>
      <rPr>
        <sz val="12"/>
        <rFont val="標楷體"/>
        <family val="4"/>
        <charset val="136"/>
      </rPr>
      <t>非關係人匯率風險</t>
    </r>
    <phoneticPr fontId="26" type="noConversion"/>
  </si>
  <si>
    <r>
      <t>R</t>
    </r>
    <r>
      <rPr>
        <vertAlign val="subscript"/>
        <sz val="12"/>
        <rFont val="Times New Roman"/>
        <family val="1"/>
      </rPr>
      <t>1S</t>
    </r>
    <r>
      <rPr>
        <sz val="12"/>
        <rFont val="標楷體"/>
        <family val="4"/>
        <charset val="136"/>
      </rPr>
      <t>：資產風險</t>
    </r>
    <r>
      <rPr>
        <sz val="12"/>
        <rFont val="Times New Roman"/>
        <family val="1"/>
      </rPr>
      <t>--</t>
    </r>
    <r>
      <rPr>
        <sz val="12"/>
        <rFont val="標楷體"/>
        <family val="4"/>
        <charset val="136"/>
      </rPr>
      <t>非關係人股票風險</t>
    </r>
    <phoneticPr fontId="26" type="noConversion"/>
  </si>
  <si>
    <r>
      <t>R</t>
    </r>
    <r>
      <rPr>
        <vertAlign val="subscript"/>
        <sz val="12"/>
        <rFont val="Times New Roman"/>
        <family val="1"/>
      </rPr>
      <t>2</t>
    </r>
    <r>
      <rPr>
        <sz val="12"/>
        <rFont val="標楷體"/>
        <family val="4"/>
        <charset val="136"/>
      </rPr>
      <t>：信用風險</t>
    </r>
    <phoneticPr fontId="26" type="noConversion"/>
  </si>
  <si>
    <t>(六)台灣存託憑證(註13)</t>
  </si>
  <si>
    <r>
      <rPr>
        <sz val="12"/>
        <rFont val="標楷體"/>
        <family val="4"/>
        <charset val="136"/>
      </rPr>
      <t>期末公司債投資餘額</t>
    </r>
    <r>
      <rPr>
        <sz val="12"/>
        <rFont val="Times New Roman"/>
        <family val="1"/>
      </rPr>
      <t>(</t>
    </r>
    <r>
      <rPr>
        <sz val="12"/>
        <rFont val="標楷體"/>
        <family val="4"/>
        <charset val="136"/>
      </rPr>
      <t>列</t>
    </r>
    <r>
      <rPr>
        <sz val="12"/>
        <rFont val="Times New Roman"/>
        <family val="1"/>
      </rPr>
      <t>16)</t>
    </r>
    <phoneticPr fontId="29" type="noConversion"/>
  </si>
  <si>
    <t>可減除計算風險資本之金額</t>
    <phoneticPr fontId="29" type="noConversion"/>
  </si>
  <si>
    <t>(30)</t>
    <phoneticPr fontId="29" type="noConversion"/>
  </si>
  <si>
    <r>
      <rPr>
        <sz val="12"/>
        <rFont val="標楷體"/>
        <family val="4"/>
        <charset val="136"/>
      </rPr>
      <t>表</t>
    </r>
    <r>
      <rPr>
        <sz val="12"/>
        <rFont val="Times New Roman"/>
        <family val="1"/>
      </rPr>
      <t>10-1</t>
    </r>
    <r>
      <rPr>
        <sz val="12"/>
        <rFont val="標楷體"/>
        <family val="4"/>
        <charset val="136"/>
      </rPr>
      <t>：股票餘額明細表</t>
    </r>
    <phoneticPr fontId="29" type="noConversion"/>
  </si>
  <si>
    <r>
      <rPr>
        <sz val="12"/>
        <rFont val="標楷體"/>
        <family val="4"/>
        <charset val="136"/>
      </rPr>
      <t>單位：新台幣元</t>
    </r>
    <r>
      <rPr>
        <sz val="12"/>
        <rFont val="Times New Roman"/>
        <family val="1"/>
      </rPr>
      <t xml:space="preserve">, %, </t>
    </r>
    <r>
      <rPr>
        <sz val="12"/>
        <rFont val="標楷體"/>
        <family val="4"/>
        <charset val="136"/>
      </rPr>
      <t>千股</t>
    </r>
    <phoneticPr fontId="29" type="noConversion"/>
  </si>
  <si>
    <r>
      <rPr>
        <sz val="12"/>
        <rFont val="標楷體"/>
        <family val="4"/>
        <charset val="136"/>
      </rPr>
      <t>最近公允價值</t>
    </r>
    <r>
      <rPr>
        <sz val="12"/>
        <rFont val="Times New Roman"/>
        <family val="1"/>
      </rPr>
      <t>/</t>
    </r>
    <r>
      <rPr>
        <sz val="12"/>
        <rFont val="標楷體"/>
        <family val="4"/>
        <charset val="136"/>
      </rPr>
      <t>淨值總金額欄，上市櫃股票請填資產負債表日之收盤價乘上持有股數之金額；未上市櫃股票請填被投資公司最新取得財務簽證報告決算每股平均淨值乘上持有股數之金額。</t>
    </r>
    <phoneticPr fontId="29" type="noConversion"/>
  </si>
  <si>
    <t>0050</t>
  </si>
  <si>
    <t>0051</t>
  </si>
  <si>
    <t>0052</t>
  </si>
  <si>
    <t>0053</t>
  </si>
  <si>
    <t>0054</t>
  </si>
  <si>
    <t>0055</t>
  </si>
  <si>
    <t>0056</t>
  </si>
  <si>
    <t>0057</t>
  </si>
  <si>
    <t>006203</t>
  </si>
  <si>
    <t>006204</t>
  </si>
  <si>
    <t>006208</t>
  </si>
  <si>
    <t>00631L</t>
  </si>
  <si>
    <t>00632R</t>
  </si>
  <si>
    <t>00663L</t>
  </si>
  <si>
    <t>00664R</t>
  </si>
  <si>
    <t>00675L</t>
  </si>
  <si>
    <t>00676R</t>
  </si>
  <si>
    <t>00685L</t>
  </si>
  <si>
    <t>00686R</t>
  </si>
  <si>
    <t>00690</t>
  </si>
  <si>
    <t>00691R</t>
  </si>
  <si>
    <t>00692</t>
  </si>
  <si>
    <t>00701</t>
  </si>
  <si>
    <t>00713</t>
  </si>
  <si>
    <t>00728</t>
  </si>
  <si>
    <t>00730</t>
  </si>
  <si>
    <t>00731</t>
  </si>
  <si>
    <t>00733</t>
  </si>
  <si>
    <t>00742</t>
  </si>
  <si>
    <t>00850</t>
  </si>
  <si>
    <t>1101</t>
  </si>
  <si>
    <t>1102</t>
  </si>
  <si>
    <t>1103</t>
  </si>
  <si>
    <t>1104</t>
  </si>
  <si>
    <t>1108</t>
  </si>
  <si>
    <t>1109</t>
  </si>
  <si>
    <t>1110</t>
  </si>
  <si>
    <t>1201</t>
  </si>
  <si>
    <t>1203</t>
  </si>
  <si>
    <t>1210</t>
  </si>
  <si>
    <t>1213</t>
  </si>
  <si>
    <t>1215</t>
  </si>
  <si>
    <t>1216</t>
  </si>
  <si>
    <t>1217</t>
  </si>
  <si>
    <t>1218</t>
  </si>
  <si>
    <t>1219</t>
  </si>
  <si>
    <t>1220</t>
  </si>
  <si>
    <t>1225</t>
  </si>
  <si>
    <t>1227</t>
  </si>
  <si>
    <t>1229</t>
  </si>
  <si>
    <t>1231</t>
  </si>
  <si>
    <t>1232</t>
  </si>
  <si>
    <t>1233</t>
  </si>
  <si>
    <t>1234</t>
  </si>
  <si>
    <t>1235</t>
  </si>
  <si>
    <t>1236</t>
  </si>
  <si>
    <t>1256</t>
  </si>
  <si>
    <t>1301</t>
  </si>
  <si>
    <t>1303</t>
  </si>
  <si>
    <t>1304</t>
  </si>
  <si>
    <t>1305</t>
  </si>
  <si>
    <t>1307</t>
  </si>
  <si>
    <t>1308</t>
  </si>
  <si>
    <t>1309</t>
  </si>
  <si>
    <t>1310</t>
  </si>
  <si>
    <t>1312</t>
  </si>
  <si>
    <t>1313</t>
  </si>
  <si>
    <t>1314</t>
  </si>
  <si>
    <t>1315</t>
  </si>
  <si>
    <t>1316</t>
  </si>
  <si>
    <t>1319</t>
  </si>
  <si>
    <t>1321</t>
  </si>
  <si>
    <t>1323</t>
  </si>
  <si>
    <t>1324</t>
  </si>
  <si>
    <t>1325</t>
  </si>
  <si>
    <t>1326</t>
  </si>
  <si>
    <t>1337</t>
  </si>
  <si>
    <t>1338</t>
  </si>
  <si>
    <t>1339</t>
  </si>
  <si>
    <t>1340</t>
  </si>
  <si>
    <t>1341</t>
  </si>
  <si>
    <t>1402</t>
  </si>
  <si>
    <t>1409</t>
  </si>
  <si>
    <t>1410</t>
  </si>
  <si>
    <t>1413</t>
  </si>
  <si>
    <t>1414</t>
  </si>
  <si>
    <t>1416</t>
  </si>
  <si>
    <t>1417</t>
  </si>
  <si>
    <t>1418</t>
  </si>
  <si>
    <t>1419</t>
  </si>
  <si>
    <t>1423</t>
  </si>
  <si>
    <t>1432</t>
  </si>
  <si>
    <t>1434</t>
  </si>
  <si>
    <t>1435</t>
  </si>
  <si>
    <t>1436</t>
  </si>
  <si>
    <t>1437</t>
  </si>
  <si>
    <t>1438</t>
  </si>
  <si>
    <t>1439</t>
  </si>
  <si>
    <t>1440</t>
  </si>
  <si>
    <t>1441</t>
  </si>
  <si>
    <t>1442</t>
  </si>
  <si>
    <t>1443</t>
  </si>
  <si>
    <t>1444</t>
  </si>
  <si>
    <t>1445</t>
  </si>
  <si>
    <t>1446</t>
  </si>
  <si>
    <t>1447</t>
  </si>
  <si>
    <t>1449</t>
  </si>
  <si>
    <t>1451</t>
  </si>
  <si>
    <t>1452</t>
  </si>
  <si>
    <t>1453</t>
  </si>
  <si>
    <t>1454</t>
  </si>
  <si>
    <t>1455</t>
  </si>
  <si>
    <t>1456</t>
  </si>
  <si>
    <t>1457</t>
  </si>
  <si>
    <t>1459</t>
  </si>
  <si>
    <t>1460</t>
  </si>
  <si>
    <t>1463</t>
  </si>
  <si>
    <t>1464</t>
  </si>
  <si>
    <t>1465</t>
  </si>
  <si>
    <t>1466</t>
  </si>
  <si>
    <t>1467</t>
  </si>
  <si>
    <t>1468</t>
  </si>
  <si>
    <t>1470</t>
  </si>
  <si>
    <t>1471</t>
  </si>
  <si>
    <t>1472</t>
  </si>
  <si>
    <t>1473</t>
  </si>
  <si>
    <t>1474</t>
  </si>
  <si>
    <t>1475</t>
  </si>
  <si>
    <t>1476</t>
  </si>
  <si>
    <t>1477</t>
  </si>
  <si>
    <t>1503</t>
  </si>
  <si>
    <t>1504</t>
  </si>
  <si>
    <t>1506</t>
  </si>
  <si>
    <t>1507</t>
  </si>
  <si>
    <t>1512</t>
  </si>
  <si>
    <t>1513</t>
  </si>
  <si>
    <t>1514</t>
  </si>
  <si>
    <t>1515</t>
  </si>
  <si>
    <t>1516</t>
  </si>
  <si>
    <t>1517</t>
  </si>
  <si>
    <t>1519</t>
  </si>
  <si>
    <t>1521</t>
  </si>
  <si>
    <t>1522</t>
  </si>
  <si>
    <t>1524</t>
  </si>
  <si>
    <t>1525</t>
  </si>
  <si>
    <t>1526</t>
  </si>
  <si>
    <t>1527</t>
  </si>
  <si>
    <t>1528</t>
  </si>
  <si>
    <t>1529</t>
  </si>
  <si>
    <t>1530</t>
  </si>
  <si>
    <t>1531</t>
  </si>
  <si>
    <t>1532</t>
  </si>
  <si>
    <t>1533</t>
  </si>
  <si>
    <t>1535</t>
  </si>
  <si>
    <t>1536</t>
  </si>
  <si>
    <t>1537</t>
  </si>
  <si>
    <t>1538</t>
  </si>
  <si>
    <t>1539</t>
  </si>
  <si>
    <t>1540</t>
  </si>
  <si>
    <t>1541</t>
  </si>
  <si>
    <t>1558</t>
  </si>
  <si>
    <t>1560</t>
  </si>
  <si>
    <t>1568</t>
  </si>
  <si>
    <t>1582</t>
  </si>
  <si>
    <t>1583</t>
  </si>
  <si>
    <t>1587</t>
  </si>
  <si>
    <t>1589</t>
  </si>
  <si>
    <t>1590</t>
  </si>
  <si>
    <t>1592</t>
  </si>
  <si>
    <t>1598</t>
  </si>
  <si>
    <t>1603</t>
  </si>
  <si>
    <t>1604</t>
  </si>
  <si>
    <t>1605</t>
  </si>
  <si>
    <t>1608</t>
  </si>
  <si>
    <t>1609</t>
  </si>
  <si>
    <t>1611</t>
  </si>
  <si>
    <t>1612</t>
  </si>
  <si>
    <t>1614</t>
  </si>
  <si>
    <t>1615</t>
  </si>
  <si>
    <t>1616</t>
  </si>
  <si>
    <t>1617</t>
  </si>
  <si>
    <t>1618</t>
  </si>
  <si>
    <t>1626</t>
  </si>
  <si>
    <t>1701</t>
  </si>
  <si>
    <t>1702</t>
  </si>
  <si>
    <t>1707</t>
  </si>
  <si>
    <t>1708</t>
  </si>
  <si>
    <t>1709</t>
  </si>
  <si>
    <t>1710</t>
  </si>
  <si>
    <t>1711</t>
  </si>
  <si>
    <t>1712</t>
  </si>
  <si>
    <t>1713</t>
  </si>
  <si>
    <t>1714</t>
  </si>
  <si>
    <t>1717</t>
  </si>
  <si>
    <t>1718</t>
  </si>
  <si>
    <t>1720</t>
  </si>
  <si>
    <t>1721</t>
  </si>
  <si>
    <t>1722</t>
  </si>
  <si>
    <t>1723</t>
  </si>
  <si>
    <t>1724</t>
  </si>
  <si>
    <t>1725</t>
  </si>
  <si>
    <t>1726</t>
  </si>
  <si>
    <t>1727</t>
  </si>
  <si>
    <t>1730</t>
  </si>
  <si>
    <t>1731</t>
  </si>
  <si>
    <t>1732</t>
  </si>
  <si>
    <t>1733</t>
  </si>
  <si>
    <t>1734</t>
  </si>
  <si>
    <t>1735</t>
  </si>
  <si>
    <t>1736</t>
  </si>
  <si>
    <t>1737</t>
  </si>
  <si>
    <t>1760</t>
  </si>
  <si>
    <t>1762</t>
  </si>
  <si>
    <t>1773</t>
  </si>
  <si>
    <t>1776</t>
  </si>
  <si>
    <t>1783</t>
  </si>
  <si>
    <t>1786</t>
  </si>
  <si>
    <t>1789</t>
  </si>
  <si>
    <t>1795</t>
  </si>
  <si>
    <t>1802</t>
  </si>
  <si>
    <t>1805</t>
  </si>
  <si>
    <t>1806</t>
  </si>
  <si>
    <t>1808</t>
  </si>
  <si>
    <t>1809</t>
  </si>
  <si>
    <t>1810</t>
  </si>
  <si>
    <t>1817</t>
  </si>
  <si>
    <t>1902</t>
  </si>
  <si>
    <t>1903</t>
  </si>
  <si>
    <t>1904</t>
  </si>
  <si>
    <t>1905</t>
  </si>
  <si>
    <t>1906</t>
  </si>
  <si>
    <t>1907</t>
  </si>
  <si>
    <t>1909</t>
  </si>
  <si>
    <t>2002</t>
  </si>
  <si>
    <t>2006</t>
  </si>
  <si>
    <t>2007</t>
  </si>
  <si>
    <t>2008</t>
  </si>
  <si>
    <t>2009</t>
  </si>
  <si>
    <t>2010</t>
  </si>
  <si>
    <t>2012</t>
  </si>
  <si>
    <t>2013</t>
  </si>
  <si>
    <t>2014</t>
  </si>
  <si>
    <t>2015</t>
  </si>
  <si>
    <t>2017</t>
  </si>
  <si>
    <t>2020</t>
  </si>
  <si>
    <t>2022</t>
  </si>
  <si>
    <t>2023</t>
  </si>
  <si>
    <t>2024</t>
  </si>
  <si>
    <t>2025</t>
  </si>
  <si>
    <t>2027</t>
  </si>
  <si>
    <t>2028</t>
  </si>
  <si>
    <t>2029</t>
  </si>
  <si>
    <t>2030</t>
  </si>
  <si>
    <t>2031</t>
  </si>
  <si>
    <t>2032</t>
  </si>
  <si>
    <t>2033</t>
  </si>
  <si>
    <t>2034</t>
  </si>
  <si>
    <t>2038</t>
  </si>
  <si>
    <t>2049</t>
  </si>
  <si>
    <t>2059</t>
  </si>
  <si>
    <t>2062</t>
  </si>
  <si>
    <t>2069</t>
  </si>
  <si>
    <t>2101</t>
  </si>
  <si>
    <t>2102</t>
  </si>
  <si>
    <t>2103</t>
  </si>
  <si>
    <t>2104</t>
  </si>
  <si>
    <t>2105</t>
  </si>
  <si>
    <t>2106</t>
  </si>
  <si>
    <t>2107</t>
  </si>
  <si>
    <t>2108</t>
  </si>
  <si>
    <t>2109</t>
  </si>
  <si>
    <t>2114</t>
  </si>
  <si>
    <t>2115</t>
  </si>
  <si>
    <t>2201</t>
  </si>
  <si>
    <t>2204</t>
  </si>
  <si>
    <t>2206</t>
  </si>
  <si>
    <t>2207</t>
  </si>
  <si>
    <t>2208</t>
  </si>
  <si>
    <t>2227</t>
  </si>
  <si>
    <t>2228</t>
  </si>
  <si>
    <t>2231</t>
  </si>
  <si>
    <t>2233</t>
  </si>
  <si>
    <t>2236</t>
  </si>
  <si>
    <t>2239</t>
  </si>
  <si>
    <t>2243</t>
  </si>
  <si>
    <t>2301</t>
  </si>
  <si>
    <t>2302</t>
  </si>
  <si>
    <t>2303</t>
  </si>
  <si>
    <t>2305</t>
  </si>
  <si>
    <t>2308</t>
  </si>
  <si>
    <t>2312</t>
  </si>
  <si>
    <t>2313</t>
  </si>
  <si>
    <t>2314</t>
  </si>
  <si>
    <t>2316</t>
  </si>
  <si>
    <t>2317</t>
  </si>
  <si>
    <t>2321</t>
  </si>
  <si>
    <t>2323</t>
  </si>
  <si>
    <t>2324</t>
  </si>
  <si>
    <t>2327</t>
  </si>
  <si>
    <t>2328</t>
  </si>
  <si>
    <t>2329</t>
  </si>
  <si>
    <t>2330</t>
  </si>
  <si>
    <t>2331</t>
  </si>
  <si>
    <t>2332</t>
  </si>
  <si>
    <t>2337</t>
  </si>
  <si>
    <t>2338</t>
  </si>
  <si>
    <t>2340</t>
  </si>
  <si>
    <t>2342</t>
  </si>
  <si>
    <t>2344</t>
  </si>
  <si>
    <t>2345</t>
  </si>
  <si>
    <t>2347</t>
  </si>
  <si>
    <t>2348</t>
  </si>
  <si>
    <t>2349</t>
  </si>
  <si>
    <t>2351</t>
  </si>
  <si>
    <t>2352</t>
  </si>
  <si>
    <t>2353</t>
  </si>
  <si>
    <t>2354</t>
  </si>
  <si>
    <t>2355</t>
  </si>
  <si>
    <t>2356</t>
  </si>
  <si>
    <t>2357</t>
  </si>
  <si>
    <t>2358</t>
  </si>
  <si>
    <t>2359</t>
  </si>
  <si>
    <t>2360</t>
  </si>
  <si>
    <t>2362</t>
  </si>
  <si>
    <t>2363</t>
  </si>
  <si>
    <t>2364</t>
  </si>
  <si>
    <t>2365</t>
  </si>
  <si>
    <t>2367</t>
  </si>
  <si>
    <t>2368</t>
  </si>
  <si>
    <t>2369</t>
  </si>
  <si>
    <t>2371</t>
  </si>
  <si>
    <t>2373</t>
  </si>
  <si>
    <t>2374</t>
  </si>
  <si>
    <t>2375</t>
  </si>
  <si>
    <t>2376</t>
  </si>
  <si>
    <t>2377</t>
  </si>
  <si>
    <t>2379</t>
  </si>
  <si>
    <t>2380</t>
  </si>
  <si>
    <t>2382</t>
  </si>
  <si>
    <t>2383</t>
  </si>
  <si>
    <t>2385</t>
  </si>
  <si>
    <t>2387</t>
  </si>
  <si>
    <t>2388</t>
  </si>
  <si>
    <t>2390</t>
  </si>
  <si>
    <t>2392</t>
  </si>
  <si>
    <t>2393</t>
  </si>
  <si>
    <t>2395</t>
  </si>
  <si>
    <t>2397</t>
  </si>
  <si>
    <t>2399</t>
  </si>
  <si>
    <t>2401</t>
  </si>
  <si>
    <t>2402</t>
  </si>
  <si>
    <t>2404</t>
  </si>
  <si>
    <t>2405</t>
  </si>
  <si>
    <t>2406</t>
  </si>
  <si>
    <t>2408</t>
  </si>
  <si>
    <t>2409</t>
  </si>
  <si>
    <t>2412</t>
  </si>
  <si>
    <t>2413</t>
  </si>
  <si>
    <t>2414</t>
  </si>
  <si>
    <t>2415</t>
  </si>
  <si>
    <t>2417</t>
  </si>
  <si>
    <t>2419</t>
  </si>
  <si>
    <t>2420</t>
  </si>
  <si>
    <t>2421</t>
  </si>
  <si>
    <t>2423</t>
  </si>
  <si>
    <t>2424</t>
  </si>
  <si>
    <t>2425</t>
  </si>
  <si>
    <t>2426</t>
  </si>
  <si>
    <t>2427</t>
  </si>
  <si>
    <t>2428</t>
  </si>
  <si>
    <t>2429</t>
  </si>
  <si>
    <t>2430</t>
  </si>
  <si>
    <t>2431</t>
  </si>
  <si>
    <t>2433</t>
  </si>
  <si>
    <t>2434</t>
  </si>
  <si>
    <t>2436</t>
  </si>
  <si>
    <t>2438</t>
  </si>
  <si>
    <t>2439</t>
  </si>
  <si>
    <t>2440</t>
  </si>
  <si>
    <t>2441</t>
  </si>
  <si>
    <t>2442</t>
  </si>
  <si>
    <t>2443</t>
  </si>
  <si>
    <t>2444</t>
  </si>
  <si>
    <t>2448</t>
  </si>
  <si>
    <t>2449</t>
  </si>
  <si>
    <t>2450</t>
  </si>
  <si>
    <t>2451</t>
  </si>
  <si>
    <t>2453</t>
  </si>
  <si>
    <t>2454</t>
  </si>
  <si>
    <t>2455</t>
  </si>
  <si>
    <t>2456</t>
  </si>
  <si>
    <t>2457</t>
  </si>
  <si>
    <t>2458</t>
  </si>
  <si>
    <t>2459</t>
  </si>
  <si>
    <t>2460</t>
  </si>
  <si>
    <t>2461</t>
  </si>
  <si>
    <t>2462</t>
  </si>
  <si>
    <t>2464</t>
  </si>
  <si>
    <t>2465</t>
  </si>
  <si>
    <t>2466</t>
  </si>
  <si>
    <t>2467</t>
  </si>
  <si>
    <t>2468</t>
  </si>
  <si>
    <t>2471</t>
  </si>
  <si>
    <t>2472</t>
  </si>
  <si>
    <t>2474</t>
  </si>
  <si>
    <t>2476</t>
  </si>
  <si>
    <t>2477</t>
  </si>
  <si>
    <t>2478</t>
  </si>
  <si>
    <t>2480</t>
  </si>
  <si>
    <t>2481</t>
  </si>
  <si>
    <t>2482</t>
  </si>
  <si>
    <t>2483</t>
  </si>
  <si>
    <t>2484</t>
  </si>
  <si>
    <t>2485</t>
  </si>
  <si>
    <t>2486</t>
  </si>
  <si>
    <t>2488</t>
  </si>
  <si>
    <t>2489</t>
  </si>
  <si>
    <t>2491</t>
  </si>
  <si>
    <t>2492</t>
  </si>
  <si>
    <t>2493</t>
  </si>
  <si>
    <t>2495</t>
  </si>
  <si>
    <t>2496</t>
  </si>
  <si>
    <t>2497</t>
  </si>
  <si>
    <t>2498</t>
  </si>
  <si>
    <t>2499</t>
  </si>
  <si>
    <t>2501</t>
  </si>
  <si>
    <t>2504</t>
  </si>
  <si>
    <t>2505</t>
  </si>
  <si>
    <t>2506</t>
  </si>
  <si>
    <t>2509</t>
  </si>
  <si>
    <t>2511</t>
  </si>
  <si>
    <t>2514</t>
  </si>
  <si>
    <t>2515</t>
  </si>
  <si>
    <t>2516</t>
  </si>
  <si>
    <t>2520</t>
  </si>
  <si>
    <t>2524</t>
  </si>
  <si>
    <t>2527</t>
  </si>
  <si>
    <t>2528</t>
  </si>
  <si>
    <t>2530</t>
  </si>
  <si>
    <t>2534</t>
  </si>
  <si>
    <t>2535</t>
  </si>
  <si>
    <t>2536</t>
  </si>
  <si>
    <t>2537</t>
  </si>
  <si>
    <t>2538</t>
  </si>
  <si>
    <t>2539</t>
  </si>
  <si>
    <t>2540</t>
  </si>
  <si>
    <t>2542</t>
  </si>
  <si>
    <t>2543</t>
  </si>
  <si>
    <t>2545</t>
  </si>
  <si>
    <t>2546</t>
  </si>
  <si>
    <t>2547</t>
  </si>
  <si>
    <t>2548</t>
  </si>
  <si>
    <t>2597</t>
  </si>
  <si>
    <t>2601</t>
  </si>
  <si>
    <t>2603</t>
  </si>
  <si>
    <t>2605</t>
  </si>
  <si>
    <t>2606</t>
  </si>
  <si>
    <t>2607</t>
  </si>
  <si>
    <t>2608</t>
  </si>
  <si>
    <t>2609</t>
  </si>
  <si>
    <t>2610</t>
  </si>
  <si>
    <t>2611</t>
  </si>
  <si>
    <t>2612</t>
  </si>
  <si>
    <t>2613</t>
  </si>
  <si>
    <t>2614</t>
  </si>
  <si>
    <t>2615</t>
  </si>
  <si>
    <t>2616</t>
  </si>
  <si>
    <t>2617</t>
  </si>
  <si>
    <t>2618</t>
  </si>
  <si>
    <t>2630</t>
  </si>
  <si>
    <t>2633</t>
  </si>
  <si>
    <t>2634</t>
  </si>
  <si>
    <t>2636</t>
  </si>
  <si>
    <t>2637</t>
  </si>
  <si>
    <t>2642</t>
  </si>
  <si>
    <t>2701</t>
  </si>
  <si>
    <t>2702</t>
  </si>
  <si>
    <t>2704</t>
  </si>
  <si>
    <t>2705</t>
  </si>
  <si>
    <t>2706</t>
  </si>
  <si>
    <t>2707</t>
  </si>
  <si>
    <t>2712</t>
  </si>
  <si>
    <t>2722</t>
  </si>
  <si>
    <t>2723</t>
  </si>
  <si>
    <t>2727</t>
  </si>
  <si>
    <t>2731</t>
  </si>
  <si>
    <t>2739</t>
  </si>
  <si>
    <t>2748</t>
  </si>
  <si>
    <t>2801</t>
  </si>
  <si>
    <t>2809</t>
  </si>
  <si>
    <t>2812</t>
  </si>
  <si>
    <t>2816</t>
  </si>
  <si>
    <t>2820</t>
  </si>
  <si>
    <t>2823</t>
  </si>
  <si>
    <t>2832</t>
  </si>
  <si>
    <t>2834</t>
  </si>
  <si>
    <t>2836</t>
  </si>
  <si>
    <t>2838</t>
  </si>
  <si>
    <t>2841</t>
  </si>
  <si>
    <t>2845</t>
  </si>
  <si>
    <t>2849</t>
  </si>
  <si>
    <t>2850</t>
  </si>
  <si>
    <t>2851</t>
  </si>
  <si>
    <t>2852</t>
  </si>
  <si>
    <t>2855</t>
  </si>
  <si>
    <t>2867</t>
  </si>
  <si>
    <t>2880</t>
  </si>
  <si>
    <t>2881</t>
  </si>
  <si>
    <t>2882</t>
  </si>
  <si>
    <t>2883</t>
  </si>
  <si>
    <t>2884</t>
  </si>
  <si>
    <t>2885</t>
  </si>
  <si>
    <t>2886</t>
  </si>
  <si>
    <t>2887</t>
  </si>
  <si>
    <t>2888</t>
  </si>
  <si>
    <t>2889</t>
  </si>
  <si>
    <t>2890</t>
  </si>
  <si>
    <t>2891</t>
  </si>
  <si>
    <t>2892</t>
  </si>
  <si>
    <t>2897</t>
  </si>
  <si>
    <t>2901</t>
  </si>
  <si>
    <t>2903</t>
  </si>
  <si>
    <t>2904</t>
  </si>
  <si>
    <t>2905</t>
  </si>
  <si>
    <t>2906</t>
  </si>
  <si>
    <t>2908</t>
  </si>
  <si>
    <t>2910</t>
  </si>
  <si>
    <t>2911</t>
  </si>
  <si>
    <t>2912</t>
  </si>
  <si>
    <t>2913</t>
  </si>
  <si>
    <t>2915</t>
  </si>
  <si>
    <t>2923</t>
  </si>
  <si>
    <t>2929</t>
  </si>
  <si>
    <t>2936</t>
  </si>
  <si>
    <t>2939</t>
  </si>
  <si>
    <t>3002</t>
  </si>
  <si>
    <t>3003</t>
  </si>
  <si>
    <t>3004</t>
  </si>
  <si>
    <t>3005</t>
  </si>
  <si>
    <t>3006</t>
  </si>
  <si>
    <t>3008</t>
  </si>
  <si>
    <t>3010</t>
  </si>
  <si>
    <t>3011</t>
  </si>
  <si>
    <t>3013</t>
  </si>
  <si>
    <t>3014</t>
  </si>
  <si>
    <t>3015</t>
  </si>
  <si>
    <t>3016</t>
  </si>
  <si>
    <t>3017</t>
  </si>
  <si>
    <t>3018</t>
  </si>
  <si>
    <t>3019</t>
  </si>
  <si>
    <t>3021</t>
  </si>
  <si>
    <t>3022</t>
  </si>
  <si>
    <t>3023</t>
  </si>
  <si>
    <t>3024</t>
  </si>
  <si>
    <t>3025</t>
  </si>
  <si>
    <t>3026</t>
  </si>
  <si>
    <t>3027</t>
  </si>
  <si>
    <t>3028</t>
  </si>
  <si>
    <t>3029</t>
  </si>
  <si>
    <t>3030</t>
  </si>
  <si>
    <t>3031</t>
  </si>
  <si>
    <t>3032</t>
  </si>
  <si>
    <t>3033</t>
  </si>
  <si>
    <t>3034</t>
  </si>
  <si>
    <t>3035</t>
  </si>
  <si>
    <t>3036</t>
  </si>
  <si>
    <t>3037</t>
  </si>
  <si>
    <t>3038</t>
  </si>
  <si>
    <t>3040</t>
  </si>
  <si>
    <t>3041</t>
  </si>
  <si>
    <t>3042</t>
  </si>
  <si>
    <t>3043</t>
  </si>
  <si>
    <t>3044</t>
  </si>
  <si>
    <t>3045</t>
  </si>
  <si>
    <t>3046</t>
  </si>
  <si>
    <t>3047</t>
  </si>
  <si>
    <t>3048</t>
  </si>
  <si>
    <t>3049</t>
  </si>
  <si>
    <t>3050</t>
  </si>
  <si>
    <t>3051</t>
  </si>
  <si>
    <t>3052</t>
  </si>
  <si>
    <t>3054</t>
  </si>
  <si>
    <t>3055</t>
  </si>
  <si>
    <t>3056</t>
  </si>
  <si>
    <t>3057</t>
  </si>
  <si>
    <t>3058</t>
  </si>
  <si>
    <t>3059</t>
  </si>
  <si>
    <t>3060</t>
  </si>
  <si>
    <t>3062</t>
  </si>
  <si>
    <t>3090</t>
  </si>
  <si>
    <t>3094</t>
  </si>
  <si>
    <t>3130</t>
  </si>
  <si>
    <t>3149</t>
  </si>
  <si>
    <t>3164</t>
  </si>
  <si>
    <t>3167</t>
  </si>
  <si>
    <t>3189</t>
  </si>
  <si>
    <t>3209</t>
  </si>
  <si>
    <t>3229</t>
  </si>
  <si>
    <t>3231</t>
  </si>
  <si>
    <t>3257</t>
  </si>
  <si>
    <t>3266</t>
  </si>
  <si>
    <t>3296</t>
  </si>
  <si>
    <t>3305</t>
  </si>
  <si>
    <t>3308</t>
  </si>
  <si>
    <t>3311</t>
  </si>
  <si>
    <t>3312</t>
  </si>
  <si>
    <t>3321</t>
  </si>
  <si>
    <t>3338</t>
  </si>
  <si>
    <t>3346</t>
  </si>
  <si>
    <t>3356</t>
  </si>
  <si>
    <t>3376</t>
  </si>
  <si>
    <t>3380</t>
  </si>
  <si>
    <t>3383</t>
  </si>
  <si>
    <t>3406</t>
  </si>
  <si>
    <t>3413</t>
  </si>
  <si>
    <t>3416</t>
  </si>
  <si>
    <t>3419</t>
  </si>
  <si>
    <t>3432</t>
  </si>
  <si>
    <t>3437</t>
  </si>
  <si>
    <t>3443</t>
  </si>
  <si>
    <t>3450</t>
  </si>
  <si>
    <t>3454</t>
  </si>
  <si>
    <t>3481</t>
  </si>
  <si>
    <t>3494</t>
  </si>
  <si>
    <t>3501</t>
  </si>
  <si>
    <t>3504</t>
  </si>
  <si>
    <t>3515</t>
  </si>
  <si>
    <t>3518</t>
  </si>
  <si>
    <t>3528</t>
  </si>
  <si>
    <t>3530</t>
  </si>
  <si>
    <t>3532</t>
  </si>
  <si>
    <t>3533</t>
  </si>
  <si>
    <t>3535</t>
  </si>
  <si>
    <t>3536</t>
  </si>
  <si>
    <t>3545</t>
  </si>
  <si>
    <t>3550</t>
  </si>
  <si>
    <t>3557</t>
  </si>
  <si>
    <t>3563</t>
  </si>
  <si>
    <t>3576</t>
  </si>
  <si>
    <t>3583</t>
  </si>
  <si>
    <t>3588</t>
  </si>
  <si>
    <t>3591</t>
  </si>
  <si>
    <t>3593</t>
  </si>
  <si>
    <t>3596</t>
  </si>
  <si>
    <t>3605</t>
  </si>
  <si>
    <t>3607</t>
  </si>
  <si>
    <t>3617</t>
  </si>
  <si>
    <t>3622</t>
  </si>
  <si>
    <t>3645</t>
  </si>
  <si>
    <t>3653</t>
  </si>
  <si>
    <t>3661</t>
  </si>
  <si>
    <t>3665</t>
  </si>
  <si>
    <t>3669</t>
  </si>
  <si>
    <t>3673</t>
  </si>
  <si>
    <t>3679</t>
  </si>
  <si>
    <t>3682</t>
  </si>
  <si>
    <t>3686</t>
  </si>
  <si>
    <t>3694</t>
  </si>
  <si>
    <t>3698</t>
  </si>
  <si>
    <t>3701</t>
  </si>
  <si>
    <t>3702</t>
  </si>
  <si>
    <t>3703</t>
  </si>
  <si>
    <t>3704</t>
  </si>
  <si>
    <t>3705</t>
  </si>
  <si>
    <t>3706</t>
  </si>
  <si>
    <t>3708</t>
  </si>
  <si>
    <t>3711</t>
  </si>
  <si>
    <t>3712</t>
  </si>
  <si>
    <t>4104</t>
  </si>
  <si>
    <t>4106</t>
  </si>
  <si>
    <t>4108</t>
  </si>
  <si>
    <t>4119</t>
  </si>
  <si>
    <t>4133</t>
  </si>
  <si>
    <t>4137</t>
  </si>
  <si>
    <t>4141</t>
  </si>
  <si>
    <t>4142</t>
  </si>
  <si>
    <t>4144</t>
  </si>
  <si>
    <t>4148</t>
  </si>
  <si>
    <t>4155</t>
  </si>
  <si>
    <t>4164</t>
  </si>
  <si>
    <t>4190</t>
  </si>
  <si>
    <t>4306</t>
  </si>
  <si>
    <t>4414</t>
  </si>
  <si>
    <t>4426</t>
  </si>
  <si>
    <t>4438</t>
  </si>
  <si>
    <t>4439</t>
  </si>
  <si>
    <t>4526</t>
  </si>
  <si>
    <t>4532</t>
  </si>
  <si>
    <t>4536</t>
  </si>
  <si>
    <t>4540</t>
  </si>
  <si>
    <t>4545</t>
  </si>
  <si>
    <t>4551</t>
  </si>
  <si>
    <t>4552</t>
  </si>
  <si>
    <t>4555</t>
  </si>
  <si>
    <t>4557</t>
  </si>
  <si>
    <t>4560</t>
  </si>
  <si>
    <t>4562</t>
  </si>
  <si>
    <t>4564</t>
  </si>
  <si>
    <t>4566</t>
  </si>
  <si>
    <t>4571</t>
  </si>
  <si>
    <t>4572</t>
  </si>
  <si>
    <t>4576</t>
  </si>
  <si>
    <t>4720</t>
  </si>
  <si>
    <t>4722</t>
  </si>
  <si>
    <t>4725</t>
  </si>
  <si>
    <t>4737</t>
  </si>
  <si>
    <t>4739</t>
  </si>
  <si>
    <t>4746</t>
  </si>
  <si>
    <t>4755</t>
  </si>
  <si>
    <t>4763</t>
  </si>
  <si>
    <t>4764</t>
  </si>
  <si>
    <t>4766</t>
  </si>
  <si>
    <t>4807</t>
  </si>
  <si>
    <t>4904</t>
  </si>
  <si>
    <t>4906</t>
  </si>
  <si>
    <t>4912</t>
  </si>
  <si>
    <t>4915</t>
  </si>
  <si>
    <t>4916</t>
  </si>
  <si>
    <t>4919</t>
  </si>
  <si>
    <t>4927</t>
  </si>
  <si>
    <t>4930</t>
  </si>
  <si>
    <t>4934</t>
  </si>
  <si>
    <t>4935</t>
  </si>
  <si>
    <t>4938</t>
  </si>
  <si>
    <t>4942</t>
  </si>
  <si>
    <t>4943</t>
  </si>
  <si>
    <t>4952</t>
  </si>
  <si>
    <t>4956</t>
  </si>
  <si>
    <t>4958</t>
  </si>
  <si>
    <t>4960</t>
  </si>
  <si>
    <t>4961</t>
  </si>
  <si>
    <t>4967</t>
  </si>
  <si>
    <t>4968</t>
  </si>
  <si>
    <t>4976</t>
  </si>
  <si>
    <t>4977</t>
  </si>
  <si>
    <t>4989</t>
  </si>
  <si>
    <t>4994</t>
  </si>
  <si>
    <t>4999</t>
  </si>
  <si>
    <t>5007</t>
  </si>
  <si>
    <t>5203</t>
  </si>
  <si>
    <t>5215</t>
  </si>
  <si>
    <t>5225</t>
  </si>
  <si>
    <t>5234</t>
  </si>
  <si>
    <t>5243</t>
  </si>
  <si>
    <t>5258</t>
  </si>
  <si>
    <t>5264</t>
  </si>
  <si>
    <t>5269</t>
  </si>
  <si>
    <t>5283</t>
  </si>
  <si>
    <t>5284</t>
  </si>
  <si>
    <t>5285</t>
  </si>
  <si>
    <t>5288</t>
  </si>
  <si>
    <t>5305</t>
  </si>
  <si>
    <t>5388</t>
  </si>
  <si>
    <t>5434</t>
  </si>
  <si>
    <t>5469</t>
  </si>
  <si>
    <t>5471</t>
  </si>
  <si>
    <t>5484</t>
  </si>
  <si>
    <t>5515</t>
  </si>
  <si>
    <t>5519</t>
  </si>
  <si>
    <t>5521</t>
  </si>
  <si>
    <t>5522</t>
  </si>
  <si>
    <t>5525</t>
  </si>
  <si>
    <t>5531</t>
  </si>
  <si>
    <t>5533</t>
  </si>
  <si>
    <t>5534</t>
  </si>
  <si>
    <t>5538</t>
  </si>
  <si>
    <t>5607</t>
  </si>
  <si>
    <t>5608</t>
  </si>
  <si>
    <t>5706</t>
  </si>
  <si>
    <t>5871</t>
  </si>
  <si>
    <t>5876</t>
  </si>
  <si>
    <t>5880</t>
  </si>
  <si>
    <t>5906</t>
  </si>
  <si>
    <t>5907</t>
  </si>
  <si>
    <t>6005</t>
  </si>
  <si>
    <t>6024</t>
  </si>
  <si>
    <t>6108</t>
  </si>
  <si>
    <t>6112</t>
  </si>
  <si>
    <t>6115</t>
  </si>
  <si>
    <t>6116</t>
  </si>
  <si>
    <t>6117</t>
  </si>
  <si>
    <t>6120</t>
  </si>
  <si>
    <t>6128</t>
  </si>
  <si>
    <t>6131</t>
  </si>
  <si>
    <t>6133</t>
  </si>
  <si>
    <t>6136</t>
  </si>
  <si>
    <t>6139</t>
  </si>
  <si>
    <t>6141</t>
  </si>
  <si>
    <t>6142</t>
  </si>
  <si>
    <t>6152</t>
  </si>
  <si>
    <t>6153</t>
  </si>
  <si>
    <t>6155</t>
  </si>
  <si>
    <t>6164</t>
  </si>
  <si>
    <t>6165</t>
  </si>
  <si>
    <t>6166</t>
  </si>
  <si>
    <t>6168</t>
  </si>
  <si>
    <t>6172</t>
  </si>
  <si>
    <t>6176</t>
  </si>
  <si>
    <t>6177</t>
  </si>
  <si>
    <t>6183</t>
  </si>
  <si>
    <t>6184</t>
  </si>
  <si>
    <t>6189</t>
  </si>
  <si>
    <t>6191</t>
  </si>
  <si>
    <t>6192</t>
  </si>
  <si>
    <t>6196</t>
  </si>
  <si>
    <t>6197</t>
  </si>
  <si>
    <t>6201</t>
  </si>
  <si>
    <t>6202</t>
  </si>
  <si>
    <t>6205</t>
  </si>
  <si>
    <t>6206</t>
  </si>
  <si>
    <t>6209</t>
  </si>
  <si>
    <t>6213</t>
  </si>
  <si>
    <t>6214</t>
  </si>
  <si>
    <t>6215</t>
  </si>
  <si>
    <t>6216</t>
  </si>
  <si>
    <t>6224</t>
  </si>
  <si>
    <t>6225</t>
  </si>
  <si>
    <t>6226</t>
  </si>
  <si>
    <t>6230</t>
  </si>
  <si>
    <t>6235</t>
  </si>
  <si>
    <t>6239</t>
  </si>
  <si>
    <t>6243</t>
  </si>
  <si>
    <t>6251</t>
  </si>
  <si>
    <t>6257</t>
  </si>
  <si>
    <t>6269</t>
  </si>
  <si>
    <t>6271</t>
  </si>
  <si>
    <t>6278</t>
  </si>
  <si>
    <t>6281</t>
  </si>
  <si>
    <t>6282</t>
  </si>
  <si>
    <t>6283</t>
  </si>
  <si>
    <t>6285</t>
  </si>
  <si>
    <t>6288</t>
  </si>
  <si>
    <t>6289</t>
  </si>
  <si>
    <t>6405</t>
  </si>
  <si>
    <t>6409</t>
  </si>
  <si>
    <t>6412</t>
  </si>
  <si>
    <t>6414</t>
  </si>
  <si>
    <t>6415</t>
  </si>
  <si>
    <t>6416</t>
  </si>
  <si>
    <t>6431</t>
  </si>
  <si>
    <t>6442</t>
  </si>
  <si>
    <t>6443</t>
  </si>
  <si>
    <t>6449</t>
  </si>
  <si>
    <t>6451</t>
  </si>
  <si>
    <t>6452</t>
  </si>
  <si>
    <t>6456</t>
  </si>
  <si>
    <t>6464</t>
  </si>
  <si>
    <t>6477</t>
  </si>
  <si>
    <t>6491</t>
  </si>
  <si>
    <t>6504</t>
  </si>
  <si>
    <t>6505</t>
  </si>
  <si>
    <t>6525</t>
  </si>
  <si>
    <t>6531</t>
  </si>
  <si>
    <t>6533</t>
  </si>
  <si>
    <t>6541</t>
  </si>
  <si>
    <t>6552</t>
  </si>
  <si>
    <t>6558</t>
  </si>
  <si>
    <t>6573</t>
  </si>
  <si>
    <t>6579</t>
  </si>
  <si>
    <t>6581</t>
  </si>
  <si>
    <t>6582</t>
  </si>
  <si>
    <t>6591</t>
  </si>
  <si>
    <t>6592</t>
  </si>
  <si>
    <t>6605</t>
  </si>
  <si>
    <t>6625</t>
  </si>
  <si>
    <t>6641</t>
  </si>
  <si>
    <t>6655</t>
  </si>
  <si>
    <t>6666</t>
  </si>
  <si>
    <t>6668</t>
  </si>
  <si>
    <t>6669</t>
  </si>
  <si>
    <t>6670</t>
  </si>
  <si>
    <t>6671</t>
  </si>
  <si>
    <t>6672</t>
  </si>
  <si>
    <t>6674</t>
  </si>
  <si>
    <t>6698</t>
  </si>
  <si>
    <t>6706</t>
  </si>
  <si>
    <t>6715</t>
  </si>
  <si>
    <t>8011</t>
  </si>
  <si>
    <t>8016</t>
  </si>
  <si>
    <t>8021</t>
  </si>
  <si>
    <t>8028</t>
  </si>
  <si>
    <t>8033</t>
  </si>
  <si>
    <t>8039</t>
  </si>
  <si>
    <t>8046</t>
  </si>
  <si>
    <t>8070</t>
  </si>
  <si>
    <t>8072</t>
  </si>
  <si>
    <t>8081</t>
  </si>
  <si>
    <t>8101</t>
  </si>
  <si>
    <t>8103</t>
  </si>
  <si>
    <t>8104</t>
  </si>
  <si>
    <t>8105</t>
  </si>
  <si>
    <t>8110</t>
  </si>
  <si>
    <t>8112</t>
  </si>
  <si>
    <t>8114</t>
  </si>
  <si>
    <t>8131</t>
  </si>
  <si>
    <t>8150</t>
  </si>
  <si>
    <t>8163</t>
  </si>
  <si>
    <t>8201</t>
  </si>
  <si>
    <t>8210</t>
  </si>
  <si>
    <t>8213</t>
  </si>
  <si>
    <t>8215</t>
  </si>
  <si>
    <t>8222</t>
  </si>
  <si>
    <t>8249</t>
  </si>
  <si>
    <t>8261</t>
  </si>
  <si>
    <t>8271</t>
  </si>
  <si>
    <t>8341</t>
  </si>
  <si>
    <t>8367</t>
  </si>
  <si>
    <t>8374</t>
  </si>
  <si>
    <t>8404</t>
  </si>
  <si>
    <t>8411</t>
  </si>
  <si>
    <t>8422</t>
  </si>
  <si>
    <t>8427</t>
  </si>
  <si>
    <t>8429</t>
  </si>
  <si>
    <t>8442</t>
  </si>
  <si>
    <t>8443</t>
  </si>
  <si>
    <t>8454</t>
  </si>
  <si>
    <t>8462</t>
  </si>
  <si>
    <t>8463</t>
  </si>
  <si>
    <t>8464</t>
  </si>
  <si>
    <t>8466</t>
  </si>
  <si>
    <t>8467</t>
  </si>
  <si>
    <t>8473</t>
  </si>
  <si>
    <t>8478</t>
  </si>
  <si>
    <t>8480</t>
  </si>
  <si>
    <t>8481</t>
  </si>
  <si>
    <t>8482</t>
  </si>
  <si>
    <t>8488</t>
  </si>
  <si>
    <t>8497</t>
  </si>
  <si>
    <t>8499</t>
  </si>
  <si>
    <t>8926</t>
  </si>
  <si>
    <t>8940</t>
  </si>
  <si>
    <t>8996</t>
  </si>
  <si>
    <t>9802</t>
  </si>
  <si>
    <t>9902</t>
  </si>
  <si>
    <t>9904</t>
  </si>
  <si>
    <t>9905</t>
  </si>
  <si>
    <t>9906</t>
  </si>
  <si>
    <t>9907</t>
  </si>
  <si>
    <t>9908</t>
  </si>
  <si>
    <t>9910</t>
  </si>
  <si>
    <t>9911</t>
  </si>
  <si>
    <t>9912</t>
  </si>
  <si>
    <t>9914</t>
  </si>
  <si>
    <t>9917</t>
  </si>
  <si>
    <t>9918</t>
  </si>
  <si>
    <t>9919</t>
  </si>
  <si>
    <t>9921</t>
  </si>
  <si>
    <t>9924</t>
  </si>
  <si>
    <t>9925</t>
  </si>
  <si>
    <t>9926</t>
  </si>
  <si>
    <t>9927</t>
  </si>
  <si>
    <t>9928</t>
  </si>
  <si>
    <t>9929</t>
  </si>
  <si>
    <t>9930</t>
  </si>
  <si>
    <t>9931</t>
  </si>
  <si>
    <t>9933</t>
  </si>
  <si>
    <t>9934</t>
  </si>
  <si>
    <t>9935</t>
  </si>
  <si>
    <t>9937</t>
  </si>
  <si>
    <t>9938</t>
  </si>
  <si>
    <t>9939</t>
  </si>
  <si>
    <t>9940</t>
  </si>
  <si>
    <t>9941</t>
  </si>
  <si>
    <t>9942</t>
  </si>
  <si>
    <t>9943</t>
  </si>
  <si>
    <t>9944</t>
  </si>
  <si>
    <t>9945</t>
  </si>
  <si>
    <t>9946</t>
  </si>
  <si>
    <t>9955</t>
  </si>
  <si>
    <t>9958</t>
  </si>
  <si>
    <t>T0105Y</t>
  </si>
  <si>
    <t>T0121A</t>
  </si>
  <si>
    <t>T0320Y</t>
  </si>
  <si>
    <t>T0343A</t>
  </si>
  <si>
    <t>T0343B</t>
  </si>
  <si>
    <t>T0405Y</t>
  </si>
  <si>
    <t>T0458A</t>
  </si>
  <si>
    <t>T0458B</t>
  </si>
  <si>
    <t>T0591Y</t>
  </si>
  <si>
    <t>T05A2A</t>
  </si>
  <si>
    <t>T05A3A</t>
  </si>
  <si>
    <t>T0717Y</t>
  </si>
  <si>
    <t>T0747A</t>
  </si>
  <si>
    <t>T0747B</t>
  </si>
  <si>
    <t>T0754A</t>
  </si>
  <si>
    <t>T0754B</t>
  </si>
  <si>
    <t>T0754E</t>
  </si>
  <si>
    <t>T0814Y</t>
  </si>
  <si>
    <t>T0890A</t>
  </si>
  <si>
    <t>T0890B</t>
  </si>
  <si>
    <t>T1047A</t>
  </si>
  <si>
    <t>T1047B</t>
  </si>
  <si>
    <t>T1063A</t>
  </si>
  <si>
    <t>T1063B</t>
  </si>
  <si>
    <t>T1114Y</t>
  </si>
  <si>
    <t>T1117Y</t>
  </si>
  <si>
    <t>T1120A</t>
  </si>
  <si>
    <t>T1120B</t>
  </si>
  <si>
    <t>T1148A</t>
  </si>
  <si>
    <t>T1148B</t>
  </si>
  <si>
    <t>T1150A</t>
  </si>
  <si>
    <t>T1150B</t>
  </si>
  <si>
    <t>T1207Y</t>
  </si>
  <si>
    <t>T1239A</t>
  </si>
  <si>
    <t>T1239B</t>
  </si>
  <si>
    <t>T1433A</t>
  </si>
  <si>
    <t>T1433B</t>
  </si>
  <si>
    <t>T1604Y</t>
  </si>
  <si>
    <t>T1616Y</t>
  </si>
  <si>
    <t>T1617Y</t>
  </si>
  <si>
    <t>T1618Y</t>
  </si>
  <si>
    <t>T1656A</t>
  </si>
  <si>
    <t>T1656B</t>
  </si>
  <si>
    <t>T1659A</t>
  </si>
  <si>
    <t>T1659B</t>
  </si>
  <si>
    <t>T1659G</t>
  </si>
  <si>
    <t>T1659H</t>
  </si>
  <si>
    <t>T1812A</t>
  </si>
  <si>
    <t>T1812B</t>
  </si>
  <si>
    <t>T1813A</t>
  </si>
  <si>
    <t>T1813B</t>
  </si>
  <si>
    <t>T2121A</t>
  </si>
  <si>
    <t>T2121B</t>
  </si>
  <si>
    <t>T2121G</t>
  </si>
  <si>
    <t>T2206Y</t>
  </si>
  <si>
    <t>T2209Y</t>
  </si>
  <si>
    <t>T2212Y</t>
  </si>
  <si>
    <t>T2213Y</t>
  </si>
  <si>
    <t>T2214Y</t>
  </si>
  <si>
    <t>T2217Y</t>
  </si>
  <si>
    <t>T2291A</t>
  </si>
  <si>
    <t>T2507Y</t>
  </si>
  <si>
    <t>T2630A</t>
  </si>
  <si>
    <t>T2630B</t>
  </si>
  <si>
    <t>T2639A</t>
  </si>
  <si>
    <t>T2639B</t>
  </si>
  <si>
    <t>T3204Y</t>
  </si>
  <si>
    <t>T3221Y</t>
  </si>
  <si>
    <t>T3276A</t>
  </si>
  <si>
    <t>T3276B</t>
  </si>
  <si>
    <t>T3276S</t>
  </si>
  <si>
    <t>T3295A</t>
  </si>
  <si>
    <t>T3295B</t>
  </si>
  <si>
    <t>T3295S</t>
  </si>
  <si>
    <t xml:space="preserve">                                -  </t>
  </si>
  <si>
    <t>T32A3A</t>
  </si>
  <si>
    <t>T32A3S</t>
  </si>
  <si>
    <t>T3308Y</t>
  </si>
  <si>
    <t>T3328A</t>
  </si>
  <si>
    <t>T3328B</t>
  </si>
  <si>
    <t>T3743A</t>
  </si>
  <si>
    <t>T3743B</t>
  </si>
  <si>
    <t>T3769A</t>
  </si>
  <si>
    <t>T3769B</t>
  </si>
  <si>
    <t>T4332Y</t>
  </si>
  <si>
    <t>T4518A</t>
  </si>
  <si>
    <t>T4518B</t>
  </si>
  <si>
    <t>T4519A</t>
  </si>
  <si>
    <t>T4519B</t>
  </si>
  <si>
    <t>T4703Y</t>
  </si>
  <si>
    <t>T4903Y</t>
  </si>
  <si>
    <t>T0102Y</t>
  </si>
  <si>
    <t>T0103Y</t>
  </si>
  <si>
    <t>T0108Y</t>
  </si>
  <si>
    <t>T0110Y</t>
  </si>
  <si>
    <t>T0313Y</t>
  </si>
  <si>
    <t>T0314Y</t>
  </si>
  <si>
    <t>T0318Y</t>
  </si>
  <si>
    <t>T0336Y</t>
  </si>
  <si>
    <t>T0406Y</t>
  </si>
  <si>
    <t>T0408A</t>
  </si>
  <si>
    <t>T0408Y</t>
  </si>
  <si>
    <t>T0410Y</t>
  </si>
  <si>
    <t>T0415Y</t>
  </si>
  <si>
    <t>T0502Y</t>
  </si>
  <si>
    <t>T0503Y</t>
  </si>
  <si>
    <t>T0504Y</t>
  </si>
  <si>
    <t>T0508Y</t>
  </si>
  <si>
    <t>T0509Y</t>
  </si>
  <si>
    <t>T0513Y</t>
  </si>
  <si>
    <t>T0567Y</t>
  </si>
  <si>
    <t>T0574Y</t>
  </si>
  <si>
    <t>T05B2A</t>
  </si>
  <si>
    <t>T05B2B</t>
  </si>
  <si>
    <t>T05B3A</t>
  </si>
  <si>
    <t>T05B3B</t>
  </si>
  <si>
    <t>T05B4A</t>
  </si>
  <si>
    <t>T05B4B</t>
  </si>
  <si>
    <t>T0601Y</t>
  </si>
  <si>
    <t>T0605Y</t>
  </si>
  <si>
    <t>T0606Y</t>
  </si>
  <si>
    <t>T0704Y</t>
  </si>
  <si>
    <t>T0705Y</t>
  </si>
  <si>
    <t>T0708Y</t>
  </si>
  <si>
    <t>T0711Y</t>
  </si>
  <si>
    <t>T0802Y</t>
  </si>
  <si>
    <t>T0803Y</t>
  </si>
  <si>
    <t>T0808Y</t>
  </si>
  <si>
    <t>T0810Y</t>
  </si>
  <si>
    <t>T0812Y</t>
  </si>
  <si>
    <t>T0901Y</t>
  </si>
  <si>
    <t>T0902A</t>
  </si>
  <si>
    <t>T0902Y</t>
  </si>
  <si>
    <t>T0903Y</t>
  </si>
  <si>
    <t>T0904Y</t>
  </si>
  <si>
    <t>T0906Y</t>
  </si>
  <si>
    <t>T0909Y</t>
  </si>
  <si>
    <t>T0910Y</t>
  </si>
  <si>
    <t>T0911A</t>
  </si>
  <si>
    <t>T0911Y</t>
  </si>
  <si>
    <t>T0922Y</t>
  </si>
  <si>
    <t>T1001B</t>
  </si>
  <si>
    <t>T1001Y</t>
  </si>
  <si>
    <t>T1004Y</t>
  </si>
  <si>
    <t>T1005Y</t>
  </si>
  <si>
    <t>T1010Y</t>
  </si>
  <si>
    <t>T1011Y</t>
  </si>
  <si>
    <t>T1012Y</t>
  </si>
  <si>
    <t>T1017Y</t>
  </si>
  <si>
    <t>T1102Y</t>
  </si>
  <si>
    <t>T1104Y</t>
  </si>
  <si>
    <t>T1111Y</t>
  </si>
  <si>
    <t>T1135B</t>
  </si>
  <si>
    <t>T1135Y</t>
  </si>
  <si>
    <t>T1201Y</t>
  </si>
  <si>
    <t>T1249Y</t>
  </si>
  <si>
    <t>T1405Y</t>
  </si>
  <si>
    <t>T1408Y</t>
  </si>
  <si>
    <t>T1411Y</t>
  </si>
  <si>
    <t>T1601Y</t>
  </si>
  <si>
    <t>T1603Y</t>
  </si>
  <si>
    <t>T1608Y</t>
  </si>
  <si>
    <t>T1609B</t>
  </si>
  <si>
    <t>T1609Y</t>
  </si>
  <si>
    <t>T1613Y</t>
  </si>
  <si>
    <t>T1614Y</t>
  </si>
  <si>
    <t>T1701Y</t>
  </si>
  <si>
    <t>T1706Y</t>
  </si>
  <si>
    <t>T1713Y</t>
  </si>
  <si>
    <t>T1802Y</t>
  </si>
  <si>
    <t>T2003B</t>
  </si>
  <si>
    <t>T2003Y</t>
  </si>
  <si>
    <t>T2004Y</t>
  </si>
  <si>
    <t>T2005Y</t>
  </si>
  <si>
    <t>T2006Y</t>
  </si>
  <si>
    <t>T2007Y</t>
  </si>
  <si>
    <t>T2011Y</t>
  </si>
  <si>
    <t>T2030Y</t>
  </si>
  <si>
    <t>T2036Y</t>
  </si>
  <si>
    <t>T2101Y</t>
  </si>
  <si>
    <t>T2203Y</t>
  </si>
  <si>
    <t>T2205Y</t>
  </si>
  <si>
    <t>T2208Y</t>
  </si>
  <si>
    <t>T2210Y</t>
  </si>
  <si>
    <t>T2216Y</t>
  </si>
  <si>
    <t>T2295Y</t>
  </si>
  <si>
    <t>T2501Y</t>
  </si>
  <si>
    <t>T2506Y</t>
  </si>
  <si>
    <t>T2520Y</t>
  </si>
  <si>
    <t>T2620Y</t>
  </si>
  <si>
    <t>T2701A</t>
  </si>
  <si>
    <t>T2701Y</t>
  </si>
  <si>
    <t>T2703B</t>
  </si>
  <si>
    <t>T2703Y</t>
  </si>
  <si>
    <t>T3101Y</t>
  </si>
  <si>
    <t>T3201S</t>
  </si>
  <si>
    <t>T3201Y</t>
  </si>
  <si>
    <t>T3203Y</t>
  </si>
  <si>
    <t>T3205Y</t>
  </si>
  <si>
    <t>T3207S</t>
  </si>
  <si>
    <t>T3207Y</t>
  </si>
  <si>
    <t>T3218Y</t>
  </si>
  <si>
    <t>T3219Y</t>
  </si>
  <si>
    <t>T3223Y</t>
  </si>
  <si>
    <t>T3228Y</t>
  </si>
  <si>
    <t>T3236Y</t>
  </si>
  <si>
    <t>T3303Y</t>
  </si>
  <si>
    <t>T3305Y</t>
  </si>
  <si>
    <t>T3501Y</t>
  </si>
  <si>
    <t>T3601B</t>
  </si>
  <si>
    <t>T3601Y</t>
  </si>
  <si>
    <t>T3604Y</t>
  </si>
  <si>
    <t>T3619Y</t>
  </si>
  <si>
    <t>T3701U</t>
  </si>
  <si>
    <t>T3701Y</t>
  </si>
  <si>
    <t>T3703Y</t>
  </si>
  <si>
    <t>T3706Y</t>
  </si>
  <si>
    <t>T3707Y</t>
  </si>
  <si>
    <t>T3714Y</t>
  </si>
  <si>
    <t>T3803Y</t>
  </si>
  <si>
    <t>T4001Y</t>
  </si>
  <si>
    <t>T4101Y</t>
  </si>
  <si>
    <t>T4112Y</t>
  </si>
  <si>
    <t>T4209A</t>
  </si>
  <si>
    <t>T4209B</t>
  </si>
  <si>
    <t>T4209Y</t>
  </si>
  <si>
    <t>T4301Y</t>
  </si>
  <si>
    <t>T4303Y</t>
  </si>
  <si>
    <t>T4502Y</t>
  </si>
  <si>
    <t>T4510Y</t>
  </si>
  <si>
    <t>T4706Y</t>
  </si>
  <si>
    <t>T4712Y</t>
  </si>
  <si>
    <t>T4714Y</t>
  </si>
  <si>
    <t>T4720Y</t>
  </si>
  <si>
    <t>T4801Y</t>
  </si>
  <si>
    <t>T5001A</t>
  </si>
  <si>
    <t>T5001B</t>
  </si>
  <si>
    <t>T5001E</t>
  </si>
  <si>
    <t>T5001F</t>
  </si>
  <si>
    <r>
      <rPr>
        <sz val="12"/>
        <rFont val="標楷體"/>
        <family val="4"/>
        <charset val="136"/>
      </rPr>
      <t>嘉鋼</t>
    </r>
  </si>
  <si>
    <r>
      <rPr>
        <sz val="12"/>
        <rFont val="標楷體"/>
        <family val="4"/>
        <charset val="136"/>
      </rPr>
      <t>豆府</t>
    </r>
  </si>
  <si>
    <r>
      <rPr>
        <sz val="12"/>
        <rFont val="標楷體"/>
        <family val="4"/>
        <charset val="136"/>
      </rPr>
      <t>倚強股份</t>
    </r>
  </si>
  <si>
    <r>
      <rPr>
        <sz val="12"/>
        <rFont val="標楷體"/>
        <family val="4"/>
        <charset val="136"/>
      </rPr>
      <t>加捷生醫</t>
    </r>
  </si>
  <si>
    <r>
      <rPr>
        <sz val="12"/>
        <rFont val="標楷體"/>
        <family val="4"/>
        <charset val="136"/>
      </rPr>
      <t>元勝</t>
    </r>
  </si>
  <si>
    <r>
      <rPr>
        <sz val="12"/>
        <rFont val="標楷體"/>
        <family val="4"/>
        <charset val="136"/>
      </rPr>
      <t>宏易</t>
    </r>
  </si>
  <si>
    <r>
      <rPr>
        <sz val="12"/>
        <rFont val="標楷體"/>
        <family val="4"/>
        <charset val="136"/>
      </rPr>
      <t>大詠城</t>
    </r>
  </si>
  <si>
    <r>
      <rPr>
        <sz val="12"/>
        <rFont val="標楷體"/>
        <family val="4"/>
        <charset val="136"/>
      </rPr>
      <t>勤凱</t>
    </r>
  </si>
  <si>
    <r>
      <rPr>
        <sz val="12"/>
        <rFont val="標楷體"/>
        <family val="4"/>
        <charset val="136"/>
      </rPr>
      <t>新盛力</t>
    </r>
  </si>
  <si>
    <r>
      <rPr>
        <sz val="12"/>
        <rFont val="標楷體"/>
        <family val="4"/>
        <charset val="136"/>
      </rPr>
      <t>詠昇</t>
    </r>
  </si>
  <si>
    <r>
      <rPr>
        <sz val="12"/>
        <rFont val="標楷體"/>
        <family val="4"/>
        <charset val="136"/>
      </rPr>
      <t>易發</t>
    </r>
  </si>
  <si>
    <r>
      <rPr>
        <sz val="12"/>
        <rFont val="標楷體"/>
        <family val="4"/>
        <charset val="136"/>
      </rPr>
      <t>藥華藥</t>
    </r>
  </si>
  <si>
    <r>
      <rPr>
        <sz val="12"/>
        <rFont val="標楷體"/>
        <family val="4"/>
        <charset val="136"/>
      </rPr>
      <t>勤崴國際</t>
    </r>
  </si>
  <si>
    <r>
      <rPr>
        <sz val="12"/>
        <rFont val="標楷體"/>
        <family val="4"/>
        <charset val="136"/>
      </rPr>
      <t>明達醫</t>
    </r>
  </si>
  <si>
    <r>
      <rPr>
        <sz val="12"/>
        <rFont val="標楷體"/>
        <family val="4"/>
        <charset val="136"/>
      </rPr>
      <t>長科</t>
    </r>
    <r>
      <rPr>
        <sz val="12"/>
        <rFont val="Times New Roman"/>
        <family val="1"/>
      </rPr>
      <t>*</t>
    </r>
  </si>
  <si>
    <r>
      <rPr>
        <sz val="12"/>
        <rFont val="標楷體"/>
        <family val="4"/>
        <charset val="136"/>
      </rPr>
      <t>台康生技</t>
    </r>
  </si>
  <si>
    <r>
      <rPr>
        <sz val="12"/>
        <rFont val="標楷體"/>
        <family val="4"/>
        <charset val="136"/>
      </rPr>
      <t>萬年清</t>
    </r>
  </si>
  <si>
    <r>
      <rPr>
        <sz val="12"/>
        <rFont val="標楷體"/>
        <family val="4"/>
        <charset val="136"/>
      </rPr>
      <t>泰金</t>
    </r>
    <r>
      <rPr>
        <sz val="12"/>
        <rFont val="Times New Roman"/>
        <family val="1"/>
      </rPr>
      <t>-KY</t>
    </r>
  </si>
  <si>
    <r>
      <rPr>
        <sz val="12"/>
        <rFont val="標楷體"/>
        <family val="4"/>
        <charset val="136"/>
      </rPr>
      <t>富致</t>
    </r>
  </si>
  <si>
    <t>M31</t>
  </si>
  <si>
    <r>
      <rPr>
        <sz val="12"/>
        <rFont val="標楷體"/>
        <family val="4"/>
        <charset val="136"/>
      </rPr>
      <t>台生材</t>
    </r>
  </si>
  <si>
    <r>
      <rPr>
        <sz val="12"/>
        <rFont val="標楷體"/>
        <family val="4"/>
        <charset val="136"/>
      </rPr>
      <t>樂斯科</t>
    </r>
  </si>
  <si>
    <r>
      <rPr>
        <sz val="12"/>
        <rFont val="標楷體"/>
        <family val="4"/>
        <charset val="136"/>
      </rPr>
      <t>信紘科</t>
    </r>
  </si>
  <si>
    <r>
      <rPr>
        <sz val="12"/>
        <rFont val="標楷體"/>
        <family val="4"/>
        <charset val="136"/>
      </rPr>
      <t>鈺太</t>
    </r>
  </si>
  <si>
    <r>
      <rPr>
        <sz val="12"/>
        <rFont val="標楷體"/>
        <family val="4"/>
        <charset val="136"/>
      </rPr>
      <t>鑫創電子</t>
    </r>
  </si>
  <si>
    <r>
      <rPr>
        <sz val="12"/>
        <rFont val="標楷體"/>
        <family val="4"/>
        <charset val="136"/>
      </rPr>
      <t>雍智科技</t>
    </r>
  </si>
  <si>
    <r>
      <rPr>
        <sz val="12"/>
        <rFont val="標楷體"/>
        <family val="4"/>
        <charset val="136"/>
      </rPr>
      <t>安碁資訊</t>
    </r>
  </si>
  <si>
    <r>
      <rPr>
        <sz val="12"/>
        <rFont val="標楷體"/>
        <family val="4"/>
        <charset val="136"/>
      </rPr>
      <t>東捷資訊服務</t>
    </r>
  </si>
  <si>
    <t>T0311Y</t>
  </si>
  <si>
    <t>T0506Y</t>
  </si>
  <si>
    <t>T0806Y</t>
  </si>
  <si>
    <t>T1407Y</t>
  </si>
  <si>
    <t>T1612Y</t>
  </si>
  <si>
    <t>否</t>
    <phoneticPr fontId="26" type="noConversion"/>
  </si>
  <si>
    <t>目錄</t>
    <phoneticPr fontId="26" type="noConversion"/>
  </si>
  <si>
    <r>
      <rPr>
        <sz val="12"/>
        <rFont val="標楷體"/>
        <family val="4"/>
        <charset val="136"/>
      </rPr>
      <t>列號</t>
    </r>
    <phoneticPr fontId="29" type="noConversion"/>
  </si>
  <si>
    <r>
      <rPr>
        <sz val="12"/>
        <rFont val="標楷體"/>
        <family val="4"/>
        <charset val="136"/>
      </rPr>
      <t>報表表次及名稱</t>
    </r>
    <phoneticPr fontId="26" type="noConversion"/>
  </si>
  <si>
    <r>
      <rPr>
        <sz val="12"/>
        <rFont val="標楷體"/>
        <family val="4"/>
        <charset val="136"/>
      </rPr>
      <t>異動時需即時申報</t>
    </r>
    <phoneticPr fontId="29" type="noConversion"/>
  </si>
  <si>
    <r>
      <rPr>
        <sz val="12"/>
        <rFont val="標楷體"/>
        <family val="4"/>
        <charset val="136"/>
      </rPr>
      <t>會計師年度查核</t>
    </r>
    <r>
      <rPr>
        <sz val="12"/>
        <rFont val="Times New Roman"/>
        <family val="1"/>
      </rPr>
      <t>(</t>
    </r>
    <r>
      <rPr>
        <sz val="12"/>
        <rFont val="標楷體"/>
        <family val="4"/>
        <charset val="136"/>
      </rPr>
      <t>半年度核閱</t>
    </r>
    <r>
      <rPr>
        <sz val="12"/>
        <rFont val="Times New Roman"/>
        <family val="1"/>
      </rPr>
      <t>)</t>
    </r>
    <r>
      <rPr>
        <sz val="12"/>
        <rFont val="標楷體"/>
        <family val="4"/>
        <charset val="136"/>
      </rPr>
      <t>表格</t>
    </r>
    <phoneticPr fontId="29" type="noConversion"/>
  </si>
  <si>
    <r>
      <rPr>
        <sz val="12"/>
        <rFont val="標楷體"/>
        <family val="4"/>
        <charset val="136"/>
      </rPr>
      <t>會計師各報表查核</t>
    </r>
    <r>
      <rPr>
        <sz val="12"/>
        <rFont val="Times New Roman"/>
        <family val="1"/>
      </rPr>
      <t>(</t>
    </r>
    <r>
      <rPr>
        <sz val="12"/>
        <rFont val="標楷體"/>
        <family val="4"/>
        <charset val="136"/>
      </rPr>
      <t>核閱</t>
    </r>
    <r>
      <rPr>
        <sz val="12"/>
        <rFont val="Times New Roman"/>
        <family val="1"/>
      </rPr>
      <t>)</t>
    </r>
    <r>
      <rPr>
        <sz val="12"/>
        <rFont val="標楷體"/>
        <family val="4"/>
        <charset val="136"/>
      </rPr>
      <t>範圍</t>
    </r>
    <phoneticPr fontId="29" type="noConversion"/>
  </si>
  <si>
    <r>
      <rPr>
        <sz val="12"/>
        <rFont val="標楷體"/>
        <family val="4"/>
        <charset val="136"/>
      </rPr>
      <t>填表人姓名</t>
    </r>
    <phoneticPr fontId="29" type="noConversion"/>
  </si>
  <si>
    <r>
      <rPr>
        <sz val="12"/>
        <rFont val="標楷體"/>
        <family val="4"/>
        <charset val="136"/>
      </rPr>
      <t>電話</t>
    </r>
    <phoneticPr fontId="29" type="noConversion"/>
  </si>
  <si>
    <r>
      <rPr>
        <sz val="12"/>
        <rFont val="標楷體"/>
        <family val="4"/>
        <charset val="136"/>
      </rPr>
      <t>是</t>
    </r>
    <phoneticPr fontId="26" type="noConversion"/>
  </si>
  <si>
    <r>
      <rPr>
        <sz val="12"/>
        <rFont val="標楷體"/>
        <family val="4"/>
        <charset val="136"/>
      </rPr>
      <t>表</t>
    </r>
    <r>
      <rPr>
        <sz val="12"/>
        <rFont val="Times New Roman"/>
        <family val="1"/>
      </rPr>
      <t>01-3-1</t>
    </r>
    <r>
      <rPr>
        <sz val="12"/>
        <rFont val="標楷體"/>
        <family val="4"/>
        <charset val="136"/>
      </rPr>
      <t>：簽證會計師對內部控制制度查核意見書</t>
    </r>
    <phoneticPr fontId="26" type="noConversion"/>
  </si>
  <si>
    <r>
      <rPr>
        <sz val="12"/>
        <rFont val="標楷體"/>
        <family val="4"/>
        <charset val="136"/>
      </rPr>
      <t>否</t>
    </r>
    <phoneticPr fontId="26" type="noConversion"/>
  </si>
  <si>
    <r>
      <rPr>
        <sz val="12"/>
        <rFont val="標楷體"/>
        <family val="4"/>
        <charset val="136"/>
      </rPr>
      <t>表</t>
    </r>
    <r>
      <rPr>
        <sz val="12"/>
        <rFont val="Times New Roman"/>
        <family val="1"/>
      </rPr>
      <t>02-7</t>
    </r>
    <r>
      <rPr>
        <sz val="12"/>
        <rFont val="標楷體"/>
        <family val="4"/>
        <charset val="136"/>
      </rPr>
      <t>：關係人明細表</t>
    </r>
    <phoneticPr fontId="26" type="noConversion"/>
  </si>
  <si>
    <r>
      <rPr>
        <sz val="12"/>
        <rFont val="標楷體"/>
        <family val="4"/>
        <charset val="136"/>
      </rPr>
      <t>表</t>
    </r>
    <r>
      <rPr>
        <sz val="12"/>
        <rFont val="Times New Roman"/>
        <family val="1"/>
      </rPr>
      <t>02-8</t>
    </r>
    <r>
      <rPr>
        <sz val="12"/>
        <rFont val="標楷體"/>
        <family val="4"/>
        <charset val="136"/>
      </rPr>
      <t>：總機構法令遵循主管暨法令遵循單位所屬人員獎懲及訓練資料</t>
    </r>
    <phoneticPr fontId="26" type="noConversion"/>
  </si>
  <si>
    <r>
      <rPr>
        <sz val="12"/>
        <rFont val="標楷體"/>
        <family val="4"/>
        <charset val="136"/>
      </rPr>
      <t>否</t>
    </r>
    <phoneticPr fontId="29" type="noConversion"/>
  </si>
  <si>
    <r>
      <rPr>
        <sz val="12"/>
        <rFont val="標楷體"/>
        <family val="4"/>
        <charset val="136"/>
      </rPr>
      <t>半年</t>
    </r>
    <phoneticPr fontId="29" type="noConversion"/>
  </si>
  <si>
    <r>
      <t>(2)-(4)(9)(14)-(19)</t>
    </r>
    <r>
      <rPr>
        <sz val="12"/>
        <rFont val="標楷體"/>
        <family val="4"/>
        <charset val="136"/>
      </rPr>
      <t>欄</t>
    </r>
    <phoneticPr fontId="26" type="noConversion"/>
  </si>
  <si>
    <r>
      <rPr>
        <sz val="12"/>
        <rFont val="標楷體"/>
        <family val="4"/>
        <charset val="136"/>
      </rPr>
      <t>表</t>
    </r>
    <r>
      <rPr>
        <sz val="12"/>
        <rFont val="Times New Roman"/>
        <family val="1"/>
      </rPr>
      <t>08-2</t>
    </r>
    <r>
      <rPr>
        <sz val="12"/>
        <rFont val="標楷體"/>
        <family val="4"/>
        <charset val="136"/>
      </rPr>
      <t>：政府公債國庫券餘額明細表</t>
    </r>
    <r>
      <rPr>
        <sz val="12"/>
        <rFont val="Times New Roman"/>
        <family val="1"/>
      </rPr>
      <t>(</t>
    </r>
    <r>
      <rPr>
        <sz val="12"/>
        <rFont val="標楷體"/>
        <family val="4"/>
        <charset val="136"/>
      </rPr>
      <t>總計</t>
    </r>
    <r>
      <rPr>
        <sz val="12"/>
        <rFont val="Times New Roman"/>
        <family val="1"/>
      </rPr>
      <t>)</t>
    </r>
    <phoneticPr fontId="26" type="noConversion"/>
  </si>
  <si>
    <r>
      <rPr>
        <sz val="12"/>
        <rFont val="標楷體"/>
        <family val="4"/>
        <charset val="136"/>
      </rPr>
      <t>全部</t>
    </r>
    <phoneticPr fontId="29" type="noConversion"/>
  </si>
  <si>
    <r>
      <t>(2)(3)(6)(7)(14)(19)-(24)</t>
    </r>
    <r>
      <rPr>
        <sz val="12"/>
        <rFont val="標楷體"/>
        <family val="4"/>
        <charset val="136"/>
      </rPr>
      <t>欄</t>
    </r>
    <phoneticPr fontId="26" type="noConversion"/>
  </si>
  <si>
    <r>
      <rPr>
        <sz val="12"/>
        <rFont val="標楷體"/>
        <family val="4"/>
        <charset val="136"/>
      </rPr>
      <t>表</t>
    </r>
    <r>
      <rPr>
        <sz val="12"/>
        <rFont val="Times New Roman"/>
        <family val="1"/>
      </rPr>
      <t>12-2</t>
    </r>
    <r>
      <rPr>
        <sz val="12"/>
        <rFont val="標楷體"/>
        <family val="4"/>
        <charset val="136"/>
      </rPr>
      <t>：受益憑證餘額明細表</t>
    </r>
    <r>
      <rPr>
        <sz val="12"/>
        <rFont val="Times New Roman"/>
        <family val="1"/>
      </rPr>
      <t>(</t>
    </r>
    <r>
      <rPr>
        <sz val="12"/>
        <rFont val="標楷體"/>
        <family val="4"/>
        <charset val="136"/>
      </rPr>
      <t>總計</t>
    </r>
    <r>
      <rPr>
        <sz val="12"/>
        <rFont val="Times New Roman"/>
        <family val="1"/>
      </rPr>
      <t>)</t>
    </r>
    <phoneticPr fontId="26" type="noConversion"/>
  </si>
  <si>
    <r>
      <rPr>
        <sz val="12"/>
        <rFont val="標楷體"/>
        <family val="4"/>
        <charset val="136"/>
      </rPr>
      <t>免查</t>
    </r>
    <r>
      <rPr>
        <sz val="12"/>
        <rFont val="Times New Roman"/>
        <family val="1"/>
      </rPr>
      <t>(13)</t>
    </r>
    <r>
      <rPr>
        <sz val="12"/>
        <rFont val="標楷體"/>
        <family val="4"/>
        <charset val="136"/>
      </rPr>
      <t>欄</t>
    </r>
    <phoneticPr fontId="26" type="noConversion"/>
  </si>
  <si>
    <r>
      <t>(7)-(18)(22)(23)</t>
    </r>
    <r>
      <rPr>
        <sz val="12"/>
        <rFont val="標楷體"/>
        <family val="4"/>
        <charset val="136"/>
      </rPr>
      <t>欄</t>
    </r>
    <phoneticPr fontId="29" type="noConversion"/>
  </si>
  <si>
    <r>
      <rPr>
        <sz val="12"/>
        <rFont val="標楷體"/>
        <family val="4"/>
        <charset val="136"/>
      </rPr>
      <t>表</t>
    </r>
    <r>
      <rPr>
        <sz val="12"/>
        <rFont val="Times New Roman"/>
        <family val="1"/>
      </rPr>
      <t>16-1-2</t>
    </r>
    <r>
      <rPr>
        <sz val="12"/>
        <rFont val="標楷體"/>
        <family val="4"/>
        <charset val="136"/>
      </rPr>
      <t>：衍生性商品餘額明細表</t>
    </r>
    <r>
      <rPr>
        <sz val="12"/>
        <rFont val="Times New Roman"/>
        <family val="1"/>
      </rPr>
      <t>--</t>
    </r>
    <r>
      <rPr>
        <sz val="12"/>
        <rFont val="標楷體"/>
        <family val="4"/>
        <charset val="136"/>
      </rPr>
      <t>交換</t>
    </r>
    <phoneticPr fontId="26" type="noConversion"/>
  </si>
  <si>
    <r>
      <t>(7)-(18)</t>
    </r>
    <r>
      <rPr>
        <sz val="12"/>
        <rFont val="標楷體"/>
        <family val="4"/>
        <charset val="136"/>
      </rPr>
      <t>欄</t>
    </r>
    <phoneticPr fontId="29" type="noConversion"/>
  </si>
  <si>
    <r>
      <t>(7)-(21)(25)(26)</t>
    </r>
    <r>
      <rPr>
        <sz val="12"/>
        <rFont val="標楷體"/>
        <family val="4"/>
        <charset val="136"/>
      </rPr>
      <t>欄</t>
    </r>
    <phoneticPr fontId="29" type="noConversion"/>
  </si>
  <si>
    <r>
      <rPr>
        <sz val="12"/>
        <rFont val="標楷體"/>
        <family val="4"/>
        <charset val="136"/>
      </rPr>
      <t>表</t>
    </r>
    <r>
      <rPr>
        <sz val="12"/>
        <rFont val="Times New Roman"/>
        <family val="1"/>
      </rPr>
      <t>16-1-4</t>
    </r>
    <r>
      <rPr>
        <sz val="12"/>
        <rFont val="標楷體"/>
        <family val="4"/>
        <charset val="136"/>
      </rPr>
      <t>：衍生性商品餘額明細表</t>
    </r>
    <r>
      <rPr>
        <sz val="12"/>
        <rFont val="Times New Roman"/>
        <family val="1"/>
      </rPr>
      <t>--</t>
    </r>
    <r>
      <rPr>
        <sz val="12"/>
        <rFont val="標楷體"/>
        <family val="4"/>
        <charset val="136"/>
      </rPr>
      <t>賣出選擇權</t>
    </r>
    <r>
      <rPr>
        <sz val="12"/>
        <rFont val="Times New Roman"/>
        <family val="1"/>
      </rPr>
      <t>(</t>
    </r>
    <r>
      <rPr>
        <sz val="12"/>
        <rFont val="標楷體"/>
        <family val="4"/>
        <charset val="136"/>
      </rPr>
      <t>含認購《售》權證</t>
    </r>
    <r>
      <rPr>
        <sz val="12"/>
        <rFont val="Times New Roman"/>
        <family val="1"/>
      </rPr>
      <t>)</t>
    </r>
    <phoneticPr fontId="26" type="noConversion"/>
  </si>
  <si>
    <r>
      <t>(7)-(20)</t>
    </r>
    <r>
      <rPr>
        <sz val="12"/>
        <rFont val="標楷體"/>
        <family val="4"/>
        <charset val="136"/>
      </rPr>
      <t>欄</t>
    </r>
    <phoneticPr fontId="29" type="noConversion"/>
  </si>
  <si>
    <r>
      <rPr>
        <sz val="12"/>
        <rFont val="標楷體"/>
        <family val="4"/>
        <charset val="136"/>
      </rPr>
      <t>表</t>
    </r>
    <r>
      <rPr>
        <sz val="12"/>
        <rFont val="Times New Roman"/>
        <family val="1"/>
      </rPr>
      <t>16-2-3</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賣出衍生性商品</t>
    </r>
    <r>
      <rPr>
        <sz val="12"/>
        <rFont val="Times New Roman"/>
        <family val="1"/>
      </rPr>
      <t>)</t>
    </r>
    <phoneticPr fontId="26" type="noConversion"/>
  </si>
  <si>
    <r>
      <rPr>
        <sz val="12"/>
        <rFont val="標楷體"/>
        <family val="4"/>
        <charset val="136"/>
      </rPr>
      <t>表</t>
    </r>
    <r>
      <rPr>
        <sz val="12"/>
        <rFont val="Times New Roman"/>
        <family val="1"/>
      </rPr>
      <t>18</t>
    </r>
    <r>
      <rPr>
        <sz val="12"/>
        <rFont val="標楷體"/>
        <family val="4"/>
        <charset val="136"/>
      </rPr>
      <t>：關係人交易明細表</t>
    </r>
    <phoneticPr fontId="26" type="noConversion"/>
  </si>
  <si>
    <r>
      <rPr>
        <sz val="12"/>
        <rFont val="標楷體"/>
        <family val="4"/>
        <charset val="136"/>
      </rPr>
      <t>表</t>
    </r>
    <r>
      <rPr>
        <sz val="12"/>
        <rFont val="Times New Roman"/>
        <family val="1"/>
      </rPr>
      <t>19-1-2-1</t>
    </r>
    <r>
      <rPr>
        <sz val="12"/>
        <rFont val="標楷體"/>
        <family val="4"/>
        <charset val="136"/>
      </rPr>
      <t>：再保險人交易明細表</t>
    </r>
    <r>
      <rPr>
        <sz val="12"/>
        <rFont val="Times New Roman"/>
        <family val="1"/>
      </rPr>
      <t>(</t>
    </r>
    <r>
      <rPr>
        <sz val="12"/>
        <rFont val="標楷體"/>
        <family val="4"/>
        <charset val="136"/>
      </rPr>
      <t>人身再保險分入</t>
    </r>
    <r>
      <rPr>
        <sz val="12"/>
        <rFont val="Times New Roman"/>
        <family val="1"/>
      </rPr>
      <t>)</t>
    </r>
    <phoneticPr fontId="26" type="noConversion"/>
  </si>
  <si>
    <r>
      <rPr>
        <sz val="12"/>
        <rFont val="標楷體"/>
        <family val="4"/>
        <charset val="136"/>
      </rPr>
      <t>表</t>
    </r>
    <r>
      <rPr>
        <sz val="12"/>
        <rFont val="Times New Roman"/>
        <family val="1"/>
      </rPr>
      <t>19-2-1</t>
    </r>
    <r>
      <rPr>
        <sz val="12"/>
        <rFont val="標楷體"/>
        <family val="4"/>
        <charset val="136"/>
      </rPr>
      <t>：保險經紀人交易明細表</t>
    </r>
    <r>
      <rPr>
        <sz val="12"/>
        <rFont val="Times New Roman"/>
        <family val="1"/>
      </rPr>
      <t>(</t>
    </r>
    <r>
      <rPr>
        <sz val="12"/>
        <rFont val="標楷體"/>
        <family val="4"/>
        <charset val="136"/>
      </rPr>
      <t>財產再保險</t>
    </r>
    <r>
      <rPr>
        <sz val="12"/>
        <rFont val="Times New Roman"/>
        <family val="1"/>
      </rPr>
      <t>)</t>
    </r>
    <phoneticPr fontId="26" type="noConversion"/>
  </si>
  <si>
    <r>
      <t>(6)-(10)</t>
    </r>
    <r>
      <rPr>
        <sz val="12"/>
        <rFont val="標楷體"/>
        <family val="4"/>
        <charset val="136"/>
      </rPr>
      <t>欄</t>
    </r>
    <phoneticPr fontId="26" type="noConversion"/>
  </si>
  <si>
    <r>
      <t>(15)</t>
    </r>
    <r>
      <rPr>
        <sz val="12"/>
        <rFont val="標楷體"/>
        <family val="4"/>
        <charset val="136"/>
      </rPr>
      <t>列</t>
    </r>
    <phoneticPr fontId="29" type="noConversion"/>
  </si>
  <si>
    <r>
      <rPr>
        <sz val="12"/>
        <rFont val="標楷體"/>
        <family val="4"/>
        <charset val="136"/>
      </rPr>
      <t>表</t>
    </r>
    <r>
      <rPr>
        <sz val="12"/>
        <rFont val="Times New Roman"/>
        <family val="1"/>
      </rPr>
      <t>23-1</t>
    </r>
    <r>
      <rPr>
        <sz val="12"/>
        <rFont val="標楷體"/>
        <family val="4"/>
        <charset val="136"/>
      </rPr>
      <t>：未滿期保費準備金及自留滿期保費計算表</t>
    </r>
    <r>
      <rPr>
        <sz val="12"/>
        <rFont val="Times New Roman"/>
        <family val="1"/>
      </rPr>
      <t>(</t>
    </r>
    <r>
      <rPr>
        <sz val="12"/>
        <rFont val="標楷體"/>
        <family val="4"/>
        <charset val="136"/>
      </rPr>
      <t>財產再保險</t>
    </r>
    <r>
      <rPr>
        <sz val="12"/>
        <rFont val="Times New Roman"/>
        <family val="1"/>
      </rPr>
      <t>)</t>
    </r>
    <phoneticPr fontId="26" type="noConversion"/>
  </si>
  <si>
    <r>
      <rPr>
        <sz val="12"/>
        <rFont val="標楷體"/>
        <family val="4"/>
        <charset val="136"/>
      </rPr>
      <t>年</t>
    </r>
    <phoneticPr fontId="29" type="noConversion"/>
  </si>
  <si>
    <r>
      <rPr>
        <sz val="12"/>
        <rFont val="標楷體"/>
        <family val="4"/>
        <charset val="136"/>
      </rPr>
      <t>表</t>
    </r>
    <r>
      <rPr>
        <sz val="12"/>
        <rFont val="Times New Roman"/>
        <family val="1"/>
      </rPr>
      <t>28-1-4</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金融債券、可轉讓定期存單、銀行承兌匯票及金融機構保證商業本票</t>
    </r>
    <phoneticPr fontId="26" type="noConversion"/>
  </si>
  <si>
    <r>
      <rPr>
        <sz val="12"/>
        <rFont val="標楷體"/>
        <family val="4"/>
        <charset val="136"/>
      </rPr>
      <t>表</t>
    </r>
    <r>
      <rPr>
        <sz val="12"/>
        <rFont val="Times New Roman"/>
        <family val="1"/>
      </rPr>
      <t>28-2</t>
    </r>
    <r>
      <rPr>
        <sz val="12"/>
        <rFont val="標楷體"/>
        <family val="4"/>
        <charset val="136"/>
      </rPr>
      <t>：強制汽車責任保險資金運用明細表</t>
    </r>
    <r>
      <rPr>
        <sz val="12"/>
        <rFont val="Times New Roman"/>
        <family val="1"/>
      </rPr>
      <t>-</t>
    </r>
    <r>
      <rPr>
        <sz val="12"/>
        <rFont val="標楷體"/>
        <family val="4"/>
        <charset val="136"/>
      </rPr>
      <t>非特別準備金總表</t>
    </r>
    <phoneticPr fontId="26" type="noConversion"/>
  </si>
  <si>
    <r>
      <rPr>
        <sz val="12"/>
        <rFont val="標楷體"/>
        <family val="4"/>
        <charset val="136"/>
      </rPr>
      <t>表</t>
    </r>
    <r>
      <rPr>
        <sz val="12"/>
        <rFont val="Times New Roman"/>
        <family val="1"/>
      </rPr>
      <t>28-2-1</t>
    </r>
    <r>
      <rPr>
        <sz val="12"/>
        <rFont val="標楷體"/>
        <family val="4"/>
        <charset val="136"/>
      </rPr>
      <t>：強制汽車</t>
    </r>
    <r>
      <rPr>
        <sz val="12"/>
        <rFont val="Times New Roman"/>
        <family val="1"/>
      </rPr>
      <t>(</t>
    </r>
    <r>
      <rPr>
        <sz val="12"/>
        <rFont val="標楷體"/>
        <family val="4"/>
        <charset val="136"/>
      </rPr>
      <t>含汽、機車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活期存款、定期存款</t>
    </r>
    <phoneticPr fontId="26" type="noConversion"/>
  </si>
  <si>
    <r>
      <rPr>
        <sz val="12"/>
        <rFont val="標楷體"/>
        <family val="4"/>
        <charset val="136"/>
      </rPr>
      <t>全部</t>
    </r>
    <phoneticPr fontId="26"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</si>
  <si>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26" type="noConversion"/>
  </si>
  <si>
    <r>
      <rPr>
        <sz val="12"/>
        <rFont val="標楷體"/>
        <family val="4"/>
        <charset val="136"/>
      </rPr>
      <t>表</t>
    </r>
    <r>
      <rPr>
        <sz val="12"/>
        <rFont val="Times New Roman"/>
        <family val="1"/>
      </rPr>
      <t>30-5-2</t>
    </r>
    <r>
      <rPr>
        <sz val="12"/>
        <rFont val="標楷體"/>
        <family val="4"/>
        <charset val="136"/>
      </rPr>
      <t>：超過一年之人身保險業務淨自留危險保額報告表</t>
    </r>
    <phoneticPr fontId="26"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</si>
  <si>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t>
    </r>
    <r>
      <rPr>
        <sz val="12"/>
        <rFont val="Times New Roman"/>
        <family val="1"/>
      </rPr>
      <t>-</t>
    </r>
    <phoneticPr fontId="29" type="noConversion"/>
  </si>
  <si>
    <r>
      <rPr>
        <sz val="12"/>
        <rFont val="標楷體"/>
        <family val="4"/>
        <charset val="136"/>
      </rPr>
      <t>表</t>
    </r>
    <r>
      <rPr>
        <sz val="12"/>
        <rFont val="Times New Roman"/>
        <family val="1"/>
      </rPr>
      <t>30-9</t>
    </r>
    <r>
      <rPr>
        <sz val="12"/>
        <rFont val="標楷體"/>
        <family val="4"/>
        <charset val="136"/>
      </rPr>
      <t>：信用評等資訊調整表</t>
    </r>
    <phoneticPr fontId="29" type="noConversion"/>
  </si>
  <si>
    <r>
      <rPr>
        <sz val="12"/>
        <rFont val="標楷體"/>
        <family val="4"/>
        <charset val="136"/>
      </rPr>
      <t>表</t>
    </r>
    <r>
      <rPr>
        <sz val="12"/>
        <rFont val="Times New Roman"/>
        <family val="1"/>
      </rPr>
      <t>30-10</t>
    </r>
    <r>
      <rPr>
        <sz val="12"/>
        <rFont val="標楷體"/>
        <family val="4"/>
        <charset val="136"/>
      </rPr>
      <t>：資產集中度係數計算表</t>
    </r>
    <phoneticPr fontId="29" type="noConversion"/>
  </si>
  <si>
    <r>
      <rPr>
        <sz val="12"/>
        <rFont val="標楷體"/>
        <family val="4"/>
        <charset val="136"/>
      </rPr>
      <t>表</t>
    </r>
    <r>
      <rPr>
        <sz val="12"/>
        <rFont val="Times New Roman"/>
        <family val="1"/>
      </rPr>
      <t>30-11</t>
    </r>
    <r>
      <rPr>
        <sz val="12"/>
        <rFont val="標楷體"/>
        <family val="4"/>
        <charset val="136"/>
      </rPr>
      <t>：核保風險之損失及業務集中調整係數試算表</t>
    </r>
    <phoneticPr fontId="29" type="noConversion"/>
  </si>
  <si>
    <r>
      <rPr>
        <sz val="12"/>
        <rFont val="標楷體"/>
        <family val="4"/>
        <charset val="136"/>
      </rPr>
      <t>表</t>
    </r>
    <r>
      <rPr>
        <sz val="12"/>
        <rFont val="Times New Roman"/>
        <family val="1"/>
      </rPr>
      <t>30-15</t>
    </r>
    <r>
      <rPr>
        <sz val="12"/>
        <rFont val="標楷體"/>
        <family val="4"/>
        <charset val="136"/>
      </rPr>
      <t>：無評等不動產</t>
    </r>
    <r>
      <rPr>
        <sz val="12"/>
        <rFont val="Times New Roman"/>
        <family val="1"/>
      </rPr>
      <t>(REAT)</t>
    </r>
    <r>
      <rPr>
        <sz val="12"/>
        <rFont val="標楷體"/>
        <family val="4"/>
        <charset val="136"/>
      </rPr>
      <t>及金融資產受益證券</t>
    </r>
    <r>
      <rPr>
        <sz val="12"/>
        <rFont val="Times New Roman"/>
        <family val="1"/>
      </rPr>
      <t>(</t>
    </r>
    <r>
      <rPr>
        <sz val="12"/>
        <rFont val="標楷體"/>
        <family val="4"/>
        <charset val="136"/>
      </rPr>
      <t>含資產基礎證券</t>
    </r>
    <r>
      <rPr>
        <sz val="12"/>
        <rFont val="Times New Roman"/>
        <family val="1"/>
      </rPr>
      <t>)</t>
    </r>
    <r>
      <rPr>
        <sz val="12"/>
        <rFont val="標楷體"/>
        <family val="4"/>
        <charset val="136"/>
      </rPr>
      <t>風險資本額計算表</t>
    </r>
    <phoneticPr fontId="29"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</si>
  <si>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phoneticPr fontId="29" type="noConversion"/>
  </si>
  <si>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phoneticPr fontId="29" type="noConversion"/>
  </si>
  <si>
    <r>
      <rPr>
        <sz val="12"/>
        <rFont val="標楷體"/>
        <family val="4"/>
        <charset val="136"/>
      </rPr>
      <t>所稱異動時需即時申報係指該表內容有異動時</t>
    </r>
    <r>
      <rPr>
        <sz val="12"/>
        <rFont val="Times New Roman"/>
        <family val="1"/>
      </rPr>
      <t>,</t>
    </r>
    <r>
      <rPr>
        <sz val="12"/>
        <rFont val="標楷體"/>
        <family val="4"/>
        <charset val="136"/>
      </rPr>
      <t>應於三日內向財團法人保險事業發展中心傳送電子檔資料</t>
    </r>
    <phoneticPr fontId="29" type="noConversion"/>
  </si>
  <si>
    <r>
      <rPr>
        <sz val="12"/>
        <rFont val="標楷體"/>
        <family val="4"/>
        <charset val="136"/>
      </rPr>
      <t>表</t>
    </r>
    <r>
      <rPr>
        <sz val="12"/>
        <rFont val="Times New Roman"/>
        <family val="1"/>
      </rPr>
      <t>01-4-1</t>
    </r>
    <r>
      <rPr>
        <sz val="12"/>
        <rFont val="標楷體"/>
        <family val="4"/>
        <charset val="136"/>
      </rPr>
      <t>：簽證精算人員意見書應依中華民國精算學會發布之精算意見書範本編製，年報適用。</t>
    </r>
    <phoneticPr fontId="29" type="noConversion"/>
  </si>
  <si>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26" type="noConversion"/>
  </si>
  <si>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rFont val="Times New Roman"/>
        <family val="1"/>
      </rPr>
      <t>108/1/1~108/12/31)</t>
    </r>
    <phoneticPr fontId="26" type="noConversion"/>
  </si>
  <si>
    <r>
      <rPr>
        <b/>
        <sz val="12"/>
        <rFont val="標楷體"/>
        <family val="4"/>
        <charset val="136"/>
      </rPr>
      <t>證劵代號</t>
    </r>
    <phoneticPr fontId="26" type="noConversion"/>
  </si>
  <si>
    <r>
      <rPr>
        <b/>
        <sz val="12"/>
        <rFont val="標楷體"/>
        <family val="4"/>
        <charset val="136"/>
      </rPr>
      <t>證劵名稱</t>
    </r>
    <phoneticPr fontId="26" type="noConversion"/>
  </si>
  <si>
    <r>
      <rPr>
        <b/>
        <sz val="12"/>
        <rFont val="標楷體"/>
        <family val="4"/>
        <charset val="136"/>
      </rPr>
      <t>證劵種類</t>
    </r>
    <phoneticPr fontId="26" type="noConversion"/>
  </si>
  <si>
    <r>
      <rPr>
        <b/>
        <sz val="12"/>
        <rFont val="標楷體"/>
        <family val="4"/>
        <charset val="136"/>
      </rPr>
      <t>持有股數</t>
    </r>
    <r>
      <rPr>
        <b/>
        <sz val="12"/>
        <rFont val="Times New Roman"/>
        <family val="1"/>
      </rPr>
      <t>(</t>
    </r>
    <r>
      <rPr>
        <b/>
        <sz val="12"/>
        <rFont val="標楷體"/>
        <family val="4"/>
        <charset val="136"/>
      </rPr>
      <t>單位數</t>
    </r>
    <r>
      <rPr>
        <b/>
        <sz val="12"/>
        <rFont val="Times New Roman"/>
        <family val="1"/>
      </rPr>
      <t>)</t>
    </r>
    <phoneticPr fontId="26" type="noConversion"/>
  </si>
  <si>
    <r>
      <rPr>
        <b/>
        <sz val="12"/>
        <rFont val="標楷體"/>
        <family val="4"/>
        <charset val="136"/>
      </rPr>
      <t>每股</t>
    </r>
    <r>
      <rPr>
        <b/>
        <sz val="12"/>
        <rFont val="Times New Roman"/>
        <family val="1"/>
      </rPr>
      <t>(</t>
    </r>
    <r>
      <rPr>
        <b/>
        <sz val="12"/>
        <rFont val="標楷體"/>
        <family val="4"/>
        <charset val="136"/>
      </rPr>
      <t>單位</t>
    </r>
    <r>
      <rPr>
        <b/>
        <sz val="12"/>
        <rFont val="Times New Roman"/>
        <family val="1"/>
      </rPr>
      <t>)</t>
    </r>
    <r>
      <rPr>
        <b/>
        <sz val="12"/>
        <rFont val="標楷體"/>
        <family val="4"/>
        <charset val="136"/>
      </rPr>
      <t>市值</t>
    </r>
    <phoneticPr fontId="26" type="noConversion"/>
  </si>
  <si>
    <r>
      <rPr>
        <b/>
        <sz val="12"/>
        <rFont val="標楷體"/>
        <family val="4"/>
        <charset val="136"/>
      </rPr>
      <t xml:space="preserve">總市值
</t>
    </r>
    <r>
      <rPr>
        <b/>
        <sz val="12"/>
        <rFont val="Times New Roman"/>
        <family val="1"/>
      </rPr>
      <t>(</t>
    </r>
    <r>
      <rPr>
        <b/>
        <sz val="12"/>
        <rFont val="標楷體"/>
        <family val="4"/>
        <charset val="136"/>
      </rPr>
      <t>註</t>
    </r>
    <r>
      <rPr>
        <b/>
        <sz val="12"/>
        <rFont val="Times New Roman"/>
        <family val="1"/>
      </rPr>
      <t>)</t>
    </r>
    <phoneticPr fontId="26" type="noConversion"/>
  </si>
  <si>
    <r>
      <rPr>
        <b/>
        <sz val="12"/>
        <rFont val="標楷體"/>
        <family val="4"/>
        <charset val="136"/>
      </rPr>
      <t>公司</t>
    </r>
    <r>
      <rPr>
        <b/>
        <sz val="12"/>
        <rFont val="Times New Roman"/>
        <family val="1"/>
      </rPr>
      <t>beta</t>
    </r>
    <r>
      <rPr>
        <b/>
        <sz val="12"/>
        <rFont val="標楷體"/>
        <family val="4"/>
        <charset val="136"/>
      </rPr>
      <t>值</t>
    </r>
    <phoneticPr fontId="26" type="noConversion"/>
  </si>
  <si>
    <r>
      <rPr>
        <sz val="12"/>
        <rFont val="標楷體"/>
        <family val="4"/>
        <charset val="136"/>
      </rPr>
      <t>上櫃未滿一年</t>
    </r>
  </si>
  <si>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t>
    </r>
    <r>
      <rPr>
        <sz val="12"/>
        <rFont val="Times New Roman"/>
        <family val="1"/>
      </rPr>
      <t>(</t>
    </r>
    <r>
      <rPr>
        <sz val="12"/>
        <rFont val="標楷體"/>
        <family val="4"/>
        <charset val="136"/>
      </rPr>
      <t>月</t>
    </r>
    <r>
      <rPr>
        <sz val="12"/>
        <rFont val="Times New Roman"/>
        <family val="1"/>
      </rPr>
      <t>)</t>
    </r>
    <r>
      <rPr>
        <sz val="12"/>
        <rFont val="標楷體"/>
        <family val="4"/>
        <charset val="136"/>
      </rPr>
      <t>報表</t>
    </r>
    <phoneticPr fontId="26"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</si>
  <si>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r>
      <rPr>
        <sz val="12"/>
        <rFont val="Times New Roman"/>
        <family val="1"/>
      </rPr>
      <t>(</t>
    </r>
    <r>
      <rPr>
        <sz val="12"/>
        <rFont val="標楷體"/>
        <family val="4"/>
        <charset val="136"/>
      </rPr>
      <t>計算期間：</t>
    </r>
    <r>
      <rPr>
        <sz val="12"/>
        <rFont val="Times New Roman"/>
        <family val="1"/>
      </rPr>
      <t>108/1/1~108/12/31)</t>
    </r>
    <phoneticPr fontId="26" type="noConversion"/>
  </si>
  <si>
    <r>
      <rPr>
        <sz val="12"/>
        <rFont val="標楷體"/>
        <family val="4"/>
        <charset val="136"/>
      </rPr>
      <t>元大台灣</t>
    </r>
    <r>
      <rPr>
        <sz val="12"/>
        <rFont val="Times New Roman"/>
        <family val="1"/>
      </rPr>
      <t>50</t>
    </r>
  </si>
  <si>
    <r>
      <rPr>
        <sz val="12"/>
        <rFont val="標楷體"/>
        <family val="4"/>
        <charset val="136"/>
      </rPr>
      <t>元大中型</t>
    </r>
    <r>
      <rPr>
        <sz val="12"/>
        <rFont val="Times New Roman"/>
        <family val="1"/>
      </rPr>
      <t>100</t>
    </r>
  </si>
  <si>
    <r>
      <rPr>
        <sz val="12"/>
        <rFont val="標楷體"/>
        <family val="4"/>
        <charset val="136"/>
      </rPr>
      <t>富邦科技</t>
    </r>
  </si>
  <si>
    <r>
      <rPr>
        <sz val="12"/>
        <rFont val="標楷體"/>
        <family val="4"/>
        <charset val="136"/>
      </rPr>
      <t>元大電子</t>
    </r>
  </si>
  <si>
    <r>
      <t>受益憑證及</t>
    </r>
    <r>
      <rPr>
        <b/>
        <sz val="12"/>
        <rFont val="Times New Roman"/>
        <family val="1"/>
      </rPr>
      <t>ETN</t>
    </r>
    <r>
      <rPr>
        <b/>
        <sz val="12"/>
        <rFont val="標楷體"/>
        <family val="4"/>
        <charset val="136"/>
      </rPr>
      <t>為國內發行但其投資區域包含國外者</t>
    </r>
    <r>
      <rPr>
        <b/>
        <sz val="12"/>
        <rFont val="Times New Roman"/>
        <family val="1"/>
      </rPr>
      <t>(</t>
    </r>
    <r>
      <rPr>
        <b/>
        <sz val="12"/>
        <rFont val="標楷體"/>
        <family val="4"/>
        <charset val="136"/>
      </rPr>
      <t>非關係人</t>
    </r>
    <r>
      <rPr>
        <b/>
        <sz val="12"/>
        <rFont val="Times New Roman"/>
        <family val="1"/>
      </rPr>
      <t>)</t>
    </r>
    <phoneticPr fontId="26" type="noConversion"/>
  </si>
  <si>
    <r>
      <rPr>
        <sz val="12"/>
        <rFont val="標楷體"/>
        <family val="4"/>
        <charset val="136"/>
      </rPr>
      <t>元大台商</t>
    </r>
    <r>
      <rPr>
        <sz val="12"/>
        <rFont val="Times New Roman"/>
        <family val="1"/>
      </rPr>
      <t>50</t>
    </r>
  </si>
  <si>
    <r>
      <rPr>
        <sz val="12"/>
        <rFont val="標楷體"/>
        <family val="4"/>
        <charset val="136"/>
      </rPr>
      <t>元大</t>
    </r>
    <r>
      <rPr>
        <sz val="12"/>
        <rFont val="Times New Roman"/>
        <family val="1"/>
      </rPr>
      <t>MSCI</t>
    </r>
    <r>
      <rPr>
        <sz val="12"/>
        <rFont val="標楷體"/>
        <family val="4"/>
        <charset val="136"/>
      </rPr>
      <t>金融</t>
    </r>
  </si>
  <si>
    <r>
      <rPr>
        <sz val="12"/>
        <rFont val="標楷體"/>
        <family val="4"/>
        <charset val="136"/>
      </rPr>
      <t>元大高股息</t>
    </r>
  </si>
  <si>
    <r>
      <rPr>
        <sz val="12"/>
        <rFont val="標楷體"/>
        <family val="4"/>
        <charset val="136"/>
      </rPr>
      <t>富邦摩台</t>
    </r>
  </si>
  <si>
    <r>
      <rPr>
        <sz val="12"/>
        <rFont val="標楷體"/>
        <family val="4"/>
        <charset val="136"/>
      </rPr>
      <t>元大</t>
    </r>
    <r>
      <rPr>
        <sz val="12"/>
        <rFont val="Times New Roman"/>
        <family val="1"/>
      </rPr>
      <t>MSCI</t>
    </r>
    <r>
      <rPr>
        <sz val="12"/>
        <rFont val="標楷體"/>
        <family val="4"/>
        <charset val="136"/>
      </rPr>
      <t>台灣</t>
    </r>
  </si>
  <si>
    <r>
      <rPr>
        <sz val="12"/>
        <rFont val="標楷體"/>
        <family val="4"/>
        <charset val="136"/>
      </rPr>
      <t>永豐臺灣加權</t>
    </r>
  </si>
  <si>
    <r>
      <rPr>
        <sz val="12"/>
        <rFont val="標楷體"/>
        <family val="4"/>
        <charset val="136"/>
      </rPr>
      <t>富邦台</t>
    </r>
    <r>
      <rPr>
        <sz val="12"/>
        <rFont val="Times New Roman"/>
        <family val="1"/>
      </rPr>
      <t>50</t>
    </r>
  </si>
  <si>
    <r>
      <rPr>
        <sz val="12"/>
        <rFont val="標楷體"/>
        <family val="4"/>
        <charset val="136"/>
      </rPr>
      <t>元大台灣</t>
    </r>
    <r>
      <rPr>
        <sz val="12"/>
        <rFont val="Times New Roman"/>
        <family val="1"/>
      </rPr>
      <t>50</t>
    </r>
    <r>
      <rPr>
        <sz val="12"/>
        <rFont val="標楷體"/>
        <family val="4"/>
        <charset val="136"/>
      </rPr>
      <t>正</t>
    </r>
    <r>
      <rPr>
        <sz val="12"/>
        <rFont val="Times New Roman"/>
        <family val="1"/>
      </rPr>
      <t>2</t>
    </r>
  </si>
  <si>
    <r>
      <rPr>
        <sz val="12"/>
        <rFont val="標楷體"/>
        <family val="4"/>
        <charset val="136"/>
      </rPr>
      <t>元大台灣</t>
    </r>
    <r>
      <rPr>
        <sz val="12"/>
        <rFont val="Times New Roman"/>
        <family val="1"/>
      </rPr>
      <t>50</t>
    </r>
    <r>
      <rPr>
        <sz val="12"/>
        <rFont val="標楷體"/>
        <family val="4"/>
        <charset val="136"/>
      </rPr>
      <t>反</t>
    </r>
    <r>
      <rPr>
        <sz val="12"/>
        <rFont val="Times New Roman"/>
        <family val="1"/>
      </rPr>
      <t>1</t>
    </r>
  </si>
  <si>
    <r>
      <rPr>
        <sz val="12"/>
        <rFont val="標楷體"/>
        <family val="4"/>
        <charset val="136"/>
      </rPr>
      <t>國泰臺灣加權正</t>
    </r>
    <r>
      <rPr>
        <sz val="12"/>
        <rFont val="Times New Roman"/>
        <family val="1"/>
      </rPr>
      <t>2</t>
    </r>
  </si>
  <si>
    <r>
      <rPr>
        <sz val="12"/>
        <rFont val="標楷體"/>
        <family val="4"/>
        <charset val="136"/>
      </rPr>
      <t>國泰臺灣加權反</t>
    </r>
    <r>
      <rPr>
        <sz val="12"/>
        <rFont val="Times New Roman"/>
        <family val="1"/>
      </rPr>
      <t>1</t>
    </r>
  </si>
  <si>
    <r>
      <rPr>
        <sz val="12"/>
        <rFont val="標楷體"/>
        <family val="4"/>
        <charset val="136"/>
      </rPr>
      <t>富邦臺灣加權正</t>
    </r>
    <r>
      <rPr>
        <sz val="12"/>
        <rFont val="Times New Roman"/>
        <family val="1"/>
      </rPr>
      <t>2</t>
    </r>
  </si>
  <si>
    <r>
      <rPr>
        <sz val="12"/>
        <rFont val="標楷體"/>
        <family val="4"/>
        <charset val="136"/>
      </rPr>
      <t>富邦臺灣加權反</t>
    </r>
    <r>
      <rPr>
        <sz val="12"/>
        <rFont val="Times New Roman"/>
        <family val="1"/>
      </rPr>
      <t>1</t>
    </r>
  </si>
  <si>
    <r>
      <rPr>
        <sz val="12"/>
        <rFont val="標楷體"/>
        <family val="4"/>
        <charset val="136"/>
      </rPr>
      <t>群益臺灣加權正</t>
    </r>
    <r>
      <rPr>
        <sz val="12"/>
        <rFont val="Times New Roman"/>
        <family val="1"/>
      </rPr>
      <t>2</t>
    </r>
  </si>
  <si>
    <r>
      <rPr>
        <sz val="12"/>
        <rFont val="標楷體"/>
        <family val="4"/>
        <charset val="136"/>
      </rPr>
      <t>群益臺灣加權反</t>
    </r>
    <r>
      <rPr>
        <sz val="12"/>
        <rFont val="Times New Roman"/>
        <family val="1"/>
      </rPr>
      <t>1</t>
    </r>
  </si>
  <si>
    <r>
      <rPr>
        <sz val="12"/>
        <rFont val="標楷體"/>
        <family val="4"/>
        <charset val="136"/>
      </rPr>
      <t>兆豐藍籌</t>
    </r>
    <r>
      <rPr>
        <sz val="12"/>
        <rFont val="Times New Roman"/>
        <family val="1"/>
      </rPr>
      <t>30</t>
    </r>
  </si>
  <si>
    <t>受益憑證及ETN為國內發行但其投資區域包含國外者(關係人)</t>
    <phoneticPr fontId="26" type="noConversion"/>
  </si>
  <si>
    <r>
      <rPr>
        <sz val="12"/>
        <rFont val="標楷體"/>
        <family val="4"/>
        <charset val="136"/>
      </rPr>
      <t>兆豐藍籌</t>
    </r>
    <r>
      <rPr>
        <sz val="12"/>
        <rFont val="Times New Roman"/>
        <family val="1"/>
      </rPr>
      <t>30</t>
    </r>
    <r>
      <rPr>
        <sz val="12"/>
        <rFont val="標楷體"/>
        <family val="4"/>
        <charset val="136"/>
      </rPr>
      <t>反</t>
    </r>
    <r>
      <rPr>
        <sz val="12"/>
        <rFont val="Times New Roman"/>
        <family val="1"/>
      </rPr>
      <t>1</t>
    </r>
  </si>
  <si>
    <r>
      <rPr>
        <sz val="12"/>
        <rFont val="標楷體"/>
        <family val="4"/>
        <charset val="136"/>
      </rPr>
      <t>富邦公司治理</t>
    </r>
  </si>
  <si>
    <r>
      <rPr>
        <sz val="12"/>
        <rFont val="標楷體"/>
        <family val="4"/>
        <charset val="136"/>
      </rPr>
      <t>國泰股利精選</t>
    </r>
    <r>
      <rPr>
        <sz val="12"/>
        <rFont val="Times New Roman"/>
        <family val="1"/>
      </rPr>
      <t>30</t>
    </r>
  </si>
  <si>
    <r>
      <rPr>
        <sz val="12"/>
        <rFont val="標楷體"/>
        <family val="4"/>
        <charset val="136"/>
      </rPr>
      <t>元大台灣高息低波</t>
    </r>
  </si>
  <si>
    <r>
      <rPr>
        <sz val="12"/>
        <rFont val="標楷體"/>
        <family val="4"/>
        <charset val="136"/>
      </rPr>
      <t>第一金工業</t>
    </r>
    <r>
      <rPr>
        <sz val="12"/>
        <rFont val="Times New Roman"/>
        <family val="1"/>
      </rPr>
      <t>30</t>
    </r>
  </si>
  <si>
    <r>
      <rPr>
        <sz val="12"/>
        <rFont val="標楷體"/>
        <family val="4"/>
        <charset val="136"/>
      </rPr>
      <t>富邦臺灣優質高息</t>
    </r>
  </si>
  <si>
    <r>
      <t>FH</t>
    </r>
    <r>
      <rPr>
        <sz val="12"/>
        <rFont val="標楷體"/>
        <family val="4"/>
        <charset val="136"/>
      </rPr>
      <t>富時高息低波</t>
    </r>
  </si>
  <si>
    <r>
      <rPr>
        <sz val="12"/>
        <rFont val="標楷體"/>
        <family val="4"/>
        <charset val="136"/>
      </rPr>
      <t>富邦臺灣中小</t>
    </r>
  </si>
  <si>
    <r>
      <rPr>
        <sz val="12"/>
        <rFont val="標楷體"/>
        <family val="4"/>
        <charset val="136"/>
      </rPr>
      <t>新光內需收益</t>
    </r>
  </si>
  <si>
    <r>
      <rPr>
        <sz val="12"/>
        <rFont val="標楷體"/>
        <family val="4"/>
        <charset val="136"/>
      </rPr>
      <t>元大臺灣</t>
    </r>
    <r>
      <rPr>
        <sz val="12"/>
        <rFont val="Times New Roman"/>
        <family val="1"/>
      </rPr>
      <t>ESG</t>
    </r>
    <r>
      <rPr>
        <sz val="12"/>
        <rFont val="標楷體"/>
        <family val="4"/>
        <charset val="136"/>
      </rPr>
      <t>永續</t>
    </r>
  </si>
  <si>
    <r>
      <rPr>
        <sz val="12"/>
        <rFont val="標楷體"/>
        <family val="4"/>
        <charset val="136"/>
      </rPr>
      <t>成立未滿一年</t>
    </r>
    <r>
      <rPr>
        <sz val="12"/>
        <rFont val="Times New Roman"/>
        <family val="1"/>
      </rPr>
      <t>,</t>
    </r>
    <r>
      <rPr>
        <sz val="12"/>
        <rFont val="標楷體"/>
        <family val="4"/>
        <charset val="136"/>
      </rPr>
      <t>以中華民國投信投顧公會</t>
    </r>
    <r>
      <rPr>
        <sz val="12"/>
        <rFont val="Times New Roman"/>
        <family val="1"/>
      </rPr>
      <t>108</t>
    </r>
    <r>
      <rPr>
        <sz val="12"/>
        <rFont val="標楷體"/>
        <family val="4"/>
        <charset val="136"/>
      </rPr>
      <t>年</t>
    </r>
    <r>
      <rPr>
        <sz val="12"/>
        <rFont val="Times New Roman"/>
        <family val="1"/>
      </rPr>
      <t>12</t>
    </r>
    <r>
      <rPr>
        <sz val="12"/>
        <rFont val="標楷體"/>
        <family val="4"/>
        <charset val="136"/>
      </rPr>
      <t>月公佈之基金績效評比所有股票型基金</t>
    </r>
    <r>
      <rPr>
        <sz val="12"/>
        <rFont val="Times New Roman"/>
        <family val="1"/>
      </rPr>
      <t>/</t>
    </r>
    <r>
      <rPr>
        <sz val="12"/>
        <rFont val="標楷體"/>
        <family val="4"/>
        <charset val="136"/>
      </rPr>
      <t>投資國內</t>
    </r>
    <r>
      <rPr>
        <sz val="12"/>
        <rFont val="Times New Roman"/>
        <family val="1"/>
      </rPr>
      <t>/</t>
    </r>
    <r>
      <rPr>
        <sz val="12"/>
        <rFont val="標楷體"/>
        <family val="4"/>
        <charset val="136"/>
      </rPr>
      <t>一般股票型平均</t>
    </r>
    <r>
      <rPr>
        <sz val="12"/>
        <rFont val="Times New Roman"/>
        <family val="1"/>
      </rPr>
      <t>beta</t>
    </r>
    <r>
      <rPr>
        <sz val="12"/>
        <rFont val="標楷體"/>
        <family val="4"/>
        <charset val="136"/>
      </rPr>
      <t>值</t>
    </r>
    <r>
      <rPr>
        <sz val="12"/>
        <rFont val="Times New Roman"/>
        <family val="1"/>
      </rPr>
      <t>(12</t>
    </r>
    <r>
      <rPr>
        <sz val="12"/>
        <rFont val="標楷體"/>
        <family val="4"/>
        <charset val="136"/>
      </rPr>
      <t>個月</t>
    </r>
    <r>
      <rPr>
        <sz val="12"/>
        <rFont val="Times New Roman"/>
        <family val="1"/>
      </rPr>
      <t>)</t>
    </r>
    <r>
      <rPr>
        <sz val="12"/>
        <rFont val="標楷體"/>
        <family val="4"/>
        <charset val="136"/>
      </rPr>
      <t>代替</t>
    </r>
  </si>
  <si>
    <r>
      <rPr>
        <sz val="12"/>
        <rFont val="標楷體"/>
        <family val="4"/>
        <charset val="136"/>
      </rPr>
      <t>台泥</t>
    </r>
  </si>
  <si>
    <r>
      <rPr>
        <sz val="12"/>
        <rFont val="標楷體"/>
        <family val="4"/>
        <charset val="136"/>
      </rPr>
      <t>亞泥</t>
    </r>
  </si>
  <si>
    <r>
      <rPr>
        <sz val="12"/>
        <rFont val="標楷體"/>
        <family val="4"/>
        <charset val="136"/>
      </rPr>
      <t>嘉泥</t>
    </r>
  </si>
  <si>
    <r>
      <rPr>
        <sz val="12"/>
        <rFont val="標楷體"/>
        <family val="4"/>
        <charset val="136"/>
      </rPr>
      <t>環泥</t>
    </r>
  </si>
  <si>
    <r>
      <rPr>
        <sz val="12"/>
        <rFont val="標楷體"/>
        <family val="4"/>
        <charset val="136"/>
      </rPr>
      <t>幸福</t>
    </r>
  </si>
  <si>
    <r>
      <rPr>
        <sz val="12"/>
        <rFont val="標楷體"/>
        <family val="4"/>
        <charset val="136"/>
      </rPr>
      <t>信大</t>
    </r>
  </si>
  <si>
    <r>
      <rPr>
        <sz val="12"/>
        <rFont val="標楷體"/>
        <family val="4"/>
        <charset val="136"/>
      </rPr>
      <t>東泥</t>
    </r>
  </si>
  <si>
    <r>
      <rPr>
        <sz val="12"/>
        <rFont val="標楷體"/>
        <family val="4"/>
        <charset val="136"/>
      </rPr>
      <t>味全</t>
    </r>
  </si>
  <si>
    <r>
      <rPr>
        <sz val="12"/>
        <rFont val="標楷體"/>
        <family val="4"/>
        <charset val="136"/>
      </rPr>
      <t>味王</t>
    </r>
  </si>
  <si>
    <r>
      <rPr>
        <sz val="12"/>
        <rFont val="標楷體"/>
        <family val="4"/>
        <charset val="136"/>
      </rPr>
      <t>大成</t>
    </r>
  </si>
  <si>
    <r>
      <rPr>
        <sz val="12"/>
        <rFont val="標楷體"/>
        <family val="4"/>
        <charset val="136"/>
      </rPr>
      <t>大飲</t>
    </r>
  </si>
  <si>
    <r>
      <rPr>
        <sz val="12"/>
        <rFont val="標楷體"/>
        <family val="4"/>
        <charset val="136"/>
      </rPr>
      <t>卜蜂</t>
    </r>
  </si>
  <si>
    <r>
      <rPr>
        <sz val="12"/>
        <rFont val="標楷體"/>
        <family val="4"/>
        <charset val="136"/>
      </rPr>
      <t>統一</t>
    </r>
  </si>
  <si>
    <r>
      <rPr>
        <sz val="12"/>
        <rFont val="標楷體"/>
        <family val="4"/>
        <charset val="136"/>
      </rPr>
      <t>愛之味</t>
    </r>
  </si>
  <si>
    <r>
      <rPr>
        <sz val="12"/>
        <rFont val="標楷體"/>
        <family val="4"/>
        <charset val="136"/>
      </rPr>
      <t>泰山</t>
    </r>
  </si>
  <si>
    <r>
      <rPr>
        <sz val="12"/>
        <rFont val="標楷體"/>
        <family val="4"/>
        <charset val="136"/>
      </rPr>
      <t>福壽</t>
    </r>
  </si>
  <si>
    <r>
      <rPr>
        <sz val="12"/>
        <rFont val="標楷體"/>
        <family val="4"/>
        <charset val="136"/>
      </rPr>
      <t>台榮</t>
    </r>
  </si>
  <si>
    <r>
      <rPr>
        <sz val="12"/>
        <rFont val="標楷體"/>
        <family val="4"/>
        <charset val="136"/>
      </rPr>
      <t>福懋油</t>
    </r>
  </si>
  <si>
    <r>
      <rPr>
        <sz val="12"/>
        <rFont val="標楷體"/>
        <family val="4"/>
        <charset val="136"/>
      </rPr>
      <t>佳格</t>
    </r>
  </si>
  <si>
    <r>
      <rPr>
        <sz val="12"/>
        <rFont val="標楷體"/>
        <family val="4"/>
        <charset val="136"/>
      </rPr>
      <t>聯華投控</t>
    </r>
  </si>
  <si>
    <r>
      <rPr>
        <sz val="12"/>
        <rFont val="標楷體"/>
        <family val="4"/>
        <charset val="136"/>
      </rPr>
      <t>聯華食</t>
    </r>
  </si>
  <si>
    <r>
      <rPr>
        <sz val="12"/>
        <rFont val="標楷體"/>
        <family val="4"/>
        <charset val="136"/>
      </rPr>
      <t>大統益</t>
    </r>
  </si>
  <si>
    <r>
      <rPr>
        <sz val="12"/>
        <rFont val="標楷體"/>
        <family val="4"/>
        <charset val="136"/>
      </rPr>
      <t>天仁</t>
    </r>
  </si>
  <si>
    <r>
      <rPr>
        <sz val="12"/>
        <rFont val="標楷體"/>
        <family val="4"/>
        <charset val="136"/>
      </rPr>
      <t>黑松</t>
    </r>
  </si>
  <si>
    <r>
      <rPr>
        <sz val="12"/>
        <rFont val="標楷體"/>
        <family val="4"/>
        <charset val="136"/>
      </rPr>
      <t>興泰</t>
    </r>
  </si>
  <si>
    <r>
      <rPr>
        <sz val="12"/>
        <rFont val="標楷體"/>
        <family val="4"/>
        <charset val="136"/>
      </rPr>
      <t>宏亞</t>
    </r>
  </si>
  <si>
    <r>
      <rPr>
        <sz val="12"/>
        <rFont val="標楷體"/>
        <family val="4"/>
        <charset val="136"/>
      </rPr>
      <t>鮮活果汁</t>
    </r>
    <r>
      <rPr>
        <sz val="12"/>
        <rFont val="Times New Roman"/>
        <family val="1"/>
      </rPr>
      <t>-KY</t>
    </r>
  </si>
  <si>
    <r>
      <rPr>
        <sz val="12"/>
        <rFont val="標楷體"/>
        <family val="4"/>
        <charset val="136"/>
      </rPr>
      <t>台塑</t>
    </r>
  </si>
  <si>
    <r>
      <rPr>
        <sz val="12"/>
        <rFont val="標楷體"/>
        <family val="4"/>
        <charset val="136"/>
      </rPr>
      <t>南亞</t>
    </r>
  </si>
  <si>
    <r>
      <rPr>
        <sz val="12"/>
        <rFont val="標楷體"/>
        <family val="4"/>
        <charset val="136"/>
      </rPr>
      <t>台聚</t>
    </r>
  </si>
  <si>
    <r>
      <rPr>
        <sz val="12"/>
        <rFont val="標楷體"/>
        <family val="4"/>
        <charset val="136"/>
      </rPr>
      <t>華夏</t>
    </r>
  </si>
  <si>
    <r>
      <rPr>
        <sz val="12"/>
        <rFont val="標楷體"/>
        <family val="4"/>
        <charset val="136"/>
      </rPr>
      <t>三芳</t>
    </r>
  </si>
  <si>
    <r>
      <rPr>
        <sz val="12"/>
        <rFont val="標楷體"/>
        <family val="4"/>
        <charset val="136"/>
      </rPr>
      <t>亞聚</t>
    </r>
  </si>
  <si>
    <r>
      <rPr>
        <sz val="12"/>
        <rFont val="標楷體"/>
        <family val="4"/>
        <charset val="136"/>
      </rPr>
      <t>台達化</t>
    </r>
  </si>
  <si>
    <r>
      <rPr>
        <sz val="12"/>
        <rFont val="標楷體"/>
        <family val="4"/>
        <charset val="136"/>
      </rPr>
      <t>台苯</t>
    </r>
  </si>
  <si>
    <r>
      <rPr>
        <sz val="12"/>
        <rFont val="標楷體"/>
        <family val="4"/>
        <charset val="136"/>
      </rPr>
      <t>國喬</t>
    </r>
  </si>
  <si>
    <r>
      <rPr>
        <sz val="12"/>
        <rFont val="標楷體"/>
        <family val="4"/>
        <charset val="136"/>
      </rPr>
      <t>聯成</t>
    </r>
  </si>
  <si>
    <r>
      <rPr>
        <sz val="12"/>
        <rFont val="標楷體"/>
        <family val="4"/>
        <charset val="136"/>
      </rPr>
      <t>中石化</t>
    </r>
  </si>
  <si>
    <r>
      <rPr>
        <sz val="12"/>
        <rFont val="標楷體"/>
        <family val="4"/>
        <charset val="136"/>
      </rPr>
      <t>達新</t>
    </r>
  </si>
  <si>
    <r>
      <rPr>
        <sz val="12"/>
        <rFont val="標楷體"/>
        <family val="4"/>
        <charset val="136"/>
      </rPr>
      <t>上曜</t>
    </r>
  </si>
  <si>
    <r>
      <rPr>
        <sz val="12"/>
        <rFont val="標楷體"/>
        <family val="4"/>
        <charset val="136"/>
      </rPr>
      <t>東陽</t>
    </r>
  </si>
  <si>
    <r>
      <rPr>
        <sz val="12"/>
        <rFont val="標楷體"/>
        <family val="4"/>
        <charset val="136"/>
      </rPr>
      <t>大洋</t>
    </r>
  </si>
  <si>
    <r>
      <rPr>
        <sz val="12"/>
        <rFont val="標楷體"/>
        <family val="4"/>
        <charset val="136"/>
      </rPr>
      <t>永裕</t>
    </r>
  </si>
  <si>
    <r>
      <rPr>
        <sz val="12"/>
        <rFont val="標楷體"/>
        <family val="4"/>
        <charset val="136"/>
      </rPr>
      <t>地球</t>
    </r>
  </si>
  <si>
    <r>
      <rPr>
        <sz val="12"/>
        <rFont val="標楷體"/>
        <family val="4"/>
        <charset val="136"/>
      </rPr>
      <t>恒大</t>
    </r>
  </si>
  <si>
    <r>
      <rPr>
        <sz val="12"/>
        <rFont val="標楷體"/>
        <family val="4"/>
        <charset val="136"/>
      </rPr>
      <t>台化</t>
    </r>
  </si>
  <si>
    <r>
      <rPr>
        <sz val="12"/>
        <rFont val="標楷體"/>
        <family val="4"/>
        <charset val="136"/>
      </rPr>
      <t>再生</t>
    </r>
    <r>
      <rPr>
        <sz val="12"/>
        <rFont val="Times New Roman"/>
        <family val="1"/>
      </rPr>
      <t>-KY</t>
    </r>
  </si>
  <si>
    <r>
      <rPr>
        <sz val="12"/>
        <rFont val="標楷體"/>
        <family val="4"/>
        <charset val="136"/>
      </rPr>
      <t>廣華</t>
    </r>
    <r>
      <rPr>
        <sz val="12"/>
        <rFont val="Times New Roman"/>
        <family val="1"/>
      </rPr>
      <t>-KY</t>
    </r>
  </si>
  <si>
    <r>
      <rPr>
        <sz val="12"/>
        <rFont val="標楷體"/>
        <family val="4"/>
        <charset val="136"/>
      </rPr>
      <t>昭輝</t>
    </r>
  </si>
  <si>
    <r>
      <rPr>
        <sz val="12"/>
        <rFont val="標楷體"/>
        <family val="4"/>
        <charset val="136"/>
      </rPr>
      <t>勝悅</t>
    </r>
    <r>
      <rPr>
        <sz val="12"/>
        <rFont val="Times New Roman"/>
        <family val="1"/>
      </rPr>
      <t>-KY</t>
    </r>
  </si>
  <si>
    <r>
      <rPr>
        <sz val="12"/>
        <rFont val="標楷體"/>
        <family val="4"/>
        <charset val="136"/>
      </rPr>
      <t>富林</t>
    </r>
    <r>
      <rPr>
        <sz val="12"/>
        <rFont val="Times New Roman"/>
        <family val="1"/>
      </rPr>
      <t>-KY</t>
    </r>
  </si>
  <si>
    <r>
      <rPr>
        <sz val="12"/>
        <rFont val="標楷體"/>
        <family val="4"/>
        <charset val="136"/>
      </rPr>
      <t>遠東新</t>
    </r>
  </si>
  <si>
    <r>
      <rPr>
        <sz val="12"/>
        <rFont val="標楷體"/>
        <family val="4"/>
        <charset val="136"/>
      </rPr>
      <t>新纖</t>
    </r>
  </si>
  <si>
    <r>
      <rPr>
        <sz val="12"/>
        <rFont val="標楷體"/>
        <family val="4"/>
        <charset val="136"/>
      </rPr>
      <t>南染</t>
    </r>
  </si>
  <si>
    <r>
      <rPr>
        <sz val="12"/>
        <rFont val="標楷體"/>
        <family val="4"/>
        <charset val="136"/>
      </rPr>
      <t>宏洲</t>
    </r>
  </si>
  <si>
    <r>
      <rPr>
        <sz val="12"/>
        <rFont val="標楷體"/>
        <family val="4"/>
        <charset val="136"/>
      </rPr>
      <t>東和</t>
    </r>
  </si>
  <si>
    <r>
      <rPr>
        <sz val="12"/>
        <rFont val="標楷體"/>
        <family val="4"/>
        <charset val="136"/>
      </rPr>
      <t>廣豐</t>
    </r>
  </si>
  <si>
    <r>
      <rPr>
        <sz val="12"/>
        <rFont val="標楷體"/>
        <family val="4"/>
        <charset val="136"/>
      </rPr>
      <t>嘉裕</t>
    </r>
  </si>
  <si>
    <r>
      <rPr>
        <sz val="12"/>
        <rFont val="標楷體"/>
        <family val="4"/>
        <charset val="136"/>
      </rPr>
      <t>東華</t>
    </r>
  </si>
  <si>
    <r>
      <rPr>
        <sz val="12"/>
        <rFont val="標楷體"/>
        <family val="4"/>
        <charset val="136"/>
      </rPr>
      <t>新紡</t>
    </r>
  </si>
  <si>
    <r>
      <rPr>
        <sz val="12"/>
        <rFont val="標楷體"/>
        <family val="4"/>
        <charset val="136"/>
      </rPr>
      <t>利華</t>
    </r>
  </si>
  <si>
    <r>
      <rPr>
        <sz val="12"/>
        <rFont val="標楷體"/>
        <family val="4"/>
        <charset val="136"/>
      </rPr>
      <t>大魯閣</t>
    </r>
  </si>
  <si>
    <r>
      <rPr>
        <sz val="12"/>
        <rFont val="標楷體"/>
        <family val="4"/>
        <charset val="136"/>
      </rPr>
      <t>福懋</t>
    </r>
  </si>
  <si>
    <r>
      <rPr>
        <sz val="12"/>
        <rFont val="標楷體"/>
        <family val="4"/>
        <charset val="136"/>
      </rPr>
      <t>中福</t>
    </r>
  </si>
  <si>
    <r>
      <rPr>
        <sz val="12"/>
        <rFont val="標楷體"/>
        <family val="4"/>
        <charset val="136"/>
      </rPr>
      <t>華友聯</t>
    </r>
  </si>
  <si>
    <r>
      <rPr>
        <sz val="12"/>
        <rFont val="標楷體"/>
        <family val="4"/>
        <charset val="136"/>
      </rPr>
      <t>勤益控</t>
    </r>
  </si>
  <si>
    <r>
      <rPr>
        <sz val="12"/>
        <rFont val="標楷體"/>
        <family val="4"/>
        <charset val="136"/>
      </rPr>
      <t>裕豐</t>
    </r>
  </si>
  <si>
    <r>
      <rPr>
        <sz val="12"/>
        <rFont val="標楷體"/>
        <family val="4"/>
        <charset val="136"/>
      </rPr>
      <t>中和</t>
    </r>
  </si>
  <si>
    <r>
      <rPr>
        <sz val="12"/>
        <rFont val="標楷體"/>
        <family val="4"/>
        <charset val="136"/>
      </rPr>
      <t>南紡</t>
    </r>
  </si>
  <si>
    <r>
      <rPr>
        <sz val="12"/>
        <rFont val="標楷體"/>
        <family val="4"/>
        <charset val="136"/>
      </rPr>
      <t>大東</t>
    </r>
  </si>
  <si>
    <r>
      <rPr>
        <sz val="12"/>
        <rFont val="標楷體"/>
        <family val="4"/>
        <charset val="136"/>
      </rPr>
      <t>名軒</t>
    </r>
  </si>
  <si>
    <r>
      <rPr>
        <sz val="12"/>
        <rFont val="標楷體"/>
        <family val="4"/>
        <charset val="136"/>
      </rPr>
      <t>立益</t>
    </r>
  </si>
  <si>
    <r>
      <rPr>
        <sz val="12"/>
        <rFont val="標楷體"/>
        <family val="4"/>
        <charset val="136"/>
      </rPr>
      <t>力麗</t>
    </r>
  </si>
  <si>
    <r>
      <rPr>
        <sz val="12"/>
        <rFont val="標楷體"/>
        <family val="4"/>
        <charset val="136"/>
      </rPr>
      <t>大宇</t>
    </r>
  </si>
  <si>
    <r>
      <rPr>
        <sz val="12"/>
        <rFont val="標楷體"/>
        <family val="4"/>
        <charset val="136"/>
      </rPr>
      <t>宏和</t>
    </r>
  </si>
  <si>
    <r>
      <rPr>
        <sz val="12"/>
        <rFont val="標楷體"/>
        <family val="4"/>
        <charset val="136"/>
      </rPr>
      <t>力鵬</t>
    </r>
  </si>
  <si>
    <r>
      <rPr>
        <sz val="12"/>
        <rFont val="標楷體"/>
        <family val="4"/>
        <charset val="136"/>
      </rPr>
      <t>佳和</t>
    </r>
  </si>
  <si>
    <r>
      <rPr>
        <sz val="12"/>
        <rFont val="標楷體"/>
        <family val="4"/>
        <charset val="136"/>
      </rPr>
      <t>年興</t>
    </r>
  </si>
  <si>
    <r>
      <rPr>
        <sz val="12"/>
        <rFont val="標楷體"/>
        <family val="4"/>
        <charset val="136"/>
      </rPr>
      <t>宏益</t>
    </r>
  </si>
  <si>
    <r>
      <rPr>
        <sz val="12"/>
        <rFont val="標楷體"/>
        <family val="4"/>
        <charset val="136"/>
      </rPr>
      <t>大將</t>
    </r>
  </si>
  <si>
    <r>
      <rPr>
        <sz val="12"/>
        <rFont val="標楷體"/>
        <family val="4"/>
        <charset val="136"/>
      </rPr>
      <t>台富</t>
    </r>
  </si>
  <si>
    <r>
      <rPr>
        <sz val="12"/>
        <rFont val="標楷體"/>
        <family val="4"/>
        <charset val="136"/>
      </rPr>
      <t>集盛</t>
    </r>
  </si>
  <si>
    <r>
      <rPr>
        <sz val="12"/>
        <rFont val="標楷體"/>
        <family val="4"/>
        <charset val="136"/>
      </rPr>
      <t>怡華</t>
    </r>
  </si>
  <si>
    <r>
      <rPr>
        <sz val="12"/>
        <rFont val="標楷體"/>
        <family val="4"/>
        <charset val="136"/>
      </rPr>
      <t>宜進</t>
    </r>
  </si>
  <si>
    <r>
      <rPr>
        <sz val="12"/>
        <rFont val="標楷體"/>
        <family val="4"/>
        <charset val="136"/>
      </rPr>
      <t>聯發</t>
    </r>
  </si>
  <si>
    <r>
      <rPr>
        <sz val="12"/>
        <rFont val="標楷體"/>
        <family val="4"/>
        <charset val="136"/>
      </rPr>
      <t>宏遠</t>
    </r>
  </si>
  <si>
    <r>
      <rPr>
        <sz val="12"/>
        <rFont val="標楷體"/>
        <family val="4"/>
        <charset val="136"/>
      </rPr>
      <t>強盛</t>
    </r>
  </si>
  <si>
    <r>
      <rPr>
        <sz val="12"/>
        <rFont val="標楷體"/>
        <family val="4"/>
        <charset val="136"/>
      </rPr>
      <t>得力</t>
    </r>
  </si>
  <si>
    <r>
      <rPr>
        <sz val="12"/>
        <rFont val="標楷體"/>
        <family val="4"/>
        <charset val="136"/>
      </rPr>
      <t>偉全</t>
    </r>
  </si>
  <si>
    <r>
      <rPr>
        <sz val="12"/>
        <rFont val="標楷體"/>
        <family val="4"/>
        <charset val="136"/>
      </rPr>
      <t>聚隆</t>
    </r>
  </si>
  <si>
    <r>
      <rPr>
        <sz val="12"/>
        <rFont val="標楷體"/>
        <family val="4"/>
        <charset val="136"/>
      </rPr>
      <t>南緯</t>
    </r>
  </si>
  <si>
    <r>
      <rPr>
        <sz val="12"/>
        <rFont val="標楷體"/>
        <family val="4"/>
        <charset val="136"/>
      </rPr>
      <t>昶和</t>
    </r>
  </si>
  <si>
    <r>
      <rPr>
        <sz val="12"/>
        <rFont val="標楷體"/>
        <family val="4"/>
        <charset val="136"/>
      </rPr>
      <t>大統新創</t>
    </r>
  </si>
  <si>
    <r>
      <rPr>
        <sz val="12"/>
        <rFont val="標楷體"/>
        <family val="4"/>
        <charset val="136"/>
      </rPr>
      <t>首利</t>
    </r>
  </si>
  <si>
    <r>
      <rPr>
        <sz val="12"/>
        <rFont val="標楷體"/>
        <family val="4"/>
        <charset val="136"/>
      </rPr>
      <t>三洋紡</t>
    </r>
  </si>
  <si>
    <r>
      <rPr>
        <sz val="12"/>
        <rFont val="標楷體"/>
        <family val="4"/>
        <charset val="136"/>
      </rPr>
      <t>台南</t>
    </r>
  </si>
  <si>
    <r>
      <rPr>
        <sz val="12"/>
        <rFont val="標楷體"/>
        <family val="4"/>
        <charset val="136"/>
      </rPr>
      <t>弘裕</t>
    </r>
  </si>
  <si>
    <r>
      <rPr>
        <sz val="12"/>
        <rFont val="標楷體"/>
        <family val="4"/>
        <charset val="136"/>
      </rPr>
      <t>本盟</t>
    </r>
  </si>
  <si>
    <r>
      <rPr>
        <sz val="12"/>
        <rFont val="標楷體"/>
        <family val="4"/>
        <charset val="136"/>
      </rPr>
      <t>儒鴻</t>
    </r>
  </si>
  <si>
    <r>
      <rPr>
        <sz val="12"/>
        <rFont val="標楷體"/>
        <family val="4"/>
        <charset val="136"/>
      </rPr>
      <t>聚陽</t>
    </r>
  </si>
  <si>
    <r>
      <rPr>
        <sz val="12"/>
        <rFont val="標楷體"/>
        <family val="4"/>
        <charset val="136"/>
      </rPr>
      <t>士電</t>
    </r>
  </si>
  <si>
    <r>
      <rPr>
        <sz val="12"/>
        <rFont val="標楷體"/>
        <family val="4"/>
        <charset val="136"/>
      </rPr>
      <t>東元</t>
    </r>
  </si>
  <si>
    <r>
      <rPr>
        <sz val="12"/>
        <rFont val="標楷體"/>
        <family val="4"/>
        <charset val="136"/>
      </rPr>
      <t>正道</t>
    </r>
  </si>
  <si>
    <r>
      <rPr>
        <sz val="12"/>
        <rFont val="標楷體"/>
        <family val="4"/>
        <charset val="136"/>
      </rPr>
      <t>永大</t>
    </r>
  </si>
  <si>
    <r>
      <rPr>
        <sz val="12"/>
        <rFont val="標楷體"/>
        <family val="4"/>
        <charset val="136"/>
      </rPr>
      <t>瑞利</t>
    </r>
  </si>
  <si>
    <r>
      <rPr>
        <sz val="12"/>
        <rFont val="標楷體"/>
        <family val="4"/>
        <charset val="136"/>
      </rPr>
      <t>中興電</t>
    </r>
  </si>
  <si>
    <r>
      <rPr>
        <sz val="12"/>
        <rFont val="標楷體"/>
        <family val="4"/>
        <charset val="136"/>
      </rPr>
      <t>亞力</t>
    </r>
  </si>
  <si>
    <r>
      <rPr>
        <sz val="12"/>
        <rFont val="標楷體"/>
        <family val="4"/>
        <charset val="136"/>
      </rPr>
      <t>力山</t>
    </r>
  </si>
  <si>
    <r>
      <rPr>
        <sz val="12"/>
        <rFont val="標楷體"/>
        <family val="4"/>
        <charset val="136"/>
      </rPr>
      <t>川飛</t>
    </r>
  </si>
  <si>
    <r>
      <rPr>
        <sz val="12"/>
        <rFont val="標楷體"/>
        <family val="4"/>
        <charset val="136"/>
      </rPr>
      <t>利奇</t>
    </r>
  </si>
  <si>
    <r>
      <rPr>
        <sz val="12"/>
        <rFont val="標楷體"/>
        <family val="4"/>
        <charset val="136"/>
      </rPr>
      <t>華城</t>
    </r>
  </si>
  <si>
    <r>
      <rPr>
        <sz val="12"/>
        <rFont val="標楷體"/>
        <family val="4"/>
        <charset val="136"/>
      </rPr>
      <t>大億</t>
    </r>
  </si>
  <si>
    <r>
      <rPr>
        <sz val="12"/>
        <rFont val="標楷體"/>
        <family val="4"/>
        <charset val="136"/>
      </rPr>
      <t>堤維西</t>
    </r>
  </si>
  <si>
    <r>
      <rPr>
        <sz val="12"/>
        <rFont val="標楷體"/>
        <family val="4"/>
        <charset val="136"/>
      </rPr>
      <t>耿鼎</t>
    </r>
  </si>
  <si>
    <r>
      <rPr>
        <sz val="12"/>
        <rFont val="標楷體"/>
        <family val="4"/>
        <charset val="136"/>
      </rPr>
      <t>江申</t>
    </r>
  </si>
  <si>
    <r>
      <rPr>
        <sz val="12"/>
        <rFont val="標楷體"/>
        <family val="4"/>
        <charset val="136"/>
      </rPr>
      <t>日馳</t>
    </r>
  </si>
  <si>
    <r>
      <rPr>
        <sz val="12"/>
        <rFont val="標楷體"/>
        <family val="4"/>
        <charset val="136"/>
      </rPr>
      <t>鑽全</t>
    </r>
  </si>
  <si>
    <r>
      <rPr>
        <sz val="12"/>
        <rFont val="標楷體"/>
        <family val="4"/>
        <charset val="136"/>
      </rPr>
      <t>恩德</t>
    </r>
  </si>
  <si>
    <r>
      <rPr>
        <sz val="12"/>
        <rFont val="標楷體"/>
        <family val="4"/>
        <charset val="136"/>
      </rPr>
      <t>樂士</t>
    </r>
  </si>
  <si>
    <r>
      <rPr>
        <sz val="12"/>
        <rFont val="標楷體"/>
        <family val="4"/>
        <charset val="136"/>
      </rPr>
      <t>亞崴</t>
    </r>
  </si>
  <si>
    <r>
      <rPr>
        <sz val="12"/>
        <rFont val="標楷體"/>
        <family val="4"/>
        <charset val="136"/>
      </rPr>
      <t>高林股</t>
    </r>
  </si>
  <si>
    <r>
      <rPr>
        <sz val="12"/>
        <rFont val="標楷體"/>
        <family val="4"/>
        <charset val="136"/>
      </rPr>
      <t>勤美</t>
    </r>
  </si>
  <si>
    <r>
      <rPr>
        <sz val="12"/>
        <rFont val="標楷體"/>
        <family val="4"/>
        <charset val="136"/>
      </rPr>
      <t>車王電</t>
    </r>
  </si>
  <si>
    <r>
      <rPr>
        <sz val="12"/>
        <rFont val="標楷體"/>
        <family val="4"/>
        <charset val="136"/>
      </rPr>
      <t>中宇</t>
    </r>
  </si>
  <si>
    <r>
      <rPr>
        <sz val="12"/>
        <rFont val="標楷體"/>
        <family val="4"/>
        <charset val="136"/>
      </rPr>
      <t>和大</t>
    </r>
  </si>
  <si>
    <r>
      <rPr>
        <sz val="12"/>
        <rFont val="標楷體"/>
        <family val="4"/>
        <charset val="136"/>
      </rPr>
      <t>廣隆</t>
    </r>
  </si>
  <si>
    <r>
      <rPr>
        <sz val="12"/>
        <rFont val="標楷體"/>
        <family val="4"/>
        <charset val="136"/>
      </rPr>
      <t>正峰新</t>
    </r>
  </si>
  <si>
    <r>
      <rPr>
        <sz val="12"/>
        <rFont val="標楷體"/>
        <family val="4"/>
        <charset val="136"/>
      </rPr>
      <t>巨庭</t>
    </r>
  </si>
  <si>
    <r>
      <rPr>
        <sz val="12"/>
        <rFont val="標楷體"/>
        <family val="4"/>
        <charset val="136"/>
      </rPr>
      <t>喬福</t>
    </r>
  </si>
  <si>
    <r>
      <rPr>
        <sz val="12"/>
        <rFont val="標楷體"/>
        <family val="4"/>
        <charset val="136"/>
      </rPr>
      <t>錩泰</t>
    </r>
  </si>
  <si>
    <r>
      <rPr>
        <sz val="12"/>
        <rFont val="標楷體"/>
        <family val="4"/>
        <charset val="136"/>
      </rPr>
      <t>伸興</t>
    </r>
  </si>
  <si>
    <r>
      <rPr>
        <sz val="12"/>
        <rFont val="標楷體"/>
        <family val="4"/>
        <charset val="136"/>
      </rPr>
      <t>中砂</t>
    </r>
  </si>
  <si>
    <r>
      <rPr>
        <sz val="12"/>
        <rFont val="標楷體"/>
        <family val="4"/>
        <charset val="136"/>
      </rPr>
      <t>倉佑</t>
    </r>
  </si>
  <si>
    <r>
      <rPr>
        <sz val="12"/>
        <rFont val="標楷體"/>
        <family val="4"/>
        <charset val="136"/>
      </rPr>
      <t>信錦</t>
    </r>
  </si>
  <si>
    <r>
      <rPr>
        <sz val="12"/>
        <rFont val="標楷體"/>
        <family val="4"/>
        <charset val="136"/>
      </rPr>
      <t>程泰</t>
    </r>
  </si>
  <si>
    <r>
      <rPr>
        <sz val="12"/>
        <rFont val="標楷體"/>
        <family val="4"/>
        <charset val="136"/>
      </rPr>
      <t>吉茂</t>
    </r>
  </si>
  <si>
    <r>
      <rPr>
        <sz val="12"/>
        <rFont val="標楷體"/>
        <family val="4"/>
        <charset val="136"/>
      </rPr>
      <t>永冠</t>
    </r>
    <r>
      <rPr>
        <sz val="12"/>
        <rFont val="Times New Roman"/>
        <family val="1"/>
      </rPr>
      <t>-KY</t>
    </r>
  </si>
  <si>
    <r>
      <rPr>
        <sz val="12"/>
        <rFont val="標楷體"/>
        <family val="4"/>
        <charset val="136"/>
      </rPr>
      <t>亞德客</t>
    </r>
    <r>
      <rPr>
        <sz val="12"/>
        <rFont val="Times New Roman"/>
        <family val="1"/>
      </rPr>
      <t>-KY</t>
    </r>
  </si>
  <si>
    <r>
      <rPr>
        <sz val="12"/>
        <rFont val="標楷體"/>
        <family val="4"/>
        <charset val="136"/>
      </rPr>
      <t>英瑞</t>
    </r>
    <r>
      <rPr>
        <sz val="12"/>
        <rFont val="Times New Roman"/>
        <family val="1"/>
      </rPr>
      <t>-KY</t>
    </r>
  </si>
  <si>
    <r>
      <rPr>
        <sz val="12"/>
        <rFont val="標楷體"/>
        <family val="4"/>
        <charset val="136"/>
      </rPr>
      <t>岱宇</t>
    </r>
  </si>
  <si>
    <r>
      <rPr>
        <sz val="12"/>
        <rFont val="標楷體"/>
        <family val="4"/>
        <charset val="136"/>
      </rPr>
      <t>華電</t>
    </r>
  </si>
  <si>
    <r>
      <rPr>
        <sz val="12"/>
        <rFont val="標楷體"/>
        <family val="4"/>
        <charset val="136"/>
      </rPr>
      <t>聲寶</t>
    </r>
  </si>
  <si>
    <r>
      <rPr>
        <sz val="12"/>
        <rFont val="標楷體"/>
        <family val="4"/>
        <charset val="136"/>
      </rPr>
      <t>華新</t>
    </r>
  </si>
  <si>
    <r>
      <rPr>
        <sz val="12"/>
        <rFont val="標楷體"/>
        <family val="4"/>
        <charset val="136"/>
      </rPr>
      <t>華榮</t>
    </r>
  </si>
  <si>
    <r>
      <rPr>
        <sz val="12"/>
        <rFont val="標楷體"/>
        <family val="4"/>
        <charset val="136"/>
      </rPr>
      <t>大亞</t>
    </r>
  </si>
  <si>
    <r>
      <rPr>
        <sz val="12"/>
        <rFont val="標楷體"/>
        <family val="4"/>
        <charset val="136"/>
      </rPr>
      <t>中電</t>
    </r>
  </si>
  <si>
    <r>
      <rPr>
        <sz val="12"/>
        <rFont val="標楷體"/>
        <family val="4"/>
        <charset val="136"/>
      </rPr>
      <t>宏泰</t>
    </r>
  </si>
  <si>
    <r>
      <rPr>
        <sz val="12"/>
        <rFont val="標楷體"/>
        <family val="4"/>
        <charset val="136"/>
      </rPr>
      <t>三洋電</t>
    </r>
  </si>
  <si>
    <r>
      <rPr>
        <sz val="12"/>
        <rFont val="標楷體"/>
        <family val="4"/>
        <charset val="136"/>
      </rPr>
      <t>大山</t>
    </r>
  </si>
  <si>
    <r>
      <rPr>
        <sz val="12"/>
        <rFont val="標楷體"/>
        <family val="4"/>
        <charset val="136"/>
      </rPr>
      <t>億泰</t>
    </r>
  </si>
  <si>
    <r>
      <rPr>
        <sz val="12"/>
        <rFont val="標楷體"/>
        <family val="4"/>
        <charset val="136"/>
      </rPr>
      <t>榮星</t>
    </r>
  </si>
  <si>
    <r>
      <rPr>
        <sz val="12"/>
        <rFont val="標楷體"/>
        <family val="4"/>
        <charset val="136"/>
      </rPr>
      <t>合機</t>
    </r>
  </si>
  <si>
    <r>
      <rPr>
        <sz val="12"/>
        <rFont val="標楷體"/>
        <family val="4"/>
        <charset val="136"/>
      </rPr>
      <t>艾美特</t>
    </r>
    <r>
      <rPr>
        <sz val="12"/>
        <rFont val="Times New Roman"/>
        <family val="1"/>
      </rPr>
      <t>-KY</t>
    </r>
  </si>
  <si>
    <r>
      <rPr>
        <sz val="12"/>
        <rFont val="標楷體"/>
        <family val="4"/>
        <charset val="136"/>
      </rPr>
      <t>中化</t>
    </r>
  </si>
  <si>
    <r>
      <rPr>
        <sz val="12"/>
        <rFont val="標楷體"/>
        <family val="4"/>
        <charset val="136"/>
      </rPr>
      <t>南僑</t>
    </r>
  </si>
  <si>
    <r>
      <rPr>
        <sz val="12"/>
        <rFont val="標楷體"/>
        <family val="4"/>
        <charset val="136"/>
      </rPr>
      <t>葡萄王</t>
    </r>
  </si>
  <si>
    <r>
      <rPr>
        <sz val="12"/>
        <rFont val="標楷體"/>
        <family val="4"/>
        <charset val="136"/>
      </rPr>
      <t>東鹼</t>
    </r>
  </si>
  <si>
    <r>
      <rPr>
        <sz val="12"/>
        <rFont val="標楷體"/>
        <family val="4"/>
        <charset val="136"/>
      </rPr>
      <t>和益</t>
    </r>
  </si>
  <si>
    <r>
      <rPr>
        <sz val="12"/>
        <rFont val="標楷體"/>
        <family val="4"/>
        <charset val="136"/>
      </rPr>
      <t>東聯</t>
    </r>
  </si>
  <si>
    <r>
      <rPr>
        <sz val="12"/>
        <rFont val="標楷體"/>
        <family val="4"/>
        <charset val="136"/>
      </rPr>
      <t>永光</t>
    </r>
  </si>
  <si>
    <r>
      <rPr>
        <sz val="12"/>
        <rFont val="標楷體"/>
        <family val="4"/>
        <charset val="136"/>
      </rPr>
      <t>興農</t>
    </r>
  </si>
  <si>
    <r>
      <rPr>
        <sz val="12"/>
        <rFont val="標楷體"/>
        <family val="4"/>
        <charset val="136"/>
      </rPr>
      <t>國化</t>
    </r>
  </si>
  <si>
    <r>
      <rPr>
        <sz val="12"/>
        <rFont val="標楷體"/>
        <family val="4"/>
        <charset val="136"/>
      </rPr>
      <t>和桐</t>
    </r>
  </si>
  <si>
    <r>
      <rPr>
        <sz val="12"/>
        <rFont val="標楷體"/>
        <family val="4"/>
        <charset val="136"/>
      </rPr>
      <t>長興</t>
    </r>
  </si>
  <si>
    <r>
      <rPr>
        <sz val="12"/>
        <rFont val="標楷體"/>
        <family val="4"/>
        <charset val="136"/>
      </rPr>
      <t>中纖</t>
    </r>
  </si>
  <si>
    <r>
      <rPr>
        <sz val="12"/>
        <rFont val="標楷體"/>
        <family val="4"/>
        <charset val="136"/>
      </rPr>
      <t>生達</t>
    </r>
  </si>
  <si>
    <r>
      <rPr>
        <sz val="12"/>
        <rFont val="標楷體"/>
        <family val="4"/>
        <charset val="136"/>
      </rPr>
      <t>三晃</t>
    </r>
  </si>
  <si>
    <r>
      <rPr>
        <sz val="12"/>
        <rFont val="標楷體"/>
        <family val="4"/>
        <charset val="136"/>
      </rPr>
      <t>台肥</t>
    </r>
  </si>
  <si>
    <r>
      <rPr>
        <sz val="12"/>
        <rFont val="標楷體"/>
        <family val="4"/>
        <charset val="136"/>
      </rPr>
      <t>中碳</t>
    </r>
  </si>
  <si>
    <r>
      <rPr>
        <sz val="12"/>
        <rFont val="標楷體"/>
        <family val="4"/>
        <charset val="136"/>
      </rPr>
      <t>台硝</t>
    </r>
  </si>
  <si>
    <r>
      <rPr>
        <sz val="12"/>
        <rFont val="標楷體"/>
        <family val="4"/>
        <charset val="136"/>
      </rPr>
      <t>元禎</t>
    </r>
  </si>
  <si>
    <r>
      <rPr>
        <sz val="12"/>
        <rFont val="標楷體"/>
        <family val="4"/>
        <charset val="136"/>
      </rPr>
      <t>永記</t>
    </r>
  </si>
  <si>
    <r>
      <rPr>
        <sz val="12"/>
        <rFont val="標楷體"/>
        <family val="4"/>
        <charset val="136"/>
      </rPr>
      <t>中華化</t>
    </r>
  </si>
  <si>
    <r>
      <rPr>
        <sz val="12"/>
        <rFont val="標楷體"/>
        <family val="4"/>
        <charset val="136"/>
      </rPr>
      <t>花仙子</t>
    </r>
  </si>
  <si>
    <r>
      <rPr>
        <sz val="12"/>
        <rFont val="標楷體"/>
        <family val="4"/>
        <charset val="136"/>
      </rPr>
      <t>美吾華</t>
    </r>
  </si>
  <si>
    <r>
      <rPr>
        <sz val="12"/>
        <rFont val="標楷體"/>
        <family val="4"/>
        <charset val="136"/>
      </rPr>
      <t>毛寶</t>
    </r>
  </si>
  <si>
    <r>
      <rPr>
        <sz val="12"/>
        <rFont val="標楷體"/>
        <family val="4"/>
        <charset val="136"/>
      </rPr>
      <t>五鼎</t>
    </r>
  </si>
  <si>
    <r>
      <rPr>
        <sz val="12"/>
        <rFont val="標楷體"/>
        <family val="4"/>
        <charset val="136"/>
      </rPr>
      <t>杏輝</t>
    </r>
  </si>
  <si>
    <r>
      <rPr>
        <sz val="12"/>
        <rFont val="標楷體"/>
        <family val="4"/>
        <charset val="136"/>
      </rPr>
      <t>日勝化</t>
    </r>
  </si>
  <si>
    <r>
      <rPr>
        <sz val="12"/>
        <rFont val="標楷體"/>
        <family val="4"/>
        <charset val="136"/>
      </rPr>
      <t>喬山</t>
    </r>
  </si>
  <si>
    <r>
      <rPr>
        <sz val="12"/>
        <rFont val="標楷體"/>
        <family val="4"/>
        <charset val="136"/>
      </rPr>
      <t>臺鹽</t>
    </r>
  </si>
  <si>
    <r>
      <rPr>
        <sz val="12"/>
        <rFont val="標楷體"/>
        <family val="4"/>
        <charset val="136"/>
      </rPr>
      <t>寶齡富錦</t>
    </r>
  </si>
  <si>
    <r>
      <rPr>
        <sz val="12"/>
        <rFont val="標楷體"/>
        <family val="4"/>
        <charset val="136"/>
      </rPr>
      <t>中化生</t>
    </r>
  </si>
  <si>
    <r>
      <rPr>
        <sz val="12"/>
        <rFont val="標楷體"/>
        <family val="4"/>
        <charset val="136"/>
      </rPr>
      <t>勝一</t>
    </r>
  </si>
  <si>
    <r>
      <rPr>
        <sz val="12"/>
        <rFont val="標楷體"/>
        <family val="4"/>
        <charset val="136"/>
      </rPr>
      <t>展宇</t>
    </r>
  </si>
  <si>
    <r>
      <rPr>
        <sz val="12"/>
        <rFont val="標楷體"/>
        <family val="4"/>
        <charset val="136"/>
      </rPr>
      <t>和康生</t>
    </r>
  </si>
  <si>
    <r>
      <rPr>
        <sz val="12"/>
        <rFont val="標楷體"/>
        <family val="4"/>
        <charset val="136"/>
      </rPr>
      <t>科妍</t>
    </r>
  </si>
  <si>
    <r>
      <rPr>
        <sz val="12"/>
        <rFont val="標楷體"/>
        <family val="4"/>
        <charset val="136"/>
      </rPr>
      <t>神隆</t>
    </r>
  </si>
  <si>
    <r>
      <rPr>
        <sz val="12"/>
        <rFont val="標楷體"/>
        <family val="4"/>
        <charset val="136"/>
      </rPr>
      <t>美時</t>
    </r>
  </si>
  <si>
    <r>
      <rPr>
        <sz val="12"/>
        <rFont val="標楷體"/>
        <family val="4"/>
        <charset val="136"/>
      </rPr>
      <t>上市未滿一年。</t>
    </r>
  </si>
  <si>
    <r>
      <rPr>
        <sz val="12"/>
        <rFont val="標楷體"/>
        <family val="4"/>
        <charset val="136"/>
      </rPr>
      <t>台玻</t>
    </r>
  </si>
  <si>
    <r>
      <rPr>
        <sz val="12"/>
        <rFont val="標楷體"/>
        <family val="4"/>
        <charset val="136"/>
      </rPr>
      <t>寶徠</t>
    </r>
  </si>
  <si>
    <r>
      <rPr>
        <sz val="12"/>
        <rFont val="標楷體"/>
        <family val="4"/>
        <charset val="136"/>
      </rPr>
      <t>冠軍</t>
    </r>
  </si>
  <si>
    <r>
      <rPr>
        <sz val="12"/>
        <rFont val="標楷體"/>
        <family val="4"/>
        <charset val="136"/>
      </rPr>
      <t>潤隆</t>
    </r>
  </si>
  <si>
    <r>
      <rPr>
        <sz val="12"/>
        <rFont val="標楷體"/>
        <family val="4"/>
        <charset val="136"/>
      </rPr>
      <t>中釉</t>
    </r>
  </si>
  <si>
    <r>
      <rPr>
        <sz val="12"/>
        <rFont val="標楷體"/>
        <family val="4"/>
        <charset val="136"/>
      </rPr>
      <t>和成</t>
    </r>
  </si>
  <si>
    <r>
      <rPr>
        <sz val="12"/>
        <rFont val="標楷體"/>
        <family val="4"/>
        <charset val="136"/>
      </rPr>
      <t>凱撒衛</t>
    </r>
  </si>
  <si>
    <r>
      <rPr>
        <sz val="12"/>
        <rFont val="標楷體"/>
        <family val="4"/>
        <charset val="136"/>
      </rPr>
      <t>台紙</t>
    </r>
  </si>
  <si>
    <r>
      <rPr>
        <sz val="12"/>
        <rFont val="標楷體"/>
        <family val="4"/>
        <charset val="136"/>
      </rPr>
      <t>士紙</t>
    </r>
  </si>
  <si>
    <r>
      <rPr>
        <sz val="12"/>
        <rFont val="標楷體"/>
        <family val="4"/>
        <charset val="136"/>
      </rPr>
      <t>正隆</t>
    </r>
  </si>
  <si>
    <r>
      <rPr>
        <sz val="12"/>
        <rFont val="標楷體"/>
        <family val="4"/>
        <charset val="136"/>
      </rPr>
      <t>華紙</t>
    </r>
  </si>
  <si>
    <r>
      <rPr>
        <sz val="12"/>
        <rFont val="標楷體"/>
        <family val="4"/>
        <charset val="136"/>
      </rPr>
      <t>寶隆</t>
    </r>
  </si>
  <si>
    <r>
      <rPr>
        <sz val="12"/>
        <rFont val="標楷體"/>
        <family val="4"/>
        <charset val="136"/>
      </rPr>
      <t>永豐餘</t>
    </r>
  </si>
  <si>
    <r>
      <rPr>
        <sz val="12"/>
        <rFont val="標楷體"/>
        <family val="4"/>
        <charset val="136"/>
      </rPr>
      <t>榮成</t>
    </r>
  </si>
  <si>
    <r>
      <rPr>
        <sz val="12"/>
        <rFont val="標楷體"/>
        <family val="4"/>
        <charset val="136"/>
      </rPr>
      <t>中鋼</t>
    </r>
  </si>
  <si>
    <r>
      <rPr>
        <sz val="12"/>
        <rFont val="標楷體"/>
        <family val="4"/>
        <charset val="136"/>
      </rPr>
      <t>東和鋼鐵</t>
    </r>
  </si>
  <si>
    <r>
      <rPr>
        <sz val="12"/>
        <rFont val="標楷體"/>
        <family val="4"/>
        <charset val="136"/>
      </rPr>
      <t>燁興</t>
    </r>
  </si>
  <si>
    <r>
      <rPr>
        <sz val="12"/>
        <rFont val="標楷體"/>
        <family val="4"/>
        <charset val="136"/>
      </rPr>
      <t>高興昌</t>
    </r>
  </si>
  <si>
    <r>
      <rPr>
        <sz val="12"/>
        <rFont val="標楷體"/>
        <family val="4"/>
        <charset val="136"/>
      </rPr>
      <t>第一銅</t>
    </r>
  </si>
  <si>
    <r>
      <rPr>
        <sz val="12"/>
        <rFont val="標楷體"/>
        <family val="4"/>
        <charset val="136"/>
      </rPr>
      <t>春源</t>
    </r>
  </si>
  <si>
    <r>
      <rPr>
        <sz val="12"/>
        <rFont val="標楷體"/>
        <family val="4"/>
        <charset val="136"/>
      </rPr>
      <t>春雨</t>
    </r>
  </si>
  <si>
    <r>
      <rPr>
        <sz val="12"/>
        <rFont val="標楷體"/>
        <family val="4"/>
        <charset val="136"/>
      </rPr>
      <t>中鋼構</t>
    </r>
  </si>
  <si>
    <r>
      <rPr>
        <sz val="12"/>
        <rFont val="標楷體"/>
        <family val="4"/>
        <charset val="136"/>
      </rPr>
      <t>中鴻</t>
    </r>
  </si>
  <si>
    <r>
      <rPr>
        <sz val="12"/>
        <rFont val="標楷體"/>
        <family val="4"/>
        <charset val="136"/>
      </rPr>
      <t>豐興</t>
    </r>
  </si>
  <si>
    <r>
      <rPr>
        <sz val="12"/>
        <rFont val="標楷體"/>
        <family val="4"/>
        <charset val="136"/>
      </rPr>
      <t>官田鋼</t>
    </r>
  </si>
  <si>
    <r>
      <rPr>
        <sz val="12"/>
        <rFont val="標楷體"/>
        <family val="4"/>
        <charset val="136"/>
      </rPr>
      <t>美亞</t>
    </r>
  </si>
  <si>
    <r>
      <rPr>
        <sz val="12"/>
        <rFont val="標楷體"/>
        <family val="4"/>
        <charset val="136"/>
      </rPr>
      <t>聚亨</t>
    </r>
  </si>
  <si>
    <r>
      <rPr>
        <sz val="12"/>
        <rFont val="標楷體"/>
        <family val="4"/>
        <charset val="136"/>
      </rPr>
      <t>燁輝</t>
    </r>
  </si>
  <si>
    <r>
      <rPr>
        <sz val="12"/>
        <rFont val="標楷體"/>
        <family val="4"/>
        <charset val="136"/>
      </rPr>
      <t>志聯</t>
    </r>
  </si>
  <si>
    <r>
      <rPr>
        <sz val="12"/>
        <rFont val="標楷體"/>
        <family val="4"/>
        <charset val="136"/>
      </rPr>
      <t>千興</t>
    </r>
  </si>
  <si>
    <r>
      <rPr>
        <sz val="12"/>
        <rFont val="標楷體"/>
        <family val="4"/>
        <charset val="136"/>
      </rPr>
      <t>大成鋼</t>
    </r>
  </si>
  <si>
    <r>
      <rPr>
        <sz val="12"/>
        <rFont val="標楷體"/>
        <family val="4"/>
        <charset val="136"/>
      </rPr>
      <t>威致</t>
    </r>
  </si>
  <si>
    <r>
      <rPr>
        <sz val="12"/>
        <rFont val="標楷體"/>
        <family val="4"/>
        <charset val="136"/>
      </rPr>
      <t>盛餘</t>
    </r>
  </si>
  <si>
    <r>
      <rPr>
        <sz val="12"/>
        <rFont val="標楷體"/>
        <family val="4"/>
        <charset val="136"/>
      </rPr>
      <t>彰源</t>
    </r>
  </si>
  <si>
    <r>
      <rPr>
        <sz val="12"/>
        <rFont val="標楷體"/>
        <family val="4"/>
        <charset val="136"/>
      </rPr>
      <t>新光鋼</t>
    </r>
  </si>
  <si>
    <r>
      <rPr>
        <sz val="12"/>
        <rFont val="標楷體"/>
        <family val="4"/>
        <charset val="136"/>
      </rPr>
      <t>新鋼</t>
    </r>
  </si>
  <si>
    <r>
      <rPr>
        <sz val="12"/>
        <rFont val="標楷體"/>
        <family val="4"/>
        <charset val="136"/>
      </rPr>
      <t>佳大</t>
    </r>
  </si>
  <si>
    <r>
      <rPr>
        <sz val="12"/>
        <rFont val="標楷體"/>
        <family val="4"/>
        <charset val="136"/>
      </rPr>
      <t>允強</t>
    </r>
  </si>
  <si>
    <r>
      <rPr>
        <sz val="12"/>
        <rFont val="標楷體"/>
        <family val="4"/>
        <charset val="136"/>
      </rPr>
      <t>海光</t>
    </r>
  </si>
  <si>
    <r>
      <rPr>
        <sz val="12"/>
        <rFont val="標楷體"/>
        <family val="4"/>
        <charset val="136"/>
      </rPr>
      <t>上銀</t>
    </r>
  </si>
  <si>
    <r>
      <rPr>
        <sz val="12"/>
        <rFont val="標楷體"/>
        <family val="4"/>
        <charset val="136"/>
      </rPr>
      <t>川湖</t>
    </r>
  </si>
  <si>
    <r>
      <rPr>
        <sz val="12"/>
        <rFont val="標楷體"/>
        <family val="4"/>
        <charset val="136"/>
      </rPr>
      <t>橋椿</t>
    </r>
  </si>
  <si>
    <r>
      <rPr>
        <sz val="12"/>
        <rFont val="標楷體"/>
        <family val="4"/>
        <charset val="136"/>
      </rPr>
      <t>運錩</t>
    </r>
  </si>
  <si>
    <r>
      <rPr>
        <sz val="12"/>
        <rFont val="標楷體"/>
        <family val="4"/>
        <charset val="136"/>
      </rPr>
      <t>南港</t>
    </r>
  </si>
  <si>
    <r>
      <rPr>
        <sz val="12"/>
        <rFont val="標楷體"/>
        <family val="4"/>
        <charset val="136"/>
      </rPr>
      <t>泰豐</t>
    </r>
  </si>
  <si>
    <r>
      <rPr>
        <sz val="12"/>
        <rFont val="標楷體"/>
        <family val="4"/>
        <charset val="136"/>
      </rPr>
      <t>台橡</t>
    </r>
  </si>
  <si>
    <r>
      <rPr>
        <sz val="12"/>
        <rFont val="標楷體"/>
        <family val="4"/>
        <charset val="136"/>
      </rPr>
      <t>國際中橡</t>
    </r>
  </si>
  <si>
    <r>
      <rPr>
        <sz val="12"/>
        <rFont val="標楷體"/>
        <family val="4"/>
        <charset val="136"/>
      </rPr>
      <t>正新</t>
    </r>
  </si>
  <si>
    <r>
      <rPr>
        <sz val="12"/>
        <rFont val="標楷體"/>
        <family val="4"/>
        <charset val="136"/>
      </rPr>
      <t>建大</t>
    </r>
  </si>
  <si>
    <r>
      <rPr>
        <sz val="12"/>
        <rFont val="標楷體"/>
        <family val="4"/>
        <charset val="136"/>
      </rPr>
      <t>厚生</t>
    </r>
  </si>
  <si>
    <r>
      <rPr>
        <sz val="12"/>
        <rFont val="標楷體"/>
        <family val="4"/>
        <charset val="136"/>
      </rPr>
      <t>南帝</t>
    </r>
  </si>
  <si>
    <r>
      <rPr>
        <sz val="12"/>
        <rFont val="標楷體"/>
        <family val="4"/>
        <charset val="136"/>
      </rPr>
      <t>華豐</t>
    </r>
  </si>
  <si>
    <r>
      <rPr>
        <sz val="12"/>
        <rFont val="標楷體"/>
        <family val="4"/>
        <charset val="136"/>
      </rPr>
      <t>鑫永銓</t>
    </r>
  </si>
  <si>
    <r>
      <rPr>
        <sz val="12"/>
        <rFont val="標楷體"/>
        <family val="4"/>
        <charset val="136"/>
      </rPr>
      <t>六暉</t>
    </r>
    <r>
      <rPr>
        <sz val="12"/>
        <rFont val="Times New Roman"/>
        <family val="1"/>
      </rPr>
      <t>-KY</t>
    </r>
  </si>
  <si>
    <r>
      <rPr>
        <sz val="12"/>
        <rFont val="標楷體"/>
        <family val="4"/>
        <charset val="136"/>
      </rPr>
      <t>裕隆</t>
    </r>
  </si>
  <si>
    <r>
      <rPr>
        <sz val="12"/>
        <rFont val="標楷體"/>
        <family val="4"/>
        <charset val="136"/>
      </rPr>
      <t>中華</t>
    </r>
  </si>
  <si>
    <r>
      <rPr>
        <sz val="12"/>
        <rFont val="標楷體"/>
        <family val="4"/>
        <charset val="136"/>
      </rPr>
      <t>三陽工業</t>
    </r>
  </si>
  <si>
    <r>
      <rPr>
        <sz val="12"/>
        <rFont val="標楷體"/>
        <family val="4"/>
        <charset val="136"/>
      </rPr>
      <t>和泰車</t>
    </r>
  </si>
  <si>
    <r>
      <rPr>
        <sz val="12"/>
        <rFont val="標楷體"/>
        <family val="4"/>
        <charset val="136"/>
      </rPr>
      <t>台船</t>
    </r>
  </si>
  <si>
    <r>
      <rPr>
        <sz val="12"/>
        <rFont val="標楷體"/>
        <family val="4"/>
        <charset val="136"/>
      </rPr>
      <t>裕日車</t>
    </r>
  </si>
  <si>
    <r>
      <rPr>
        <sz val="12"/>
        <rFont val="標楷體"/>
        <family val="4"/>
        <charset val="136"/>
      </rPr>
      <t>劍麟</t>
    </r>
  </si>
  <si>
    <r>
      <rPr>
        <sz val="12"/>
        <rFont val="標楷體"/>
        <family val="4"/>
        <charset val="136"/>
      </rPr>
      <t>為升</t>
    </r>
  </si>
  <si>
    <r>
      <rPr>
        <sz val="12"/>
        <rFont val="標楷體"/>
        <family val="4"/>
        <charset val="136"/>
      </rPr>
      <t>宇隆</t>
    </r>
  </si>
  <si>
    <r>
      <rPr>
        <sz val="12"/>
        <rFont val="標楷體"/>
        <family val="4"/>
        <charset val="136"/>
      </rPr>
      <t>百達</t>
    </r>
    <r>
      <rPr>
        <sz val="12"/>
        <rFont val="Times New Roman"/>
        <family val="1"/>
      </rPr>
      <t>-KY</t>
    </r>
  </si>
  <si>
    <r>
      <rPr>
        <sz val="12"/>
        <rFont val="標楷體"/>
        <family val="4"/>
        <charset val="136"/>
      </rPr>
      <t>英利</t>
    </r>
    <r>
      <rPr>
        <sz val="12"/>
        <rFont val="Times New Roman"/>
        <family val="1"/>
      </rPr>
      <t>-KY</t>
    </r>
  </si>
  <si>
    <r>
      <rPr>
        <sz val="12"/>
        <rFont val="標楷體"/>
        <family val="4"/>
        <charset val="136"/>
      </rPr>
      <t>宏旭</t>
    </r>
    <r>
      <rPr>
        <sz val="12"/>
        <rFont val="Times New Roman"/>
        <family val="1"/>
      </rPr>
      <t>-KY</t>
    </r>
  </si>
  <si>
    <r>
      <rPr>
        <sz val="12"/>
        <rFont val="標楷體"/>
        <family val="4"/>
        <charset val="136"/>
      </rPr>
      <t>光寶科</t>
    </r>
  </si>
  <si>
    <r>
      <rPr>
        <sz val="12"/>
        <rFont val="標楷體"/>
        <family val="4"/>
        <charset val="136"/>
      </rPr>
      <t>麗正</t>
    </r>
  </si>
  <si>
    <r>
      <rPr>
        <sz val="12"/>
        <rFont val="標楷體"/>
        <family val="4"/>
        <charset val="136"/>
      </rPr>
      <t>聯電</t>
    </r>
  </si>
  <si>
    <r>
      <rPr>
        <sz val="12"/>
        <rFont val="標楷體"/>
        <family val="4"/>
        <charset val="136"/>
      </rPr>
      <t>全友</t>
    </r>
  </si>
  <si>
    <r>
      <rPr>
        <sz val="12"/>
        <rFont val="標楷體"/>
        <family val="4"/>
        <charset val="136"/>
      </rPr>
      <t>台達電</t>
    </r>
  </si>
  <si>
    <r>
      <rPr>
        <sz val="12"/>
        <rFont val="標楷體"/>
        <family val="4"/>
        <charset val="136"/>
      </rPr>
      <t>金寶</t>
    </r>
  </si>
  <si>
    <r>
      <rPr>
        <sz val="12"/>
        <rFont val="標楷體"/>
        <family val="4"/>
        <charset val="136"/>
      </rPr>
      <t>華通</t>
    </r>
  </si>
  <si>
    <r>
      <rPr>
        <sz val="12"/>
        <rFont val="標楷體"/>
        <family val="4"/>
        <charset val="136"/>
      </rPr>
      <t>台揚</t>
    </r>
  </si>
  <si>
    <r>
      <rPr>
        <sz val="12"/>
        <rFont val="標楷體"/>
        <family val="4"/>
        <charset val="136"/>
      </rPr>
      <t>楠梓電</t>
    </r>
  </si>
  <si>
    <r>
      <rPr>
        <sz val="12"/>
        <rFont val="標楷體"/>
        <family val="4"/>
        <charset val="136"/>
      </rPr>
      <t>鴻海</t>
    </r>
  </si>
  <si>
    <r>
      <rPr>
        <sz val="12"/>
        <rFont val="標楷體"/>
        <family val="4"/>
        <charset val="136"/>
      </rPr>
      <t>東訊</t>
    </r>
  </si>
  <si>
    <r>
      <rPr>
        <sz val="12"/>
        <rFont val="標楷體"/>
        <family val="4"/>
        <charset val="136"/>
      </rPr>
      <t>中環</t>
    </r>
  </si>
  <si>
    <r>
      <rPr>
        <sz val="12"/>
        <rFont val="標楷體"/>
        <family val="4"/>
        <charset val="136"/>
      </rPr>
      <t>仁寶</t>
    </r>
  </si>
  <si>
    <r>
      <rPr>
        <sz val="12"/>
        <rFont val="標楷體"/>
        <family val="4"/>
        <charset val="136"/>
      </rPr>
      <t>國巨</t>
    </r>
  </si>
  <si>
    <r>
      <rPr>
        <sz val="12"/>
        <rFont val="標楷體"/>
        <family val="4"/>
        <charset val="136"/>
      </rPr>
      <t>廣宇</t>
    </r>
  </si>
  <si>
    <r>
      <rPr>
        <sz val="12"/>
        <rFont val="標楷體"/>
        <family val="4"/>
        <charset val="136"/>
      </rPr>
      <t>華泰</t>
    </r>
  </si>
  <si>
    <r>
      <rPr>
        <sz val="12"/>
        <rFont val="標楷體"/>
        <family val="4"/>
        <charset val="136"/>
      </rPr>
      <t>台積電</t>
    </r>
  </si>
  <si>
    <r>
      <rPr>
        <sz val="12"/>
        <rFont val="標楷體"/>
        <family val="4"/>
        <charset val="136"/>
      </rPr>
      <t>精英</t>
    </r>
  </si>
  <si>
    <r>
      <rPr>
        <sz val="12"/>
        <rFont val="標楷體"/>
        <family val="4"/>
        <charset val="136"/>
      </rPr>
      <t>友訊</t>
    </r>
  </si>
  <si>
    <r>
      <rPr>
        <sz val="12"/>
        <rFont val="標楷體"/>
        <family val="4"/>
        <charset val="136"/>
      </rPr>
      <t>旺宏</t>
    </r>
  </si>
  <si>
    <r>
      <rPr>
        <sz val="12"/>
        <rFont val="標楷體"/>
        <family val="4"/>
        <charset val="136"/>
      </rPr>
      <t>光罩</t>
    </r>
  </si>
  <si>
    <r>
      <rPr>
        <sz val="12"/>
        <rFont val="標楷體"/>
        <family val="4"/>
        <charset val="136"/>
      </rPr>
      <t>光磊</t>
    </r>
  </si>
  <si>
    <r>
      <rPr>
        <sz val="12"/>
        <rFont val="標楷體"/>
        <family val="4"/>
        <charset val="136"/>
      </rPr>
      <t>茂矽</t>
    </r>
  </si>
  <si>
    <r>
      <rPr>
        <sz val="12"/>
        <rFont val="標楷體"/>
        <family val="4"/>
        <charset val="136"/>
      </rPr>
      <t>華邦電</t>
    </r>
  </si>
  <si>
    <r>
      <rPr>
        <sz val="12"/>
        <rFont val="標楷體"/>
        <family val="4"/>
        <charset val="136"/>
      </rPr>
      <t>智邦</t>
    </r>
  </si>
  <si>
    <r>
      <rPr>
        <sz val="12"/>
        <rFont val="標楷體"/>
        <family val="4"/>
        <charset val="136"/>
      </rPr>
      <t>聯強</t>
    </r>
  </si>
  <si>
    <r>
      <rPr>
        <sz val="12"/>
        <rFont val="標楷體"/>
        <family val="4"/>
        <charset val="136"/>
      </rPr>
      <t>海悅</t>
    </r>
  </si>
  <si>
    <r>
      <rPr>
        <sz val="12"/>
        <rFont val="標楷體"/>
        <family val="4"/>
        <charset val="136"/>
      </rPr>
      <t>錸德</t>
    </r>
  </si>
  <si>
    <r>
      <rPr>
        <sz val="12"/>
        <rFont val="標楷體"/>
        <family val="4"/>
        <charset val="136"/>
      </rPr>
      <t>順德</t>
    </r>
  </si>
  <si>
    <r>
      <rPr>
        <sz val="12"/>
        <rFont val="標楷體"/>
        <family val="4"/>
        <charset val="136"/>
      </rPr>
      <t>佳世達</t>
    </r>
  </si>
  <si>
    <r>
      <rPr>
        <sz val="12"/>
        <rFont val="標楷體"/>
        <family val="4"/>
        <charset val="136"/>
      </rPr>
      <t>宏碁</t>
    </r>
  </si>
  <si>
    <r>
      <rPr>
        <sz val="12"/>
        <rFont val="標楷體"/>
        <family val="4"/>
        <charset val="136"/>
      </rPr>
      <t>鴻準</t>
    </r>
  </si>
  <si>
    <r>
      <rPr>
        <sz val="12"/>
        <rFont val="標楷體"/>
        <family val="4"/>
        <charset val="136"/>
      </rPr>
      <t>敬鵬</t>
    </r>
  </si>
  <si>
    <r>
      <rPr>
        <sz val="12"/>
        <rFont val="標楷體"/>
        <family val="4"/>
        <charset val="136"/>
      </rPr>
      <t>英業達</t>
    </r>
  </si>
  <si>
    <r>
      <rPr>
        <sz val="12"/>
        <rFont val="標楷體"/>
        <family val="4"/>
        <charset val="136"/>
      </rPr>
      <t>華碩</t>
    </r>
  </si>
  <si>
    <r>
      <rPr>
        <sz val="12"/>
        <rFont val="標楷體"/>
        <family val="4"/>
        <charset val="136"/>
      </rPr>
      <t>美格</t>
    </r>
  </si>
  <si>
    <r>
      <rPr>
        <sz val="12"/>
        <rFont val="標楷體"/>
        <family val="4"/>
        <charset val="136"/>
      </rPr>
      <t>所羅門</t>
    </r>
  </si>
  <si>
    <r>
      <rPr>
        <sz val="12"/>
        <rFont val="標楷體"/>
        <family val="4"/>
        <charset val="136"/>
      </rPr>
      <t>致茂</t>
    </r>
  </si>
  <si>
    <r>
      <rPr>
        <sz val="12"/>
        <rFont val="標楷體"/>
        <family val="4"/>
        <charset val="136"/>
      </rPr>
      <t>藍天</t>
    </r>
  </si>
  <si>
    <r>
      <rPr>
        <sz val="12"/>
        <rFont val="標楷體"/>
        <family val="4"/>
        <charset val="136"/>
      </rPr>
      <t>矽統</t>
    </r>
  </si>
  <si>
    <r>
      <rPr>
        <sz val="12"/>
        <rFont val="標楷體"/>
        <family val="4"/>
        <charset val="136"/>
      </rPr>
      <t>倫飛</t>
    </r>
  </si>
  <si>
    <r>
      <rPr>
        <sz val="12"/>
        <rFont val="標楷體"/>
        <family val="4"/>
        <charset val="136"/>
      </rPr>
      <t>昆盈</t>
    </r>
  </si>
  <si>
    <r>
      <rPr>
        <sz val="12"/>
        <rFont val="標楷體"/>
        <family val="4"/>
        <charset val="136"/>
      </rPr>
      <t>燿華</t>
    </r>
  </si>
  <si>
    <r>
      <rPr>
        <sz val="12"/>
        <rFont val="標楷體"/>
        <family val="4"/>
        <charset val="136"/>
      </rPr>
      <t>金像電</t>
    </r>
  </si>
  <si>
    <r>
      <rPr>
        <sz val="12"/>
        <rFont val="標楷體"/>
        <family val="4"/>
        <charset val="136"/>
      </rPr>
      <t>菱生</t>
    </r>
  </si>
  <si>
    <r>
      <rPr>
        <sz val="12"/>
        <rFont val="標楷體"/>
        <family val="4"/>
        <charset val="136"/>
      </rPr>
      <t>大同</t>
    </r>
  </si>
  <si>
    <r>
      <rPr>
        <sz val="12"/>
        <rFont val="標楷體"/>
        <family val="4"/>
        <charset val="136"/>
      </rPr>
      <t>震旦行</t>
    </r>
  </si>
  <si>
    <r>
      <rPr>
        <sz val="12"/>
        <rFont val="標楷體"/>
        <family val="4"/>
        <charset val="136"/>
      </rPr>
      <t>佳能</t>
    </r>
  </si>
  <si>
    <r>
      <rPr>
        <sz val="12"/>
        <rFont val="標楷體"/>
        <family val="4"/>
        <charset val="136"/>
      </rPr>
      <t>凱美</t>
    </r>
  </si>
  <si>
    <r>
      <rPr>
        <sz val="12"/>
        <rFont val="標楷體"/>
        <family val="4"/>
        <charset val="136"/>
      </rPr>
      <t>技嘉</t>
    </r>
  </si>
  <si>
    <r>
      <rPr>
        <sz val="12"/>
        <rFont val="標楷體"/>
        <family val="4"/>
        <charset val="136"/>
      </rPr>
      <t>微星</t>
    </r>
  </si>
  <si>
    <r>
      <rPr>
        <sz val="12"/>
        <rFont val="標楷體"/>
        <family val="4"/>
        <charset val="136"/>
      </rPr>
      <t>瑞昱</t>
    </r>
  </si>
  <si>
    <r>
      <rPr>
        <sz val="12"/>
        <rFont val="標楷體"/>
        <family val="4"/>
        <charset val="136"/>
      </rPr>
      <t>虹光</t>
    </r>
  </si>
  <si>
    <r>
      <rPr>
        <sz val="12"/>
        <rFont val="標楷體"/>
        <family val="4"/>
        <charset val="136"/>
      </rPr>
      <t>廣達</t>
    </r>
  </si>
  <si>
    <r>
      <rPr>
        <sz val="12"/>
        <rFont val="標楷體"/>
        <family val="4"/>
        <charset val="136"/>
      </rPr>
      <t>台光電</t>
    </r>
  </si>
  <si>
    <r>
      <rPr>
        <sz val="12"/>
        <rFont val="標楷體"/>
        <family val="4"/>
        <charset val="136"/>
      </rPr>
      <t>群光</t>
    </r>
  </si>
  <si>
    <r>
      <rPr>
        <sz val="12"/>
        <rFont val="標楷體"/>
        <family val="4"/>
        <charset val="136"/>
      </rPr>
      <t>精元</t>
    </r>
  </si>
  <si>
    <r>
      <rPr>
        <sz val="12"/>
        <rFont val="標楷體"/>
        <family val="4"/>
        <charset val="136"/>
      </rPr>
      <t>威盛</t>
    </r>
  </si>
  <si>
    <r>
      <rPr>
        <sz val="12"/>
        <rFont val="標楷體"/>
        <family val="4"/>
        <charset val="136"/>
      </rPr>
      <t>云辰</t>
    </r>
  </si>
  <si>
    <r>
      <rPr>
        <sz val="12"/>
        <rFont val="標楷體"/>
        <family val="4"/>
        <charset val="136"/>
      </rPr>
      <t>正崴</t>
    </r>
  </si>
  <si>
    <r>
      <rPr>
        <sz val="12"/>
        <rFont val="標楷體"/>
        <family val="4"/>
        <charset val="136"/>
      </rPr>
      <t>億光</t>
    </r>
  </si>
  <si>
    <r>
      <rPr>
        <sz val="12"/>
        <rFont val="標楷體"/>
        <family val="4"/>
        <charset val="136"/>
      </rPr>
      <t>研華</t>
    </r>
  </si>
  <si>
    <r>
      <rPr>
        <sz val="12"/>
        <rFont val="標楷體"/>
        <family val="4"/>
        <charset val="136"/>
      </rPr>
      <t>友通</t>
    </r>
  </si>
  <si>
    <r>
      <rPr>
        <sz val="12"/>
        <rFont val="標楷體"/>
        <family val="4"/>
        <charset val="136"/>
      </rPr>
      <t>映泰</t>
    </r>
  </si>
  <si>
    <r>
      <rPr>
        <sz val="12"/>
        <rFont val="標楷體"/>
        <family val="4"/>
        <charset val="136"/>
      </rPr>
      <t>凌陽</t>
    </r>
  </si>
  <si>
    <r>
      <rPr>
        <sz val="12"/>
        <rFont val="標楷體"/>
        <family val="4"/>
        <charset val="136"/>
      </rPr>
      <t>毅嘉</t>
    </r>
  </si>
  <si>
    <r>
      <rPr>
        <sz val="12"/>
        <rFont val="標楷體"/>
        <family val="4"/>
        <charset val="136"/>
      </rPr>
      <t>漢唐</t>
    </r>
  </si>
  <si>
    <r>
      <rPr>
        <sz val="12"/>
        <rFont val="標楷體"/>
        <family val="4"/>
        <charset val="136"/>
      </rPr>
      <t>浩鑫</t>
    </r>
  </si>
  <si>
    <r>
      <rPr>
        <sz val="12"/>
        <rFont val="標楷體"/>
        <family val="4"/>
        <charset val="136"/>
      </rPr>
      <t>國碩</t>
    </r>
  </si>
  <si>
    <r>
      <rPr>
        <sz val="12"/>
        <rFont val="標楷體"/>
        <family val="4"/>
        <charset val="136"/>
      </rPr>
      <t>南亞科</t>
    </r>
  </si>
  <si>
    <r>
      <rPr>
        <sz val="12"/>
        <rFont val="標楷體"/>
        <family val="4"/>
        <charset val="136"/>
      </rPr>
      <t>友達</t>
    </r>
  </si>
  <si>
    <r>
      <rPr>
        <sz val="12"/>
        <rFont val="標楷體"/>
        <family val="4"/>
        <charset val="136"/>
      </rPr>
      <t>中華電</t>
    </r>
  </si>
  <si>
    <r>
      <rPr>
        <sz val="12"/>
        <rFont val="標楷體"/>
        <family val="4"/>
        <charset val="136"/>
      </rPr>
      <t>環科</t>
    </r>
  </si>
  <si>
    <r>
      <rPr>
        <sz val="12"/>
        <rFont val="標楷體"/>
        <family val="4"/>
        <charset val="136"/>
      </rPr>
      <t>精技</t>
    </r>
  </si>
  <si>
    <r>
      <rPr>
        <sz val="12"/>
        <rFont val="標楷體"/>
        <family val="4"/>
        <charset val="136"/>
      </rPr>
      <t>錩新</t>
    </r>
  </si>
  <si>
    <r>
      <rPr>
        <sz val="12"/>
        <rFont val="標楷體"/>
        <family val="4"/>
        <charset val="136"/>
      </rPr>
      <t>圓剛</t>
    </r>
  </si>
  <si>
    <r>
      <rPr>
        <sz val="12"/>
        <rFont val="標楷體"/>
        <family val="4"/>
        <charset val="136"/>
      </rPr>
      <t>仲琦</t>
    </r>
  </si>
  <si>
    <r>
      <rPr>
        <sz val="12"/>
        <rFont val="標楷體"/>
        <family val="4"/>
        <charset val="136"/>
      </rPr>
      <t>新巨</t>
    </r>
  </si>
  <si>
    <r>
      <rPr>
        <sz val="12"/>
        <rFont val="標楷體"/>
        <family val="4"/>
        <charset val="136"/>
      </rPr>
      <t>建準</t>
    </r>
  </si>
  <si>
    <r>
      <rPr>
        <sz val="12"/>
        <rFont val="標楷體"/>
        <family val="4"/>
        <charset val="136"/>
      </rPr>
      <t>固緯</t>
    </r>
  </si>
  <si>
    <r>
      <rPr>
        <sz val="12"/>
        <rFont val="標楷體"/>
        <family val="4"/>
        <charset val="136"/>
      </rPr>
      <t>隴華</t>
    </r>
  </si>
  <si>
    <r>
      <rPr>
        <sz val="12"/>
        <rFont val="標楷體"/>
        <family val="4"/>
        <charset val="136"/>
      </rPr>
      <t>承啟</t>
    </r>
  </si>
  <si>
    <r>
      <rPr>
        <sz val="12"/>
        <rFont val="標楷體"/>
        <family val="4"/>
        <charset val="136"/>
      </rPr>
      <t>鼎元</t>
    </r>
  </si>
  <si>
    <r>
      <rPr>
        <sz val="12"/>
        <rFont val="標楷體"/>
        <family val="4"/>
        <charset val="136"/>
      </rPr>
      <t>三商電</t>
    </r>
  </si>
  <si>
    <r>
      <rPr>
        <sz val="12"/>
        <rFont val="標楷體"/>
        <family val="4"/>
        <charset val="136"/>
      </rPr>
      <t>興勤</t>
    </r>
  </si>
  <si>
    <r>
      <rPr>
        <sz val="12"/>
        <rFont val="標楷體"/>
        <family val="4"/>
        <charset val="136"/>
      </rPr>
      <t>銘旺科</t>
    </r>
  </si>
  <si>
    <r>
      <rPr>
        <sz val="12"/>
        <rFont val="標楷體"/>
        <family val="4"/>
        <charset val="136"/>
      </rPr>
      <t>燦坤</t>
    </r>
  </si>
  <si>
    <r>
      <rPr>
        <sz val="12"/>
        <rFont val="標楷體"/>
        <family val="4"/>
        <charset val="136"/>
      </rPr>
      <t>聯昌</t>
    </r>
  </si>
  <si>
    <r>
      <rPr>
        <sz val="12"/>
        <rFont val="標楷體"/>
        <family val="4"/>
        <charset val="136"/>
      </rPr>
      <t>互盛電</t>
    </r>
  </si>
  <si>
    <r>
      <rPr>
        <sz val="12"/>
        <rFont val="標楷體"/>
        <family val="4"/>
        <charset val="136"/>
      </rPr>
      <t>統懋</t>
    </r>
  </si>
  <si>
    <r>
      <rPr>
        <sz val="12"/>
        <rFont val="標楷體"/>
        <family val="4"/>
        <charset val="136"/>
      </rPr>
      <t>偉詮電</t>
    </r>
  </si>
  <si>
    <r>
      <rPr>
        <sz val="12"/>
        <rFont val="標楷體"/>
        <family val="4"/>
        <charset val="136"/>
      </rPr>
      <t>英誌</t>
    </r>
  </si>
  <si>
    <r>
      <rPr>
        <sz val="12"/>
        <rFont val="標楷體"/>
        <family val="4"/>
        <charset val="136"/>
      </rPr>
      <t>美律</t>
    </r>
  </si>
  <si>
    <r>
      <rPr>
        <sz val="12"/>
        <rFont val="標楷體"/>
        <family val="4"/>
        <charset val="136"/>
      </rPr>
      <t>太空梭</t>
    </r>
  </si>
  <si>
    <r>
      <rPr>
        <sz val="12"/>
        <rFont val="標楷體"/>
        <family val="4"/>
        <charset val="136"/>
      </rPr>
      <t>超豐</t>
    </r>
  </si>
  <si>
    <r>
      <rPr>
        <sz val="12"/>
        <rFont val="標楷體"/>
        <family val="4"/>
        <charset val="136"/>
      </rPr>
      <t>新美齊</t>
    </r>
  </si>
  <si>
    <r>
      <rPr>
        <sz val="12"/>
        <rFont val="標楷體"/>
        <family val="4"/>
        <charset val="136"/>
      </rPr>
      <t>億麗</t>
    </r>
  </si>
  <si>
    <r>
      <rPr>
        <sz val="12"/>
        <rFont val="標楷體"/>
        <family val="4"/>
        <charset val="136"/>
      </rPr>
      <t>兆勁</t>
    </r>
  </si>
  <si>
    <r>
      <rPr>
        <sz val="12"/>
        <rFont val="標楷體"/>
        <family val="4"/>
        <charset val="136"/>
      </rPr>
      <t>晶電</t>
    </r>
  </si>
  <si>
    <r>
      <rPr>
        <sz val="12"/>
        <rFont val="標楷體"/>
        <family val="4"/>
        <charset val="136"/>
      </rPr>
      <t>京元電子</t>
    </r>
  </si>
  <si>
    <r>
      <rPr>
        <sz val="12"/>
        <rFont val="標楷體"/>
        <family val="4"/>
        <charset val="136"/>
      </rPr>
      <t>神腦</t>
    </r>
  </si>
  <si>
    <r>
      <rPr>
        <sz val="12"/>
        <rFont val="標楷體"/>
        <family val="4"/>
        <charset val="136"/>
      </rPr>
      <t>創見</t>
    </r>
  </si>
  <si>
    <r>
      <rPr>
        <sz val="12"/>
        <rFont val="標楷體"/>
        <family val="4"/>
        <charset val="136"/>
      </rPr>
      <t>凌群</t>
    </r>
  </si>
  <si>
    <r>
      <rPr>
        <sz val="12"/>
        <rFont val="標楷體"/>
        <family val="4"/>
        <charset val="136"/>
      </rPr>
      <t>聯發科</t>
    </r>
  </si>
  <si>
    <r>
      <rPr>
        <sz val="12"/>
        <rFont val="標楷體"/>
        <family val="4"/>
        <charset val="136"/>
      </rPr>
      <t>全新</t>
    </r>
  </si>
  <si>
    <r>
      <rPr>
        <sz val="12"/>
        <rFont val="標楷體"/>
        <family val="4"/>
        <charset val="136"/>
      </rPr>
      <t>奇力新</t>
    </r>
  </si>
  <si>
    <r>
      <rPr>
        <sz val="12"/>
        <rFont val="標楷體"/>
        <family val="4"/>
        <charset val="136"/>
      </rPr>
      <t>飛宏</t>
    </r>
  </si>
  <si>
    <r>
      <rPr>
        <sz val="12"/>
        <rFont val="標楷體"/>
        <family val="4"/>
        <charset val="136"/>
      </rPr>
      <t>義隆</t>
    </r>
  </si>
  <si>
    <r>
      <rPr>
        <sz val="12"/>
        <rFont val="標楷體"/>
        <family val="4"/>
        <charset val="136"/>
      </rPr>
      <t>敦吉</t>
    </r>
  </si>
  <si>
    <r>
      <rPr>
        <sz val="12"/>
        <rFont val="標楷體"/>
        <family val="4"/>
        <charset val="136"/>
      </rPr>
      <t>建通</t>
    </r>
  </si>
  <si>
    <r>
      <rPr>
        <sz val="12"/>
        <rFont val="標楷體"/>
        <family val="4"/>
        <charset val="136"/>
      </rPr>
      <t>光群雷</t>
    </r>
  </si>
  <si>
    <r>
      <rPr>
        <sz val="12"/>
        <rFont val="標楷體"/>
        <family val="4"/>
        <charset val="136"/>
      </rPr>
      <t>良得電</t>
    </r>
  </si>
  <si>
    <r>
      <rPr>
        <sz val="12"/>
        <rFont val="標楷體"/>
        <family val="4"/>
        <charset val="136"/>
      </rPr>
      <t>盟立</t>
    </r>
  </si>
  <si>
    <r>
      <rPr>
        <sz val="12"/>
        <rFont val="標楷體"/>
        <family val="4"/>
        <charset val="136"/>
      </rPr>
      <t>麗臺</t>
    </r>
  </si>
  <si>
    <r>
      <rPr>
        <sz val="12"/>
        <rFont val="標楷體"/>
        <family val="4"/>
        <charset val="136"/>
      </rPr>
      <t>冠西電</t>
    </r>
  </si>
  <si>
    <r>
      <rPr>
        <sz val="12"/>
        <rFont val="標楷體"/>
        <family val="4"/>
        <charset val="136"/>
      </rPr>
      <t>志聖</t>
    </r>
  </si>
  <si>
    <r>
      <rPr>
        <sz val="12"/>
        <rFont val="標楷體"/>
        <family val="4"/>
        <charset val="136"/>
      </rPr>
      <t>華經</t>
    </r>
  </si>
  <si>
    <r>
      <rPr>
        <sz val="12"/>
        <rFont val="標楷體"/>
        <family val="4"/>
        <charset val="136"/>
      </rPr>
      <t>資通</t>
    </r>
  </si>
  <si>
    <r>
      <rPr>
        <sz val="12"/>
        <rFont val="標楷體"/>
        <family val="4"/>
        <charset val="136"/>
      </rPr>
      <t>立隆電</t>
    </r>
  </si>
  <si>
    <r>
      <rPr>
        <sz val="12"/>
        <rFont val="標楷體"/>
        <family val="4"/>
        <charset val="136"/>
      </rPr>
      <t>可成</t>
    </r>
  </si>
  <si>
    <r>
      <rPr>
        <sz val="12"/>
        <rFont val="標楷體"/>
        <family val="4"/>
        <charset val="136"/>
      </rPr>
      <t>鉅祥</t>
    </r>
  </si>
  <si>
    <r>
      <rPr>
        <sz val="12"/>
        <rFont val="標楷體"/>
        <family val="4"/>
        <charset val="136"/>
      </rPr>
      <t>美隆電</t>
    </r>
  </si>
  <si>
    <r>
      <rPr>
        <sz val="12"/>
        <rFont val="標楷體"/>
        <family val="4"/>
        <charset val="136"/>
      </rPr>
      <t>大毅</t>
    </r>
  </si>
  <si>
    <r>
      <rPr>
        <sz val="12"/>
        <rFont val="標楷體"/>
        <family val="4"/>
        <charset val="136"/>
      </rPr>
      <t>敦陽科</t>
    </r>
  </si>
  <si>
    <r>
      <rPr>
        <sz val="12"/>
        <rFont val="標楷體"/>
        <family val="4"/>
        <charset val="136"/>
      </rPr>
      <t>強茂</t>
    </r>
  </si>
  <si>
    <r>
      <rPr>
        <sz val="12"/>
        <rFont val="標楷體"/>
        <family val="4"/>
        <charset val="136"/>
      </rPr>
      <t>連宇</t>
    </r>
  </si>
  <si>
    <r>
      <rPr>
        <sz val="12"/>
        <rFont val="標楷體"/>
        <family val="4"/>
        <charset val="136"/>
      </rPr>
      <t>百容</t>
    </r>
  </si>
  <si>
    <r>
      <rPr>
        <sz val="12"/>
        <rFont val="標楷體"/>
        <family val="4"/>
        <charset val="136"/>
      </rPr>
      <t>希華</t>
    </r>
  </si>
  <si>
    <r>
      <rPr>
        <sz val="12"/>
        <rFont val="標楷體"/>
        <family val="4"/>
        <charset val="136"/>
      </rPr>
      <t>兆赫</t>
    </r>
  </si>
  <si>
    <r>
      <rPr>
        <sz val="12"/>
        <rFont val="標楷體"/>
        <family val="4"/>
        <charset val="136"/>
      </rPr>
      <t>一詮</t>
    </r>
  </si>
  <si>
    <r>
      <rPr>
        <sz val="12"/>
        <rFont val="標楷體"/>
        <family val="4"/>
        <charset val="136"/>
      </rPr>
      <t>漢平</t>
    </r>
  </si>
  <si>
    <r>
      <rPr>
        <sz val="12"/>
        <rFont val="標楷體"/>
        <family val="4"/>
        <charset val="136"/>
      </rPr>
      <t>瑞軒</t>
    </r>
  </si>
  <si>
    <r>
      <rPr>
        <sz val="12"/>
        <rFont val="標楷體"/>
        <family val="4"/>
        <charset val="136"/>
      </rPr>
      <t>吉祥全</t>
    </r>
  </si>
  <si>
    <r>
      <rPr>
        <sz val="12"/>
        <rFont val="標楷體"/>
        <family val="4"/>
        <charset val="136"/>
      </rPr>
      <t>華新科</t>
    </r>
  </si>
  <si>
    <r>
      <rPr>
        <sz val="12"/>
        <rFont val="標楷體"/>
        <family val="4"/>
        <charset val="136"/>
      </rPr>
      <t>揚博</t>
    </r>
  </si>
  <si>
    <r>
      <rPr>
        <sz val="12"/>
        <rFont val="標楷體"/>
        <family val="4"/>
        <charset val="136"/>
      </rPr>
      <t>普安</t>
    </r>
  </si>
  <si>
    <r>
      <rPr>
        <sz val="12"/>
        <rFont val="標楷體"/>
        <family val="4"/>
        <charset val="136"/>
      </rPr>
      <t>卓越</t>
    </r>
  </si>
  <si>
    <r>
      <rPr>
        <sz val="12"/>
        <rFont val="標楷體"/>
        <family val="4"/>
        <charset val="136"/>
      </rPr>
      <t>怡利電</t>
    </r>
  </si>
  <si>
    <r>
      <rPr>
        <sz val="12"/>
        <rFont val="標楷體"/>
        <family val="4"/>
        <charset val="136"/>
      </rPr>
      <t>宏達電</t>
    </r>
  </si>
  <si>
    <r>
      <rPr>
        <sz val="12"/>
        <rFont val="標楷體"/>
        <family val="4"/>
        <charset val="136"/>
      </rPr>
      <t>東貝</t>
    </r>
  </si>
  <si>
    <r>
      <rPr>
        <sz val="12"/>
        <rFont val="標楷體"/>
        <family val="4"/>
        <charset val="136"/>
      </rPr>
      <t>國建</t>
    </r>
  </si>
  <si>
    <r>
      <rPr>
        <sz val="12"/>
        <rFont val="標楷體"/>
        <family val="4"/>
        <charset val="136"/>
      </rPr>
      <t>國產</t>
    </r>
  </si>
  <si>
    <r>
      <rPr>
        <sz val="12"/>
        <rFont val="標楷體"/>
        <family val="4"/>
        <charset val="136"/>
      </rPr>
      <t>國揚</t>
    </r>
  </si>
  <si>
    <r>
      <rPr>
        <sz val="12"/>
        <rFont val="標楷體"/>
        <family val="4"/>
        <charset val="136"/>
      </rPr>
      <t>太設</t>
    </r>
  </si>
  <si>
    <r>
      <rPr>
        <sz val="12"/>
        <rFont val="標楷體"/>
        <family val="4"/>
        <charset val="136"/>
      </rPr>
      <t>全坤建</t>
    </r>
  </si>
  <si>
    <r>
      <rPr>
        <sz val="12"/>
        <rFont val="標楷體"/>
        <family val="4"/>
        <charset val="136"/>
      </rPr>
      <t>太子</t>
    </r>
  </si>
  <si>
    <r>
      <rPr>
        <sz val="12"/>
        <rFont val="標楷體"/>
        <family val="4"/>
        <charset val="136"/>
      </rPr>
      <t>龍邦</t>
    </r>
  </si>
  <si>
    <r>
      <rPr>
        <sz val="12"/>
        <rFont val="標楷體"/>
        <family val="4"/>
        <charset val="136"/>
      </rPr>
      <t>中工</t>
    </r>
  </si>
  <si>
    <r>
      <rPr>
        <sz val="12"/>
        <rFont val="標楷體"/>
        <family val="4"/>
        <charset val="136"/>
      </rPr>
      <t>新建</t>
    </r>
  </si>
  <si>
    <r>
      <rPr>
        <sz val="12"/>
        <rFont val="標楷體"/>
        <family val="4"/>
        <charset val="136"/>
      </rPr>
      <t>冠德</t>
    </r>
  </si>
  <si>
    <r>
      <rPr>
        <sz val="12"/>
        <rFont val="標楷體"/>
        <family val="4"/>
        <charset val="136"/>
      </rPr>
      <t>京城</t>
    </r>
  </si>
  <si>
    <r>
      <rPr>
        <sz val="12"/>
        <rFont val="標楷體"/>
        <family val="4"/>
        <charset val="136"/>
      </rPr>
      <t>宏璟</t>
    </r>
  </si>
  <si>
    <r>
      <rPr>
        <sz val="12"/>
        <rFont val="標楷體"/>
        <family val="4"/>
        <charset val="136"/>
      </rPr>
      <t>皇普</t>
    </r>
  </si>
  <si>
    <r>
      <rPr>
        <sz val="12"/>
        <rFont val="標楷體"/>
        <family val="4"/>
        <charset val="136"/>
      </rPr>
      <t>華建</t>
    </r>
  </si>
  <si>
    <r>
      <rPr>
        <sz val="12"/>
        <rFont val="標楷體"/>
        <family val="4"/>
        <charset val="136"/>
      </rPr>
      <t>宏盛</t>
    </r>
  </si>
  <si>
    <r>
      <rPr>
        <sz val="12"/>
        <rFont val="標楷體"/>
        <family val="4"/>
        <charset val="136"/>
      </rPr>
      <t>達欣工</t>
    </r>
  </si>
  <si>
    <r>
      <rPr>
        <sz val="12"/>
        <rFont val="標楷體"/>
        <family val="4"/>
        <charset val="136"/>
      </rPr>
      <t>宏普</t>
    </r>
  </si>
  <si>
    <r>
      <rPr>
        <sz val="12"/>
        <rFont val="標楷體"/>
        <family val="4"/>
        <charset val="136"/>
      </rPr>
      <t>聯上發</t>
    </r>
  </si>
  <si>
    <r>
      <rPr>
        <sz val="12"/>
        <rFont val="標楷體"/>
        <family val="4"/>
        <charset val="136"/>
      </rPr>
      <t>基泰</t>
    </r>
  </si>
  <si>
    <r>
      <rPr>
        <sz val="12"/>
        <rFont val="標楷體"/>
        <family val="4"/>
        <charset val="136"/>
      </rPr>
      <t>櫻花建</t>
    </r>
  </si>
  <si>
    <r>
      <rPr>
        <sz val="12"/>
        <rFont val="標楷體"/>
        <family val="4"/>
        <charset val="136"/>
      </rPr>
      <t>愛山林</t>
    </r>
  </si>
  <si>
    <r>
      <rPr>
        <sz val="12"/>
        <rFont val="標楷體"/>
        <family val="4"/>
        <charset val="136"/>
      </rPr>
      <t>興富發</t>
    </r>
  </si>
  <si>
    <r>
      <rPr>
        <sz val="12"/>
        <rFont val="標楷體"/>
        <family val="4"/>
        <charset val="136"/>
      </rPr>
      <t>皇昌</t>
    </r>
  </si>
  <si>
    <r>
      <rPr>
        <sz val="12"/>
        <rFont val="標楷體"/>
        <family val="4"/>
        <charset val="136"/>
      </rPr>
      <t>皇翔</t>
    </r>
  </si>
  <si>
    <r>
      <rPr>
        <sz val="12"/>
        <rFont val="標楷體"/>
        <family val="4"/>
        <charset val="136"/>
      </rPr>
      <t>根基</t>
    </r>
  </si>
  <si>
    <r>
      <rPr>
        <sz val="12"/>
        <rFont val="標楷體"/>
        <family val="4"/>
        <charset val="136"/>
      </rPr>
      <t>日勝生</t>
    </r>
  </si>
  <si>
    <r>
      <rPr>
        <sz val="12"/>
        <rFont val="標楷體"/>
        <family val="4"/>
        <charset val="136"/>
      </rPr>
      <t>華固</t>
    </r>
  </si>
  <si>
    <r>
      <rPr>
        <sz val="12"/>
        <rFont val="標楷體"/>
        <family val="4"/>
        <charset val="136"/>
      </rPr>
      <t>潤弘</t>
    </r>
  </si>
  <si>
    <r>
      <rPr>
        <sz val="12"/>
        <rFont val="標楷體"/>
        <family val="4"/>
        <charset val="136"/>
      </rPr>
      <t>益航</t>
    </r>
  </si>
  <si>
    <r>
      <rPr>
        <sz val="12"/>
        <rFont val="標楷體"/>
        <family val="4"/>
        <charset val="136"/>
      </rPr>
      <t>長榮</t>
    </r>
  </si>
  <si>
    <r>
      <rPr>
        <sz val="12"/>
        <rFont val="標楷體"/>
        <family val="4"/>
        <charset val="136"/>
      </rPr>
      <t>新興</t>
    </r>
  </si>
  <si>
    <r>
      <rPr>
        <sz val="12"/>
        <rFont val="標楷體"/>
        <family val="4"/>
        <charset val="136"/>
      </rPr>
      <t>裕民</t>
    </r>
  </si>
  <si>
    <r>
      <rPr>
        <sz val="12"/>
        <rFont val="標楷體"/>
        <family val="4"/>
        <charset val="136"/>
      </rPr>
      <t>榮運</t>
    </r>
  </si>
  <si>
    <r>
      <rPr>
        <sz val="12"/>
        <rFont val="標楷體"/>
        <family val="4"/>
        <charset val="136"/>
      </rPr>
      <t>嘉里大榮</t>
    </r>
  </si>
  <si>
    <r>
      <rPr>
        <sz val="12"/>
        <rFont val="標楷體"/>
        <family val="4"/>
        <charset val="136"/>
      </rPr>
      <t>陽明</t>
    </r>
  </si>
  <si>
    <r>
      <rPr>
        <sz val="12"/>
        <rFont val="標楷體"/>
        <family val="4"/>
        <charset val="136"/>
      </rPr>
      <t>華航</t>
    </r>
  </si>
  <si>
    <r>
      <rPr>
        <sz val="12"/>
        <rFont val="標楷體"/>
        <family val="4"/>
        <charset val="136"/>
      </rPr>
      <t>志信</t>
    </r>
  </si>
  <si>
    <r>
      <rPr>
        <sz val="12"/>
        <rFont val="標楷體"/>
        <family val="4"/>
        <charset val="136"/>
      </rPr>
      <t>中航</t>
    </r>
  </si>
  <si>
    <r>
      <rPr>
        <sz val="12"/>
        <rFont val="標楷體"/>
        <family val="4"/>
        <charset val="136"/>
      </rPr>
      <t>中櫃</t>
    </r>
  </si>
  <si>
    <r>
      <rPr>
        <sz val="12"/>
        <rFont val="標楷體"/>
        <family val="4"/>
        <charset val="136"/>
      </rPr>
      <t>東森</t>
    </r>
  </si>
  <si>
    <r>
      <rPr>
        <sz val="12"/>
        <rFont val="標楷體"/>
        <family val="4"/>
        <charset val="136"/>
      </rPr>
      <t>萬海</t>
    </r>
  </si>
  <si>
    <r>
      <rPr>
        <sz val="12"/>
        <rFont val="標楷體"/>
        <family val="4"/>
        <charset val="136"/>
      </rPr>
      <t>山隆</t>
    </r>
  </si>
  <si>
    <r>
      <rPr>
        <sz val="12"/>
        <rFont val="標楷體"/>
        <family val="4"/>
        <charset val="136"/>
      </rPr>
      <t>台航</t>
    </r>
  </si>
  <si>
    <r>
      <rPr>
        <sz val="12"/>
        <rFont val="標楷體"/>
        <family val="4"/>
        <charset val="136"/>
      </rPr>
      <t>長榮航</t>
    </r>
  </si>
  <si>
    <r>
      <rPr>
        <sz val="12"/>
        <rFont val="標楷體"/>
        <family val="4"/>
        <charset val="136"/>
      </rPr>
      <t>亞航</t>
    </r>
  </si>
  <si>
    <r>
      <rPr>
        <sz val="12"/>
        <rFont val="標楷體"/>
        <family val="4"/>
        <charset val="136"/>
      </rPr>
      <t>台灣高鐵</t>
    </r>
  </si>
  <si>
    <r>
      <rPr>
        <sz val="12"/>
        <rFont val="標楷體"/>
        <family val="4"/>
        <charset val="136"/>
      </rPr>
      <t>漢翔</t>
    </r>
  </si>
  <si>
    <r>
      <rPr>
        <sz val="12"/>
        <rFont val="標楷體"/>
        <family val="4"/>
        <charset val="136"/>
      </rPr>
      <t>台驊投控</t>
    </r>
  </si>
  <si>
    <r>
      <rPr>
        <sz val="12"/>
        <rFont val="標楷體"/>
        <family val="4"/>
        <charset val="136"/>
      </rPr>
      <t>慧洋</t>
    </r>
    <r>
      <rPr>
        <sz val="12"/>
        <rFont val="Times New Roman"/>
        <family val="1"/>
      </rPr>
      <t>-KY</t>
    </r>
  </si>
  <si>
    <r>
      <rPr>
        <sz val="12"/>
        <rFont val="標楷體"/>
        <family val="4"/>
        <charset val="136"/>
      </rPr>
      <t>宅配通</t>
    </r>
  </si>
  <si>
    <r>
      <rPr>
        <sz val="12"/>
        <rFont val="標楷體"/>
        <family val="4"/>
        <charset val="136"/>
      </rPr>
      <t>萬企</t>
    </r>
  </si>
  <si>
    <r>
      <rPr>
        <sz val="12"/>
        <rFont val="標楷體"/>
        <family val="4"/>
        <charset val="136"/>
      </rPr>
      <t>華園</t>
    </r>
  </si>
  <si>
    <r>
      <rPr>
        <sz val="12"/>
        <rFont val="標楷體"/>
        <family val="4"/>
        <charset val="136"/>
      </rPr>
      <t>國賓</t>
    </r>
  </si>
  <si>
    <r>
      <rPr>
        <sz val="12"/>
        <rFont val="標楷體"/>
        <family val="4"/>
        <charset val="136"/>
      </rPr>
      <t>六福</t>
    </r>
  </si>
  <si>
    <r>
      <rPr>
        <sz val="12"/>
        <rFont val="標楷體"/>
        <family val="4"/>
        <charset val="136"/>
      </rPr>
      <t>第一店</t>
    </r>
  </si>
  <si>
    <r>
      <rPr>
        <sz val="12"/>
        <rFont val="標楷體"/>
        <family val="4"/>
        <charset val="136"/>
      </rPr>
      <t>晶華</t>
    </r>
  </si>
  <si>
    <r>
      <rPr>
        <sz val="12"/>
        <rFont val="標楷體"/>
        <family val="4"/>
        <charset val="136"/>
      </rPr>
      <t>遠雄來</t>
    </r>
  </si>
  <si>
    <r>
      <rPr>
        <sz val="12"/>
        <rFont val="標楷體"/>
        <family val="4"/>
        <charset val="136"/>
      </rPr>
      <t>夏都</t>
    </r>
  </si>
  <si>
    <r>
      <rPr>
        <sz val="12"/>
        <rFont val="標楷體"/>
        <family val="4"/>
        <charset val="136"/>
      </rPr>
      <t>美食</t>
    </r>
    <r>
      <rPr>
        <sz val="12"/>
        <rFont val="Times New Roman"/>
        <family val="1"/>
      </rPr>
      <t>-KY</t>
    </r>
  </si>
  <si>
    <r>
      <rPr>
        <sz val="12"/>
        <rFont val="標楷體"/>
        <family val="4"/>
        <charset val="136"/>
      </rPr>
      <t>王品</t>
    </r>
  </si>
  <si>
    <r>
      <rPr>
        <sz val="12"/>
        <rFont val="標楷體"/>
        <family val="4"/>
        <charset val="136"/>
      </rPr>
      <t>雄獅</t>
    </r>
  </si>
  <si>
    <r>
      <rPr>
        <sz val="12"/>
        <rFont val="標楷體"/>
        <family val="4"/>
        <charset val="136"/>
      </rPr>
      <t>寒舍</t>
    </r>
  </si>
  <si>
    <r>
      <rPr>
        <sz val="12"/>
        <rFont val="標楷體"/>
        <family val="4"/>
        <charset val="136"/>
      </rPr>
      <t>雲品</t>
    </r>
  </si>
  <si>
    <r>
      <rPr>
        <sz val="12"/>
        <rFont val="標楷體"/>
        <family val="4"/>
        <charset val="136"/>
      </rPr>
      <t>彰銀</t>
    </r>
  </si>
  <si>
    <r>
      <rPr>
        <sz val="12"/>
        <rFont val="標楷體"/>
        <family val="4"/>
        <charset val="136"/>
      </rPr>
      <t>京城銀</t>
    </r>
  </si>
  <si>
    <r>
      <rPr>
        <sz val="12"/>
        <rFont val="標楷體"/>
        <family val="4"/>
        <charset val="136"/>
      </rPr>
      <t>台中銀</t>
    </r>
  </si>
  <si>
    <r>
      <rPr>
        <sz val="12"/>
        <rFont val="標楷體"/>
        <family val="4"/>
        <charset val="136"/>
      </rPr>
      <t>旺旺保</t>
    </r>
  </si>
  <si>
    <r>
      <rPr>
        <sz val="12"/>
        <rFont val="標楷體"/>
        <family val="4"/>
        <charset val="136"/>
      </rPr>
      <t>華票</t>
    </r>
  </si>
  <si>
    <r>
      <rPr>
        <sz val="12"/>
        <rFont val="標楷體"/>
        <family val="4"/>
        <charset val="136"/>
      </rPr>
      <t>中壽</t>
    </r>
  </si>
  <si>
    <r>
      <rPr>
        <sz val="12"/>
        <rFont val="標楷體"/>
        <family val="4"/>
        <charset val="136"/>
      </rPr>
      <t>台產</t>
    </r>
  </si>
  <si>
    <r>
      <rPr>
        <sz val="12"/>
        <rFont val="標楷體"/>
        <family val="4"/>
        <charset val="136"/>
      </rPr>
      <t>臺企銀</t>
    </r>
  </si>
  <si>
    <r>
      <rPr>
        <sz val="12"/>
        <rFont val="標楷體"/>
        <family val="4"/>
        <charset val="136"/>
      </rPr>
      <t>高雄銀</t>
    </r>
  </si>
  <si>
    <r>
      <rPr>
        <sz val="12"/>
        <rFont val="標楷體"/>
        <family val="4"/>
        <charset val="136"/>
      </rPr>
      <t>聯邦銀</t>
    </r>
  </si>
  <si>
    <r>
      <rPr>
        <sz val="12"/>
        <rFont val="標楷體"/>
        <family val="4"/>
        <charset val="136"/>
      </rPr>
      <t>台開</t>
    </r>
  </si>
  <si>
    <r>
      <rPr>
        <sz val="12"/>
        <rFont val="標楷體"/>
        <family val="4"/>
        <charset val="136"/>
      </rPr>
      <t>遠東銀</t>
    </r>
  </si>
  <si>
    <r>
      <rPr>
        <sz val="12"/>
        <rFont val="標楷體"/>
        <family val="4"/>
        <charset val="136"/>
      </rPr>
      <t>安泰銀</t>
    </r>
  </si>
  <si>
    <r>
      <rPr>
        <sz val="12"/>
        <rFont val="標楷體"/>
        <family val="4"/>
        <charset val="136"/>
      </rPr>
      <t>新產</t>
    </r>
  </si>
  <si>
    <r>
      <rPr>
        <sz val="12"/>
        <rFont val="標楷體"/>
        <family val="4"/>
        <charset val="136"/>
      </rPr>
      <t>中再保</t>
    </r>
  </si>
  <si>
    <r>
      <rPr>
        <sz val="12"/>
        <rFont val="標楷體"/>
        <family val="4"/>
        <charset val="136"/>
      </rPr>
      <t>第一保</t>
    </r>
  </si>
  <si>
    <r>
      <rPr>
        <sz val="12"/>
        <rFont val="標楷體"/>
        <family val="4"/>
        <charset val="136"/>
      </rPr>
      <t>統一證</t>
    </r>
  </si>
  <si>
    <r>
      <rPr>
        <sz val="12"/>
        <rFont val="標楷體"/>
        <family val="4"/>
        <charset val="136"/>
      </rPr>
      <t>三商壽</t>
    </r>
  </si>
  <si>
    <r>
      <rPr>
        <sz val="12"/>
        <rFont val="標楷體"/>
        <family val="4"/>
        <charset val="136"/>
      </rPr>
      <t>華南金</t>
    </r>
  </si>
  <si>
    <r>
      <rPr>
        <sz val="12"/>
        <rFont val="標楷體"/>
        <family val="4"/>
        <charset val="136"/>
      </rPr>
      <t>富邦金</t>
    </r>
  </si>
  <si>
    <r>
      <rPr>
        <sz val="12"/>
        <rFont val="標楷體"/>
        <family val="4"/>
        <charset val="136"/>
      </rPr>
      <t>國泰金</t>
    </r>
  </si>
  <si>
    <r>
      <rPr>
        <sz val="12"/>
        <rFont val="標楷體"/>
        <family val="4"/>
        <charset val="136"/>
      </rPr>
      <t>開發金</t>
    </r>
  </si>
  <si>
    <r>
      <rPr>
        <sz val="12"/>
        <rFont val="標楷體"/>
        <family val="4"/>
        <charset val="136"/>
      </rPr>
      <t>玉山金</t>
    </r>
  </si>
  <si>
    <r>
      <rPr>
        <sz val="12"/>
        <rFont val="標楷體"/>
        <family val="4"/>
        <charset val="136"/>
      </rPr>
      <t>元大金</t>
    </r>
  </si>
  <si>
    <r>
      <rPr>
        <sz val="12"/>
        <rFont val="標楷體"/>
        <family val="4"/>
        <charset val="136"/>
      </rPr>
      <t>兆豐金</t>
    </r>
  </si>
  <si>
    <r>
      <rPr>
        <sz val="12"/>
        <rFont val="標楷體"/>
        <family val="4"/>
        <charset val="136"/>
      </rPr>
      <t>台新金</t>
    </r>
  </si>
  <si>
    <r>
      <rPr>
        <sz val="12"/>
        <rFont val="標楷體"/>
        <family val="4"/>
        <charset val="136"/>
      </rPr>
      <t>新光金</t>
    </r>
  </si>
  <si>
    <r>
      <rPr>
        <sz val="12"/>
        <rFont val="標楷體"/>
        <family val="4"/>
        <charset val="136"/>
      </rPr>
      <t>國票金</t>
    </r>
  </si>
  <si>
    <r>
      <rPr>
        <sz val="12"/>
        <rFont val="標楷體"/>
        <family val="4"/>
        <charset val="136"/>
      </rPr>
      <t>永豐金</t>
    </r>
  </si>
  <si>
    <r>
      <rPr>
        <sz val="12"/>
        <rFont val="標楷體"/>
        <family val="4"/>
        <charset val="136"/>
      </rPr>
      <t>中信金</t>
    </r>
  </si>
  <si>
    <r>
      <rPr>
        <sz val="12"/>
        <rFont val="標楷體"/>
        <family val="4"/>
        <charset val="136"/>
      </rPr>
      <t>第一金</t>
    </r>
  </si>
  <si>
    <r>
      <rPr>
        <sz val="12"/>
        <rFont val="標楷體"/>
        <family val="4"/>
        <charset val="136"/>
      </rPr>
      <t>王道銀行</t>
    </r>
  </si>
  <si>
    <r>
      <rPr>
        <sz val="12"/>
        <rFont val="標楷體"/>
        <family val="4"/>
        <charset val="136"/>
      </rPr>
      <t>欣欣</t>
    </r>
  </si>
  <si>
    <r>
      <rPr>
        <sz val="12"/>
        <rFont val="標楷體"/>
        <family val="4"/>
        <charset val="136"/>
      </rPr>
      <t>遠百</t>
    </r>
  </si>
  <si>
    <r>
      <rPr>
        <sz val="12"/>
        <rFont val="標楷體"/>
        <family val="4"/>
        <charset val="136"/>
      </rPr>
      <t>匯僑</t>
    </r>
  </si>
  <si>
    <r>
      <rPr>
        <sz val="12"/>
        <rFont val="標楷體"/>
        <family val="4"/>
        <charset val="136"/>
      </rPr>
      <t>三商</t>
    </r>
  </si>
  <si>
    <r>
      <rPr>
        <sz val="12"/>
        <rFont val="標楷體"/>
        <family val="4"/>
        <charset val="136"/>
      </rPr>
      <t>高林</t>
    </r>
  </si>
  <si>
    <r>
      <rPr>
        <sz val="12"/>
        <rFont val="標楷體"/>
        <family val="4"/>
        <charset val="136"/>
      </rPr>
      <t>特力</t>
    </r>
  </si>
  <si>
    <r>
      <rPr>
        <sz val="12"/>
        <rFont val="標楷體"/>
        <family val="4"/>
        <charset val="136"/>
      </rPr>
      <t>統領</t>
    </r>
  </si>
  <si>
    <r>
      <rPr>
        <sz val="12"/>
        <rFont val="標楷體"/>
        <family val="4"/>
        <charset val="136"/>
      </rPr>
      <t>麗嬰房</t>
    </r>
  </si>
  <si>
    <r>
      <rPr>
        <sz val="12"/>
        <rFont val="標楷體"/>
        <family val="4"/>
        <charset val="136"/>
      </rPr>
      <t>統一超</t>
    </r>
  </si>
  <si>
    <r>
      <rPr>
        <sz val="12"/>
        <rFont val="標楷體"/>
        <family val="4"/>
        <charset val="136"/>
      </rPr>
      <t>農林</t>
    </r>
  </si>
  <si>
    <r>
      <rPr>
        <sz val="12"/>
        <rFont val="標楷體"/>
        <family val="4"/>
        <charset val="136"/>
      </rPr>
      <t>潤泰全</t>
    </r>
  </si>
  <si>
    <r>
      <rPr>
        <sz val="12"/>
        <rFont val="標楷體"/>
        <family val="4"/>
        <charset val="136"/>
      </rPr>
      <t>鼎固</t>
    </r>
    <r>
      <rPr>
        <sz val="12"/>
        <rFont val="Times New Roman"/>
        <family val="1"/>
      </rPr>
      <t>-KY</t>
    </r>
  </si>
  <si>
    <r>
      <rPr>
        <sz val="12"/>
        <rFont val="標楷體"/>
        <family val="4"/>
        <charset val="136"/>
      </rPr>
      <t>淘帝</t>
    </r>
    <r>
      <rPr>
        <sz val="12"/>
        <rFont val="Times New Roman"/>
        <family val="1"/>
      </rPr>
      <t>-KY</t>
    </r>
  </si>
  <si>
    <r>
      <rPr>
        <sz val="12"/>
        <rFont val="標楷體"/>
        <family val="4"/>
        <charset val="136"/>
      </rPr>
      <t>客思達</t>
    </r>
    <r>
      <rPr>
        <sz val="12"/>
        <rFont val="Times New Roman"/>
        <family val="1"/>
      </rPr>
      <t>-KY</t>
    </r>
  </si>
  <si>
    <r>
      <rPr>
        <sz val="12"/>
        <rFont val="標楷體"/>
        <family val="4"/>
        <charset val="136"/>
      </rPr>
      <t>凱羿</t>
    </r>
    <r>
      <rPr>
        <sz val="12"/>
        <rFont val="Times New Roman"/>
        <family val="1"/>
      </rPr>
      <t>-KY</t>
    </r>
  </si>
  <si>
    <r>
      <rPr>
        <sz val="12"/>
        <rFont val="標楷體"/>
        <family val="4"/>
        <charset val="136"/>
      </rPr>
      <t>歐格</t>
    </r>
  </si>
  <si>
    <r>
      <rPr>
        <sz val="12"/>
        <rFont val="標楷體"/>
        <family val="4"/>
        <charset val="136"/>
      </rPr>
      <t>健和興</t>
    </r>
  </si>
  <si>
    <r>
      <rPr>
        <sz val="12"/>
        <rFont val="標楷體"/>
        <family val="4"/>
        <charset val="136"/>
      </rPr>
      <t>豐達科</t>
    </r>
  </si>
  <si>
    <r>
      <rPr>
        <sz val="12"/>
        <rFont val="標楷體"/>
        <family val="4"/>
        <charset val="136"/>
      </rPr>
      <t>神基</t>
    </r>
  </si>
  <si>
    <r>
      <rPr>
        <sz val="12"/>
        <rFont val="標楷體"/>
        <family val="4"/>
        <charset val="136"/>
      </rPr>
      <t>晶豪科</t>
    </r>
  </si>
  <si>
    <r>
      <rPr>
        <sz val="12"/>
        <rFont val="標楷體"/>
        <family val="4"/>
        <charset val="136"/>
      </rPr>
      <t>大立光</t>
    </r>
  </si>
  <si>
    <r>
      <rPr>
        <sz val="12"/>
        <rFont val="標楷體"/>
        <family val="4"/>
        <charset val="136"/>
      </rPr>
      <t>華立</t>
    </r>
  </si>
  <si>
    <r>
      <rPr>
        <sz val="12"/>
        <rFont val="標楷體"/>
        <family val="4"/>
        <charset val="136"/>
      </rPr>
      <t>今皓</t>
    </r>
  </si>
  <si>
    <r>
      <rPr>
        <sz val="12"/>
        <rFont val="標楷體"/>
        <family val="4"/>
        <charset val="136"/>
      </rPr>
      <t>晟銘電</t>
    </r>
  </si>
  <si>
    <r>
      <rPr>
        <sz val="12"/>
        <rFont val="標楷體"/>
        <family val="4"/>
        <charset val="136"/>
      </rPr>
      <t>聯陽</t>
    </r>
  </si>
  <si>
    <r>
      <rPr>
        <sz val="12"/>
        <rFont val="標楷體"/>
        <family val="4"/>
        <charset val="136"/>
      </rPr>
      <t>全漢</t>
    </r>
  </si>
  <si>
    <r>
      <rPr>
        <sz val="12"/>
        <rFont val="標楷體"/>
        <family val="4"/>
        <charset val="136"/>
      </rPr>
      <t>嘉晶</t>
    </r>
  </si>
  <si>
    <r>
      <rPr>
        <sz val="12"/>
        <rFont val="標楷體"/>
        <family val="4"/>
        <charset val="136"/>
      </rPr>
      <t>奇鋐</t>
    </r>
  </si>
  <si>
    <r>
      <rPr>
        <sz val="12"/>
        <rFont val="標楷體"/>
        <family val="4"/>
        <charset val="136"/>
      </rPr>
      <t>同開</t>
    </r>
  </si>
  <si>
    <r>
      <rPr>
        <sz val="12"/>
        <rFont val="標楷體"/>
        <family val="4"/>
        <charset val="136"/>
      </rPr>
      <t>亞光</t>
    </r>
  </si>
  <si>
    <r>
      <rPr>
        <sz val="12"/>
        <rFont val="標楷體"/>
        <family val="4"/>
        <charset val="136"/>
      </rPr>
      <t>鴻名</t>
    </r>
  </si>
  <si>
    <r>
      <rPr>
        <sz val="12"/>
        <rFont val="標楷體"/>
        <family val="4"/>
        <charset val="136"/>
      </rPr>
      <t>威強電</t>
    </r>
  </si>
  <si>
    <r>
      <rPr>
        <sz val="12"/>
        <rFont val="標楷體"/>
        <family val="4"/>
        <charset val="136"/>
      </rPr>
      <t>信邦</t>
    </r>
  </si>
  <si>
    <r>
      <rPr>
        <sz val="12"/>
        <rFont val="標楷體"/>
        <family val="4"/>
        <charset val="136"/>
      </rPr>
      <t>憶聲</t>
    </r>
  </si>
  <si>
    <r>
      <rPr>
        <sz val="12"/>
        <rFont val="標楷體"/>
        <family val="4"/>
        <charset val="136"/>
      </rPr>
      <t>星通</t>
    </r>
  </si>
  <si>
    <r>
      <rPr>
        <sz val="12"/>
        <rFont val="標楷體"/>
        <family val="4"/>
        <charset val="136"/>
      </rPr>
      <t>禾伸堂</t>
    </r>
  </si>
  <si>
    <r>
      <rPr>
        <sz val="12"/>
        <rFont val="標楷體"/>
        <family val="4"/>
        <charset val="136"/>
      </rPr>
      <t>盛達</t>
    </r>
  </si>
  <si>
    <r>
      <rPr>
        <sz val="12"/>
        <rFont val="標楷體"/>
        <family val="4"/>
        <charset val="136"/>
      </rPr>
      <t>增你強</t>
    </r>
  </si>
  <si>
    <r>
      <rPr>
        <sz val="12"/>
        <rFont val="標楷體"/>
        <family val="4"/>
        <charset val="136"/>
      </rPr>
      <t>零壹</t>
    </r>
  </si>
  <si>
    <r>
      <rPr>
        <sz val="12"/>
        <rFont val="標楷體"/>
        <family val="4"/>
        <charset val="136"/>
      </rPr>
      <t>德律</t>
    </r>
  </si>
  <si>
    <r>
      <rPr>
        <sz val="12"/>
        <rFont val="標楷體"/>
        <family val="4"/>
        <charset val="136"/>
      </rPr>
      <t>佰鴻</t>
    </r>
  </si>
  <si>
    <r>
      <rPr>
        <sz val="12"/>
        <rFont val="標楷體"/>
        <family val="4"/>
        <charset val="136"/>
      </rPr>
      <t>偉訓</t>
    </r>
  </si>
  <si>
    <r>
      <rPr>
        <sz val="12"/>
        <rFont val="標楷體"/>
        <family val="4"/>
        <charset val="136"/>
      </rPr>
      <t>威健</t>
    </r>
  </si>
  <si>
    <r>
      <rPr>
        <sz val="12"/>
        <rFont val="標楷體"/>
        <family val="4"/>
        <charset val="136"/>
      </rPr>
      <t>聯詠</t>
    </r>
  </si>
  <si>
    <r>
      <rPr>
        <sz val="12"/>
        <rFont val="標楷體"/>
        <family val="4"/>
        <charset val="136"/>
      </rPr>
      <t>智原</t>
    </r>
  </si>
  <si>
    <r>
      <rPr>
        <sz val="12"/>
        <rFont val="標楷體"/>
        <family val="4"/>
        <charset val="136"/>
      </rPr>
      <t>文曄</t>
    </r>
  </si>
  <si>
    <r>
      <rPr>
        <sz val="12"/>
        <rFont val="標楷體"/>
        <family val="4"/>
        <charset val="136"/>
      </rPr>
      <t>欣興</t>
    </r>
  </si>
  <si>
    <r>
      <rPr>
        <sz val="12"/>
        <rFont val="標楷體"/>
        <family val="4"/>
        <charset val="136"/>
      </rPr>
      <t>全台</t>
    </r>
  </si>
  <si>
    <r>
      <rPr>
        <sz val="12"/>
        <rFont val="標楷體"/>
        <family val="4"/>
        <charset val="136"/>
      </rPr>
      <t>遠見</t>
    </r>
  </si>
  <si>
    <r>
      <rPr>
        <sz val="12"/>
        <rFont val="標楷體"/>
        <family val="4"/>
        <charset val="136"/>
      </rPr>
      <t>揚智</t>
    </r>
  </si>
  <si>
    <r>
      <rPr>
        <sz val="12"/>
        <rFont val="標楷體"/>
        <family val="4"/>
        <charset val="136"/>
      </rPr>
      <t>晶技</t>
    </r>
  </si>
  <si>
    <r>
      <rPr>
        <sz val="12"/>
        <rFont val="標楷體"/>
        <family val="4"/>
        <charset val="136"/>
      </rPr>
      <t>科風</t>
    </r>
  </si>
  <si>
    <r>
      <rPr>
        <sz val="12"/>
        <rFont val="標楷體"/>
        <family val="4"/>
        <charset val="136"/>
      </rPr>
      <t>健鼎</t>
    </r>
  </si>
  <si>
    <r>
      <rPr>
        <sz val="12"/>
        <rFont val="標楷體"/>
        <family val="4"/>
        <charset val="136"/>
      </rPr>
      <t>台灣大</t>
    </r>
  </si>
  <si>
    <r>
      <rPr>
        <sz val="12"/>
        <rFont val="標楷體"/>
        <family val="4"/>
        <charset val="136"/>
      </rPr>
      <t>建碁</t>
    </r>
  </si>
  <si>
    <r>
      <rPr>
        <sz val="12"/>
        <rFont val="標楷體"/>
        <family val="4"/>
        <charset val="136"/>
      </rPr>
      <t>訊舟</t>
    </r>
  </si>
  <si>
    <r>
      <rPr>
        <sz val="12"/>
        <rFont val="標楷體"/>
        <family val="4"/>
        <charset val="136"/>
      </rPr>
      <t>益登</t>
    </r>
  </si>
  <si>
    <r>
      <rPr>
        <sz val="12"/>
        <rFont val="標楷體"/>
        <family val="4"/>
        <charset val="136"/>
      </rPr>
      <t>和鑫</t>
    </r>
  </si>
  <si>
    <r>
      <rPr>
        <sz val="12"/>
        <rFont val="標楷體"/>
        <family val="4"/>
        <charset val="136"/>
      </rPr>
      <t>鈺德</t>
    </r>
  </si>
  <si>
    <r>
      <rPr>
        <sz val="12"/>
        <rFont val="標楷體"/>
        <family val="4"/>
        <charset val="136"/>
      </rPr>
      <t>力特</t>
    </r>
  </si>
  <si>
    <r>
      <rPr>
        <sz val="12"/>
        <rFont val="標楷體"/>
        <family val="4"/>
        <charset val="136"/>
      </rPr>
      <t>夆典</t>
    </r>
  </si>
  <si>
    <r>
      <rPr>
        <sz val="12"/>
        <rFont val="標楷體"/>
        <family val="4"/>
        <charset val="136"/>
      </rPr>
      <t>立萬利</t>
    </r>
  </si>
  <si>
    <r>
      <rPr>
        <sz val="12"/>
        <rFont val="標楷體"/>
        <family val="4"/>
        <charset val="136"/>
      </rPr>
      <t>蔚華科</t>
    </r>
  </si>
  <si>
    <r>
      <rPr>
        <sz val="12"/>
        <rFont val="標楷體"/>
        <family val="4"/>
        <charset val="136"/>
      </rPr>
      <t>總太</t>
    </r>
  </si>
  <si>
    <r>
      <rPr>
        <sz val="12"/>
        <rFont val="標楷體"/>
        <family val="4"/>
        <charset val="136"/>
      </rPr>
      <t>喬鼎</t>
    </r>
  </si>
  <si>
    <r>
      <rPr>
        <sz val="12"/>
        <rFont val="標楷體"/>
        <family val="4"/>
        <charset val="136"/>
      </rPr>
      <t>立德</t>
    </r>
  </si>
  <si>
    <r>
      <rPr>
        <sz val="12"/>
        <rFont val="標楷體"/>
        <family val="4"/>
        <charset val="136"/>
      </rPr>
      <t>華晶科</t>
    </r>
  </si>
  <si>
    <r>
      <rPr>
        <sz val="12"/>
        <rFont val="標楷體"/>
        <family val="4"/>
        <charset val="136"/>
      </rPr>
      <t>銘異</t>
    </r>
  </si>
  <si>
    <r>
      <rPr>
        <sz val="12"/>
        <rFont val="標楷體"/>
        <family val="4"/>
        <charset val="136"/>
      </rPr>
      <t>建漢</t>
    </r>
  </si>
  <si>
    <r>
      <rPr>
        <sz val="12"/>
        <rFont val="標楷體"/>
        <family val="4"/>
        <charset val="136"/>
      </rPr>
      <t>日電貿</t>
    </r>
  </si>
  <si>
    <r>
      <rPr>
        <sz val="12"/>
        <rFont val="標楷體"/>
        <family val="4"/>
        <charset val="136"/>
      </rPr>
      <t>聯傑</t>
    </r>
  </si>
  <si>
    <r>
      <rPr>
        <sz val="12"/>
        <rFont val="標楷體"/>
        <family val="4"/>
        <charset val="136"/>
      </rPr>
      <t>一零四</t>
    </r>
  </si>
  <si>
    <r>
      <rPr>
        <sz val="12"/>
        <rFont val="標楷體"/>
        <family val="4"/>
        <charset val="136"/>
      </rPr>
      <t>正達</t>
    </r>
  </si>
  <si>
    <r>
      <rPr>
        <sz val="12"/>
        <rFont val="標楷體"/>
        <family val="4"/>
        <charset val="136"/>
      </rPr>
      <t>景岳</t>
    </r>
  </si>
  <si>
    <r>
      <rPr>
        <sz val="12"/>
        <rFont val="標楷體"/>
        <family val="4"/>
        <charset val="136"/>
      </rPr>
      <t>大量</t>
    </r>
  </si>
  <si>
    <r>
      <rPr>
        <sz val="12"/>
        <rFont val="標楷體"/>
        <family val="4"/>
        <charset val="136"/>
      </rPr>
      <t>景碩</t>
    </r>
  </si>
  <si>
    <r>
      <rPr>
        <sz val="12"/>
        <rFont val="標楷體"/>
        <family val="4"/>
        <charset val="136"/>
      </rPr>
      <t>全科</t>
    </r>
  </si>
  <si>
    <r>
      <rPr>
        <sz val="12"/>
        <rFont val="標楷體"/>
        <family val="4"/>
        <charset val="136"/>
      </rPr>
      <t>晟鈦</t>
    </r>
  </si>
  <si>
    <r>
      <rPr>
        <sz val="12"/>
        <rFont val="標楷體"/>
        <family val="4"/>
        <charset val="136"/>
      </rPr>
      <t>緯創</t>
    </r>
  </si>
  <si>
    <r>
      <rPr>
        <sz val="12"/>
        <rFont val="標楷體"/>
        <family val="4"/>
        <charset val="136"/>
      </rPr>
      <t>虹冠電</t>
    </r>
  </si>
  <si>
    <r>
      <rPr>
        <sz val="12"/>
        <rFont val="標楷體"/>
        <family val="4"/>
        <charset val="136"/>
      </rPr>
      <t>昇陽</t>
    </r>
  </si>
  <si>
    <r>
      <rPr>
        <sz val="12"/>
        <rFont val="標楷體"/>
        <family val="4"/>
        <charset val="136"/>
      </rPr>
      <t>勝德</t>
    </r>
  </si>
  <si>
    <r>
      <rPr>
        <sz val="12"/>
        <rFont val="標楷體"/>
        <family val="4"/>
        <charset val="136"/>
      </rPr>
      <t>昇貿</t>
    </r>
  </si>
  <si>
    <r>
      <rPr>
        <sz val="12"/>
        <rFont val="標楷體"/>
        <family val="4"/>
        <charset val="136"/>
      </rPr>
      <t>聯德</t>
    </r>
  </si>
  <si>
    <r>
      <rPr>
        <sz val="12"/>
        <rFont val="標楷體"/>
        <family val="4"/>
        <charset val="136"/>
      </rPr>
      <t>閎暉</t>
    </r>
  </si>
  <si>
    <r>
      <rPr>
        <sz val="12"/>
        <rFont val="標楷體"/>
        <family val="4"/>
        <charset val="136"/>
      </rPr>
      <t>弘憶股</t>
    </r>
  </si>
  <si>
    <r>
      <rPr>
        <sz val="12"/>
        <rFont val="標楷體"/>
        <family val="4"/>
        <charset val="136"/>
      </rPr>
      <t>同泰</t>
    </r>
  </si>
  <si>
    <r>
      <rPr>
        <sz val="12"/>
        <rFont val="標楷體"/>
        <family val="4"/>
        <charset val="136"/>
      </rPr>
      <t>泰碩</t>
    </r>
  </si>
  <si>
    <r>
      <rPr>
        <sz val="12"/>
        <rFont val="標楷體"/>
        <family val="4"/>
        <charset val="136"/>
      </rPr>
      <t>麗清</t>
    </r>
  </si>
  <si>
    <r>
      <rPr>
        <sz val="12"/>
        <rFont val="標楷體"/>
        <family val="4"/>
        <charset val="136"/>
      </rPr>
      <t>奇偶</t>
    </r>
  </si>
  <si>
    <r>
      <rPr>
        <sz val="12"/>
        <rFont val="標楷體"/>
        <family val="4"/>
        <charset val="136"/>
      </rPr>
      <t>新日興</t>
    </r>
  </si>
  <si>
    <r>
      <rPr>
        <sz val="12"/>
        <rFont val="標楷體"/>
        <family val="4"/>
        <charset val="136"/>
      </rPr>
      <t>明泰</t>
    </r>
  </si>
  <si>
    <r>
      <rPr>
        <sz val="12"/>
        <rFont val="標楷體"/>
        <family val="4"/>
        <charset val="136"/>
      </rPr>
      <t>新世紀</t>
    </r>
  </si>
  <si>
    <r>
      <rPr>
        <sz val="12"/>
        <rFont val="標楷體"/>
        <family val="4"/>
        <charset val="136"/>
      </rPr>
      <t>玉晶光</t>
    </r>
  </si>
  <si>
    <r>
      <rPr>
        <sz val="12"/>
        <rFont val="標楷體"/>
        <family val="4"/>
        <charset val="136"/>
      </rPr>
      <t>京鼎</t>
    </r>
  </si>
  <si>
    <r>
      <rPr>
        <sz val="12"/>
        <rFont val="標楷體"/>
        <family val="4"/>
        <charset val="136"/>
      </rPr>
      <t>融程電</t>
    </r>
  </si>
  <si>
    <r>
      <rPr>
        <sz val="12"/>
        <rFont val="標楷體"/>
        <family val="4"/>
        <charset val="136"/>
      </rPr>
      <t>譁裕</t>
    </r>
  </si>
  <si>
    <r>
      <rPr>
        <sz val="12"/>
        <rFont val="標楷體"/>
        <family val="4"/>
        <charset val="136"/>
      </rPr>
      <t>台端</t>
    </r>
  </si>
  <si>
    <r>
      <rPr>
        <sz val="12"/>
        <rFont val="標楷體"/>
        <family val="4"/>
        <charset val="136"/>
      </rPr>
      <t>榮創</t>
    </r>
  </si>
  <si>
    <r>
      <rPr>
        <sz val="12"/>
        <rFont val="標楷體"/>
        <family val="4"/>
        <charset val="136"/>
      </rPr>
      <t>創意</t>
    </r>
  </si>
  <si>
    <r>
      <rPr>
        <sz val="12"/>
        <rFont val="標楷體"/>
        <family val="4"/>
        <charset val="136"/>
      </rPr>
      <t>聯鈞</t>
    </r>
  </si>
  <si>
    <r>
      <rPr>
        <sz val="12"/>
        <rFont val="標楷體"/>
        <family val="4"/>
        <charset val="136"/>
      </rPr>
      <t>晶睿</t>
    </r>
  </si>
  <si>
    <r>
      <rPr>
        <sz val="12"/>
        <rFont val="標楷體"/>
        <family val="4"/>
        <charset val="136"/>
      </rPr>
      <t>群創</t>
    </r>
  </si>
  <si>
    <r>
      <rPr>
        <sz val="12"/>
        <rFont val="標楷體"/>
        <family val="4"/>
        <charset val="136"/>
      </rPr>
      <t>誠研</t>
    </r>
  </si>
  <si>
    <r>
      <rPr>
        <sz val="12"/>
        <rFont val="標楷體"/>
        <family val="4"/>
        <charset val="136"/>
      </rPr>
      <t>維熹</t>
    </r>
  </si>
  <si>
    <r>
      <rPr>
        <sz val="12"/>
        <rFont val="標楷體"/>
        <family val="4"/>
        <charset val="136"/>
      </rPr>
      <t>揚明光</t>
    </r>
  </si>
  <si>
    <r>
      <rPr>
        <sz val="12"/>
        <rFont val="標楷體"/>
        <family val="4"/>
        <charset val="136"/>
      </rPr>
      <t>華擎</t>
    </r>
  </si>
  <si>
    <r>
      <rPr>
        <sz val="12"/>
        <rFont val="標楷體"/>
        <family val="4"/>
        <charset val="136"/>
      </rPr>
      <t>柏騰</t>
    </r>
  </si>
  <si>
    <r>
      <rPr>
        <sz val="12"/>
        <rFont val="標楷體"/>
        <family val="4"/>
        <charset val="136"/>
      </rPr>
      <t>安馳</t>
    </r>
  </si>
  <si>
    <r>
      <rPr>
        <sz val="12"/>
        <rFont val="標楷體"/>
        <family val="4"/>
        <charset val="136"/>
      </rPr>
      <t>晶相光</t>
    </r>
  </si>
  <si>
    <r>
      <rPr>
        <sz val="12"/>
        <rFont val="標楷體"/>
        <family val="4"/>
        <charset val="136"/>
      </rPr>
      <t>台勝科</t>
    </r>
  </si>
  <si>
    <r>
      <rPr>
        <sz val="12"/>
        <rFont val="標楷體"/>
        <family val="4"/>
        <charset val="136"/>
      </rPr>
      <t>嘉澤</t>
    </r>
  </si>
  <si>
    <r>
      <rPr>
        <sz val="12"/>
        <rFont val="標楷體"/>
        <family val="4"/>
        <charset val="136"/>
      </rPr>
      <t>晶彩科</t>
    </r>
  </si>
  <si>
    <r>
      <rPr>
        <sz val="12"/>
        <rFont val="標楷體"/>
        <family val="4"/>
        <charset val="136"/>
      </rPr>
      <t>誠創</t>
    </r>
  </si>
  <si>
    <r>
      <rPr>
        <sz val="12"/>
        <rFont val="標楷體"/>
        <family val="4"/>
        <charset val="136"/>
      </rPr>
      <t>敦泰</t>
    </r>
  </si>
  <si>
    <r>
      <rPr>
        <sz val="12"/>
        <rFont val="標楷體"/>
        <family val="4"/>
        <charset val="136"/>
      </rPr>
      <t>聯穎</t>
    </r>
  </si>
  <si>
    <r>
      <rPr>
        <sz val="12"/>
        <rFont val="標楷體"/>
        <family val="4"/>
        <charset val="136"/>
      </rPr>
      <t>嘉威</t>
    </r>
  </si>
  <si>
    <r>
      <rPr>
        <sz val="12"/>
        <rFont val="標楷體"/>
        <family val="4"/>
        <charset val="136"/>
      </rPr>
      <t>牧德</t>
    </r>
  </si>
  <si>
    <r>
      <rPr>
        <sz val="12"/>
        <rFont val="標楷體"/>
        <family val="4"/>
        <charset val="136"/>
      </rPr>
      <t>聯合再生</t>
    </r>
  </si>
  <si>
    <r>
      <rPr>
        <sz val="12"/>
        <rFont val="標楷體"/>
        <family val="4"/>
        <charset val="136"/>
      </rPr>
      <t>辛耘</t>
    </r>
  </si>
  <si>
    <r>
      <rPr>
        <sz val="12"/>
        <rFont val="標楷體"/>
        <family val="4"/>
        <charset val="136"/>
      </rPr>
      <t>通嘉</t>
    </r>
  </si>
  <si>
    <r>
      <rPr>
        <sz val="12"/>
        <rFont val="標楷體"/>
        <family val="4"/>
        <charset val="136"/>
      </rPr>
      <t>艾笛森</t>
    </r>
  </si>
  <si>
    <r>
      <rPr>
        <sz val="12"/>
        <rFont val="標楷體"/>
        <family val="4"/>
        <charset val="136"/>
      </rPr>
      <t>力銘</t>
    </r>
  </si>
  <si>
    <r>
      <rPr>
        <sz val="12"/>
        <rFont val="標楷體"/>
        <family val="4"/>
        <charset val="136"/>
      </rPr>
      <t>智易</t>
    </r>
  </si>
  <si>
    <r>
      <rPr>
        <sz val="12"/>
        <rFont val="標楷體"/>
        <family val="4"/>
        <charset val="136"/>
      </rPr>
      <t>宏致</t>
    </r>
  </si>
  <si>
    <r>
      <rPr>
        <sz val="12"/>
        <rFont val="標楷體"/>
        <family val="4"/>
        <charset val="136"/>
      </rPr>
      <t>谷崧</t>
    </r>
  </si>
  <si>
    <r>
      <rPr>
        <sz val="12"/>
        <rFont val="標楷體"/>
        <family val="4"/>
        <charset val="136"/>
      </rPr>
      <t>碩天</t>
    </r>
  </si>
  <si>
    <r>
      <rPr>
        <sz val="12"/>
        <rFont val="標楷體"/>
        <family val="4"/>
        <charset val="136"/>
      </rPr>
      <t>洋華</t>
    </r>
  </si>
  <si>
    <r>
      <rPr>
        <sz val="12"/>
        <rFont val="標楷體"/>
        <family val="4"/>
        <charset val="136"/>
      </rPr>
      <t>達邁</t>
    </r>
  </si>
  <si>
    <r>
      <rPr>
        <sz val="12"/>
        <rFont val="標楷體"/>
        <family val="4"/>
        <charset val="136"/>
      </rPr>
      <t>健策</t>
    </r>
  </si>
  <si>
    <r>
      <rPr>
        <sz val="12"/>
        <rFont val="標楷體"/>
        <family val="4"/>
        <charset val="136"/>
      </rPr>
      <t>世芯</t>
    </r>
    <r>
      <rPr>
        <sz val="12"/>
        <rFont val="Times New Roman"/>
        <family val="1"/>
      </rPr>
      <t>-KY</t>
    </r>
  </si>
  <si>
    <r>
      <rPr>
        <sz val="12"/>
        <rFont val="標楷體"/>
        <family val="4"/>
        <charset val="136"/>
      </rPr>
      <t>貿聯</t>
    </r>
    <r>
      <rPr>
        <sz val="12"/>
        <rFont val="Times New Roman"/>
        <family val="1"/>
      </rPr>
      <t>-KY</t>
    </r>
  </si>
  <si>
    <r>
      <rPr>
        <sz val="12"/>
        <rFont val="標楷體"/>
        <family val="4"/>
        <charset val="136"/>
      </rPr>
      <t>圓展</t>
    </r>
  </si>
  <si>
    <r>
      <rPr>
        <sz val="12"/>
        <rFont val="標楷體"/>
        <family val="4"/>
        <charset val="136"/>
      </rPr>
      <t>新至陞</t>
    </r>
  </si>
  <si>
    <r>
      <rPr>
        <sz val="12"/>
        <rFont val="標楷體"/>
        <family val="4"/>
        <charset val="136"/>
      </rPr>
      <t>亞太電</t>
    </r>
  </si>
  <si>
    <r>
      <rPr>
        <sz val="12"/>
        <rFont val="標楷體"/>
        <family val="4"/>
        <charset val="136"/>
      </rPr>
      <t>達能</t>
    </r>
  </si>
  <si>
    <r>
      <rPr>
        <sz val="12"/>
        <rFont val="標楷體"/>
        <family val="4"/>
        <charset val="136"/>
      </rPr>
      <t>海華</t>
    </r>
  </si>
  <si>
    <r>
      <rPr>
        <sz val="12"/>
        <rFont val="標楷體"/>
        <family val="4"/>
        <charset val="136"/>
      </rPr>
      <t>隆達</t>
    </r>
  </si>
  <si>
    <r>
      <rPr>
        <sz val="12"/>
        <rFont val="標楷體"/>
        <family val="4"/>
        <charset val="136"/>
      </rPr>
      <t>大眾控</t>
    </r>
  </si>
  <si>
    <r>
      <rPr>
        <sz val="12"/>
        <rFont val="標楷體"/>
        <family val="4"/>
        <charset val="136"/>
      </rPr>
      <t>大聯大</t>
    </r>
  </si>
  <si>
    <r>
      <rPr>
        <sz val="12"/>
        <rFont val="標楷體"/>
        <family val="4"/>
        <charset val="136"/>
      </rPr>
      <t>欣陸</t>
    </r>
  </si>
  <si>
    <r>
      <rPr>
        <sz val="12"/>
        <rFont val="標楷體"/>
        <family val="4"/>
        <charset val="136"/>
      </rPr>
      <t>合勤控</t>
    </r>
  </si>
  <si>
    <r>
      <rPr>
        <sz val="12"/>
        <rFont val="標楷體"/>
        <family val="4"/>
        <charset val="136"/>
      </rPr>
      <t>永信</t>
    </r>
  </si>
  <si>
    <r>
      <rPr>
        <sz val="12"/>
        <rFont val="標楷體"/>
        <family val="4"/>
        <charset val="136"/>
      </rPr>
      <t>神達</t>
    </r>
  </si>
  <si>
    <r>
      <rPr>
        <sz val="12"/>
        <rFont val="標楷體"/>
        <family val="4"/>
        <charset val="136"/>
      </rPr>
      <t>上緯投控</t>
    </r>
  </si>
  <si>
    <r>
      <rPr>
        <sz val="12"/>
        <rFont val="標楷體"/>
        <family val="4"/>
        <charset val="136"/>
      </rPr>
      <t>日月光投控</t>
    </r>
  </si>
  <si>
    <r>
      <rPr>
        <sz val="12"/>
        <rFont val="標楷體"/>
        <family val="4"/>
        <charset val="136"/>
      </rPr>
      <t>永崴投控</t>
    </r>
  </si>
  <si>
    <r>
      <rPr>
        <sz val="12"/>
        <rFont val="標楷體"/>
        <family val="4"/>
        <charset val="136"/>
      </rPr>
      <t>佳醫</t>
    </r>
  </si>
  <si>
    <r>
      <rPr>
        <sz val="12"/>
        <rFont val="標楷體"/>
        <family val="4"/>
        <charset val="136"/>
      </rPr>
      <t>雃博</t>
    </r>
  </si>
  <si>
    <r>
      <rPr>
        <sz val="12"/>
        <rFont val="標楷體"/>
        <family val="4"/>
        <charset val="136"/>
      </rPr>
      <t>懷特</t>
    </r>
  </si>
  <si>
    <r>
      <rPr>
        <sz val="12"/>
        <rFont val="標楷體"/>
        <family val="4"/>
        <charset val="136"/>
      </rPr>
      <t>旭富</t>
    </r>
  </si>
  <si>
    <r>
      <rPr>
        <sz val="12"/>
        <rFont val="標楷體"/>
        <family val="4"/>
        <charset val="136"/>
      </rPr>
      <t>亞諾法</t>
    </r>
  </si>
  <si>
    <r>
      <rPr>
        <sz val="12"/>
        <rFont val="標楷體"/>
        <family val="4"/>
        <charset val="136"/>
      </rPr>
      <t>麗豐</t>
    </r>
    <r>
      <rPr>
        <sz val="12"/>
        <rFont val="Times New Roman"/>
        <family val="1"/>
      </rPr>
      <t>-KY</t>
    </r>
  </si>
  <si>
    <r>
      <rPr>
        <sz val="12"/>
        <rFont val="標楷體"/>
        <family val="4"/>
        <charset val="136"/>
      </rPr>
      <t>龍燈</t>
    </r>
    <r>
      <rPr>
        <sz val="12"/>
        <rFont val="Times New Roman"/>
        <family val="1"/>
      </rPr>
      <t>-KY</t>
    </r>
  </si>
  <si>
    <r>
      <rPr>
        <sz val="12"/>
        <rFont val="標楷體"/>
        <family val="4"/>
        <charset val="136"/>
      </rPr>
      <t>國光生</t>
    </r>
  </si>
  <si>
    <r>
      <rPr>
        <sz val="12"/>
        <rFont val="標楷體"/>
        <family val="4"/>
        <charset val="136"/>
      </rPr>
      <t>康聯</t>
    </r>
    <r>
      <rPr>
        <sz val="12"/>
        <rFont val="Times New Roman"/>
        <family val="1"/>
      </rPr>
      <t>-KY</t>
    </r>
  </si>
  <si>
    <r>
      <rPr>
        <sz val="12"/>
        <rFont val="標楷體"/>
        <family val="4"/>
        <charset val="136"/>
      </rPr>
      <t>全宇生技</t>
    </r>
    <r>
      <rPr>
        <sz val="12"/>
        <rFont val="Times New Roman"/>
        <family val="1"/>
      </rPr>
      <t>-KY</t>
    </r>
  </si>
  <si>
    <r>
      <rPr>
        <sz val="12"/>
        <rFont val="標楷體"/>
        <family val="4"/>
        <charset val="136"/>
      </rPr>
      <t>訊映</t>
    </r>
  </si>
  <si>
    <r>
      <rPr>
        <sz val="12"/>
        <rFont val="標楷體"/>
        <family val="4"/>
        <charset val="136"/>
      </rPr>
      <t>承業醫</t>
    </r>
  </si>
  <si>
    <r>
      <rPr>
        <sz val="12"/>
        <rFont val="標楷體"/>
        <family val="4"/>
        <charset val="136"/>
      </rPr>
      <t>佐登</t>
    </r>
    <r>
      <rPr>
        <sz val="12"/>
        <rFont val="Times New Roman"/>
        <family val="1"/>
      </rPr>
      <t>-KY</t>
    </r>
  </si>
  <si>
    <r>
      <rPr>
        <sz val="12"/>
        <rFont val="標楷體"/>
        <family val="4"/>
        <charset val="136"/>
      </rPr>
      <t>炎洲</t>
    </r>
  </si>
  <si>
    <r>
      <rPr>
        <sz val="12"/>
        <rFont val="標楷體"/>
        <family val="4"/>
        <charset val="136"/>
      </rPr>
      <t>如興</t>
    </r>
  </si>
  <si>
    <r>
      <rPr>
        <sz val="12"/>
        <rFont val="標楷體"/>
        <family val="4"/>
        <charset val="136"/>
      </rPr>
      <t>利勤</t>
    </r>
  </si>
  <si>
    <r>
      <rPr>
        <sz val="12"/>
        <rFont val="標楷體"/>
        <family val="4"/>
        <charset val="136"/>
      </rPr>
      <t>廣越</t>
    </r>
  </si>
  <si>
    <r>
      <rPr>
        <sz val="12"/>
        <rFont val="標楷體"/>
        <family val="4"/>
        <charset val="136"/>
      </rPr>
      <t>冠星</t>
    </r>
    <r>
      <rPr>
        <sz val="12"/>
        <rFont val="Times New Roman"/>
        <family val="1"/>
      </rPr>
      <t>-KY</t>
    </r>
  </si>
  <si>
    <r>
      <rPr>
        <sz val="12"/>
        <rFont val="標楷體"/>
        <family val="4"/>
        <charset val="136"/>
      </rPr>
      <t>東台</t>
    </r>
  </si>
  <si>
    <r>
      <rPr>
        <sz val="12"/>
        <rFont val="標楷體"/>
        <family val="4"/>
        <charset val="136"/>
      </rPr>
      <t>瑞智</t>
    </r>
  </si>
  <si>
    <r>
      <rPr>
        <sz val="12"/>
        <rFont val="標楷體"/>
        <family val="4"/>
        <charset val="136"/>
      </rPr>
      <t>拓凱</t>
    </r>
  </si>
  <si>
    <r>
      <rPr>
        <sz val="12"/>
        <rFont val="標楷體"/>
        <family val="4"/>
        <charset val="136"/>
      </rPr>
      <t>全球傳動</t>
    </r>
  </si>
  <si>
    <r>
      <rPr>
        <sz val="12"/>
        <rFont val="標楷體"/>
        <family val="4"/>
        <charset val="136"/>
      </rPr>
      <t>銘鈺</t>
    </r>
  </si>
  <si>
    <r>
      <rPr>
        <sz val="12"/>
        <rFont val="標楷體"/>
        <family val="4"/>
        <charset val="136"/>
      </rPr>
      <t>智伸科</t>
    </r>
  </si>
  <si>
    <r>
      <rPr>
        <sz val="12"/>
        <rFont val="標楷體"/>
        <family val="4"/>
        <charset val="136"/>
      </rPr>
      <t>力達</t>
    </r>
    <r>
      <rPr>
        <sz val="12"/>
        <rFont val="Times New Roman"/>
        <family val="1"/>
      </rPr>
      <t>-KY</t>
    </r>
  </si>
  <si>
    <r>
      <rPr>
        <sz val="12"/>
        <rFont val="標楷體"/>
        <family val="4"/>
        <charset val="136"/>
      </rPr>
      <t>氣立</t>
    </r>
  </si>
  <si>
    <r>
      <rPr>
        <sz val="12"/>
        <rFont val="標楷體"/>
        <family val="4"/>
        <charset val="136"/>
      </rPr>
      <t>永新</t>
    </r>
    <r>
      <rPr>
        <sz val="12"/>
        <rFont val="Times New Roman"/>
        <family val="1"/>
      </rPr>
      <t>-KY</t>
    </r>
  </si>
  <si>
    <r>
      <rPr>
        <sz val="12"/>
        <rFont val="標楷體"/>
        <family val="4"/>
        <charset val="136"/>
      </rPr>
      <t>強信</t>
    </r>
    <r>
      <rPr>
        <sz val="12"/>
        <rFont val="Times New Roman"/>
        <family val="1"/>
      </rPr>
      <t>-KY</t>
    </r>
  </si>
  <si>
    <r>
      <rPr>
        <sz val="12"/>
        <rFont val="標楷體"/>
        <family val="4"/>
        <charset val="136"/>
      </rPr>
      <t>穎漢</t>
    </r>
  </si>
  <si>
    <r>
      <rPr>
        <sz val="12"/>
        <rFont val="標楷體"/>
        <family val="4"/>
        <charset val="136"/>
      </rPr>
      <t>元翎</t>
    </r>
  </si>
  <si>
    <r>
      <rPr>
        <sz val="12"/>
        <rFont val="標楷體"/>
        <family val="4"/>
        <charset val="136"/>
      </rPr>
      <t>時碩工業</t>
    </r>
  </si>
  <si>
    <r>
      <rPr>
        <sz val="12"/>
        <rFont val="標楷體"/>
        <family val="4"/>
        <charset val="136"/>
      </rPr>
      <t>鈞興</t>
    </r>
    <r>
      <rPr>
        <sz val="12"/>
        <rFont val="Times New Roman"/>
        <family val="1"/>
      </rPr>
      <t>-KY</t>
    </r>
  </si>
  <si>
    <r>
      <rPr>
        <sz val="12"/>
        <rFont val="標楷體"/>
        <family val="4"/>
        <charset val="136"/>
      </rPr>
      <t>駐龍</t>
    </r>
  </si>
  <si>
    <r>
      <rPr>
        <sz val="12"/>
        <rFont val="標楷體"/>
        <family val="4"/>
        <charset val="136"/>
      </rPr>
      <t>大銀微系統</t>
    </r>
  </si>
  <si>
    <r>
      <rPr>
        <sz val="12"/>
        <rFont val="標楷體"/>
        <family val="4"/>
        <charset val="136"/>
      </rPr>
      <t>德淵</t>
    </r>
  </si>
  <si>
    <r>
      <rPr>
        <sz val="12"/>
        <rFont val="標楷體"/>
        <family val="4"/>
        <charset val="136"/>
      </rPr>
      <t>國精化</t>
    </r>
  </si>
  <si>
    <r>
      <rPr>
        <sz val="12"/>
        <rFont val="標楷體"/>
        <family val="4"/>
        <charset val="136"/>
      </rPr>
      <t>信昌化</t>
    </r>
  </si>
  <si>
    <r>
      <rPr>
        <sz val="12"/>
        <rFont val="標楷體"/>
        <family val="4"/>
        <charset val="136"/>
      </rPr>
      <t>華廣</t>
    </r>
  </si>
  <si>
    <r>
      <rPr>
        <sz val="12"/>
        <rFont val="標楷體"/>
        <family val="4"/>
        <charset val="136"/>
      </rPr>
      <t>康普</t>
    </r>
  </si>
  <si>
    <r>
      <rPr>
        <sz val="12"/>
        <rFont val="標楷體"/>
        <family val="4"/>
        <charset val="136"/>
      </rPr>
      <t>台耀</t>
    </r>
  </si>
  <si>
    <r>
      <rPr>
        <sz val="12"/>
        <rFont val="標楷體"/>
        <family val="4"/>
        <charset val="136"/>
      </rPr>
      <t>三福化</t>
    </r>
  </si>
  <si>
    <r>
      <rPr>
        <sz val="12"/>
        <rFont val="標楷體"/>
        <family val="4"/>
        <charset val="136"/>
      </rPr>
      <t>材料</t>
    </r>
    <r>
      <rPr>
        <sz val="12"/>
        <rFont val="Times New Roman"/>
        <family val="1"/>
      </rPr>
      <t>-KY</t>
    </r>
  </si>
  <si>
    <r>
      <rPr>
        <sz val="12"/>
        <rFont val="標楷體"/>
        <family val="4"/>
        <charset val="136"/>
      </rPr>
      <t>雙鍵</t>
    </r>
  </si>
  <si>
    <r>
      <rPr>
        <sz val="12"/>
        <rFont val="標楷體"/>
        <family val="4"/>
        <charset val="136"/>
      </rPr>
      <t>南寶</t>
    </r>
  </si>
  <si>
    <r>
      <rPr>
        <sz val="12"/>
        <rFont val="標楷體"/>
        <family val="4"/>
        <charset val="136"/>
      </rPr>
      <t>日成</t>
    </r>
    <r>
      <rPr>
        <sz val="12"/>
        <rFont val="Times New Roman"/>
        <family val="1"/>
      </rPr>
      <t>-KY</t>
    </r>
  </si>
  <si>
    <r>
      <rPr>
        <sz val="12"/>
        <rFont val="標楷體"/>
        <family val="4"/>
        <charset val="136"/>
      </rPr>
      <t>遠傳</t>
    </r>
  </si>
  <si>
    <r>
      <rPr>
        <sz val="12"/>
        <rFont val="標楷體"/>
        <family val="4"/>
        <charset val="136"/>
      </rPr>
      <t>正文</t>
    </r>
  </si>
  <si>
    <r>
      <rPr>
        <sz val="12"/>
        <rFont val="標楷體"/>
        <family val="4"/>
        <charset val="136"/>
      </rPr>
      <t>聯德控股</t>
    </r>
    <r>
      <rPr>
        <sz val="12"/>
        <rFont val="Times New Roman"/>
        <family val="1"/>
      </rPr>
      <t>-KY</t>
    </r>
  </si>
  <si>
    <r>
      <rPr>
        <sz val="12"/>
        <rFont val="標楷體"/>
        <family val="4"/>
        <charset val="136"/>
      </rPr>
      <t>致伸</t>
    </r>
  </si>
  <si>
    <r>
      <rPr>
        <sz val="12"/>
        <rFont val="標楷體"/>
        <family val="4"/>
        <charset val="136"/>
      </rPr>
      <t>事欣科</t>
    </r>
  </si>
  <si>
    <r>
      <rPr>
        <sz val="12"/>
        <rFont val="標楷體"/>
        <family val="4"/>
        <charset val="136"/>
      </rPr>
      <t>新唐</t>
    </r>
  </si>
  <si>
    <r>
      <rPr>
        <sz val="12"/>
        <rFont val="標楷體"/>
        <family val="4"/>
        <charset val="136"/>
      </rPr>
      <t>泰鼎</t>
    </r>
    <r>
      <rPr>
        <sz val="12"/>
        <rFont val="Times New Roman"/>
        <family val="1"/>
      </rPr>
      <t>-KY</t>
    </r>
  </si>
  <si>
    <r>
      <rPr>
        <sz val="12"/>
        <rFont val="標楷體"/>
        <family val="4"/>
        <charset val="136"/>
      </rPr>
      <t>燦星網</t>
    </r>
  </si>
  <si>
    <r>
      <rPr>
        <sz val="12"/>
        <rFont val="標楷體"/>
        <family val="4"/>
        <charset val="136"/>
      </rPr>
      <t>太極</t>
    </r>
  </si>
  <si>
    <r>
      <rPr>
        <sz val="12"/>
        <rFont val="標楷體"/>
        <family val="4"/>
        <charset val="136"/>
      </rPr>
      <t>茂林</t>
    </r>
    <r>
      <rPr>
        <sz val="12"/>
        <rFont val="Times New Roman"/>
        <family val="1"/>
      </rPr>
      <t>-KY</t>
    </r>
  </si>
  <si>
    <r>
      <rPr>
        <sz val="12"/>
        <rFont val="標楷體"/>
        <family val="4"/>
        <charset val="136"/>
      </rPr>
      <t>和碩</t>
    </r>
  </si>
  <si>
    <r>
      <rPr>
        <sz val="12"/>
        <rFont val="標楷體"/>
        <family val="4"/>
        <charset val="136"/>
      </rPr>
      <t>嘉彰</t>
    </r>
  </si>
  <si>
    <r>
      <rPr>
        <sz val="12"/>
        <rFont val="標楷體"/>
        <family val="4"/>
        <charset val="136"/>
      </rPr>
      <t>康控</t>
    </r>
    <r>
      <rPr>
        <sz val="12"/>
        <rFont val="Times New Roman"/>
        <family val="1"/>
      </rPr>
      <t>-KY</t>
    </r>
  </si>
  <si>
    <r>
      <rPr>
        <sz val="12"/>
        <rFont val="標楷體"/>
        <family val="4"/>
        <charset val="136"/>
      </rPr>
      <t>凌通</t>
    </r>
  </si>
  <si>
    <r>
      <rPr>
        <sz val="12"/>
        <rFont val="標楷體"/>
        <family val="4"/>
        <charset val="136"/>
      </rPr>
      <t>光鋐</t>
    </r>
  </si>
  <si>
    <r>
      <rPr>
        <sz val="12"/>
        <rFont val="標楷體"/>
        <family val="4"/>
        <charset val="136"/>
      </rPr>
      <t>臻鼎</t>
    </r>
    <r>
      <rPr>
        <sz val="12"/>
        <rFont val="Times New Roman"/>
        <family val="1"/>
      </rPr>
      <t>-KY</t>
    </r>
  </si>
  <si>
    <r>
      <rPr>
        <sz val="12"/>
        <rFont val="標楷體"/>
        <family val="4"/>
        <charset val="136"/>
      </rPr>
      <t>誠美材</t>
    </r>
  </si>
  <si>
    <r>
      <rPr>
        <sz val="12"/>
        <rFont val="標楷體"/>
        <family val="4"/>
        <charset val="136"/>
      </rPr>
      <t>天鈺</t>
    </r>
  </si>
  <si>
    <r>
      <rPr>
        <sz val="12"/>
        <rFont val="標楷體"/>
        <family val="4"/>
        <charset val="136"/>
      </rPr>
      <t>十銓</t>
    </r>
  </si>
  <si>
    <r>
      <rPr>
        <sz val="12"/>
        <rFont val="標楷體"/>
        <family val="4"/>
        <charset val="136"/>
      </rPr>
      <t>立積</t>
    </r>
  </si>
  <si>
    <r>
      <rPr>
        <sz val="12"/>
        <rFont val="標楷體"/>
        <family val="4"/>
        <charset val="136"/>
      </rPr>
      <t>佳凌</t>
    </r>
  </si>
  <si>
    <r>
      <rPr>
        <sz val="12"/>
        <rFont val="標楷體"/>
        <family val="4"/>
        <charset val="136"/>
      </rPr>
      <t>眾達</t>
    </r>
    <r>
      <rPr>
        <sz val="12"/>
        <rFont val="Times New Roman"/>
        <family val="1"/>
      </rPr>
      <t>-KY</t>
    </r>
  </si>
  <si>
    <r>
      <rPr>
        <sz val="12"/>
        <rFont val="標楷體"/>
        <family val="4"/>
        <charset val="136"/>
      </rPr>
      <t>榮科</t>
    </r>
  </si>
  <si>
    <r>
      <rPr>
        <sz val="12"/>
        <rFont val="標楷體"/>
        <family val="4"/>
        <charset val="136"/>
      </rPr>
      <t>傳奇</t>
    </r>
  </si>
  <si>
    <r>
      <rPr>
        <sz val="12"/>
        <rFont val="標楷體"/>
        <family val="4"/>
        <charset val="136"/>
      </rPr>
      <t>鑫禾</t>
    </r>
  </si>
  <si>
    <r>
      <rPr>
        <sz val="12"/>
        <rFont val="標楷體"/>
        <family val="4"/>
        <charset val="136"/>
      </rPr>
      <t>三星</t>
    </r>
  </si>
  <si>
    <r>
      <rPr>
        <sz val="12"/>
        <rFont val="標楷體"/>
        <family val="4"/>
        <charset val="136"/>
      </rPr>
      <t>訊連</t>
    </r>
  </si>
  <si>
    <r>
      <rPr>
        <sz val="12"/>
        <rFont val="標楷體"/>
        <family val="4"/>
        <charset val="136"/>
      </rPr>
      <t>科嘉</t>
    </r>
    <r>
      <rPr>
        <sz val="12"/>
        <rFont val="Times New Roman"/>
        <family val="1"/>
      </rPr>
      <t>-KY</t>
    </r>
  </si>
  <si>
    <r>
      <rPr>
        <sz val="12"/>
        <rFont val="標楷體"/>
        <family val="4"/>
        <charset val="136"/>
      </rPr>
      <t>東科</t>
    </r>
    <r>
      <rPr>
        <sz val="12"/>
        <rFont val="Times New Roman"/>
        <family val="1"/>
      </rPr>
      <t>-KY</t>
    </r>
  </si>
  <si>
    <r>
      <rPr>
        <sz val="12"/>
        <rFont val="標楷體"/>
        <family val="4"/>
        <charset val="136"/>
      </rPr>
      <t>達興材料</t>
    </r>
  </si>
  <si>
    <r>
      <rPr>
        <sz val="12"/>
        <rFont val="標楷體"/>
        <family val="4"/>
        <charset val="136"/>
      </rPr>
      <t>乙盛</t>
    </r>
    <r>
      <rPr>
        <sz val="12"/>
        <rFont val="Times New Roman"/>
        <family val="1"/>
      </rPr>
      <t>-KY</t>
    </r>
  </si>
  <si>
    <r>
      <rPr>
        <sz val="12"/>
        <rFont val="標楷體"/>
        <family val="4"/>
        <charset val="136"/>
      </rPr>
      <t>虹堡</t>
    </r>
  </si>
  <si>
    <r>
      <rPr>
        <sz val="12"/>
        <rFont val="標楷體"/>
        <family val="4"/>
        <charset val="136"/>
      </rPr>
      <t>鎧勝</t>
    </r>
    <r>
      <rPr>
        <sz val="12"/>
        <rFont val="Times New Roman"/>
        <family val="1"/>
      </rPr>
      <t>-KY</t>
    </r>
  </si>
  <si>
    <r>
      <rPr>
        <sz val="12"/>
        <rFont val="標楷體"/>
        <family val="4"/>
        <charset val="136"/>
      </rPr>
      <t>祥碩</t>
    </r>
  </si>
  <si>
    <r>
      <rPr>
        <sz val="12"/>
        <rFont val="標楷體"/>
        <family val="4"/>
        <charset val="136"/>
      </rPr>
      <t>禾聯碩</t>
    </r>
  </si>
  <si>
    <r>
      <rPr>
        <sz val="12"/>
        <rFont val="標楷體"/>
        <family val="4"/>
        <charset val="136"/>
      </rPr>
      <t>界霖</t>
    </r>
  </si>
  <si>
    <r>
      <rPr>
        <sz val="12"/>
        <rFont val="標楷體"/>
        <family val="4"/>
        <charset val="136"/>
      </rPr>
      <t>豐祥</t>
    </r>
    <r>
      <rPr>
        <sz val="12"/>
        <rFont val="Times New Roman"/>
        <family val="1"/>
      </rPr>
      <t>-KY</t>
    </r>
  </si>
  <si>
    <r>
      <rPr>
        <sz val="12"/>
        <rFont val="標楷體"/>
        <family val="4"/>
        <charset val="136"/>
      </rPr>
      <t>敦南</t>
    </r>
  </si>
  <si>
    <r>
      <rPr>
        <sz val="12"/>
        <rFont val="標楷體"/>
        <family val="4"/>
        <charset val="136"/>
      </rPr>
      <t>中磊</t>
    </r>
  </si>
  <si>
    <r>
      <rPr>
        <sz val="12"/>
        <rFont val="標楷體"/>
        <family val="4"/>
        <charset val="136"/>
      </rPr>
      <t>崇越</t>
    </r>
  </si>
  <si>
    <r>
      <rPr>
        <sz val="12"/>
        <rFont val="標楷體"/>
        <family val="4"/>
        <charset val="136"/>
      </rPr>
      <t>瀚宇博</t>
    </r>
  </si>
  <si>
    <r>
      <rPr>
        <sz val="12"/>
        <rFont val="標楷體"/>
        <family val="4"/>
        <charset val="136"/>
      </rPr>
      <t>松翰</t>
    </r>
  </si>
  <si>
    <r>
      <rPr>
        <sz val="12"/>
        <rFont val="標楷體"/>
        <family val="4"/>
        <charset val="136"/>
      </rPr>
      <t>慧友</t>
    </r>
  </si>
  <si>
    <r>
      <rPr>
        <sz val="12"/>
        <rFont val="標楷體"/>
        <family val="4"/>
        <charset val="136"/>
      </rPr>
      <t>建國</t>
    </r>
  </si>
  <si>
    <r>
      <rPr>
        <sz val="12"/>
        <rFont val="標楷體"/>
        <family val="4"/>
        <charset val="136"/>
      </rPr>
      <t>隆大</t>
    </r>
  </si>
  <si>
    <r>
      <rPr>
        <sz val="12"/>
        <rFont val="標楷體"/>
        <family val="4"/>
        <charset val="136"/>
      </rPr>
      <t>工信</t>
    </r>
  </si>
  <si>
    <r>
      <rPr>
        <sz val="12"/>
        <rFont val="標楷體"/>
        <family val="4"/>
        <charset val="136"/>
      </rPr>
      <t>遠雄</t>
    </r>
  </si>
  <si>
    <r>
      <rPr>
        <sz val="12"/>
        <rFont val="標楷體"/>
        <family val="4"/>
        <charset val="136"/>
      </rPr>
      <t>順天</t>
    </r>
  </si>
  <si>
    <r>
      <rPr>
        <sz val="12"/>
        <rFont val="標楷體"/>
        <family val="4"/>
        <charset val="136"/>
      </rPr>
      <t>鄉林</t>
    </r>
  </si>
  <si>
    <r>
      <rPr>
        <sz val="12"/>
        <rFont val="標楷體"/>
        <family val="4"/>
        <charset val="136"/>
      </rPr>
      <t>皇鼎建設</t>
    </r>
  </si>
  <si>
    <r>
      <rPr>
        <sz val="12"/>
        <rFont val="標楷體"/>
        <family val="4"/>
        <charset val="136"/>
      </rPr>
      <t>長虹</t>
    </r>
  </si>
  <si>
    <r>
      <rPr>
        <sz val="12"/>
        <rFont val="標楷體"/>
        <family val="4"/>
        <charset val="136"/>
      </rPr>
      <t>東明</t>
    </r>
    <r>
      <rPr>
        <sz val="12"/>
        <rFont val="Times New Roman"/>
        <family val="1"/>
      </rPr>
      <t>-KY</t>
    </r>
  </si>
  <si>
    <r>
      <rPr>
        <sz val="12"/>
        <rFont val="標楷體"/>
        <family val="4"/>
        <charset val="136"/>
      </rPr>
      <t>遠雄港</t>
    </r>
  </si>
  <si>
    <r>
      <rPr>
        <sz val="12"/>
        <rFont val="標楷體"/>
        <family val="4"/>
        <charset val="136"/>
      </rPr>
      <t>四維航</t>
    </r>
  </si>
  <si>
    <r>
      <rPr>
        <sz val="12"/>
        <rFont val="標楷體"/>
        <family val="4"/>
        <charset val="136"/>
      </rPr>
      <t>鳳凰</t>
    </r>
  </si>
  <si>
    <r>
      <rPr>
        <sz val="12"/>
        <rFont val="標楷體"/>
        <family val="4"/>
        <charset val="136"/>
      </rPr>
      <t>中租</t>
    </r>
    <r>
      <rPr>
        <sz val="12"/>
        <rFont val="Times New Roman"/>
        <family val="1"/>
      </rPr>
      <t>-KY</t>
    </r>
  </si>
  <si>
    <r>
      <rPr>
        <sz val="12"/>
        <rFont val="標楷體"/>
        <family val="4"/>
        <charset val="136"/>
      </rPr>
      <t>上海商銀</t>
    </r>
  </si>
  <si>
    <r>
      <rPr>
        <sz val="12"/>
        <rFont val="標楷體"/>
        <family val="4"/>
        <charset val="136"/>
      </rPr>
      <t>合庫金</t>
    </r>
  </si>
  <si>
    <r>
      <rPr>
        <sz val="12"/>
        <rFont val="標楷體"/>
        <family val="4"/>
        <charset val="136"/>
      </rPr>
      <t>台南</t>
    </r>
    <r>
      <rPr>
        <sz val="12"/>
        <rFont val="Times New Roman"/>
        <family val="1"/>
      </rPr>
      <t>-KY</t>
    </r>
  </si>
  <si>
    <r>
      <rPr>
        <sz val="12"/>
        <rFont val="標楷體"/>
        <family val="4"/>
        <charset val="136"/>
      </rPr>
      <t>大洋</t>
    </r>
    <r>
      <rPr>
        <sz val="12"/>
        <rFont val="Times New Roman"/>
        <family val="1"/>
      </rPr>
      <t>-KY</t>
    </r>
  </si>
  <si>
    <r>
      <rPr>
        <sz val="12"/>
        <rFont val="標楷體"/>
        <family val="4"/>
        <charset val="136"/>
      </rPr>
      <t>群益證</t>
    </r>
  </si>
  <si>
    <r>
      <rPr>
        <sz val="12"/>
        <rFont val="標楷體"/>
        <family val="4"/>
        <charset val="136"/>
      </rPr>
      <t>群益期</t>
    </r>
  </si>
  <si>
    <r>
      <rPr>
        <sz val="12"/>
        <rFont val="標楷體"/>
        <family val="4"/>
        <charset val="136"/>
      </rPr>
      <t>競國</t>
    </r>
  </si>
  <si>
    <r>
      <rPr>
        <sz val="12"/>
        <rFont val="標楷體"/>
        <family val="4"/>
        <charset val="136"/>
      </rPr>
      <t>聚碩</t>
    </r>
  </si>
  <si>
    <r>
      <rPr>
        <sz val="12"/>
        <rFont val="標楷體"/>
        <family val="4"/>
        <charset val="136"/>
      </rPr>
      <t>鎰勝</t>
    </r>
  </si>
  <si>
    <r>
      <rPr>
        <sz val="12"/>
        <rFont val="標楷體"/>
        <family val="4"/>
        <charset val="136"/>
      </rPr>
      <t>彩晶</t>
    </r>
  </si>
  <si>
    <r>
      <rPr>
        <sz val="12"/>
        <rFont val="標楷體"/>
        <family val="4"/>
        <charset val="136"/>
      </rPr>
      <t>迎廣</t>
    </r>
  </si>
  <si>
    <r>
      <rPr>
        <sz val="12"/>
        <rFont val="標楷體"/>
        <family val="4"/>
        <charset val="136"/>
      </rPr>
      <t>達運</t>
    </r>
  </si>
  <si>
    <r>
      <rPr>
        <sz val="12"/>
        <rFont val="標楷體"/>
        <family val="4"/>
        <charset val="136"/>
      </rPr>
      <t>上福</t>
    </r>
  </si>
  <si>
    <r>
      <rPr>
        <sz val="12"/>
        <rFont val="標楷體"/>
        <family val="4"/>
        <charset val="136"/>
      </rPr>
      <t>鈞泰</t>
    </r>
  </si>
  <si>
    <r>
      <rPr>
        <sz val="12"/>
        <rFont val="標楷體"/>
        <family val="4"/>
        <charset val="136"/>
      </rPr>
      <t>金橋</t>
    </r>
  </si>
  <si>
    <r>
      <rPr>
        <sz val="12"/>
        <rFont val="標楷體"/>
        <family val="4"/>
        <charset val="136"/>
      </rPr>
      <t>富爾特</t>
    </r>
  </si>
  <si>
    <r>
      <rPr>
        <sz val="12"/>
        <rFont val="標楷體"/>
        <family val="4"/>
        <charset val="136"/>
      </rPr>
      <t>亞翔</t>
    </r>
  </si>
  <si>
    <r>
      <rPr>
        <sz val="12"/>
        <rFont val="標楷體"/>
        <family val="4"/>
        <charset val="136"/>
      </rPr>
      <t>柏承</t>
    </r>
  </si>
  <si>
    <r>
      <rPr>
        <sz val="12"/>
        <rFont val="標楷體"/>
        <family val="4"/>
        <charset val="136"/>
      </rPr>
      <t>友勁</t>
    </r>
  </si>
  <si>
    <r>
      <rPr>
        <sz val="12"/>
        <rFont val="標楷體"/>
        <family val="4"/>
        <charset val="136"/>
      </rPr>
      <t>百一</t>
    </r>
  </si>
  <si>
    <r>
      <rPr>
        <sz val="12"/>
        <rFont val="標楷體"/>
        <family val="4"/>
        <charset val="136"/>
      </rPr>
      <t>嘉聯益</t>
    </r>
  </si>
  <si>
    <r>
      <rPr>
        <sz val="12"/>
        <rFont val="標楷體"/>
        <family val="4"/>
        <charset val="136"/>
      </rPr>
      <t>鈞寶</t>
    </r>
  </si>
  <si>
    <r>
      <rPr>
        <sz val="12"/>
        <rFont val="標楷體"/>
        <family val="4"/>
        <charset val="136"/>
      </rPr>
      <t>華興</t>
    </r>
  </si>
  <si>
    <r>
      <rPr>
        <sz val="12"/>
        <rFont val="標楷體"/>
        <family val="4"/>
        <charset val="136"/>
      </rPr>
      <t>捷泰</t>
    </r>
  </si>
  <si>
    <r>
      <rPr>
        <sz val="12"/>
        <rFont val="標楷體"/>
        <family val="4"/>
        <charset val="136"/>
      </rPr>
      <t>凌華</t>
    </r>
  </si>
  <si>
    <r>
      <rPr>
        <sz val="12"/>
        <rFont val="標楷體"/>
        <family val="4"/>
        <charset val="136"/>
      </rPr>
      <t>宏齊</t>
    </r>
  </si>
  <si>
    <r>
      <rPr>
        <sz val="12"/>
        <rFont val="標楷體"/>
        <family val="4"/>
        <charset val="136"/>
      </rPr>
      <t>互億</t>
    </r>
  </si>
  <si>
    <r>
      <rPr>
        <sz val="12"/>
        <rFont val="標楷體"/>
        <family val="4"/>
        <charset val="136"/>
      </rPr>
      <t>瑞儀</t>
    </r>
  </si>
  <si>
    <r>
      <rPr>
        <sz val="12"/>
        <rFont val="標楷體"/>
        <family val="4"/>
        <charset val="136"/>
      </rPr>
      <t>達麗</t>
    </r>
  </si>
  <si>
    <r>
      <rPr>
        <sz val="12"/>
        <rFont val="標楷體"/>
        <family val="4"/>
        <charset val="136"/>
      </rPr>
      <t>關貿</t>
    </r>
  </si>
  <si>
    <r>
      <rPr>
        <sz val="12"/>
        <rFont val="標楷體"/>
        <family val="4"/>
        <charset val="136"/>
      </rPr>
      <t>大豐電</t>
    </r>
  </si>
  <si>
    <r>
      <rPr>
        <sz val="12"/>
        <rFont val="標楷體"/>
        <family val="4"/>
        <charset val="136"/>
      </rPr>
      <t>豐藝</t>
    </r>
  </si>
  <si>
    <r>
      <rPr>
        <sz val="12"/>
        <rFont val="標楷體"/>
        <family val="4"/>
        <charset val="136"/>
      </rPr>
      <t>精成科</t>
    </r>
  </si>
  <si>
    <r>
      <rPr>
        <sz val="12"/>
        <rFont val="標楷體"/>
        <family val="4"/>
        <charset val="136"/>
      </rPr>
      <t>巨路</t>
    </r>
  </si>
  <si>
    <r>
      <rPr>
        <sz val="12"/>
        <rFont val="標楷體"/>
        <family val="4"/>
        <charset val="136"/>
      </rPr>
      <t>帆宣</t>
    </r>
  </si>
  <si>
    <r>
      <rPr>
        <sz val="12"/>
        <rFont val="標楷體"/>
        <family val="4"/>
        <charset val="136"/>
      </rPr>
      <t>佳必琪</t>
    </r>
  </si>
  <si>
    <r>
      <rPr>
        <sz val="12"/>
        <rFont val="標楷體"/>
        <family val="4"/>
        <charset val="136"/>
      </rPr>
      <t>亞弘電</t>
    </r>
  </si>
  <si>
    <r>
      <rPr>
        <sz val="12"/>
        <rFont val="標楷體"/>
        <family val="4"/>
        <charset val="136"/>
      </rPr>
      <t>盛群</t>
    </r>
  </si>
  <si>
    <r>
      <rPr>
        <sz val="12"/>
        <rFont val="標楷體"/>
        <family val="4"/>
        <charset val="136"/>
      </rPr>
      <t>詮欣</t>
    </r>
  </si>
  <si>
    <r>
      <rPr>
        <sz val="12"/>
        <rFont val="標楷體"/>
        <family val="4"/>
        <charset val="136"/>
      </rPr>
      <t>飛捷</t>
    </r>
  </si>
  <si>
    <r>
      <rPr>
        <sz val="12"/>
        <rFont val="標楷體"/>
        <family val="4"/>
        <charset val="136"/>
      </rPr>
      <t>今國光</t>
    </r>
  </si>
  <si>
    <r>
      <rPr>
        <sz val="12"/>
        <rFont val="標楷體"/>
        <family val="4"/>
        <charset val="136"/>
      </rPr>
      <t>聯茂</t>
    </r>
  </si>
  <si>
    <r>
      <rPr>
        <sz val="12"/>
        <rFont val="標楷體"/>
        <family val="4"/>
        <charset val="136"/>
      </rPr>
      <t>精誠</t>
    </r>
  </si>
  <si>
    <r>
      <rPr>
        <sz val="12"/>
        <rFont val="標楷體"/>
        <family val="4"/>
        <charset val="136"/>
      </rPr>
      <t>和椿</t>
    </r>
  </si>
  <si>
    <r>
      <rPr>
        <sz val="12"/>
        <rFont val="標楷體"/>
        <family val="4"/>
        <charset val="136"/>
      </rPr>
      <t>居易</t>
    </r>
  </si>
  <si>
    <r>
      <rPr>
        <sz val="12"/>
        <rFont val="標楷體"/>
        <family val="4"/>
        <charset val="136"/>
      </rPr>
      <t>聚鼎</t>
    </r>
  </si>
  <si>
    <r>
      <rPr>
        <sz val="12"/>
        <rFont val="標楷體"/>
        <family val="4"/>
        <charset val="136"/>
      </rPr>
      <t>天瀚</t>
    </r>
  </si>
  <si>
    <r>
      <rPr>
        <sz val="12"/>
        <rFont val="標楷體"/>
        <family val="4"/>
        <charset val="136"/>
      </rPr>
      <t>光鼎</t>
    </r>
  </si>
  <si>
    <r>
      <rPr>
        <sz val="12"/>
        <rFont val="標楷體"/>
        <family val="4"/>
        <charset val="136"/>
      </rPr>
      <t>超眾</t>
    </r>
  </si>
  <si>
    <r>
      <rPr>
        <sz val="12"/>
        <rFont val="標楷體"/>
        <family val="4"/>
        <charset val="136"/>
      </rPr>
      <t>華孚</t>
    </r>
  </si>
  <si>
    <r>
      <rPr>
        <sz val="12"/>
        <rFont val="標楷體"/>
        <family val="4"/>
        <charset val="136"/>
      </rPr>
      <t>力成</t>
    </r>
  </si>
  <si>
    <r>
      <rPr>
        <sz val="12"/>
        <rFont val="標楷體"/>
        <family val="4"/>
        <charset val="136"/>
      </rPr>
      <t>迅杰</t>
    </r>
  </si>
  <si>
    <r>
      <rPr>
        <sz val="12"/>
        <rFont val="標楷體"/>
        <family val="4"/>
        <charset val="136"/>
      </rPr>
      <t>定穎</t>
    </r>
  </si>
  <si>
    <r>
      <rPr>
        <sz val="12"/>
        <rFont val="標楷體"/>
        <family val="4"/>
        <charset val="136"/>
      </rPr>
      <t>矽格</t>
    </r>
  </si>
  <si>
    <r>
      <rPr>
        <sz val="12"/>
        <rFont val="標楷體"/>
        <family val="4"/>
        <charset val="136"/>
      </rPr>
      <t>台郡</t>
    </r>
  </si>
  <si>
    <r>
      <rPr>
        <sz val="12"/>
        <rFont val="標楷體"/>
        <family val="4"/>
        <charset val="136"/>
      </rPr>
      <t>同欣電</t>
    </r>
  </si>
  <si>
    <r>
      <rPr>
        <sz val="12"/>
        <rFont val="標楷體"/>
        <family val="4"/>
        <charset val="136"/>
      </rPr>
      <t>宏正科</t>
    </r>
  </si>
  <si>
    <r>
      <rPr>
        <sz val="12"/>
        <rFont val="標楷體"/>
        <family val="4"/>
        <charset val="136"/>
      </rPr>
      <t>台表科</t>
    </r>
  </si>
  <si>
    <r>
      <rPr>
        <sz val="12"/>
        <rFont val="標楷體"/>
        <family val="4"/>
        <charset val="136"/>
      </rPr>
      <t>全國電</t>
    </r>
  </si>
  <si>
    <r>
      <rPr>
        <sz val="12"/>
        <rFont val="標楷體"/>
        <family val="4"/>
        <charset val="136"/>
      </rPr>
      <t>康舒</t>
    </r>
  </si>
  <si>
    <r>
      <rPr>
        <sz val="12"/>
        <rFont val="標楷體"/>
        <family val="4"/>
        <charset val="136"/>
      </rPr>
      <t>淳安</t>
    </r>
  </si>
  <si>
    <r>
      <rPr>
        <sz val="12"/>
        <rFont val="標楷體"/>
        <family val="4"/>
        <charset val="136"/>
      </rPr>
      <t>啟碁</t>
    </r>
  </si>
  <si>
    <r>
      <rPr>
        <sz val="12"/>
        <rFont val="標楷體"/>
        <family val="4"/>
        <charset val="136"/>
      </rPr>
      <t>聯嘉</t>
    </r>
  </si>
  <si>
    <r>
      <rPr>
        <sz val="12"/>
        <rFont val="標楷體"/>
        <family val="4"/>
        <charset val="136"/>
      </rPr>
      <t>華上</t>
    </r>
  </si>
  <si>
    <r>
      <rPr>
        <sz val="12"/>
        <rFont val="標楷體"/>
        <family val="4"/>
        <charset val="136"/>
      </rPr>
      <t>悅城</t>
    </r>
  </si>
  <si>
    <r>
      <rPr>
        <sz val="12"/>
        <rFont val="標楷體"/>
        <family val="4"/>
        <charset val="136"/>
      </rPr>
      <t>旭隼</t>
    </r>
  </si>
  <si>
    <r>
      <rPr>
        <sz val="12"/>
        <rFont val="標楷體"/>
        <family val="4"/>
        <charset val="136"/>
      </rPr>
      <t>群電</t>
    </r>
  </si>
  <si>
    <r>
      <rPr>
        <sz val="12"/>
        <rFont val="標楷體"/>
        <family val="4"/>
        <charset val="136"/>
      </rPr>
      <t>樺漢</t>
    </r>
  </si>
  <si>
    <r>
      <rPr>
        <sz val="12"/>
        <rFont val="標楷體"/>
        <family val="4"/>
        <charset val="136"/>
      </rPr>
      <t>矽力</t>
    </r>
    <r>
      <rPr>
        <sz val="12"/>
        <rFont val="Times New Roman"/>
        <family val="1"/>
      </rPr>
      <t>-KY</t>
    </r>
  </si>
  <si>
    <r>
      <rPr>
        <sz val="12"/>
        <rFont val="標楷體"/>
        <family val="4"/>
        <charset val="136"/>
      </rPr>
      <t>瑞祺電通</t>
    </r>
  </si>
  <si>
    <r>
      <rPr>
        <sz val="12"/>
        <rFont val="標楷體"/>
        <family val="4"/>
        <charset val="136"/>
      </rPr>
      <t>光麗</t>
    </r>
    <r>
      <rPr>
        <sz val="12"/>
        <rFont val="Times New Roman"/>
        <family val="1"/>
      </rPr>
      <t>-KY</t>
    </r>
  </si>
  <si>
    <r>
      <rPr>
        <sz val="12"/>
        <rFont val="標楷體"/>
        <family val="4"/>
        <charset val="136"/>
      </rPr>
      <t>光聖</t>
    </r>
  </si>
  <si>
    <r>
      <rPr>
        <sz val="12"/>
        <rFont val="標楷體"/>
        <family val="4"/>
        <charset val="136"/>
      </rPr>
      <t>元晶</t>
    </r>
  </si>
  <si>
    <r>
      <rPr>
        <sz val="12"/>
        <rFont val="標楷體"/>
        <family val="4"/>
        <charset val="136"/>
      </rPr>
      <t>鈺邦</t>
    </r>
  </si>
  <si>
    <r>
      <rPr>
        <sz val="12"/>
        <rFont val="標楷體"/>
        <family val="4"/>
        <charset val="136"/>
      </rPr>
      <t>訊芯</t>
    </r>
    <r>
      <rPr>
        <sz val="12"/>
        <rFont val="Times New Roman"/>
        <family val="1"/>
      </rPr>
      <t>-KY</t>
    </r>
  </si>
  <si>
    <r>
      <rPr>
        <sz val="12"/>
        <rFont val="標楷體"/>
        <family val="4"/>
        <charset val="136"/>
      </rPr>
      <t>康友</t>
    </r>
    <r>
      <rPr>
        <sz val="12"/>
        <rFont val="Times New Roman"/>
        <family val="1"/>
      </rPr>
      <t>-KY</t>
    </r>
  </si>
  <si>
    <r>
      <rPr>
        <sz val="12"/>
        <rFont val="標楷體"/>
        <family val="4"/>
        <charset val="136"/>
      </rPr>
      <t>台數科</t>
    </r>
  </si>
  <si>
    <r>
      <rPr>
        <sz val="12"/>
        <rFont val="標楷體"/>
        <family val="4"/>
        <charset val="136"/>
      </rPr>
      <t>安集</t>
    </r>
  </si>
  <si>
    <r>
      <rPr>
        <sz val="12"/>
        <rFont val="標楷體"/>
        <family val="4"/>
        <charset val="136"/>
      </rPr>
      <t>晶碩</t>
    </r>
  </si>
  <si>
    <r>
      <rPr>
        <sz val="12"/>
        <rFont val="標楷體"/>
        <family val="4"/>
        <charset val="136"/>
      </rPr>
      <t>南六</t>
    </r>
  </si>
  <si>
    <r>
      <rPr>
        <sz val="12"/>
        <rFont val="標楷體"/>
        <family val="4"/>
        <charset val="136"/>
      </rPr>
      <t>台塑化</t>
    </r>
  </si>
  <si>
    <r>
      <rPr>
        <sz val="12"/>
        <rFont val="標楷體"/>
        <family val="4"/>
        <charset val="136"/>
      </rPr>
      <t>捷敏</t>
    </r>
    <r>
      <rPr>
        <sz val="12"/>
        <rFont val="Times New Roman"/>
        <family val="1"/>
      </rPr>
      <t>-KY</t>
    </r>
  </si>
  <si>
    <r>
      <rPr>
        <sz val="12"/>
        <rFont val="標楷體"/>
        <family val="4"/>
        <charset val="136"/>
      </rPr>
      <t>愛普</t>
    </r>
  </si>
  <si>
    <r>
      <rPr>
        <sz val="12"/>
        <rFont val="標楷體"/>
        <family val="4"/>
        <charset val="136"/>
      </rPr>
      <t>晶心科</t>
    </r>
  </si>
  <si>
    <r>
      <rPr>
        <sz val="12"/>
        <rFont val="標楷體"/>
        <family val="4"/>
        <charset val="136"/>
      </rPr>
      <t>泰福</t>
    </r>
    <r>
      <rPr>
        <sz val="12"/>
        <rFont val="Times New Roman"/>
        <family val="1"/>
      </rPr>
      <t>-KY</t>
    </r>
  </si>
  <si>
    <r>
      <rPr>
        <sz val="12"/>
        <rFont val="標楷體"/>
        <family val="4"/>
        <charset val="136"/>
      </rPr>
      <t>易華電</t>
    </r>
  </si>
  <si>
    <r>
      <rPr>
        <sz val="12"/>
        <rFont val="標楷體"/>
        <family val="4"/>
        <charset val="136"/>
      </rPr>
      <t>興能高</t>
    </r>
  </si>
  <si>
    <r>
      <rPr>
        <sz val="12"/>
        <rFont val="標楷體"/>
        <family val="4"/>
        <charset val="136"/>
      </rPr>
      <t>虹揚</t>
    </r>
    <r>
      <rPr>
        <sz val="12"/>
        <rFont val="Times New Roman"/>
        <family val="1"/>
      </rPr>
      <t>-KY</t>
    </r>
  </si>
  <si>
    <r>
      <rPr>
        <sz val="12"/>
        <rFont val="標楷體"/>
        <family val="4"/>
        <charset val="136"/>
      </rPr>
      <t>研揚</t>
    </r>
  </si>
  <si>
    <r>
      <rPr>
        <sz val="12"/>
        <rFont val="標楷體"/>
        <family val="4"/>
        <charset val="136"/>
      </rPr>
      <t>鋼聯</t>
    </r>
  </si>
  <si>
    <r>
      <rPr>
        <sz val="12"/>
        <rFont val="標楷體"/>
        <family val="4"/>
        <charset val="136"/>
      </rPr>
      <t>申豐</t>
    </r>
  </si>
  <si>
    <r>
      <rPr>
        <sz val="12"/>
        <rFont val="標楷體"/>
        <family val="4"/>
        <charset val="136"/>
      </rPr>
      <t>動力</t>
    </r>
    <r>
      <rPr>
        <sz val="12"/>
        <rFont val="Times New Roman"/>
        <family val="1"/>
      </rPr>
      <t>-KY</t>
    </r>
  </si>
  <si>
    <r>
      <rPr>
        <sz val="12"/>
        <rFont val="標楷體"/>
        <family val="4"/>
        <charset val="136"/>
      </rPr>
      <t>和潤企業</t>
    </r>
  </si>
  <si>
    <r>
      <rPr>
        <sz val="12"/>
        <rFont val="標楷體"/>
        <family val="4"/>
        <charset val="136"/>
      </rPr>
      <t>帝寶</t>
    </r>
  </si>
  <si>
    <r>
      <rPr>
        <sz val="12"/>
        <rFont val="標楷體"/>
        <family val="4"/>
        <charset val="136"/>
      </rPr>
      <t>必應</t>
    </r>
  </si>
  <si>
    <r>
      <rPr>
        <sz val="12"/>
        <rFont val="標楷體"/>
        <family val="4"/>
        <charset val="136"/>
      </rPr>
      <t>基士德</t>
    </r>
    <r>
      <rPr>
        <sz val="12"/>
        <rFont val="Times New Roman"/>
        <family val="1"/>
      </rPr>
      <t>-KY</t>
    </r>
  </si>
  <si>
    <r>
      <rPr>
        <sz val="12"/>
        <rFont val="標楷體"/>
        <family val="4"/>
        <charset val="136"/>
      </rPr>
      <t>科定</t>
    </r>
  </si>
  <si>
    <r>
      <rPr>
        <sz val="12"/>
        <rFont val="標楷體"/>
        <family val="4"/>
        <charset val="136"/>
      </rPr>
      <t>羅麗芬</t>
    </r>
    <r>
      <rPr>
        <sz val="12"/>
        <rFont val="Times New Roman"/>
        <family val="1"/>
      </rPr>
      <t>-KY</t>
    </r>
  </si>
  <si>
    <r>
      <rPr>
        <sz val="12"/>
        <rFont val="標楷體"/>
        <family val="4"/>
        <charset val="136"/>
      </rPr>
      <t>中揚光</t>
    </r>
  </si>
  <si>
    <r>
      <rPr>
        <sz val="12"/>
        <rFont val="標楷體"/>
        <family val="4"/>
        <charset val="136"/>
      </rPr>
      <t>緯穎</t>
    </r>
  </si>
  <si>
    <r>
      <rPr>
        <sz val="12"/>
        <rFont val="標楷體"/>
        <family val="4"/>
        <charset val="136"/>
      </rPr>
      <t>復盛應用</t>
    </r>
  </si>
  <si>
    <r>
      <rPr>
        <sz val="12"/>
        <rFont val="標楷體"/>
        <family val="4"/>
        <charset val="136"/>
      </rPr>
      <t>三能</t>
    </r>
    <r>
      <rPr>
        <sz val="12"/>
        <rFont val="Times New Roman"/>
        <family val="1"/>
      </rPr>
      <t>-KY</t>
    </r>
  </si>
  <si>
    <r>
      <rPr>
        <sz val="12"/>
        <rFont val="標楷體"/>
        <family val="4"/>
        <charset val="136"/>
      </rPr>
      <t>騰輝電子</t>
    </r>
    <r>
      <rPr>
        <sz val="12"/>
        <rFont val="Times New Roman"/>
        <family val="1"/>
      </rPr>
      <t>-KY</t>
    </r>
  </si>
  <si>
    <r>
      <rPr>
        <sz val="12"/>
        <rFont val="標楷體"/>
        <family val="4"/>
        <charset val="136"/>
      </rPr>
      <t>鋐寶科技</t>
    </r>
  </si>
  <si>
    <r>
      <rPr>
        <sz val="12"/>
        <rFont val="標楷體"/>
        <family val="4"/>
        <charset val="136"/>
      </rPr>
      <t>旭暉應材</t>
    </r>
  </si>
  <si>
    <r>
      <rPr>
        <sz val="12"/>
        <rFont val="標楷體"/>
        <family val="4"/>
        <charset val="136"/>
      </rPr>
      <t>惠特</t>
    </r>
  </si>
  <si>
    <r>
      <rPr>
        <sz val="12"/>
        <rFont val="標楷體"/>
        <family val="4"/>
        <charset val="136"/>
      </rPr>
      <t>嘉基</t>
    </r>
  </si>
  <si>
    <r>
      <rPr>
        <sz val="12"/>
        <rFont val="標楷體"/>
        <family val="4"/>
        <charset val="136"/>
      </rPr>
      <t>台通</t>
    </r>
  </si>
  <si>
    <r>
      <rPr>
        <sz val="12"/>
        <rFont val="標楷體"/>
        <family val="4"/>
        <charset val="136"/>
      </rPr>
      <t>矽創</t>
    </r>
  </si>
  <si>
    <r>
      <rPr>
        <sz val="12"/>
        <rFont val="標楷體"/>
        <family val="4"/>
        <charset val="136"/>
      </rPr>
      <t>尖點</t>
    </r>
  </si>
  <si>
    <r>
      <rPr>
        <sz val="12"/>
        <rFont val="標楷體"/>
        <family val="4"/>
        <charset val="136"/>
      </rPr>
      <t>昇陽半導體</t>
    </r>
  </si>
  <si>
    <r>
      <rPr>
        <sz val="12"/>
        <rFont val="標楷體"/>
        <family val="4"/>
        <charset val="136"/>
      </rPr>
      <t>雷虎</t>
    </r>
  </si>
  <si>
    <r>
      <rPr>
        <sz val="12"/>
        <rFont val="標楷體"/>
        <family val="4"/>
        <charset val="136"/>
      </rPr>
      <t>台虹</t>
    </r>
  </si>
  <si>
    <r>
      <rPr>
        <sz val="12"/>
        <rFont val="標楷體"/>
        <family val="4"/>
        <charset val="136"/>
      </rPr>
      <t>南電</t>
    </r>
  </si>
  <si>
    <r>
      <rPr>
        <sz val="12"/>
        <rFont val="標楷體"/>
        <family val="4"/>
        <charset val="136"/>
      </rPr>
      <t>長華</t>
    </r>
  </si>
  <si>
    <r>
      <rPr>
        <sz val="12"/>
        <rFont val="標楷體"/>
        <family val="4"/>
        <charset val="136"/>
      </rPr>
      <t>陞泰</t>
    </r>
  </si>
  <si>
    <r>
      <rPr>
        <sz val="12"/>
        <rFont val="標楷體"/>
        <family val="4"/>
        <charset val="136"/>
      </rPr>
      <t>致新</t>
    </r>
  </si>
  <si>
    <r>
      <rPr>
        <sz val="12"/>
        <rFont val="標楷體"/>
        <family val="4"/>
        <charset val="136"/>
      </rPr>
      <t>華冠</t>
    </r>
  </si>
  <si>
    <r>
      <rPr>
        <sz val="12"/>
        <rFont val="標楷體"/>
        <family val="4"/>
        <charset val="136"/>
      </rPr>
      <t>瀚荃</t>
    </r>
  </si>
  <si>
    <r>
      <rPr>
        <sz val="12"/>
        <rFont val="標楷體"/>
        <family val="4"/>
        <charset val="136"/>
      </rPr>
      <t>錸寶</t>
    </r>
  </si>
  <si>
    <r>
      <rPr>
        <sz val="12"/>
        <rFont val="標楷體"/>
        <family val="4"/>
        <charset val="136"/>
      </rPr>
      <t>凌巨</t>
    </r>
  </si>
  <si>
    <r>
      <rPr>
        <sz val="12"/>
        <rFont val="標楷體"/>
        <family val="4"/>
        <charset val="136"/>
      </rPr>
      <t>華東</t>
    </r>
  </si>
  <si>
    <r>
      <rPr>
        <sz val="12"/>
        <rFont val="標楷體"/>
        <family val="4"/>
        <charset val="136"/>
      </rPr>
      <t>至上</t>
    </r>
  </si>
  <si>
    <r>
      <rPr>
        <sz val="12"/>
        <rFont val="標楷體"/>
        <family val="4"/>
        <charset val="136"/>
      </rPr>
      <t>振樺電</t>
    </r>
  </si>
  <si>
    <r>
      <rPr>
        <sz val="12"/>
        <rFont val="標楷體"/>
        <family val="4"/>
        <charset val="136"/>
      </rPr>
      <t>福懋科</t>
    </r>
  </si>
  <si>
    <r>
      <rPr>
        <sz val="12"/>
        <rFont val="標楷體"/>
        <family val="4"/>
        <charset val="136"/>
      </rPr>
      <t>南茂</t>
    </r>
  </si>
  <si>
    <r>
      <rPr>
        <sz val="12"/>
        <rFont val="標楷體"/>
        <family val="4"/>
        <charset val="136"/>
      </rPr>
      <t>達方</t>
    </r>
  </si>
  <si>
    <r>
      <rPr>
        <sz val="12"/>
        <rFont val="標楷體"/>
        <family val="4"/>
        <charset val="136"/>
      </rPr>
      <t>無敵</t>
    </r>
  </si>
  <si>
    <r>
      <rPr>
        <sz val="12"/>
        <rFont val="標楷體"/>
        <family val="4"/>
        <charset val="136"/>
      </rPr>
      <t>勤誠</t>
    </r>
  </si>
  <si>
    <r>
      <rPr>
        <sz val="12"/>
        <rFont val="標楷體"/>
        <family val="4"/>
        <charset val="136"/>
      </rPr>
      <t>志超</t>
    </r>
  </si>
  <si>
    <r>
      <rPr>
        <sz val="12"/>
        <rFont val="標楷體"/>
        <family val="4"/>
        <charset val="136"/>
      </rPr>
      <t>明基材</t>
    </r>
  </si>
  <si>
    <r>
      <rPr>
        <sz val="12"/>
        <rFont val="標楷體"/>
        <family val="4"/>
        <charset val="136"/>
      </rPr>
      <t>寶一</t>
    </r>
  </si>
  <si>
    <r>
      <rPr>
        <sz val="12"/>
        <rFont val="標楷體"/>
        <family val="4"/>
        <charset val="136"/>
      </rPr>
      <t>菱光</t>
    </r>
  </si>
  <si>
    <r>
      <rPr>
        <sz val="12"/>
        <rFont val="標楷體"/>
        <family val="4"/>
        <charset val="136"/>
      </rPr>
      <t>富鼎</t>
    </r>
  </si>
  <si>
    <r>
      <rPr>
        <sz val="12"/>
        <rFont val="標楷體"/>
        <family val="4"/>
        <charset val="136"/>
      </rPr>
      <t>宇瞻</t>
    </r>
  </si>
  <si>
    <r>
      <rPr>
        <sz val="12"/>
        <rFont val="標楷體"/>
        <family val="4"/>
        <charset val="136"/>
      </rPr>
      <t>日友</t>
    </r>
  </si>
  <si>
    <r>
      <rPr>
        <sz val="12"/>
        <rFont val="標楷體"/>
        <family val="4"/>
        <charset val="136"/>
      </rPr>
      <t>建新國際</t>
    </r>
  </si>
  <si>
    <r>
      <rPr>
        <sz val="12"/>
        <rFont val="標楷體"/>
        <family val="4"/>
        <charset val="136"/>
      </rPr>
      <t>羅昇</t>
    </r>
  </si>
  <si>
    <r>
      <rPr>
        <sz val="12"/>
        <rFont val="標楷體"/>
        <family val="4"/>
        <charset val="136"/>
      </rPr>
      <t>百和興業</t>
    </r>
    <r>
      <rPr>
        <sz val="12"/>
        <rFont val="Times New Roman"/>
        <family val="1"/>
      </rPr>
      <t>-KY</t>
    </r>
  </si>
  <si>
    <r>
      <rPr>
        <sz val="12"/>
        <rFont val="標楷體"/>
        <family val="4"/>
        <charset val="136"/>
      </rPr>
      <t>福貞</t>
    </r>
    <r>
      <rPr>
        <sz val="12"/>
        <rFont val="Times New Roman"/>
        <family val="1"/>
      </rPr>
      <t>-KY</t>
    </r>
  </si>
  <si>
    <r>
      <rPr>
        <sz val="12"/>
        <rFont val="標楷體"/>
        <family val="4"/>
        <charset val="136"/>
      </rPr>
      <t>可寧衛</t>
    </r>
  </si>
  <si>
    <r>
      <rPr>
        <sz val="12"/>
        <rFont val="標楷體"/>
        <family val="4"/>
        <charset val="136"/>
      </rPr>
      <t>基勝</t>
    </r>
    <r>
      <rPr>
        <sz val="12"/>
        <rFont val="Times New Roman"/>
        <family val="1"/>
      </rPr>
      <t>-KY</t>
    </r>
  </si>
  <si>
    <r>
      <rPr>
        <sz val="12"/>
        <rFont val="標楷體"/>
        <family val="4"/>
        <charset val="136"/>
      </rPr>
      <t>金麗</t>
    </r>
    <r>
      <rPr>
        <sz val="12"/>
        <rFont val="Times New Roman"/>
        <family val="1"/>
      </rPr>
      <t>-KY</t>
    </r>
  </si>
  <si>
    <r>
      <rPr>
        <sz val="12"/>
        <rFont val="標楷體"/>
        <family val="4"/>
        <charset val="136"/>
      </rPr>
      <t>威宏</t>
    </r>
    <r>
      <rPr>
        <sz val="12"/>
        <rFont val="Times New Roman"/>
        <family val="1"/>
      </rPr>
      <t>-KY</t>
    </r>
  </si>
  <si>
    <r>
      <rPr>
        <sz val="12"/>
        <rFont val="標楷體"/>
        <family val="4"/>
        <charset val="136"/>
      </rPr>
      <t>阿瘦</t>
    </r>
  </si>
  <si>
    <r>
      <rPr>
        <sz val="12"/>
        <rFont val="標楷體"/>
        <family val="4"/>
        <charset val="136"/>
      </rPr>
      <t>富邦媒</t>
    </r>
  </si>
  <si>
    <r>
      <rPr>
        <sz val="12"/>
        <rFont val="標楷體"/>
        <family val="4"/>
        <charset val="136"/>
      </rPr>
      <t>柏文</t>
    </r>
  </si>
  <si>
    <r>
      <rPr>
        <sz val="12"/>
        <rFont val="標楷體"/>
        <family val="4"/>
        <charset val="136"/>
      </rPr>
      <t>潤泰材</t>
    </r>
  </si>
  <si>
    <r>
      <rPr>
        <sz val="12"/>
        <rFont val="標楷體"/>
        <family val="4"/>
        <charset val="136"/>
      </rPr>
      <t>億豐</t>
    </r>
  </si>
  <si>
    <r>
      <rPr>
        <sz val="12"/>
        <rFont val="標楷體"/>
        <family val="4"/>
        <charset val="136"/>
      </rPr>
      <t>美吉吉</t>
    </r>
    <r>
      <rPr>
        <sz val="12"/>
        <rFont val="Times New Roman"/>
        <family val="1"/>
      </rPr>
      <t>-KY</t>
    </r>
  </si>
  <si>
    <r>
      <rPr>
        <sz val="12"/>
        <rFont val="標楷體"/>
        <family val="4"/>
        <charset val="136"/>
      </rPr>
      <t>波力</t>
    </r>
    <r>
      <rPr>
        <sz val="12"/>
        <rFont val="Times New Roman"/>
        <family val="1"/>
      </rPr>
      <t>-KY</t>
    </r>
  </si>
  <si>
    <r>
      <rPr>
        <sz val="12"/>
        <rFont val="標楷體"/>
        <family val="4"/>
        <charset val="136"/>
      </rPr>
      <t>山林水</t>
    </r>
  </si>
  <si>
    <r>
      <rPr>
        <sz val="12"/>
        <rFont val="標楷體"/>
        <family val="4"/>
        <charset val="136"/>
      </rPr>
      <t>東哥遊艇</t>
    </r>
  </si>
  <si>
    <r>
      <rPr>
        <sz val="12"/>
        <rFont val="標楷體"/>
        <family val="4"/>
        <charset val="136"/>
      </rPr>
      <t>泰昇</t>
    </r>
    <r>
      <rPr>
        <sz val="12"/>
        <rFont val="Times New Roman"/>
        <family val="1"/>
      </rPr>
      <t>-KY</t>
    </r>
  </si>
  <si>
    <r>
      <rPr>
        <sz val="12"/>
        <rFont val="標楷體"/>
        <family val="4"/>
        <charset val="136"/>
      </rPr>
      <t>政伸</t>
    </r>
  </si>
  <si>
    <r>
      <rPr>
        <sz val="12"/>
        <rFont val="標楷體"/>
        <family val="4"/>
        <charset val="136"/>
      </rPr>
      <t>商億</t>
    </r>
    <r>
      <rPr>
        <sz val="12"/>
        <rFont val="Times New Roman"/>
        <family val="1"/>
      </rPr>
      <t>-KY</t>
    </r>
  </si>
  <si>
    <r>
      <rPr>
        <sz val="12"/>
        <rFont val="標楷體"/>
        <family val="4"/>
        <charset val="136"/>
      </rPr>
      <t>吉源</t>
    </r>
    <r>
      <rPr>
        <sz val="12"/>
        <rFont val="Times New Roman"/>
        <family val="1"/>
      </rPr>
      <t>-KY</t>
    </r>
  </si>
  <si>
    <r>
      <rPr>
        <sz val="12"/>
        <rFont val="標楷體"/>
        <family val="4"/>
        <charset val="136"/>
      </rPr>
      <t>格威傳媒</t>
    </r>
  </si>
  <si>
    <r>
      <rPr>
        <sz val="12"/>
        <rFont val="標楷體"/>
        <family val="4"/>
        <charset val="136"/>
      </rPr>
      <t>鼎炫</t>
    </r>
    <r>
      <rPr>
        <sz val="12"/>
        <rFont val="Times New Roman"/>
        <family val="1"/>
      </rPr>
      <t>-KY</t>
    </r>
  </si>
  <si>
    <r>
      <rPr>
        <sz val="12"/>
        <rFont val="標楷體"/>
        <family val="4"/>
        <charset val="136"/>
      </rPr>
      <t>台汽電</t>
    </r>
  </si>
  <si>
    <r>
      <rPr>
        <sz val="12"/>
        <rFont val="標楷體"/>
        <family val="4"/>
        <charset val="136"/>
      </rPr>
      <t>新天地</t>
    </r>
  </si>
  <si>
    <r>
      <rPr>
        <sz val="12"/>
        <rFont val="標楷體"/>
        <family val="4"/>
        <charset val="136"/>
      </rPr>
      <t>高力</t>
    </r>
  </si>
  <si>
    <r>
      <rPr>
        <sz val="12"/>
        <rFont val="標楷體"/>
        <family val="4"/>
        <charset val="136"/>
      </rPr>
      <t>鈺齊</t>
    </r>
    <r>
      <rPr>
        <sz val="12"/>
        <rFont val="Times New Roman"/>
        <family val="1"/>
      </rPr>
      <t>-KY</t>
    </r>
  </si>
  <si>
    <r>
      <rPr>
        <sz val="12"/>
        <rFont val="標楷體"/>
        <family val="4"/>
        <charset val="136"/>
      </rPr>
      <t>台火</t>
    </r>
  </si>
  <si>
    <r>
      <rPr>
        <sz val="12"/>
        <rFont val="標楷體"/>
        <family val="4"/>
        <charset val="136"/>
      </rPr>
      <t>寶成</t>
    </r>
  </si>
  <si>
    <r>
      <rPr>
        <sz val="12"/>
        <rFont val="標楷體"/>
        <family val="4"/>
        <charset val="136"/>
      </rPr>
      <t>大華</t>
    </r>
  </si>
  <si>
    <r>
      <rPr>
        <sz val="12"/>
        <rFont val="標楷體"/>
        <family val="4"/>
        <charset val="136"/>
      </rPr>
      <t>欣巴巴</t>
    </r>
  </si>
  <si>
    <r>
      <rPr>
        <sz val="12"/>
        <rFont val="標楷體"/>
        <family val="4"/>
        <charset val="136"/>
      </rPr>
      <t>統一實</t>
    </r>
  </si>
  <si>
    <r>
      <rPr>
        <sz val="12"/>
        <rFont val="標楷體"/>
        <family val="4"/>
        <charset val="136"/>
      </rPr>
      <t>大台北</t>
    </r>
  </si>
  <si>
    <r>
      <rPr>
        <sz val="12"/>
        <rFont val="標楷體"/>
        <family val="4"/>
        <charset val="136"/>
      </rPr>
      <t>豐泰</t>
    </r>
  </si>
  <si>
    <r>
      <rPr>
        <sz val="12"/>
        <rFont val="標楷體"/>
        <family val="4"/>
        <charset val="136"/>
      </rPr>
      <t>櫻花</t>
    </r>
  </si>
  <si>
    <r>
      <rPr>
        <sz val="12"/>
        <rFont val="標楷體"/>
        <family val="4"/>
        <charset val="136"/>
      </rPr>
      <t>偉聯</t>
    </r>
  </si>
  <si>
    <r>
      <rPr>
        <sz val="12"/>
        <rFont val="標楷體"/>
        <family val="4"/>
        <charset val="136"/>
      </rPr>
      <t>美利達</t>
    </r>
  </si>
  <si>
    <r>
      <rPr>
        <sz val="12"/>
        <rFont val="標楷體"/>
        <family val="4"/>
        <charset val="136"/>
      </rPr>
      <t>中保科</t>
    </r>
  </si>
  <si>
    <r>
      <rPr>
        <sz val="12"/>
        <rFont val="標楷體"/>
        <family val="4"/>
        <charset val="136"/>
      </rPr>
      <t>欣天然</t>
    </r>
  </si>
  <si>
    <r>
      <rPr>
        <sz val="12"/>
        <rFont val="標楷體"/>
        <family val="4"/>
        <charset val="136"/>
      </rPr>
      <t>康那香</t>
    </r>
  </si>
  <si>
    <r>
      <rPr>
        <sz val="12"/>
        <rFont val="標楷體"/>
        <family val="4"/>
        <charset val="136"/>
      </rPr>
      <t>巨大</t>
    </r>
  </si>
  <si>
    <r>
      <rPr>
        <sz val="12"/>
        <rFont val="標楷體"/>
        <family val="4"/>
        <charset val="136"/>
      </rPr>
      <t>福興</t>
    </r>
  </si>
  <si>
    <r>
      <rPr>
        <sz val="12"/>
        <rFont val="標楷體"/>
        <family val="4"/>
        <charset val="136"/>
      </rPr>
      <t>新保</t>
    </r>
  </si>
  <si>
    <r>
      <rPr>
        <sz val="12"/>
        <rFont val="標楷體"/>
        <family val="4"/>
        <charset val="136"/>
      </rPr>
      <t>新海</t>
    </r>
  </si>
  <si>
    <r>
      <rPr>
        <sz val="12"/>
        <rFont val="標楷體"/>
        <family val="4"/>
        <charset val="136"/>
      </rPr>
      <t>泰銘</t>
    </r>
  </si>
  <si>
    <r>
      <rPr>
        <sz val="12"/>
        <rFont val="標楷體"/>
        <family val="4"/>
        <charset val="136"/>
      </rPr>
      <t>中視</t>
    </r>
  </si>
  <si>
    <r>
      <rPr>
        <sz val="12"/>
        <rFont val="標楷體"/>
        <family val="4"/>
        <charset val="136"/>
      </rPr>
      <t>秋雨</t>
    </r>
  </si>
  <si>
    <r>
      <rPr>
        <sz val="12"/>
        <rFont val="標楷體"/>
        <family val="4"/>
        <charset val="136"/>
      </rPr>
      <t>中聯資源</t>
    </r>
  </si>
  <si>
    <r>
      <rPr>
        <sz val="12"/>
        <rFont val="標楷體"/>
        <family val="4"/>
        <charset val="136"/>
      </rPr>
      <t>欣高</t>
    </r>
  </si>
  <si>
    <r>
      <rPr>
        <sz val="12"/>
        <rFont val="標楷體"/>
        <family val="4"/>
        <charset val="136"/>
      </rPr>
      <t>中鼎</t>
    </r>
  </si>
  <si>
    <r>
      <rPr>
        <sz val="12"/>
        <rFont val="標楷體"/>
        <family val="4"/>
        <charset val="136"/>
      </rPr>
      <t>成霖</t>
    </r>
  </si>
  <si>
    <r>
      <rPr>
        <sz val="12"/>
        <rFont val="標楷體"/>
        <family val="4"/>
        <charset val="136"/>
      </rPr>
      <t>慶豐富</t>
    </r>
  </si>
  <si>
    <r>
      <rPr>
        <sz val="12"/>
        <rFont val="標楷體"/>
        <family val="4"/>
        <charset val="136"/>
      </rPr>
      <t>全國</t>
    </r>
  </si>
  <si>
    <r>
      <rPr>
        <sz val="12"/>
        <rFont val="標楷體"/>
        <family val="4"/>
        <charset val="136"/>
      </rPr>
      <t>百和</t>
    </r>
  </si>
  <si>
    <r>
      <rPr>
        <sz val="12"/>
        <rFont val="標楷體"/>
        <family val="4"/>
        <charset val="136"/>
      </rPr>
      <t>宏全</t>
    </r>
  </si>
  <si>
    <r>
      <rPr>
        <sz val="12"/>
        <rFont val="標楷體"/>
        <family val="4"/>
        <charset val="136"/>
      </rPr>
      <t>信義</t>
    </r>
  </si>
  <si>
    <r>
      <rPr>
        <sz val="12"/>
        <rFont val="標楷體"/>
        <family val="4"/>
        <charset val="136"/>
      </rPr>
      <t>裕融</t>
    </r>
  </si>
  <si>
    <r>
      <rPr>
        <sz val="12"/>
        <rFont val="標楷體"/>
        <family val="4"/>
        <charset val="136"/>
      </rPr>
      <t>茂順</t>
    </r>
  </si>
  <si>
    <r>
      <rPr>
        <sz val="12"/>
        <rFont val="標楷體"/>
        <family val="4"/>
        <charset val="136"/>
      </rPr>
      <t>好樂迪</t>
    </r>
  </si>
  <si>
    <r>
      <rPr>
        <sz val="12"/>
        <rFont val="標楷體"/>
        <family val="4"/>
        <charset val="136"/>
      </rPr>
      <t>新麗</t>
    </r>
  </si>
  <si>
    <r>
      <rPr>
        <sz val="12"/>
        <rFont val="標楷體"/>
        <family val="4"/>
        <charset val="136"/>
      </rPr>
      <t>潤泰新</t>
    </r>
  </si>
  <si>
    <r>
      <rPr>
        <sz val="12"/>
        <rFont val="標楷體"/>
        <family val="4"/>
        <charset val="136"/>
      </rPr>
      <t>三發地產</t>
    </r>
  </si>
  <si>
    <r>
      <rPr>
        <sz val="12"/>
        <rFont val="標楷體"/>
        <family val="4"/>
        <charset val="136"/>
      </rPr>
      <t>佳龍</t>
    </r>
  </si>
  <si>
    <r>
      <rPr>
        <sz val="12"/>
        <rFont val="標楷體"/>
        <family val="4"/>
        <charset val="136"/>
      </rPr>
      <t>世紀鋼</t>
    </r>
  </si>
  <si>
    <r>
      <rPr>
        <sz val="12"/>
        <rFont val="標楷體"/>
        <family val="4"/>
        <charset val="136"/>
      </rPr>
      <t>兆豐國際萬全</t>
    </r>
  </si>
  <si>
    <r>
      <rPr>
        <sz val="12"/>
        <rFont val="標楷體"/>
        <family val="4"/>
        <charset val="136"/>
      </rPr>
      <t>兆豐大中華平衡</t>
    </r>
  </si>
  <si>
    <r>
      <rPr>
        <sz val="12"/>
        <rFont val="標楷體"/>
        <family val="4"/>
        <charset val="136"/>
      </rPr>
      <t>第一金中概平衡</t>
    </r>
  </si>
  <si>
    <r>
      <rPr>
        <sz val="12"/>
        <rFont val="標楷體"/>
        <family val="4"/>
        <charset val="136"/>
      </rPr>
      <t>第一金全球多息</t>
    </r>
    <r>
      <rPr>
        <sz val="12"/>
        <rFont val="Times New Roman"/>
        <family val="1"/>
      </rPr>
      <t xml:space="preserve"> A</t>
    </r>
  </si>
  <si>
    <r>
      <rPr>
        <sz val="12"/>
        <rFont val="標楷體"/>
        <family val="4"/>
        <charset val="136"/>
      </rPr>
      <t>第一金全球多息</t>
    </r>
    <r>
      <rPr>
        <sz val="12"/>
        <rFont val="Times New Roman"/>
        <family val="1"/>
      </rPr>
      <t xml:space="preserve"> B</t>
    </r>
  </si>
  <si>
    <r>
      <rPr>
        <sz val="12"/>
        <rFont val="標楷體"/>
        <family val="4"/>
        <charset val="136"/>
      </rPr>
      <t>匯豐安富</t>
    </r>
  </si>
  <si>
    <r>
      <rPr>
        <sz val="12"/>
        <rFont val="標楷體"/>
        <family val="4"/>
        <charset val="136"/>
      </rPr>
      <t>匯豐中多息平</t>
    </r>
    <r>
      <rPr>
        <sz val="12"/>
        <rFont val="Times New Roman"/>
        <family val="1"/>
      </rPr>
      <t>Aa</t>
    </r>
  </si>
  <si>
    <r>
      <rPr>
        <sz val="12"/>
        <rFont val="標楷體"/>
        <family val="4"/>
        <charset val="136"/>
      </rPr>
      <t>匯豐中多息平</t>
    </r>
    <r>
      <rPr>
        <sz val="12"/>
        <rFont val="Times New Roman"/>
        <family val="1"/>
      </rPr>
      <t>Bd</t>
    </r>
  </si>
  <si>
    <r>
      <rPr>
        <sz val="12"/>
        <rFont val="標楷體"/>
        <family val="4"/>
        <charset val="136"/>
      </rPr>
      <t>元大中平衡</t>
    </r>
    <r>
      <rPr>
        <sz val="12"/>
        <rFont val="Times New Roman"/>
        <family val="1"/>
      </rPr>
      <t xml:space="preserve"> NTD</t>
    </r>
  </si>
  <si>
    <r>
      <rPr>
        <sz val="12"/>
        <rFont val="標楷體"/>
        <family val="4"/>
        <charset val="136"/>
      </rPr>
      <t>元大新東協平衡</t>
    </r>
  </si>
  <si>
    <r>
      <rPr>
        <sz val="12"/>
        <rFont val="標楷體"/>
        <family val="4"/>
        <charset val="136"/>
      </rPr>
      <t>元大大中華豐平</t>
    </r>
  </si>
  <si>
    <r>
      <rPr>
        <sz val="12"/>
        <rFont val="標楷體"/>
        <family val="4"/>
        <charset val="136"/>
      </rPr>
      <t>瀚亞理財通</t>
    </r>
  </si>
  <si>
    <r>
      <rPr>
        <sz val="12"/>
        <rFont val="標楷體"/>
        <family val="4"/>
        <charset val="136"/>
      </rPr>
      <t>瀚亞亞太豐平衡</t>
    </r>
    <r>
      <rPr>
        <sz val="12"/>
        <rFont val="Times New Roman"/>
        <family val="1"/>
      </rPr>
      <t xml:space="preserve"> A</t>
    </r>
  </si>
  <si>
    <r>
      <rPr>
        <sz val="12"/>
        <rFont val="標楷體"/>
        <family val="4"/>
        <charset val="136"/>
      </rPr>
      <t>瀚亞亞太豐平衡</t>
    </r>
    <r>
      <rPr>
        <sz val="12"/>
        <rFont val="Times New Roman"/>
        <family val="1"/>
      </rPr>
      <t xml:space="preserve"> B</t>
    </r>
  </si>
  <si>
    <r>
      <rPr>
        <sz val="12"/>
        <rFont val="標楷體"/>
        <family val="4"/>
        <charset val="136"/>
      </rPr>
      <t>瀚亞印策收平衡</t>
    </r>
    <r>
      <rPr>
        <sz val="12"/>
        <rFont val="Times New Roman"/>
        <family val="1"/>
      </rPr>
      <t>A</t>
    </r>
  </si>
  <si>
    <r>
      <rPr>
        <sz val="12"/>
        <rFont val="標楷體"/>
        <family val="4"/>
        <charset val="136"/>
      </rPr>
      <t>瀚亞印策收平衡</t>
    </r>
    <r>
      <rPr>
        <sz val="12"/>
        <rFont val="Times New Roman"/>
        <family val="1"/>
      </rPr>
      <t>B</t>
    </r>
  </si>
  <si>
    <r>
      <rPr>
        <sz val="12"/>
        <rFont val="標楷體"/>
        <family val="4"/>
        <charset val="136"/>
      </rPr>
      <t>瀚亞印策收平衡</t>
    </r>
    <r>
      <rPr>
        <sz val="12"/>
        <rFont val="Times New Roman"/>
        <family val="1"/>
      </rPr>
      <t>S</t>
    </r>
  </si>
  <si>
    <r>
      <rPr>
        <sz val="12"/>
        <rFont val="標楷體"/>
        <family val="4"/>
        <charset val="136"/>
      </rPr>
      <t>保德信金平衡</t>
    </r>
  </si>
  <si>
    <r>
      <rPr>
        <sz val="12"/>
        <rFont val="標楷體"/>
        <family val="4"/>
        <charset val="136"/>
      </rPr>
      <t>保德信中國好平</t>
    </r>
    <r>
      <rPr>
        <sz val="12"/>
        <rFont val="Times New Roman"/>
        <family val="1"/>
      </rPr>
      <t>A</t>
    </r>
  </si>
  <si>
    <r>
      <rPr>
        <sz val="12"/>
        <rFont val="標楷體"/>
        <family val="4"/>
        <charset val="136"/>
      </rPr>
      <t>保德信中國好平</t>
    </r>
    <r>
      <rPr>
        <sz val="12"/>
        <rFont val="Times New Roman"/>
        <family val="1"/>
      </rPr>
      <t>B</t>
    </r>
  </si>
  <si>
    <r>
      <rPr>
        <sz val="12"/>
        <rFont val="標楷體"/>
        <family val="4"/>
        <charset val="136"/>
      </rPr>
      <t>富邦中多重資產</t>
    </r>
    <r>
      <rPr>
        <sz val="12"/>
        <rFont val="Times New Roman"/>
        <family val="1"/>
      </rPr>
      <t>A</t>
    </r>
  </si>
  <si>
    <r>
      <rPr>
        <sz val="12"/>
        <rFont val="標楷體"/>
        <family val="4"/>
        <charset val="136"/>
      </rPr>
      <t>富邦中多重資產</t>
    </r>
    <r>
      <rPr>
        <sz val="12"/>
        <rFont val="Times New Roman"/>
        <family val="1"/>
      </rPr>
      <t>B</t>
    </r>
  </si>
  <si>
    <r>
      <rPr>
        <sz val="12"/>
        <rFont val="標楷體"/>
        <family val="4"/>
        <charset val="136"/>
      </rPr>
      <t>富邦絲路多資產</t>
    </r>
    <r>
      <rPr>
        <sz val="12"/>
        <rFont val="Times New Roman"/>
        <family val="1"/>
      </rPr>
      <t>A</t>
    </r>
  </si>
  <si>
    <r>
      <rPr>
        <sz val="12"/>
        <rFont val="標楷體"/>
        <family val="4"/>
        <charset val="136"/>
      </rPr>
      <t>富邦絲路多資產</t>
    </r>
    <r>
      <rPr>
        <sz val="12"/>
        <rFont val="Times New Roman"/>
        <family val="1"/>
      </rPr>
      <t>B</t>
    </r>
  </si>
  <si>
    <r>
      <rPr>
        <sz val="12"/>
        <rFont val="標楷體"/>
        <family val="4"/>
        <charset val="136"/>
      </rPr>
      <t>摩根平衡</t>
    </r>
  </si>
  <si>
    <r>
      <rPr>
        <sz val="12"/>
        <rFont val="標楷體"/>
        <family val="4"/>
        <charset val="136"/>
      </rPr>
      <t>摩根全球平衡</t>
    </r>
  </si>
  <si>
    <r>
      <rPr>
        <sz val="12"/>
        <rFont val="標楷體"/>
        <family val="4"/>
        <charset val="136"/>
      </rPr>
      <t>摩根亞高息平衡</t>
    </r>
    <r>
      <rPr>
        <sz val="12"/>
        <rFont val="Times New Roman"/>
        <family val="1"/>
      </rPr>
      <t xml:space="preserve"> A</t>
    </r>
  </si>
  <si>
    <r>
      <rPr>
        <sz val="12"/>
        <rFont val="標楷體"/>
        <family val="4"/>
        <charset val="136"/>
      </rPr>
      <t>摩根亞高息平衡</t>
    </r>
    <r>
      <rPr>
        <sz val="12"/>
        <rFont val="Times New Roman"/>
        <family val="1"/>
      </rPr>
      <t xml:space="preserve"> B</t>
    </r>
  </si>
  <si>
    <r>
      <rPr>
        <sz val="12"/>
        <rFont val="標楷體"/>
        <family val="4"/>
        <charset val="136"/>
      </rPr>
      <t>摩根新興雙利</t>
    </r>
    <r>
      <rPr>
        <sz val="12"/>
        <rFont val="Times New Roman"/>
        <family val="1"/>
      </rPr>
      <t>A</t>
    </r>
  </si>
  <si>
    <r>
      <rPr>
        <sz val="12"/>
        <rFont val="標楷體"/>
        <family val="4"/>
        <charset val="136"/>
      </rPr>
      <t>摩根新興雙利</t>
    </r>
    <r>
      <rPr>
        <sz val="12"/>
        <rFont val="Times New Roman"/>
        <family val="1"/>
      </rPr>
      <t>B</t>
    </r>
  </si>
  <si>
    <r>
      <rPr>
        <sz val="12"/>
        <rFont val="標楷體"/>
        <family val="4"/>
        <charset val="136"/>
      </rPr>
      <t>摩根中國雙息平</t>
    </r>
    <r>
      <rPr>
        <sz val="12"/>
        <rFont val="Times New Roman"/>
        <family val="1"/>
      </rPr>
      <t>A</t>
    </r>
  </si>
  <si>
    <r>
      <rPr>
        <sz val="12"/>
        <rFont val="標楷體"/>
        <family val="4"/>
        <charset val="136"/>
      </rPr>
      <t>摩根中國雙息平</t>
    </r>
    <r>
      <rPr>
        <sz val="12"/>
        <rFont val="Times New Roman"/>
        <family val="1"/>
      </rPr>
      <t>B</t>
    </r>
  </si>
  <si>
    <r>
      <rPr>
        <sz val="12"/>
        <rFont val="標楷體"/>
        <family val="4"/>
        <charset val="136"/>
      </rPr>
      <t>華南永昌龍盈平衡</t>
    </r>
  </si>
  <si>
    <r>
      <rPr>
        <sz val="12"/>
        <rFont val="標楷體"/>
        <family val="4"/>
        <charset val="136"/>
      </rPr>
      <t>華南多重息平衡</t>
    </r>
    <r>
      <rPr>
        <sz val="12"/>
        <rFont val="Times New Roman"/>
        <family val="1"/>
      </rPr>
      <t xml:space="preserve"> A</t>
    </r>
  </si>
  <si>
    <r>
      <rPr>
        <sz val="12"/>
        <rFont val="標楷體"/>
        <family val="4"/>
        <charset val="136"/>
      </rPr>
      <t>華南多重息平衡</t>
    </r>
    <r>
      <rPr>
        <sz val="12"/>
        <rFont val="Times New Roman"/>
        <family val="1"/>
      </rPr>
      <t xml:space="preserve"> B</t>
    </r>
  </si>
  <si>
    <r>
      <rPr>
        <sz val="12"/>
        <rFont val="標楷體"/>
        <family val="4"/>
        <charset val="136"/>
      </rPr>
      <t>新光美豐收平</t>
    </r>
    <r>
      <rPr>
        <sz val="12"/>
        <rFont val="Times New Roman"/>
        <family val="1"/>
      </rPr>
      <t>Aa</t>
    </r>
  </si>
  <si>
    <r>
      <rPr>
        <sz val="12"/>
        <rFont val="標楷體"/>
        <family val="4"/>
        <charset val="136"/>
      </rPr>
      <t>新光美豐收平</t>
    </r>
    <r>
      <rPr>
        <sz val="12"/>
        <rFont val="Times New Roman"/>
        <family val="1"/>
      </rPr>
      <t>Bd</t>
    </r>
  </si>
  <si>
    <r>
      <rPr>
        <sz val="12"/>
        <rFont val="標楷體"/>
        <family val="4"/>
        <charset val="136"/>
      </rPr>
      <t>群益亞太新趨勢平</t>
    </r>
  </si>
  <si>
    <r>
      <rPr>
        <sz val="12"/>
        <rFont val="標楷體"/>
        <family val="4"/>
        <charset val="136"/>
      </rPr>
      <t>群益真善美</t>
    </r>
  </si>
  <si>
    <r>
      <rPr>
        <sz val="12"/>
        <rFont val="標楷體"/>
        <family val="4"/>
        <charset val="136"/>
      </rPr>
      <t>群益平衡王</t>
    </r>
  </si>
  <si>
    <r>
      <rPr>
        <sz val="12"/>
        <rFont val="標楷體"/>
        <family val="4"/>
        <charset val="136"/>
      </rPr>
      <t>群益安家</t>
    </r>
  </si>
  <si>
    <r>
      <rPr>
        <sz val="12"/>
        <rFont val="標楷體"/>
        <family val="4"/>
        <charset val="136"/>
      </rPr>
      <t>群益中國金采</t>
    </r>
    <r>
      <rPr>
        <sz val="12"/>
        <rFont val="Times New Roman"/>
        <family val="1"/>
      </rPr>
      <t>A</t>
    </r>
  </si>
  <si>
    <r>
      <rPr>
        <sz val="12"/>
        <rFont val="標楷體"/>
        <family val="4"/>
        <charset val="136"/>
      </rPr>
      <t>群益中國金采</t>
    </r>
    <r>
      <rPr>
        <sz val="12"/>
        <rFont val="Times New Roman"/>
        <family val="1"/>
      </rPr>
      <t>B</t>
    </r>
  </si>
  <si>
    <r>
      <rPr>
        <sz val="12"/>
        <rFont val="標楷體"/>
        <family val="4"/>
        <charset val="136"/>
      </rPr>
      <t>群益金選平衡</t>
    </r>
    <r>
      <rPr>
        <sz val="12"/>
        <rFont val="Times New Roman"/>
        <family val="1"/>
      </rPr>
      <t>A</t>
    </r>
  </si>
  <si>
    <r>
      <rPr>
        <sz val="12"/>
        <rFont val="標楷體"/>
        <family val="4"/>
        <charset val="136"/>
      </rPr>
      <t>群益金選平衡</t>
    </r>
    <r>
      <rPr>
        <sz val="12"/>
        <rFont val="Times New Roman"/>
        <family val="1"/>
      </rPr>
      <t>B</t>
    </r>
  </si>
  <si>
    <r>
      <rPr>
        <sz val="12"/>
        <rFont val="標楷體"/>
        <family val="4"/>
        <charset val="136"/>
      </rPr>
      <t>群益金選平衡</t>
    </r>
    <r>
      <rPr>
        <sz val="12"/>
        <rFont val="Times New Roman"/>
        <family val="1"/>
      </rPr>
      <t>NA</t>
    </r>
  </si>
  <si>
    <r>
      <rPr>
        <sz val="12"/>
        <rFont val="標楷體"/>
        <family val="4"/>
        <charset val="136"/>
      </rPr>
      <t>群益金選平衡</t>
    </r>
    <r>
      <rPr>
        <sz val="12"/>
        <rFont val="Times New Roman"/>
        <family val="1"/>
      </rPr>
      <t>NB</t>
    </r>
  </si>
  <si>
    <r>
      <rPr>
        <sz val="12"/>
        <rFont val="標楷體"/>
        <family val="4"/>
        <charset val="136"/>
      </rPr>
      <t>聯博亞多重</t>
    </r>
    <r>
      <rPr>
        <sz val="12"/>
        <rFont val="Times New Roman"/>
        <family val="1"/>
      </rPr>
      <t>A2a</t>
    </r>
  </si>
  <si>
    <r>
      <rPr>
        <sz val="12"/>
        <rFont val="標楷體"/>
        <family val="4"/>
        <charset val="136"/>
      </rPr>
      <t>聯博亞多重</t>
    </r>
    <r>
      <rPr>
        <sz val="12"/>
        <rFont val="Times New Roman"/>
        <family val="1"/>
      </rPr>
      <t>ADd</t>
    </r>
  </si>
  <si>
    <r>
      <rPr>
        <sz val="12"/>
        <rFont val="標楷體"/>
        <family val="4"/>
        <charset val="136"/>
      </rPr>
      <t>聯博歐多重</t>
    </r>
    <r>
      <rPr>
        <sz val="12"/>
        <rFont val="Times New Roman"/>
        <family val="1"/>
      </rPr>
      <t>A2a</t>
    </r>
  </si>
  <si>
    <r>
      <rPr>
        <sz val="12"/>
        <rFont val="標楷體"/>
        <family val="4"/>
        <charset val="136"/>
      </rPr>
      <t>聯博歐多重</t>
    </r>
    <r>
      <rPr>
        <sz val="12"/>
        <rFont val="Times New Roman"/>
        <family val="1"/>
      </rPr>
      <t>ADd</t>
    </r>
  </si>
  <si>
    <r>
      <rPr>
        <sz val="12"/>
        <rFont val="標楷體"/>
        <family val="4"/>
        <charset val="136"/>
      </rPr>
      <t>柏瑞中國平衡</t>
    </r>
    <r>
      <rPr>
        <sz val="12"/>
        <rFont val="Times New Roman"/>
        <family val="1"/>
      </rPr>
      <t>A</t>
    </r>
  </si>
  <si>
    <r>
      <rPr>
        <sz val="12"/>
        <rFont val="標楷體"/>
        <family val="4"/>
        <charset val="136"/>
      </rPr>
      <t>柏瑞中國平衡</t>
    </r>
    <r>
      <rPr>
        <sz val="12"/>
        <rFont val="Times New Roman"/>
        <family val="1"/>
      </rPr>
      <t>B</t>
    </r>
  </si>
  <si>
    <r>
      <rPr>
        <sz val="12"/>
        <rFont val="標楷體"/>
        <family val="4"/>
        <charset val="136"/>
      </rPr>
      <t>柏瑞中國平衡</t>
    </r>
    <r>
      <rPr>
        <sz val="12"/>
        <rFont val="Times New Roman"/>
        <family val="1"/>
      </rPr>
      <t>N</t>
    </r>
  </si>
  <si>
    <r>
      <rPr>
        <sz val="12"/>
        <rFont val="標楷體"/>
        <family val="4"/>
        <charset val="136"/>
      </rPr>
      <t>復華傳家</t>
    </r>
  </si>
  <si>
    <r>
      <rPr>
        <sz val="12"/>
        <rFont val="標楷體"/>
        <family val="4"/>
        <charset val="136"/>
      </rPr>
      <t>復華傳家二號</t>
    </r>
  </si>
  <si>
    <r>
      <rPr>
        <sz val="12"/>
        <rFont val="標楷體"/>
        <family val="4"/>
        <charset val="136"/>
      </rPr>
      <t>復華人生目標</t>
    </r>
  </si>
  <si>
    <r>
      <rPr>
        <sz val="12"/>
        <rFont val="標楷體"/>
        <family val="4"/>
        <charset val="136"/>
      </rPr>
      <t>復華全球平衡</t>
    </r>
  </si>
  <si>
    <r>
      <rPr>
        <sz val="12"/>
        <rFont val="標楷體"/>
        <family val="4"/>
        <charset val="136"/>
      </rPr>
      <t>復華神盾</t>
    </r>
  </si>
  <si>
    <r>
      <rPr>
        <sz val="12"/>
        <rFont val="標楷體"/>
        <family val="4"/>
        <charset val="136"/>
      </rPr>
      <t>復華亞太平衡</t>
    </r>
  </si>
  <si>
    <r>
      <rPr>
        <sz val="12"/>
        <rFont val="標楷體"/>
        <family val="4"/>
        <charset val="136"/>
      </rPr>
      <t>復華中新經濟平衡</t>
    </r>
  </si>
  <si>
    <r>
      <rPr>
        <sz val="12"/>
        <rFont val="標楷體"/>
        <family val="4"/>
        <charset val="136"/>
      </rPr>
      <t>永豐趨勢平衡</t>
    </r>
  </si>
  <si>
    <r>
      <rPr>
        <sz val="12"/>
        <rFont val="標楷體"/>
        <family val="4"/>
        <charset val="136"/>
      </rPr>
      <t>中信亞太多元息</t>
    </r>
    <r>
      <rPr>
        <sz val="12"/>
        <rFont val="Times New Roman"/>
        <family val="1"/>
      </rPr>
      <t>A</t>
    </r>
  </si>
  <si>
    <r>
      <rPr>
        <sz val="12"/>
        <rFont val="標楷體"/>
        <family val="4"/>
        <charset val="136"/>
      </rPr>
      <t>中信亞太多元息</t>
    </r>
    <r>
      <rPr>
        <sz val="12"/>
        <rFont val="Times New Roman"/>
        <family val="1"/>
      </rPr>
      <t>B</t>
    </r>
  </si>
  <si>
    <r>
      <rPr>
        <sz val="12"/>
        <rFont val="標楷體"/>
        <family val="4"/>
        <charset val="136"/>
      </rPr>
      <t>中信樂齡收益平</t>
    </r>
    <r>
      <rPr>
        <sz val="12"/>
        <rFont val="Times New Roman"/>
        <family val="1"/>
      </rPr>
      <t>A</t>
    </r>
  </si>
  <si>
    <r>
      <rPr>
        <sz val="12"/>
        <rFont val="標楷體"/>
        <family val="4"/>
        <charset val="136"/>
      </rPr>
      <t>中信樂齡收益平</t>
    </r>
    <r>
      <rPr>
        <sz val="12"/>
        <rFont val="Times New Roman"/>
        <family val="1"/>
      </rPr>
      <t>B</t>
    </r>
  </si>
  <si>
    <r>
      <rPr>
        <sz val="12"/>
        <rFont val="標楷體"/>
        <family val="4"/>
        <charset val="136"/>
      </rPr>
      <t>野村平衡</t>
    </r>
  </si>
  <si>
    <r>
      <rPr>
        <sz val="12"/>
        <rFont val="標楷體"/>
        <family val="4"/>
        <charset val="136"/>
      </rPr>
      <t>野村鴻利</t>
    </r>
  </si>
  <si>
    <r>
      <rPr>
        <sz val="12"/>
        <rFont val="標楷體"/>
        <family val="4"/>
        <charset val="136"/>
      </rPr>
      <t>野村動態多重</t>
    </r>
    <r>
      <rPr>
        <sz val="12"/>
        <rFont val="Times New Roman"/>
        <family val="1"/>
      </rPr>
      <t>A</t>
    </r>
  </si>
  <si>
    <r>
      <rPr>
        <sz val="12"/>
        <rFont val="標楷體"/>
        <family val="4"/>
        <charset val="136"/>
      </rPr>
      <t>野村動態多重</t>
    </r>
    <r>
      <rPr>
        <sz val="12"/>
        <rFont val="Times New Roman"/>
        <family val="1"/>
      </rPr>
      <t>B</t>
    </r>
  </si>
  <si>
    <r>
      <rPr>
        <sz val="12"/>
        <rFont val="標楷體"/>
        <family val="4"/>
        <charset val="136"/>
      </rPr>
      <t>野村動態多重</t>
    </r>
    <r>
      <rPr>
        <sz val="12"/>
        <rFont val="Times New Roman"/>
        <family val="1"/>
      </rPr>
      <t>S</t>
    </r>
  </si>
  <si>
    <r>
      <rPr>
        <sz val="12"/>
        <rFont val="標楷體"/>
        <family val="4"/>
        <charset val="136"/>
      </rPr>
      <t>野村多元收益平</t>
    </r>
    <r>
      <rPr>
        <sz val="12"/>
        <rFont val="Times New Roman"/>
        <family val="1"/>
      </rPr>
      <t>A</t>
    </r>
  </si>
  <si>
    <r>
      <rPr>
        <sz val="12"/>
        <rFont val="標楷體"/>
        <family val="4"/>
        <charset val="136"/>
      </rPr>
      <t>野村多元收益平</t>
    </r>
    <r>
      <rPr>
        <sz val="12"/>
        <rFont val="Times New Roman"/>
        <family val="1"/>
      </rPr>
      <t>B</t>
    </r>
  </si>
  <si>
    <r>
      <rPr>
        <sz val="12"/>
        <rFont val="標楷體"/>
        <family val="4"/>
        <charset val="136"/>
      </rPr>
      <t>野村多元收益平</t>
    </r>
    <r>
      <rPr>
        <sz val="12"/>
        <rFont val="Times New Roman"/>
        <family val="1"/>
      </rPr>
      <t>S</t>
    </r>
  </si>
  <si>
    <r>
      <rPr>
        <sz val="12"/>
        <rFont val="標楷體"/>
        <family val="4"/>
        <charset val="136"/>
      </rPr>
      <t>野村核心多重資</t>
    </r>
  </si>
  <si>
    <r>
      <rPr>
        <sz val="12"/>
        <rFont val="標楷體"/>
        <family val="4"/>
        <charset val="136"/>
      </rPr>
      <t>野村核心多重資</t>
    </r>
    <r>
      <rPr>
        <sz val="12"/>
        <rFont val="Times New Roman"/>
        <family val="1"/>
      </rPr>
      <t>AS</t>
    </r>
  </si>
  <si>
    <r>
      <rPr>
        <sz val="12"/>
        <rFont val="標楷體"/>
        <family val="4"/>
        <charset val="136"/>
      </rPr>
      <t>聯邦金鑽平衡</t>
    </r>
  </si>
  <si>
    <r>
      <rPr>
        <sz val="12"/>
        <rFont val="標楷體"/>
        <family val="4"/>
        <charset val="136"/>
      </rPr>
      <t>聯邦太平洋平</t>
    </r>
    <r>
      <rPr>
        <sz val="12"/>
        <rFont val="Times New Roman"/>
        <family val="1"/>
      </rPr>
      <t>Aa</t>
    </r>
  </si>
  <si>
    <r>
      <rPr>
        <sz val="12"/>
        <rFont val="標楷體"/>
        <family val="4"/>
        <charset val="136"/>
      </rPr>
      <t>聯邦太平洋平</t>
    </r>
    <r>
      <rPr>
        <sz val="12"/>
        <rFont val="Times New Roman"/>
        <family val="1"/>
      </rPr>
      <t>Bd</t>
    </r>
  </si>
  <si>
    <r>
      <rPr>
        <sz val="12"/>
        <rFont val="標楷體"/>
        <family val="4"/>
        <charset val="136"/>
      </rPr>
      <t>國泰全多重平衡</t>
    </r>
    <r>
      <rPr>
        <sz val="12"/>
        <rFont val="Times New Roman"/>
        <family val="1"/>
      </rPr>
      <t xml:space="preserve"> A</t>
    </r>
  </si>
  <si>
    <r>
      <rPr>
        <sz val="12"/>
        <rFont val="標楷體"/>
        <family val="4"/>
        <charset val="136"/>
      </rPr>
      <t>國泰全多重平衡</t>
    </r>
    <r>
      <rPr>
        <sz val="12"/>
        <rFont val="Times New Roman"/>
        <family val="1"/>
      </rPr>
      <t xml:space="preserve"> B</t>
    </r>
  </si>
  <si>
    <r>
      <rPr>
        <sz val="12"/>
        <rFont val="標楷體"/>
        <family val="4"/>
        <charset val="136"/>
      </rPr>
      <t>國泰亞太息平衡</t>
    </r>
    <r>
      <rPr>
        <sz val="12"/>
        <rFont val="Times New Roman"/>
        <family val="1"/>
      </rPr>
      <t>A</t>
    </r>
  </si>
  <si>
    <r>
      <rPr>
        <sz val="12"/>
        <rFont val="標楷體"/>
        <family val="4"/>
        <charset val="136"/>
      </rPr>
      <t>國泰亞太息平衡</t>
    </r>
    <r>
      <rPr>
        <sz val="12"/>
        <rFont val="Times New Roman"/>
        <family val="1"/>
      </rPr>
      <t>B</t>
    </r>
  </si>
  <si>
    <r>
      <rPr>
        <sz val="12"/>
        <rFont val="標楷體"/>
        <family val="4"/>
        <charset val="136"/>
      </rPr>
      <t>街口中國機平</t>
    </r>
    <r>
      <rPr>
        <sz val="12"/>
        <rFont val="Times New Roman"/>
        <family val="1"/>
      </rPr>
      <t>Aa</t>
    </r>
  </si>
  <si>
    <r>
      <rPr>
        <sz val="12"/>
        <rFont val="標楷體"/>
        <family val="4"/>
        <charset val="136"/>
      </rPr>
      <t>富蘭克林多重收</t>
    </r>
    <r>
      <rPr>
        <sz val="12"/>
        <rFont val="Times New Roman"/>
        <family val="1"/>
      </rPr>
      <t>A</t>
    </r>
  </si>
  <si>
    <r>
      <rPr>
        <sz val="12"/>
        <rFont val="標楷體"/>
        <family val="4"/>
        <charset val="136"/>
      </rPr>
      <t>富蘭克林多重收</t>
    </r>
    <r>
      <rPr>
        <sz val="12"/>
        <rFont val="Times New Roman"/>
        <family val="1"/>
      </rPr>
      <t>B</t>
    </r>
  </si>
  <si>
    <r>
      <rPr>
        <sz val="12"/>
        <rFont val="標楷體"/>
        <family val="4"/>
        <charset val="136"/>
      </rPr>
      <t>富蘭亞太平衡</t>
    </r>
    <r>
      <rPr>
        <sz val="12"/>
        <rFont val="Times New Roman"/>
        <family val="1"/>
      </rPr>
      <t>A</t>
    </r>
  </si>
  <si>
    <r>
      <rPr>
        <sz val="12"/>
        <rFont val="標楷體"/>
        <family val="4"/>
        <charset val="136"/>
      </rPr>
      <t>富蘭亞太平衡</t>
    </r>
    <r>
      <rPr>
        <sz val="12"/>
        <rFont val="Times New Roman"/>
        <family val="1"/>
      </rPr>
      <t>B</t>
    </r>
  </si>
  <si>
    <r>
      <rPr>
        <sz val="12"/>
        <rFont val="標楷體"/>
        <family val="4"/>
        <charset val="136"/>
      </rPr>
      <t>台新高股息平衡</t>
    </r>
  </si>
  <si>
    <r>
      <rPr>
        <sz val="12"/>
        <rFont val="標楷體"/>
        <family val="4"/>
        <charset val="136"/>
      </rPr>
      <t>大華銀多特收益</t>
    </r>
  </si>
  <si>
    <r>
      <rPr>
        <sz val="12"/>
        <rFont val="標楷體"/>
        <family val="4"/>
        <charset val="136"/>
      </rPr>
      <t>兆豐國際第一</t>
    </r>
  </si>
  <si>
    <r>
      <rPr>
        <sz val="12"/>
        <rFont val="標楷體"/>
        <family val="4"/>
        <charset val="136"/>
      </rPr>
      <t>股票型基金</t>
    </r>
    <r>
      <rPr>
        <sz val="12"/>
        <rFont val="Times New Roman"/>
        <family val="1"/>
      </rPr>
      <t>(</t>
    </r>
    <r>
      <rPr>
        <sz val="12"/>
        <rFont val="標楷體"/>
        <family val="4"/>
        <charset val="136"/>
      </rPr>
      <t>上市</t>
    </r>
    <r>
      <rPr>
        <sz val="12"/>
        <rFont val="Times New Roman"/>
        <family val="1"/>
      </rPr>
      <t>)</t>
    </r>
  </si>
  <si>
    <r>
      <rPr>
        <sz val="12"/>
        <rFont val="標楷體"/>
        <family val="4"/>
        <charset val="136"/>
      </rPr>
      <t>兆豐國際國民</t>
    </r>
  </si>
  <si>
    <r>
      <rPr>
        <sz val="12"/>
        <rFont val="標楷體"/>
        <family val="4"/>
        <charset val="136"/>
      </rPr>
      <t>兆豐國際電子</t>
    </r>
  </si>
  <si>
    <r>
      <rPr>
        <sz val="12"/>
        <rFont val="標楷體"/>
        <family val="4"/>
        <charset val="136"/>
      </rPr>
      <t>兆豐豐台灣</t>
    </r>
  </si>
  <si>
    <r>
      <rPr>
        <sz val="12"/>
        <rFont val="標楷體"/>
        <family val="4"/>
        <charset val="136"/>
      </rPr>
      <t>第一金小型</t>
    </r>
  </si>
  <si>
    <r>
      <rPr>
        <sz val="12"/>
        <rFont val="標楷體"/>
        <family val="4"/>
        <charset val="136"/>
      </rPr>
      <t>第一金電子</t>
    </r>
  </si>
  <si>
    <r>
      <rPr>
        <sz val="12"/>
        <rFont val="標楷體"/>
        <family val="4"/>
        <charset val="136"/>
      </rPr>
      <t>第一金大中華</t>
    </r>
  </si>
  <si>
    <r>
      <t xml:space="preserve">Y </t>
    </r>
    <r>
      <rPr>
        <sz val="12"/>
        <rFont val="標楷體"/>
        <family val="4"/>
        <charset val="136"/>
      </rPr>
      <t>第一金創新</t>
    </r>
    <r>
      <rPr>
        <sz val="12"/>
        <rFont val="Times New Roman"/>
        <family val="1"/>
      </rPr>
      <t>Aa</t>
    </r>
  </si>
  <si>
    <r>
      <rPr>
        <sz val="12"/>
        <rFont val="標楷體"/>
        <family val="4"/>
        <charset val="136"/>
      </rPr>
      <t>匯豐成功</t>
    </r>
  </si>
  <si>
    <r>
      <rPr>
        <sz val="12"/>
        <rFont val="標楷體"/>
        <family val="4"/>
        <charset val="136"/>
      </rPr>
      <t>匯豐龍鳳</t>
    </r>
    <r>
      <rPr>
        <sz val="12"/>
        <rFont val="Times New Roman"/>
        <family val="1"/>
      </rPr>
      <t>I</t>
    </r>
  </si>
  <si>
    <r>
      <rPr>
        <sz val="12"/>
        <rFont val="標楷體"/>
        <family val="4"/>
        <charset val="136"/>
      </rPr>
      <t>匯豐龍鳳</t>
    </r>
    <r>
      <rPr>
        <sz val="12"/>
        <rFont val="Times New Roman"/>
        <family val="1"/>
      </rPr>
      <t>A</t>
    </r>
  </si>
  <si>
    <r>
      <rPr>
        <sz val="12"/>
        <rFont val="標楷體"/>
        <family val="4"/>
        <charset val="136"/>
      </rPr>
      <t>匯豐龍騰電子</t>
    </r>
  </si>
  <si>
    <r>
      <rPr>
        <sz val="12"/>
        <rFont val="標楷體"/>
        <family val="4"/>
        <charset val="136"/>
      </rPr>
      <t>匯豐台灣精典</t>
    </r>
  </si>
  <si>
    <r>
      <rPr>
        <sz val="12"/>
        <rFont val="標楷體"/>
        <family val="4"/>
        <charset val="136"/>
      </rPr>
      <t>元多福</t>
    </r>
  </si>
  <si>
    <r>
      <rPr>
        <sz val="12"/>
        <rFont val="標楷體"/>
        <family val="4"/>
        <charset val="136"/>
      </rPr>
      <t>元大多多基金</t>
    </r>
  </si>
  <si>
    <r>
      <rPr>
        <sz val="12"/>
        <rFont val="標楷體"/>
        <family val="4"/>
        <charset val="136"/>
      </rPr>
      <t>元卓越</t>
    </r>
  </si>
  <si>
    <r>
      <rPr>
        <sz val="12"/>
        <rFont val="標楷體"/>
        <family val="4"/>
        <charset val="136"/>
      </rPr>
      <t>元高科</t>
    </r>
  </si>
  <si>
    <r>
      <rPr>
        <sz val="12"/>
        <rFont val="標楷體"/>
        <family val="4"/>
        <charset val="136"/>
      </rPr>
      <t>元大經貿基金</t>
    </r>
  </si>
  <si>
    <r>
      <rPr>
        <sz val="12"/>
        <rFont val="標楷體"/>
        <family val="4"/>
        <charset val="136"/>
      </rPr>
      <t>新主流</t>
    </r>
  </si>
  <si>
    <r>
      <rPr>
        <sz val="12"/>
        <rFont val="標楷體"/>
        <family val="4"/>
        <charset val="136"/>
      </rPr>
      <t>元</t>
    </r>
    <r>
      <rPr>
        <sz val="12"/>
        <rFont val="Times New Roman"/>
        <family val="1"/>
      </rPr>
      <t>2001</t>
    </r>
  </si>
  <si>
    <r>
      <rPr>
        <sz val="12"/>
        <rFont val="標楷體"/>
        <family val="4"/>
        <charset val="136"/>
      </rPr>
      <t>元大台灣加權股價</t>
    </r>
  </si>
  <si>
    <r>
      <rPr>
        <sz val="12"/>
        <rFont val="標楷體"/>
        <family val="4"/>
        <charset val="136"/>
      </rPr>
      <t>元大台卓</t>
    </r>
    <r>
      <rPr>
        <sz val="12"/>
        <rFont val="Times New Roman"/>
        <family val="1"/>
      </rPr>
      <t>50</t>
    </r>
    <r>
      <rPr>
        <sz val="12"/>
        <rFont val="標楷體"/>
        <family val="4"/>
        <charset val="136"/>
      </rPr>
      <t>連</t>
    </r>
    <r>
      <rPr>
        <sz val="12"/>
        <rFont val="Times New Roman"/>
        <family val="1"/>
      </rPr>
      <t>Aa</t>
    </r>
  </si>
  <si>
    <r>
      <rPr>
        <sz val="12"/>
        <rFont val="標楷體"/>
        <family val="4"/>
        <charset val="136"/>
      </rPr>
      <t>元大台卓</t>
    </r>
    <r>
      <rPr>
        <sz val="12"/>
        <rFont val="Times New Roman"/>
        <family val="1"/>
      </rPr>
      <t>50</t>
    </r>
    <r>
      <rPr>
        <sz val="12"/>
        <rFont val="標楷體"/>
        <family val="4"/>
        <charset val="136"/>
      </rPr>
      <t>連</t>
    </r>
    <r>
      <rPr>
        <sz val="12"/>
        <rFont val="Times New Roman"/>
        <family val="1"/>
      </rPr>
      <t>Bd</t>
    </r>
  </si>
  <si>
    <r>
      <rPr>
        <sz val="12"/>
        <rFont val="標楷體"/>
        <family val="4"/>
        <charset val="136"/>
      </rPr>
      <t>元大台高息連</t>
    </r>
    <r>
      <rPr>
        <sz val="12"/>
        <rFont val="Times New Roman"/>
        <family val="1"/>
      </rPr>
      <t>Aa</t>
    </r>
  </si>
  <si>
    <r>
      <rPr>
        <sz val="12"/>
        <rFont val="標楷體"/>
        <family val="4"/>
        <charset val="136"/>
      </rPr>
      <t>元大台高息連</t>
    </r>
    <r>
      <rPr>
        <sz val="12"/>
        <rFont val="Times New Roman"/>
        <family val="1"/>
      </rPr>
      <t>Bd</t>
    </r>
  </si>
  <si>
    <r>
      <rPr>
        <sz val="12"/>
        <rFont val="標楷體"/>
        <family val="4"/>
        <charset val="136"/>
      </rPr>
      <t>元大富櫃</t>
    </r>
    <r>
      <rPr>
        <sz val="12"/>
        <rFont val="Times New Roman"/>
        <family val="1"/>
      </rPr>
      <t>50</t>
    </r>
    <r>
      <rPr>
        <sz val="12"/>
        <rFont val="標楷體"/>
        <family val="4"/>
        <charset val="136"/>
      </rPr>
      <t>連</t>
    </r>
    <r>
      <rPr>
        <sz val="12"/>
        <rFont val="Times New Roman"/>
        <family val="1"/>
      </rPr>
      <t>Aa</t>
    </r>
  </si>
  <si>
    <r>
      <rPr>
        <sz val="12"/>
        <rFont val="標楷體"/>
        <family val="4"/>
        <charset val="136"/>
      </rPr>
      <t>元大富櫃</t>
    </r>
    <r>
      <rPr>
        <sz val="12"/>
        <rFont val="Times New Roman"/>
        <family val="1"/>
      </rPr>
      <t>50</t>
    </r>
    <r>
      <rPr>
        <sz val="12"/>
        <rFont val="標楷體"/>
        <family val="4"/>
        <charset val="136"/>
      </rPr>
      <t>連</t>
    </r>
    <r>
      <rPr>
        <sz val="12"/>
        <rFont val="Times New Roman"/>
        <family val="1"/>
      </rPr>
      <t>Bd</t>
    </r>
  </si>
  <si>
    <r>
      <rPr>
        <sz val="12"/>
        <rFont val="標楷體"/>
        <family val="4"/>
        <charset val="136"/>
      </rPr>
      <t>景順潛力</t>
    </r>
  </si>
  <si>
    <r>
      <rPr>
        <sz val="12"/>
        <rFont val="標楷體"/>
        <family val="4"/>
        <charset val="136"/>
      </rPr>
      <t>景順台灣科技</t>
    </r>
  </si>
  <si>
    <r>
      <rPr>
        <sz val="12"/>
        <rFont val="標楷體"/>
        <family val="4"/>
        <charset val="136"/>
      </rPr>
      <t>景順主流</t>
    </r>
  </si>
  <si>
    <r>
      <rPr>
        <sz val="12"/>
        <rFont val="標楷體"/>
        <family val="4"/>
        <charset val="136"/>
      </rPr>
      <t>瀚亞高科技</t>
    </r>
  </si>
  <si>
    <r>
      <rPr>
        <sz val="12"/>
        <rFont val="標楷體"/>
        <family val="4"/>
        <charset val="136"/>
      </rPr>
      <t>瀚亞外銷</t>
    </r>
  </si>
  <si>
    <r>
      <rPr>
        <sz val="12"/>
        <rFont val="標楷體"/>
        <family val="4"/>
        <charset val="136"/>
      </rPr>
      <t>瀚亞菁華</t>
    </r>
  </si>
  <si>
    <r>
      <rPr>
        <sz val="12"/>
        <rFont val="標楷體"/>
        <family val="4"/>
        <charset val="136"/>
      </rPr>
      <t>瀚亞中小型股</t>
    </r>
  </si>
  <si>
    <r>
      <rPr>
        <sz val="12"/>
        <rFont val="標楷體"/>
        <family val="4"/>
        <charset val="136"/>
      </rPr>
      <t>保德信高成長</t>
    </r>
    <r>
      <rPr>
        <sz val="12"/>
        <rFont val="Times New Roman"/>
        <family val="1"/>
      </rPr>
      <t>Aa</t>
    </r>
  </si>
  <si>
    <r>
      <rPr>
        <sz val="12"/>
        <rFont val="標楷體"/>
        <family val="4"/>
        <charset val="136"/>
      </rPr>
      <t>保德信金滿意</t>
    </r>
  </si>
  <si>
    <r>
      <rPr>
        <sz val="12"/>
        <rFont val="標楷體"/>
        <family val="4"/>
        <charset val="136"/>
      </rPr>
      <t>保德信科技島</t>
    </r>
  </si>
  <si>
    <r>
      <rPr>
        <sz val="12"/>
        <rFont val="標楷體"/>
        <family val="4"/>
        <charset val="136"/>
      </rPr>
      <t>保德信中小型</t>
    </r>
  </si>
  <si>
    <r>
      <rPr>
        <sz val="12"/>
        <rFont val="標楷體"/>
        <family val="4"/>
        <charset val="136"/>
      </rPr>
      <t>保德信新世紀</t>
    </r>
  </si>
  <si>
    <r>
      <rPr>
        <sz val="12"/>
        <rFont val="標楷體"/>
        <family val="4"/>
        <charset val="136"/>
      </rPr>
      <t>統一統信</t>
    </r>
  </si>
  <si>
    <r>
      <rPr>
        <sz val="12"/>
        <rFont val="標楷體"/>
        <family val="4"/>
        <charset val="136"/>
      </rPr>
      <t>統一全天候</t>
    </r>
    <r>
      <rPr>
        <sz val="12"/>
        <rFont val="Times New Roman"/>
        <family val="1"/>
      </rPr>
      <t>I</t>
    </r>
  </si>
  <si>
    <r>
      <rPr>
        <sz val="12"/>
        <rFont val="標楷體"/>
        <family val="4"/>
        <charset val="136"/>
      </rPr>
      <t>統一全天候</t>
    </r>
    <r>
      <rPr>
        <sz val="12"/>
        <rFont val="Times New Roman"/>
        <family val="1"/>
      </rPr>
      <t>A</t>
    </r>
  </si>
  <si>
    <r>
      <rPr>
        <sz val="12"/>
        <rFont val="標楷體"/>
        <family val="4"/>
        <charset val="136"/>
      </rPr>
      <t>統一黑馬</t>
    </r>
  </si>
  <si>
    <r>
      <rPr>
        <sz val="12"/>
        <rFont val="標楷體"/>
        <family val="4"/>
        <charset val="136"/>
      </rPr>
      <t>統一龍馬</t>
    </r>
  </si>
  <si>
    <r>
      <rPr>
        <sz val="12"/>
        <rFont val="標楷體"/>
        <family val="4"/>
        <charset val="136"/>
      </rPr>
      <t>統一中小</t>
    </r>
  </si>
  <si>
    <r>
      <rPr>
        <sz val="12"/>
        <rFont val="標楷體"/>
        <family val="4"/>
        <charset val="136"/>
      </rPr>
      <t>統一經建</t>
    </r>
  </si>
  <si>
    <r>
      <rPr>
        <sz val="12"/>
        <rFont val="標楷體"/>
        <family val="4"/>
        <charset val="136"/>
      </rPr>
      <t>統一奔騰</t>
    </r>
  </si>
  <si>
    <r>
      <rPr>
        <sz val="12"/>
        <rFont val="標楷體"/>
        <family val="4"/>
        <charset val="136"/>
      </rPr>
      <t>統一大滿貫</t>
    </r>
    <r>
      <rPr>
        <sz val="12"/>
        <rFont val="Times New Roman"/>
        <family val="1"/>
      </rPr>
      <t>I</t>
    </r>
  </si>
  <si>
    <r>
      <rPr>
        <sz val="12"/>
        <rFont val="標楷體"/>
        <family val="4"/>
        <charset val="136"/>
      </rPr>
      <t>統一大滿貫</t>
    </r>
    <r>
      <rPr>
        <sz val="12"/>
        <rFont val="Times New Roman"/>
        <family val="1"/>
      </rPr>
      <t>A</t>
    </r>
  </si>
  <si>
    <r>
      <rPr>
        <sz val="12"/>
        <rFont val="標楷體"/>
        <family val="4"/>
        <charset val="136"/>
      </rPr>
      <t>統一台灣動力</t>
    </r>
  </si>
  <si>
    <r>
      <rPr>
        <sz val="12"/>
        <rFont val="標楷體"/>
        <family val="4"/>
        <charset val="136"/>
      </rPr>
      <t>富邦</t>
    </r>
    <r>
      <rPr>
        <sz val="12"/>
        <rFont val="Times New Roman"/>
        <family val="1"/>
      </rPr>
      <t>FB I</t>
    </r>
  </si>
  <si>
    <r>
      <rPr>
        <sz val="12"/>
        <rFont val="標楷體"/>
        <family val="4"/>
        <charset val="136"/>
      </rPr>
      <t>富邦</t>
    </r>
    <r>
      <rPr>
        <sz val="12"/>
        <rFont val="Times New Roman"/>
        <family val="1"/>
      </rPr>
      <t>FB A</t>
    </r>
  </si>
  <si>
    <r>
      <rPr>
        <sz val="12"/>
        <rFont val="標楷體"/>
        <family val="4"/>
        <charset val="136"/>
      </rPr>
      <t>富邦精準</t>
    </r>
  </si>
  <si>
    <r>
      <rPr>
        <sz val="12"/>
        <rFont val="標楷體"/>
        <family val="4"/>
        <charset val="136"/>
      </rPr>
      <t>富邦長紅</t>
    </r>
  </si>
  <si>
    <r>
      <rPr>
        <sz val="12"/>
        <rFont val="標楷體"/>
        <family val="4"/>
        <charset val="136"/>
      </rPr>
      <t>精銳</t>
    </r>
    <r>
      <rPr>
        <sz val="12"/>
        <rFont val="Times New Roman"/>
        <family val="1"/>
      </rPr>
      <t>FB</t>
    </r>
  </si>
  <si>
    <r>
      <rPr>
        <sz val="12"/>
        <rFont val="標楷體"/>
        <family val="4"/>
        <charset val="136"/>
      </rPr>
      <t>富邦高成長</t>
    </r>
  </si>
  <si>
    <r>
      <rPr>
        <sz val="12"/>
        <rFont val="標楷體"/>
        <family val="4"/>
        <charset val="136"/>
      </rPr>
      <t>科技</t>
    </r>
    <r>
      <rPr>
        <sz val="12"/>
        <rFont val="Times New Roman"/>
        <family val="1"/>
      </rPr>
      <t>FB</t>
    </r>
  </si>
  <si>
    <r>
      <rPr>
        <sz val="12"/>
        <rFont val="標楷體"/>
        <family val="4"/>
        <charset val="136"/>
      </rPr>
      <t>富邦台灣心</t>
    </r>
  </si>
  <si>
    <r>
      <rPr>
        <sz val="12"/>
        <rFont val="標楷體"/>
        <family val="4"/>
        <charset val="136"/>
      </rPr>
      <t>摩根台灣增長</t>
    </r>
  </si>
  <si>
    <r>
      <rPr>
        <sz val="12"/>
        <rFont val="標楷體"/>
        <family val="4"/>
        <charset val="136"/>
      </rPr>
      <t>摩根新興科技</t>
    </r>
  </si>
  <si>
    <r>
      <rPr>
        <sz val="12"/>
        <rFont val="標楷體"/>
        <family val="4"/>
        <charset val="136"/>
      </rPr>
      <t>摩根中小</t>
    </r>
  </si>
  <si>
    <r>
      <rPr>
        <sz val="12"/>
        <rFont val="標楷體"/>
        <family val="4"/>
        <charset val="136"/>
      </rPr>
      <t>摩根台灣金磚</t>
    </r>
    <r>
      <rPr>
        <sz val="12"/>
        <rFont val="Times New Roman"/>
        <family val="1"/>
      </rPr>
      <t>I</t>
    </r>
  </si>
  <si>
    <r>
      <rPr>
        <sz val="12"/>
        <rFont val="標楷體"/>
        <family val="4"/>
        <charset val="136"/>
      </rPr>
      <t>摩根台灣金磚</t>
    </r>
    <r>
      <rPr>
        <sz val="12"/>
        <rFont val="Times New Roman"/>
        <family val="1"/>
      </rPr>
      <t>A</t>
    </r>
  </si>
  <si>
    <r>
      <rPr>
        <sz val="12"/>
        <rFont val="標楷體"/>
        <family val="4"/>
        <charset val="136"/>
      </rPr>
      <t>華南永昌永昌</t>
    </r>
  </si>
  <si>
    <r>
      <rPr>
        <sz val="12"/>
        <rFont val="標楷體"/>
        <family val="4"/>
        <charset val="136"/>
      </rPr>
      <t>華南物聯網</t>
    </r>
  </si>
  <si>
    <r>
      <rPr>
        <sz val="12"/>
        <rFont val="標楷體"/>
        <family val="4"/>
        <charset val="136"/>
      </rPr>
      <t>新光創新科技</t>
    </r>
  </si>
  <si>
    <r>
      <rPr>
        <sz val="12"/>
        <rFont val="標楷體"/>
        <family val="4"/>
        <charset val="136"/>
      </rPr>
      <t>新光大三通</t>
    </r>
  </si>
  <si>
    <r>
      <rPr>
        <sz val="12"/>
        <rFont val="標楷體"/>
        <family val="4"/>
        <charset val="136"/>
      </rPr>
      <t>新光台灣富貴</t>
    </r>
  </si>
  <si>
    <r>
      <rPr>
        <sz val="12"/>
        <rFont val="標楷體"/>
        <family val="4"/>
        <charset val="136"/>
      </rPr>
      <t>群益奧斯卡</t>
    </r>
  </si>
  <si>
    <r>
      <rPr>
        <sz val="12"/>
        <rFont val="標楷體"/>
        <family val="4"/>
        <charset val="136"/>
      </rPr>
      <t>群益葛萊美</t>
    </r>
  </si>
  <si>
    <r>
      <rPr>
        <sz val="12"/>
        <rFont val="標楷體"/>
        <family val="4"/>
        <charset val="136"/>
      </rPr>
      <t>群益中小</t>
    </r>
  </si>
  <si>
    <r>
      <rPr>
        <sz val="12"/>
        <rFont val="標楷體"/>
        <family val="4"/>
        <charset val="136"/>
      </rPr>
      <t>群益馬拉松</t>
    </r>
    <r>
      <rPr>
        <sz val="12"/>
        <rFont val="Times New Roman"/>
        <family val="1"/>
      </rPr>
      <t>I</t>
    </r>
  </si>
  <si>
    <r>
      <rPr>
        <sz val="12"/>
        <rFont val="標楷體"/>
        <family val="4"/>
        <charset val="136"/>
      </rPr>
      <t>群益馬拉松</t>
    </r>
    <r>
      <rPr>
        <sz val="12"/>
        <rFont val="Times New Roman"/>
        <family val="1"/>
      </rPr>
      <t>A</t>
    </r>
  </si>
  <si>
    <r>
      <rPr>
        <sz val="12"/>
        <rFont val="標楷體"/>
        <family val="4"/>
        <charset val="136"/>
      </rPr>
      <t>群益長安</t>
    </r>
  </si>
  <si>
    <r>
      <rPr>
        <sz val="12"/>
        <rFont val="標楷體"/>
        <family val="4"/>
        <charset val="136"/>
      </rPr>
      <t>群益創新科技</t>
    </r>
  </si>
  <si>
    <r>
      <rPr>
        <sz val="12"/>
        <rFont val="標楷體"/>
        <family val="4"/>
        <charset val="136"/>
      </rPr>
      <t>德信大發</t>
    </r>
  </si>
  <si>
    <r>
      <rPr>
        <sz val="12"/>
        <rFont val="標楷體"/>
        <family val="4"/>
        <charset val="136"/>
      </rPr>
      <t>德信數位時代</t>
    </r>
  </si>
  <si>
    <r>
      <rPr>
        <sz val="12"/>
        <rFont val="標楷體"/>
        <family val="4"/>
        <charset val="136"/>
      </rPr>
      <t>德信台灣主流中小</t>
    </r>
  </si>
  <si>
    <r>
      <rPr>
        <sz val="12"/>
        <rFont val="標楷體"/>
        <family val="4"/>
        <charset val="136"/>
      </rPr>
      <t>聯博大利</t>
    </r>
  </si>
  <si>
    <r>
      <rPr>
        <sz val="12"/>
        <rFont val="標楷體"/>
        <family val="4"/>
        <charset val="136"/>
      </rPr>
      <t>日盛上選</t>
    </r>
    <r>
      <rPr>
        <sz val="12"/>
        <rFont val="Times New Roman"/>
        <family val="1"/>
      </rPr>
      <t>Ia</t>
    </r>
  </si>
  <si>
    <r>
      <rPr>
        <sz val="12"/>
        <rFont val="標楷體"/>
        <family val="4"/>
        <charset val="136"/>
      </rPr>
      <t>日盛上選</t>
    </r>
    <r>
      <rPr>
        <sz val="12"/>
        <rFont val="Times New Roman"/>
        <family val="1"/>
      </rPr>
      <t>Aa</t>
    </r>
  </si>
  <si>
    <r>
      <rPr>
        <sz val="12"/>
        <rFont val="標楷體"/>
        <family val="4"/>
        <charset val="136"/>
      </rPr>
      <t>日盛小而美</t>
    </r>
  </si>
  <si>
    <r>
      <rPr>
        <sz val="12"/>
        <rFont val="標楷體"/>
        <family val="4"/>
        <charset val="136"/>
      </rPr>
      <t>日盛精選五虎</t>
    </r>
  </si>
  <si>
    <r>
      <rPr>
        <sz val="12"/>
        <rFont val="標楷體"/>
        <family val="4"/>
        <charset val="136"/>
      </rPr>
      <t>日盛高科技</t>
    </r>
  </si>
  <si>
    <r>
      <rPr>
        <sz val="12"/>
        <rFont val="標楷體"/>
        <family val="4"/>
        <charset val="136"/>
      </rPr>
      <t>日盛基金</t>
    </r>
  </si>
  <si>
    <r>
      <rPr>
        <sz val="12"/>
        <rFont val="標楷體"/>
        <family val="4"/>
        <charset val="136"/>
      </rPr>
      <t>日盛新台商</t>
    </r>
  </si>
  <si>
    <r>
      <rPr>
        <sz val="12"/>
        <rFont val="標楷體"/>
        <family val="4"/>
        <charset val="136"/>
      </rPr>
      <t>日盛首選</t>
    </r>
  </si>
  <si>
    <r>
      <rPr>
        <sz val="12"/>
        <rFont val="標楷體"/>
        <family val="4"/>
        <charset val="136"/>
      </rPr>
      <t>日盛</t>
    </r>
    <r>
      <rPr>
        <sz val="12"/>
        <rFont val="Times New Roman"/>
        <family val="1"/>
      </rPr>
      <t xml:space="preserve">MIT </t>
    </r>
    <r>
      <rPr>
        <sz val="12"/>
        <rFont val="標楷體"/>
        <family val="4"/>
        <charset val="136"/>
      </rPr>
      <t>主流</t>
    </r>
  </si>
  <si>
    <r>
      <rPr>
        <sz val="12"/>
        <rFont val="標楷體"/>
        <family val="4"/>
        <charset val="136"/>
      </rPr>
      <t>柏瑞巨人</t>
    </r>
    <r>
      <rPr>
        <sz val="12"/>
        <rFont val="Times New Roman"/>
        <family val="1"/>
      </rPr>
      <t xml:space="preserve"> A</t>
    </r>
  </si>
  <si>
    <r>
      <rPr>
        <sz val="12"/>
        <rFont val="標楷體"/>
        <family val="4"/>
        <charset val="136"/>
      </rPr>
      <t>復華基金</t>
    </r>
  </si>
  <si>
    <r>
      <t>FH</t>
    </r>
    <r>
      <rPr>
        <sz val="12"/>
        <rFont val="標楷體"/>
        <family val="4"/>
        <charset val="136"/>
      </rPr>
      <t>高成</t>
    </r>
  </si>
  <si>
    <r>
      <t>FH</t>
    </r>
    <r>
      <rPr>
        <sz val="12"/>
        <rFont val="標楷體"/>
        <family val="4"/>
        <charset val="136"/>
      </rPr>
      <t>數位</t>
    </r>
  </si>
  <si>
    <r>
      <t>FH</t>
    </r>
    <r>
      <rPr>
        <sz val="12"/>
        <rFont val="標楷體"/>
        <family val="4"/>
        <charset val="136"/>
      </rPr>
      <t>中小</t>
    </r>
  </si>
  <si>
    <r>
      <rPr>
        <sz val="12"/>
        <rFont val="標楷體"/>
        <family val="4"/>
        <charset val="136"/>
      </rPr>
      <t>復華全方位</t>
    </r>
  </si>
  <si>
    <r>
      <rPr>
        <sz val="12"/>
        <rFont val="標楷體"/>
        <family val="4"/>
        <charset val="136"/>
      </rPr>
      <t>復華台灣智能基金</t>
    </r>
  </si>
  <si>
    <r>
      <rPr>
        <sz val="12"/>
        <rFont val="標楷體"/>
        <family val="4"/>
        <charset val="136"/>
      </rPr>
      <t>永豐永豐</t>
    </r>
    <r>
      <rPr>
        <sz val="12"/>
        <rFont val="Times New Roman"/>
        <family val="1"/>
      </rPr>
      <t>Aa</t>
    </r>
  </si>
  <si>
    <r>
      <rPr>
        <sz val="12"/>
        <rFont val="標楷體"/>
        <family val="4"/>
        <charset val="136"/>
      </rPr>
      <t>永豐中小</t>
    </r>
    <r>
      <rPr>
        <sz val="12"/>
        <rFont val="Times New Roman"/>
        <family val="1"/>
      </rPr>
      <t>Aa</t>
    </r>
  </si>
  <si>
    <r>
      <rPr>
        <sz val="12"/>
        <rFont val="標楷體"/>
        <family val="4"/>
        <charset val="136"/>
      </rPr>
      <t>永豐領航科技</t>
    </r>
  </si>
  <si>
    <r>
      <rPr>
        <sz val="12"/>
        <rFont val="標楷體"/>
        <family val="4"/>
        <charset val="136"/>
      </rPr>
      <t>中信台灣活力</t>
    </r>
    <r>
      <rPr>
        <sz val="12"/>
        <rFont val="Times New Roman"/>
        <family val="1"/>
      </rPr>
      <t>A</t>
    </r>
  </si>
  <si>
    <r>
      <rPr>
        <sz val="12"/>
        <rFont val="標楷體"/>
        <family val="4"/>
        <charset val="136"/>
      </rPr>
      <t>宏利臺灣股息</t>
    </r>
    <r>
      <rPr>
        <sz val="12"/>
        <rFont val="Times New Roman"/>
        <family val="1"/>
      </rPr>
      <t>Ia</t>
    </r>
  </si>
  <si>
    <r>
      <rPr>
        <sz val="12"/>
        <rFont val="標楷體"/>
        <family val="4"/>
        <charset val="136"/>
      </rPr>
      <t>宏利臺灣股息</t>
    </r>
    <r>
      <rPr>
        <sz val="12"/>
        <rFont val="Times New Roman"/>
        <family val="1"/>
      </rPr>
      <t>Aa</t>
    </r>
  </si>
  <si>
    <r>
      <rPr>
        <sz val="12"/>
        <rFont val="標楷體"/>
        <family val="4"/>
        <charset val="136"/>
      </rPr>
      <t>宏利台灣動力</t>
    </r>
    <r>
      <rPr>
        <sz val="12"/>
        <rFont val="Times New Roman"/>
        <family val="1"/>
      </rPr>
      <t>Ia</t>
    </r>
  </si>
  <si>
    <r>
      <rPr>
        <sz val="12"/>
        <rFont val="標楷體"/>
        <family val="4"/>
        <charset val="136"/>
      </rPr>
      <t>宏利台灣動力</t>
    </r>
    <r>
      <rPr>
        <sz val="12"/>
        <rFont val="Times New Roman"/>
        <family val="1"/>
      </rPr>
      <t>Aa</t>
    </r>
  </si>
  <si>
    <r>
      <rPr>
        <sz val="12"/>
        <rFont val="標楷體"/>
        <family val="4"/>
        <charset val="136"/>
      </rPr>
      <t>貝萊德寶利基金</t>
    </r>
  </si>
  <si>
    <r>
      <rPr>
        <sz val="12"/>
        <rFont val="標楷體"/>
        <family val="4"/>
        <charset val="136"/>
      </rPr>
      <t>野村優質</t>
    </r>
    <r>
      <rPr>
        <sz val="12"/>
        <rFont val="Times New Roman"/>
        <family val="1"/>
      </rPr>
      <t>S</t>
    </r>
  </si>
  <si>
    <r>
      <rPr>
        <sz val="12"/>
        <rFont val="標楷體"/>
        <family val="4"/>
        <charset val="136"/>
      </rPr>
      <t>野村優質</t>
    </r>
  </si>
  <si>
    <r>
      <rPr>
        <sz val="12"/>
        <rFont val="標楷體"/>
        <family val="4"/>
        <charset val="136"/>
      </rPr>
      <t>野村成長</t>
    </r>
  </si>
  <si>
    <r>
      <rPr>
        <sz val="12"/>
        <rFont val="標楷體"/>
        <family val="4"/>
        <charset val="136"/>
      </rPr>
      <t>野村</t>
    </r>
    <r>
      <rPr>
        <sz val="12"/>
        <rFont val="Times New Roman"/>
        <family val="1"/>
      </rPr>
      <t xml:space="preserve">e </t>
    </r>
    <r>
      <rPr>
        <sz val="12"/>
        <rFont val="標楷體"/>
        <family val="4"/>
        <charset val="136"/>
      </rPr>
      <t>科技</t>
    </r>
  </si>
  <si>
    <r>
      <rPr>
        <sz val="12"/>
        <rFont val="標楷體"/>
        <family val="4"/>
        <charset val="136"/>
      </rPr>
      <t>野村中小</t>
    </r>
    <r>
      <rPr>
        <sz val="12"/>
        <rFont val="Times New Roman"/>
        <family val="1"/>
      </rPr>
      <t>S</t>
    </r>
  </si>
  <si>
    <r>
      <rPr>
        <sz val="12"/>
        <rFont val="標楷體"/>
        <family val="4"/>
        <charset val="136"/>
      </rPr>
      <t>野村中小</t>
    </r>
  </si>
  <si>
    <r>
      <rPr>
        <sz val="12"/>
        <rFont val="標楷體"/>
        <family val="4"/>
        <charset val="136"/>
      </rPr>
      <t>野村台灣運籌</t>
    </r>
  </si>
  <si>
    <r>
      <rPr>
        <sz val="12"/>
        <rFont val="標楷體"/>
        <family val="4"/>
        <charset val="136"/>
      </rPr>
      <t>野村鴻運</t>
    </r>
  </si>
  <si>
    <r>
      <rPr>
        <sz val="12"/>
        <rFont val="標楷體"/>
        <family val="4"/>
        <charset val="136"/>
      </rPr>
      <t>野村積極成長</t>
    </r>
  </si>
  <si>
    <r>
      <rPr>
        <sz val="12"/>
        <rFont val="標楷體"/>
        <family val="4"/>
        <charset val="136"/>
      </rPr>
      <t>野村高科技</t>
    </r>
  </si>
  <si>
    <r>
      <rPr>
        <sz val="12"/>
        <rFont val="標楷體"/>
        <family val="4"/>
        <charset val="136"/>
      </rPr>
      <t>野村台灣高股</t>
    </r>
  </si>
  <si>
    <r>
      <rPr>
        <sz val="12"/>
        <rFont val="標楷體"/>
        <family val="4"/>
        <charset val="136"/>
      </rPr>
      <t>聯邦精選科技</t>
    </r>
  </si>
  <si>
    <r>
      <rPr>
        <sz val="12"/>
        <rFont val="標楷體"/>
        <family val="4"/>
        <charset val="136"/>
      </rPr>
      <t>聯邦中國龍</t>
    </r>
  </si>
  <si>
    <r>
      <rPr>
        <sz val="12"/>
        <rFont val="標楷體"/>
        <family val="4"/>
        <charset val="136"/>
      </rPr>
      <t>鋒裕匯理阿波羅</t>
    </r>
    <r>
      <rPr>
        <sz val="12"/>
        <rFont val="Times New Roman"/>
        <family val="1"/>
      </rPr>
      <t>Aa</t>
    </r>
  </si>
  <si>
    <r>
      <rPr>
        <sz val="12"/>
        <rFont val="標楷體"/>
        <family val="4"/>
        <charset val="136"/>
      </rPr>
      <t>安聯台灣大壩</t>
    </r>
    <r>
      <rPr>
        <sz val="12"/>
        <rFont val="Times New Roman"/>
        <family val="1"/>
      </rPr>
      <t>Ga</t>
    </r>
  </si>
  <si>
    <r>
      <rPr>
        <sz val="12"/>
        <rFont val="標楷體"/>
        <family val="4"/>
        <charset val="136"/>
      </rPr>
      <t>安聯台灣大壩</t>
    </r>
    <r>
      <rPr>
        <sz val="12"/>
        <rFont val="Times New Roman"/>
        <family val="1"/>
      </rPr>
      <t>Aa</t>
    </r>
  </si>
  <si>
    <r>
      <rPr>
        <sz val="12"/>
        <rFont val="標楷體"/>
        <family val="4"/>
        <charset val="136"/>
      </rPr>
      <t>安聯台灣科技</t>
    </r>
  </si>
  <si>
    <r>
      <rPr>
        <sz val="12"/>
        <rFont val="標楷體"/>
        <family val="4"/>
        <charset val="136"/>
      </rPr>
      <t>安聯台灣智慧</t>
    </r>
  </si>
  <si>
    <r>
      <rPr>
        <sz val="12"/>
        <rFont val="標楷體"/>
        <family val="4"/>
        <charset val="136"/>
      </rPr>
      <t>國泰國泰</t>
    </r>
    <r>
      <rPr>
        <sz val="12"/>
        <rFont val="Times New Roman"/>
        <family val="1"/>
      </rPr>
      <t>I</t>
    </r>
  </si>
  <si>
    <r>
      <rPr>
        <sz val="12"/>
        <rFont val="標楷體"/>
        <family val="4"/>
        <charset val="136"/>
      </rPr>
      <t>國泰國泰</t>
    </r>
    <r>
      <rPr>
        <sz val="12"/>
        <rFont val="Times New Roman"/>
        <family val="1"/>
      </rPr>
      <t>A</t>
    </r>
  </si>
  <si>
    <r>
      <rPr>
        <sz val="12"/>
        <rFont val="標楷體"/>
        <family val="4"/>
        <charset val="136"/>
      </rPr>
      <t>國泰中小成長</t>
    </r>
  </si>
  <si>
    <r>
      <rPr>
        <sz val="12"/>
        <rFont val="標楷體"/>
        <family val="4"/>
        <charset val="136"/>
      </rPr>
      <t>國泰大中華</t>
    </r>
  </si>
  <si>
    <r>
      <rPr>
        <sz val="12"/>
        <rFont val="標楷體"/>
        <family val="4"/>
        <charset val="136"/>
      </rPr>
      <t>國泰科技生化</t>
    </r>
  </si>
  <si>
    <r>
      <rPr>
        <sz val="12"/>
        <rFont val="標楷體"/>
        <family val="4"/>
        <charset val="136"/>
      </rPr>
      <t>國泰小龍</t>
    </r>
  </si>
  <si>
    <r>
      <rPr>
        <sz val="12"/>
        <rFont val="標楷體"/>
        <family val="4"/>
        <charset val="136"/>
      </rPr>
      <t>富達台灣成長</t>
    </r>
  </si>
  <si>
    <r>
      <rPr>
        <sz val="12"/>
        <rFont val="標楷體"/>
        <family val="4"/>
        <charset val="136"/>
      </rPr>
      <t>德銀遠東</t>
    </r>
    <r>
      <rPr>
        <sz val="12"/>
        <rFont val="Times New Roman"/>
        <family val="1"/>
      </rPr>
      <t xml:space="preserve">DWS </t>
    </r>
    <r>
      <rPr>
        <sz val="12"/>
        <rFont val="標楷體"/>
        <family val="4"/>
        <charset val="136"/>
      </rPr>
      <t>台灣</t>
    </r>
  </si>
  <si>
    <r>
      <rPr>
        <sz val="12"/>
        <rFont val="標楷體"/>
        <family val="4"/>
        <charset val="136"/>
      </rPr>
      <t>凱基開創</t>
    </r>
  </si>
  <si>
    <r>
      <rPr>
        <sz val="12"/>
        <rFont val="標楷體"/>
        <family val="4"/>
        <charset val="136"/>
      </rPr>
      <t>凱基台灣精五門</t>
    </r>
  </si>
  <si>
    <r>
      <rPr>
        <sz val="12"/>
        <rFont val="標楷體"/>
        <family val="4"/>
        <charset val="136"/>
      </rPr>
      <t>施羅德台樂活</t>
    </r>
    <r>
      <rPr>
        <sz val="12"/>
        <rFont val="Times New Roman"/>
        <family val="1"/>
      </rPr>
      <t>Ia</t>
    </r>
  </si>
  <si>
    <r>
      <rPr>
        <sz val="12"/>
        <rFont val="標楷體"/>
        <family val="4"/>
        <charset val="136"/>
      </rPr>
      <t>施羅德台樂活</t>
    </r>
    <r>
      <rPr>
        <sz val="12"/>
        <rFont val="Times New Roman"/>
        <family val="1"/>
      </rPr>
      <t>Ca</t>
    </r>
  </si>
  <si>
    <r>
      <rPr>
        <sz val="12"/>
        <rFont val="標楷體"/>
        <family val="4"/>
        <charset val="136"/>
      </rPr>
      <t>施羅德台樂活</t>
    </r>
    <r>
      <rPr>
        <sz val="12"/>
        <rFont val="Times New Roman"/>
        <family val="1"/>
      </rPr>
      <t>Aa</t>
    </r>
  </si>
  <si>
    <r>
      <rPr>
        <sz val="12"/>
        <rFont val="標楷體"/>
        <family val="4"/>
        <charset val="136"/>
      </rPr>
      <t>街口台灣</t>
    </r>
    <r>
      <rPr>
        <sz val="12"/>
        <rFont val="Times New Roman"/>
        <family val="1"/>
      </rPr>
      <t>Aa</t>
    </r>
  </si>
  <si>
    <r>
      <rPr>
        <sz val="12"/>
        <rFont val="標楷體"/>
        <family val="4"/>
        <charset val="136"/>
      </rPr>
      <t>街口中小型</t>
    </r>
    <r>
      <rPr>
        <sz val="12"/>
        <rFont val="Times New Roman"/>
        <family val="1"/>
      </rPr>
      <t>Aa</t>
    </r>
  </si>
  <si>
    <r>
      <rPr>
        <sz val="12"/>
        <rFont val="標楷體"/>
        <family val="4"/>
        <charset val="136"/>
      </rPr>
      <t>富蘭克林華美第一</t>
    </r>
  </si>
  <si>
    <r>
      <rPr>
        <sz val="12"/>
        <rFont val="標楷體"/>
        <family val="4"/>
        <charset val="136"/>
      </rPr>
      <t>富蘭克林高科技</t>
    </r>
  </si>
  <si>
    <r>
      <rPr>
        <sz val="12"/>
        <rFont val="標楷體"/>
        <family val="4"/>
        <charset val="136"/>
      </rPr>
      <t>台新主流</t>
    </r>
  </si>
  <si>
    <r>
      <rPr>
        <sz val="12"/>
        <rFont val="標楷體"/>
        <family val="4"/>
        <charset val="136"/>
      </rPr>
      <t>台新台灣中小基金</t>
    </r>
  </si>
  <si>
    <r>
      <rPr>
        <sz val="12"/>
        <rFont val="標楷體"/>
        <family val="4"/>
        <charset val="136"/>
      </rPr>
      <t>台新中國通</t>
    </r>
  </si>
  <si>
    <r>
      <rPr>
        <sz val="12"/>
        <rFont val="標楷體"/>
        <family val="4"/>
        <charset val="136"/>
      </rPr>
      <t>台新</t>
    </r>
    <r>
      <rPr>
        <sz val="12"/>
        <rFont val="Times New Roman"/>
        <family val="1"/>
      </rPr>
      <t>2000</t>
    </r>
    <r>
      <rPr>
        <sz val="12"/>
        <rFont val="標楷體"/>
        <family val="4"/>
        <charset val="136"/>
      </rPr>
      <t>高科</t>
    </r>
  </si>
  <si>
    <r>
      <rPr>
        <sz val="12"/>
        <rFont val="標楷體"/>
        <family val="4"/>
        <charset val="136"/>
      </rPr>
      <t>合庫台灣基金</t>
    </r>
  </si>
  <si>
    <r>
      <rPr>
        <sz val="12"/>
        <rFont val="標楷體"/>
        <family val="4"/>
        <charset val="136"/>
      </rPr>
      <t>路博邁</t>
    </r>
    <r>
      <rPr>
        <sz val="12"/>
        <rFont val="Times New Roman"/>
        <family val="1"/>
      </rPr>
      <t>AR</t>
    </r>
    <r>
      <rPr>
        <sz val="12"/>
        <rFont val="標楷體"/>
        <family val="4"/>
        <charset val="136"/>
      </rPr>
      <t>台股</t>
    </r>
    <r>
      <rPr>
        <sz val="12"/>
        <rFont val="Times New Roman"/>
        <family val="1"/>
      </rPr>
      <t>TA</t>
    </r>
  </si>
  <si>
    <r>
      <rPr>
        <sz val="12"/>
        <rFont val="標楷體"/>
        <family val="4"/>
        <charset val="136"/>
      </rPr>
      <t>路博邁</t>
    </r>
    <r>
      <rPr>
        <sz val="12"/>
        <rFont val="Times New Roman"/>
        <family val="1"/>
      </rPr>
      <t>AR</t>
    </r>
    <r>
      <rPr>
        <sz val="12"/>
        <rFont val="標楷體"/>
        <family val="4"/>
        <charset val="136"/>
      </rPr>
      <t>台股</t>
    </r>
    <r>
      <rPr>
        <sz val="12"/>
        <rFont val="Times New Roman"/>
        <family val="1"/>
      </rPr>
      <t>TB</t>
    </r>
  </si>
  <si>
    <r>
      <rPr>
        <sz val="12"/>
        <rFont val="標楷體"/>
        <family val="4"/>
        <charset val="136"/>
      </rPr>
      <t>路博邁</t>
    </r>
    <r>
      <rPr>
        <sz val="12"/>
        <rFont val="Times New Roman"/>
        <family val="1"/>
      </rPr>
      <t>AR</t>
    </r>
    <r>
      <rPr>
        <sz val="12"/>
        <rFont val="標楷體"/>
        <family val="4"/>
        <charset val="136"/>
      </rPr>
      <t>台股</t>
    </r>
    <r>
      <rPr>
        <sz val="12"/>
        <rFont val="Times New Roman"/>
        <family val="1"/>
      </rPr>
      <t>Na</t>
    </r>
  </si>
  <si>
    <r>
      <rPr>
        <sz val="12"/>
        <rFont val="標楷體"/>
        <family val="4"/>
        <charset val="136"/>
      </rPr>
      <t>路博邁</t>
    </r>
    <r>
      <rPr>
        <sz val="12"/>
        <rFont val="Times New Roman"/>
        <family val="1"/>
      </rPr>
      <t>AR</t>
    </r>
    <r>
      <rPr>
        <sz val="12"/>
        <rFont val="標楷體"/>
        <family val="4"/>
        <charset val="136"/>
      </rPr>
      <t>台股</t>
    </r>
    <r>
      <rPr>
        <sz val="12"/>
        <rFont val="Times New Roman"/>
        <family val="1"/>
      </rPr>
      <t>Nd</t>
    </r>
  </si>
  <si>
    <r>
      <t>Ai×Ri</t>
    </r>
    <r>
      <rPr>
        <sz val="10"/>
        <rFont val="標楷體"/>
        <family val="4"/>
        <charset val="136"/>
      </rPr>
      <t>：證券化前各類資產之風險資本（</t>
    </r>
    <r>
      <rPr>
        <sz val="10"/>
        <rFont val="Times New Roman"/>
        <family val="1"/>
      </rPr>
      <t>i</t>
    </r>
    <r>
      <rPr>
        <sz val="10"/>
        <rFont val="標楷體"/>
        <family val="4"/>
        <charset val="136"/>
      </rPr>
      <t>資產金額</t>
    </r>
    <r>
      <rPr>
        <sz val="10"/>
        <rFont val="Times New Roman"/>
        <family val="1"/>
      </rPr>
      <t>×i</t>
    </r>
    <r>
      <rPr>
        <sz val="10"/>
        <rFont val="標楷體"/>
        <family val="4"/>
        <charset val="136"/>
      </rPr>
      <t>資產風險係數）</t>
    </r>
    <phoneticPr fontId="29" type="noConversion"/>
  </si>
  <si>
    <r>
      <t>Bi×Ri</t>
    </r>
    <r>
      <rPr>
        <sz val="10"/>
        <rFont val="標楷體"/>
        <family val="4"/>
        <charset val="136"/>
      </rPr>
      <t>：證券化後經平等之各類資產</t>
    </r>
    <r>
      <rPr>
        <sz val="10"/>
        <rFont val="Times New Roman"/>
        <family val="1"/>
      </rPr>
      <t>(</t>
    </r>
    <r>
      <rPr>
        <sz val="10"/>
        <rFont val="標楷體"/>
        <family val="4"/>
        <charset val="136"/>
      </rPr>
      <t>證券</t>
    </r>
    <r>
      <rPr>
        <sz val="10"/>
        <rFont val="Times New Roman"/>
        <family val="1"/>
      </rPr>
      <t>)</t>
    </r>
    <r>
      <rPr>
        <sz val="10"/>
        <rFont val="標楷體"/>
        <family val="4"/>
        <charset val="136"/>
      </rPr>
      <t>風險資本（</t>
    </r>
    <r>
      <rPr>
        <sz val="10"/>
        <rFont val="Times New Roman"/>
        <family val="1"/>
      </rPr>
      <t>j</t>
    </r>
    <r>
      <rPr>
        <sz val="10"/>
        <rFont val="標楷體"/>
        <family val="4"/>
        <charset val="136"/>
      </rPr>
      <t>證券金額</t>
    </r>
    <r>
      <rPr>
        <sz val="10"/>
        <rFont val="Times New Roman"/>
        <family val="1"/>
      </rPr>
      <t>×j</t>
    </r>
    <r>
      <rPr>
        <sz val="10"/>
        <rFont val="標楷體"/>
        <family val="4"/>
        <charset val="136"/>
      </rPr>
      <t>證券風險係數）</t>
    </r>
    <phoneticPr fontId="29" type="noConversion"/>
  </si>
  <si>
    <r>
      <t>S</t>
    </r>
    <r>
      <rPr>
        <sz val="10"/>
        <rFont val="標楷體"/>
        <family val="4"/>
        <charset val="136"/>
      </rPr>
      <t>：未評等之次順位證券金額</t>
    </r>
    <phoneticPr fontId="29" type="noConversion"/>
  </si>
  <si>
    <r>
      <t>Rs</t>
    </r>
    <r>
      <rPr>
        <sz val="10"/>
        <rFont val="標楷體"/>
        <family val="4"/>
        <charset val="136"/>
      </rPr>
      <t>：未評等之次順位證券風險係數，且</t>
    </r>
    <r>
      <rPr>
        <sz val="10"/>
        <rFont val="Times New Roman"/>
        <family val="1"/>
      </rPr>
      <t>Rs</t>
    </r>
    <r>
      <rPr>
        <sz val="10"/>
        <rFont val="標楷體"/>
        <family val="4"/>
        <charset val="136"/>
      </rPr>
      <t>≦</t>
    </r>
    <r>
      <rPr>
        <sz val="10"/>
        <rFont val="Times New Roman"/>
        <family val="1"/>
      </rPr>
      <t>1</t>
    </r>
    <phoneticPr fontId="29" type="noConversion"/>
  </si>
  <si>
    <r>
      <t>4.</t>
    </r>
    <r>
      <rPr>
        <sz val="12"/>
        <rFont val="標楷體"/>
        <family val="4"/>
        <charset val="136"/>
      </rPr>
      <t>股票、受益憑證、</t>
    </r>
    <r>
      <rPr>
        <sz val="12"/>
        <rFont val="Times New Roman"/>
        <family val="1"/>
      </rPr>
      <t>ETF</t>
    </r>
    <r>
      <rPr>
        <sz val="12"/>
        <rFont val="標楷體"/>
        <family val="4"/>
        <charset val="136"/>
      </rPr>
      <t>及</t>
    </r>
    <r>
      <rPr>
        <sz val="12"/>
        <rFont val="Times New Roman"/>
        <family val="1"/>
      </rPr>
      <t>ETN-</t>
    </r>
    <r>
      <rPr>
        <b/>
        <sz val="12"/>
        <rFont val="標楷體"/>
        <family val="4"/>
        <charset val="136"/>
      </rPr>
      <t>國內</t>
    </r>
    <phoneticPr fontId="26" type="noConversion"/>
  </si>
  <si>
    <r>
      <t>5.</t>
    </r>
    <r>
      <rPr>
        <sz val="12"/>
        <rFont val="標楷體"/>
        <family val="4"/>
        <charset val="136"/>
      </rPr>
      <t>股票、</t>
    </r>
    <r>
      <rPr>
        <sz val="12"/>
        <rFont val="Times New Roman"/>
        <family val="1"/>
      </rPr>
      <t>ETF</t>
    </r>
    <r>
      <rPr>
        <sz val="12"/>
        <rFont val="標楷體"/>
        <family val="4"/>
        <charset val="136"/>
      </rPr>
      <t>、</t>
    </r>
    <r>
      <rPr>
        <sz val="12"/>
        <rFont val="Times New Roman"/>
        <family val="1"/>
      </rPr>
      <t>ETN</t>
    </r>
    <r>
      <rPr>
        <sz val="12"/>
        <rFont val="標楷體"/>
        <family val="4"/>
        <charset val="136"/>
      </rPr>
      <t>、受益憑證及信託資金、不動產投資信託基金</t>
    </r>
    <r>
      <rPr>
        <sz val="12"/>
        <rFont val="Times New Roman"/>
        <family val="1"/>
      </rPr>
      <t xml:space="preserve"> -</t>
    </r>
    <r>
      <rPr>
        <b/>
        <sz val="12"/>
        <rFont val="標楷體"/>
        <family val="4"/>
        <charset val="136"/>
      </rPr>
      <t>國外</t>
    </r>
    <phoneticPr fontId="29"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</si>
  <si>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t>
    </r>
    <phoneticPr fontId="29" type="noConversion"/>
  </si>
  <si>
    <r>
      <rPr>
        <sz val="12"/>
        <rFont val="標楷體"/>
        <family val="4"/>
        <charset val="136"/>
      </rPr>
      <t>投資國內具資本性質債券或負債型特別股明細表</t>
    </r>
    <phoneticPr fontId="29" type="noConversion"/>
  </si>
  <si>
    <r>
      <rPr>
        <sz val="12"/>
        <rFont val="標楷體"/>
        <family val="4"/>
        <charset val="136"/>
      </rPr>
      <t>單位</t>
    </r>
    <r>
      <rPr>
        <sz val="12"/>
        <rFont val="Times New Roman"/>
        <family val="1"/>
      </rPr>
      <t>:</t>
    </r>
    <r>
      <rPr>
        <sz val="12"/>
        <rFont val="標楷體"/>
        <family val="4"/>
        <charset val="136"/>
      </rPr>
      <t>新台幣元</t>
    </r>
    <r>
      <rPr>
        <sz val="12"/>
        <rFont val="Times New Roman"/>
        <family val="1"/>
      </rPr>
      <t>, %</t>
    </r>
    <phoneticPr fontId="29" type="noConversion"/>
  </si>
  <si>
    <r>
      <rPr>
        <b/>
        <sz val="12"/>
        <rFont val="標楷體"/>
        <family val="4"/>
        <charset val="136"/>
      </rPr>
      <t>資本工具類型</t>
    </r>
    <phoneticPr fontId="29" type="noConversion"/>
  </si>
  <si>
    <r>
      <rPr>
        <b/>
        <sz val="12"/>
        <rFont val="標楷體"/>
        <family val="4"/>
        <charset val="136"/>
      </rPr>
      <t>是否屬實質互相投資之具資本性質工具</t>
    </r>
    <phoneticPr fontId="29" type="noConversion"/>
  </si>
  <si>
    <r>
      <rPr>
        <b/>
        <sz val="12"/>
        <rFont val="標楷體"/>
        <family val="4"/>
        <charset val="136"/>
      </rPr>
      <t>是否為</t>
    </r>
    <r>
      <rPr>
        <b/>
        <sz val="12"/>
        <rFont val="Times New Roman"/>
        <family val="1"/>
      </rPr>
      <t>108</t>
    </r>
    <r>
      <rPr>
        <b/>
        <sz val="12"/>
        <rFont val="標楷體"/>
        <family val="4"/>
        <charset val="136"/>
      </rPr>
      <t>年</t>
    </r>
    <r>
      <rPr>
        <b/>
        <sz val="12"/>
        <rFont val="Times New Roman"/>
        <family val="1"/>
      </rPr>
      <t>11</t>
    </r>
    <r>
      <rPr>
        <b/>
        <sz val="12"/>
        <rFont val="標楷體"/>
        <family val="4"/>
        <charset val="136"/>
      </rPr>
      <t>月</t>
    </r>
    <r>
      <rPr>
        <b/>
        <sz val="12"/>
        <rFont val="Times New Roman"/>
        <family val="1"/>
      </rPr>
      <t>1</t>
    </r>
    <r>
      <rPr>
        <b/>
        <sz val="12"/>
        <rFont val="標楷體"/>
        <family val="4"/>
        <charset val="136"/>
      </rPr>
      <t>日前取得</t>
    </r>
    <phoneticPr fontId="29" type="noConversion"/>
  </si>
  <si>
    <r>
      <rPr>
        <b/>
        <sz val="12"/>
        <rFont val="標楷體"/>
        <family val="4"/>
        <charset val="136"/>
      </rPr>
      <t>發行年月日</t>
    </r>
    <phoneticPr fontId="29" type="noConversion"/>
  </si>
  <si>
    <r>
      <rPr>
        <b/>
        <sz val="12"/>
        <rFont val="標楷體"/>
        <family val="4"/>
        <charset val="136"/>
      </rPr>
      <t>始得贖回年月日</t>
    </r>
    <phoneticPr fontId="29" type="noConversion"/>
  </si>
  <si>
    <r>
      <rPr>
        <b/>
        <sz val="12"/>
        <rFont val="標楷體"/>
        <family val="4"/>
        <charset val="136"/>
      </rPr>
      <t>到期年月日</t>
    </r>
    <phoneticPr fontId="29" type="noConversion"/>
  </si>
  <si>
    <r>
      <rPr>
        <b/>
        <sz val="12"/>
        <rFont val="標楷體"/>
        <family val="4"/>
        <charset val="136"/>
      </rPr>
      <t>發行公司注資於
保險業之比率</t>
    </r>
  </si>
  <si>
    <r>
      <rPr>
        <b/>
        <sz val="12"/>
        <rFont val="標楷體"/>
        <family val="4"/>
        <charset val="136"/>
      </rPr>
      <t>資本工具可計入發行公司自有資本之比率</t>
    </r>
  </si>
  <si>
    <r>
      <rPr>
        <b/>
        <sz val="12"/>
        <rFont val="標楷體"/>
        <family val="4"/>
        <charset val="136"/>
      </rPr>
      <t>是否為關係人</t>
    </r>
    <phoneticPr fontId="29" type="noConversion"/>
  </si>
  <si>
    <r>
      <rPr>
        <b/>
        <sz val="12"/>
        <rFont val="標楷體"/>
        <family val="4"/>
        <charset val="136"/>
      </rPr>
      <t>公司類型</t>
    </r>
    <phoneticPr fontId="29" type="noConversion"/>
  </si>
  <si>
    <r>
      <rPr>
        <sz val="12"/>
        <rFont val="標楷體"/>
        <family val="4"/>
        <charset val="136"/>
      </rPr>
      <t>自有資本及風險資本調整計算表</t>
    </r>
    <phoneticPr fontId="29" type="noConversion"/>
  </si>
  <si>
    <r>
      <rPr>
        <b/>
        <sz val="12"/>
        <rFont val="標楷體"/>
        <family val="4"/>
        <charset val="136"/>
      </rPr>
      <t>項</t>
    </r>
    <r>
      <rPr>
        <b/>
        <sz val="12"/>
        <rFont val="Times New Roman"/>
        <family val="1"/>
      </rPr>
      <t xml:space="preserve"> </t>
    </r>
    <r>
      <rPr>
        <b/>
        <sz val="12"/>
        <rFont val="標楷體"/>
        <family val="4"/>
        <charset val="136"/>
      </rPr>
      <t>目</t>
    </r>
  </si>
  <si>
    <r>
      <rPr>
        <b/>
        <sz val="12"/>
        <rFont val="標楷體"/>
        <family val="4"/>
        <charset val="136"/>
      </rPr>
      <t>考慮資本認列比率後之期末帳載金額</t>
    </r>
    <phoneticPr fontId="29" type="noConversion"/>
  </si>
  <si>
    <r>
      <rPr>
        <b/>
        <sz val="12"/>
        <rFont val="標楷體"/>
        <family val="4"/>
        <charset val="136"/>
      </rPr>
      <t>項目</t>
    </r>
    <phoneticPr fontId="29" type="noConversion"/>
  </si>
  <si>
    <r>
      <rPr>
        <b/>
        <sz val="12"/>
        <rFont val="標楷體"/>
        <family val="4"/>
        <charset val="136"/>
      </rPr>
      <t>金額</t>
    </r>
    <phoneticPr fontId="29" type="noConversion"/>
  </si>
  <si>
    <r>
      <rPr>
        <b/>
        <sz val="12"/>
        <rFont val="標楷體"/>
        <family val="4"/>
        <charset val="136"/>
      </rPr>
      <t>具資本性質債券</t>
    </r>
    <phoneticPr fontId="29" type="noConversion"/>
  </si>
  <si>
    <r>
      <rPr>
        <b/>
        <sz val="12"/>
        <rFont val="標楷體"/>
        <family val="4"/>
        <charset val="136"/>
      </rPr>
      <t xml:space="preserve">負債型特別股
</t>
    </r>
    <r>
      <rPr>
        <b/>
        <sz val="12"/>
        <rFont val="Times New Roman"/>
        <family val="1"/>
      </rPr>
      <t>-</t>
    </r>
    <r>
      <rPr>
        <b/>
        <sz val="12"/>
        <rFont val="標楷體"/>
        <family val="4"/>
        <charset val="136"/>
      </rPr>
      <t>固定收益</t>
    </r>
    <phoneticPr fontId="29" type="noConversion"/>
  </si>
  <si>
    <r>
      <rPr>
        <b/>
        <sz val="12"/>
        <rFont val="標楷體"/>
        <family val="4"/>
        <charset val="136"/>
      </rPr>
      <t xml:space="preserve">負債型特別股
</t>
    </r>
    <r>
      <rPr>
        <b/>
        <sz val="12"/>
        <rFont val="Times New Roman"/>
        <family val="1"/>
      </rPr>
      <t>-</t>
    </r>
    <r>
      <rPr>
        <b/>
        <sz val="12"/>
        <rFont val="標楷體"/>
        <family val="4"/>
        <charset val="136"/>
      </rPr>
      <t>非固定收益</t>
    </r>
    <phoneticPr fontId="29" type="noConversion"/>
  </si>
  <si>
    <r>
      <rPr>
        <sz val="12"/>
        <rFont val="標楷體"/>
        <family val="4"/>
        <charset val="136"/>
      </rPr>
      <t>總計</t>
    </r>
    <phoneticPr fontId="29" type="noConversion"/>
  </si>
  <si>
    <r>
      <rPr>
        <sz val="12"/>
        <rFont val="標楷體"/>
        <family val="4"/>
        <charset val="136"/>
      </rPr>
      <t>屬實質互相投資</t>
    </r>
    <phoneticPr fontId="29"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</si>
  <si>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日前投資總額</t>
    </r>
  </si>
  <si>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日後投資總額</t>
    </r>
  </si>
  <si>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日前投資總額</t>
    </r>
    <phoneticPr fontId="29" type="noConversion"/>
  </si>
  <si>
    <r>
      <rPr>
        <sz val="12"/>
        <rFont val="標楷體"/>
        <family val="4"/>
        <charset val="136"/>
      </rPr>
      <t>評價日淨值</t>
    </r>
    <r>
      <rPr>
        <sz val="12"/>
        <rFont val="Times New Roman"/>
        <family val="1"/>
      </rPr>
      <t>10%</t>
    </r>
    <phoneticPr fontId="29" type="noConversion"/>
  </si>
  <si>
    <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日後投資總額</t>
    </r>
    <phoneticPr fontId="29" type="noConversion"/>
  </si>
  <si>
    <r>
      <rPr>
        <sz val="12"/>
        <rFont val="標楷體"/>
        <family val="4"/>
        <charset val="136"/>
      </rPr>
      <t>由自有資本扣除之金額</t>
    </r>
    <r>
      <rPr>
        <sz val="12"/>
        <rFont val="Times New Roman"/>
        <family val="1"/>
      </rPr>
      <t xml:space="preserve"> - </t>
    </r>
    <r>
      <rPr>
        <sz val="12"/>
        <rFont val="標楷體"/>
        <family val="4"/>
        <charset val="136"/>
      </rPr>
      <t>屬實質互相投資</t>
    </r>
    <phoneticPr fontId="29" type="noConversion"/>
  </si>
  <si>
    <r>
      <rPr>
        <sz val="12"/>
        <rFont val="標楷體"/>
        <family val="4"/>
        <charset val="136"/>
      </rPr>
      <t>由自有資本扣除之金額</t>
    </r>
    <r>
      <rPr>
        <sz val="12"/>
        <rFont val="Times New Roman"/>
        <family val="1"/>
      </rPr>
      <t xml:space="preserve"> - </t>
    </r>
    <r>
      <rPr>
        <sz val="12"/>
        <rFont val="標楷體"/>
        <family val="4"/>
        <charset val="136"/>
      </rPr>
      <t>非屬實質互相投資</t>
    </r>
    <phoneticPr fontId="29" type="noConversion"/>
  </si>
  <si>
    <r>
      <rPr>
        <sz val="12"/>
        <rFont val="標楷體"/>
        <family val="4"/>
        <charset val="136"/>
      </rPr>
      <t>公司類型請依序填列</t>
    </r>
    <r>
      <rPr>
        <sz val="12"/>
        <rFont val="Times New Roman"/>
        <family val="1"/>
      </rPr>
      <t>A.</t>
    </r>
    <r>
      <rPr>
        <sz val="12"/>
        <rFont val="標楷體"/>
        <family val="4"/>
        <charset val="136"/>
      </rPr>
      <t>保險公司</t>
    </r>
    <r>
      <rPr>
        <sz val="12"/>
        <rFont val="Times New Roman"/>
        <family val="1"/>
      </rPr>
      <t xml:space="preserve"> B.</t>
    </r>
    <r>
      <rPr>
        <sz val="12"/>
        <rFont val="標楷體"/>
        <family val="4"/>
        <charset val="136"/>
      </rPr>
      <t>金融控股公司</t>
    </r>
    <phoneticPr fontId="29" type="noConversion"/>
  </si>
  <si>
    <r>
      <rPr>
        <sz val="12"/>
        <rFont val="標楷體"/>
        <family val="4"/>
        <charset val="136"/>
      </rPr>
      <t>資本工具類型請依序填列</t>
    </r>
    <r>
      <rPr>
        <sz val="12"/>
        <rFont val="Times New Roman"/>
        <family val="1"/>
      </rPr>
      <t>A.</t>
    </r>
    <r>
      <rPr>
        <sz val="12"/>
        <rFont val="標楷體"/>
        <family val="4"/>
        <charset val="136"/>
      </rPr>
      <t>具資本性質債券</t>
    </r>
    <r>
      <rPr>
        <sz val="12"/>
        <rFont val="Times New Roman"/>
        <family val="1"/>
      </rPr>
      <t>, B1.</t>
    </r>
    <r>
      <rPr>
        <sz val="12"/>
        <rFont val="標楷體"/>
        <family val="4"/>
        <charset val="136"/>
      </rPr>
      <t>負債型特別股</t>
    </r>
    <r>
      <rPr>
        <sz val="12"/>
        <rFont val="Times New Roman"/>
        <family val="1"/>
      </rPr>
      <t>-</t>
    </r>
    <r>
      <rPr>
        <sz val="12"/>
        <rFont val="標楷體"/>
        <family val="4"/>
        <charset val="136"/>
      </rPr>
      <t>固定收益</t>
    </r>
    <r>
      <rPr>
        <sz val="12"/>
        <rFont val="Times New Roman"/>
        <family val="1"/>
      </rPr>
      <t>, B2.</t>
    </r>
    <r>
      <rPr>
        <sz val="12"/>
        <rFont val="標楷體"/>
        <family val="4"/>
        <charset val="136"/>
      </rPr>
      <t>負債型特別股</t>
    </r>
    <r>
      <rPr>
        <sz val="12"/>
        <rFont val="Times New Roman"/>
        <family val="1"/>
      </rPr>
      <t>-</t>
    </r>
    <r>
      <rPr>
        <sz val="12"/>
        <rFont val="標楷體"/>
        <family val="4"/>
        <charset val="136"/>
      </rPr>
      <t>非固定收益。</t>
    </r>
    <phoneticPr fontId="29" type="noConversion"/>
  </si>
  <si>
    <r>
      <rPr>
        <sz val="12"/>
        <rFont val="標楷體"/>
        <family val="4"/>
        <charset val="136"/>
      </rPr>
      <t>是否屬實質互相投資之具資本性質工具，請填列</t>
    </r>
    <r>
      <rPr>
        <sz val="12"/>
        <rFont val="Times New Roman"/>
        <family val="1"/>
      </rPr>
      <t>Y.</t>
    </r>
    <r>
      <rPr>
        <sz val="12"/>
        <rFont val="標楷體"/>
        <family val="4"/>
        <charset val="136"/>
      </rPr>
      <t>屬實質互相投資之具資本性質工具</t>
    </r>
    <r>
      <rPr>
        <sz val="12"/>
        <rFont val="Times New Roman"/>
        <family val="1"/>
      </rPr>
      <t>, N.</t>
    </r>
    <r>
      <rPr>
        <sz val="12"/>
        <rFont val="標楷體"/>
        <family val="4"/>
        <charset val="136"/>
      </rPr>
      <t>非屬實質互相投資之具資本性質工具。是否屬實質互相投資請參考保險事業發展中心提供之實質互相投資公司清單。</t>
    </r>
    <phoneticPr fontId="29"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</si>
  <si>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：①保險業實質互相投資於「國內保險業」發行之具資本性質工具；或②自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日起保險業新增實質互相投資於「國內金控公司」發行之具資本性質工具。</t>
    </r>
    <phoneticPr fontId="29" type="noConversion"/>
  </si>
  <si>
    <r>
      <rPr>
        <sz val="12"/>
        <rFont val="標楷體"/>
        <family val="4"/>
        <charset val="136"/>
      </rPr>
      <t>該資本工具若於民國</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t>
    </r>
    <r>
      <rPr>
        <sz val="12"/>
        <rFont val="Times New Roman"/>
        <family val="1"/>
      </rPr>
      <t>(</t>
    </r>
    <r>
      <rPr>
        <sz val="12"/>
        <rFont val="標楷體"/>
        <family val="4"/>
        <charset val="136"/>
      </rPr>
      <t>不含</t>
    </r>
    <r>
      <rPr>
        <sz val="12"/>
        <rFont val="Times New Roman"/>
        <family val="1"/>
      </rPr>
      <t>)</t>
    </r>
    <r>
      <rPr>
        <sz val="12"/>
        <rFont val="標楷體"/>
        <family val="4"/>
        <charset val="136"/>
      </rPr>
      <t>以前取得，請於第</t>
    </r>
    <r>
      <rPr>
        <sz val="12"/>
        <rFont val="Times New Roman"/>
        <family val="1"/>
      </rPr>
      <t>10</t>
    </r>
    <r>
      <rPr>
        <sz val="12"/>
        <rFont val="標楷體"/>
        <family val="4"/>
        <charset val="136"/>
      </rPr>
      <t>欄填入代碼</t>
    </r>
    <r>
      <rPr>
        <sz val="12"/>
        <rFont val="Times New Roman"/>
        <family val="1"/>
      </rPr>
      <t>Y</t>
    </r>
    <r>
      <rPr>
        <sz val="12"/>
        <rFont val="標楷體"/>
        <family val="4"/>
        <charset val="136"/>
      </rPr>
      <t>；若於民國</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t>
    </r>
    <r>
      <rPr>
        <sz val="12"/>
        <rFont val="Times New Roman"/>
        <family val="1"/>
      </rPr>
      <t>(</t>
    </r>
    <r>
      <rPr>
        <sz val="12"/>
        <rFont val="標楷體"/>
        <family val="4"/>
        <charset val="136"/>
      </rPr>
      <t>含</t>
    </r>
    <r>
      <rPr>
        <sz val="12"/>
        <rFont val="Times New Roman"/>
        <family val="1"/>
      </rPr>
      <t>)</t>
    </r>
    <r>
      <rPr>
        <sz val="12"/>
        <rFont val="標楷體"/>
        <family val="4"/>
        <charset val="136"/>
      </rPr>
      <t>後取得，請於第</t>
    </r>
    <r>
      <rPr>
        <sz val="12"/>
        <rFont val="Times New Roman"/>
        <family val="1"/>
      </rPr>
      <t>10</t>
    </r>
    <r>
      <rPr>
        <sz val="12"/>
        <rFont val="標楷體"/>
        <family val="4"/>
        <charset val="136"/>
      </rPr>
      <t>欄填入代碼</t>
    </r>
    <r>
      <rPr>
        <sz val="12"/>
        <rFont val="Times New Roman"/>
        <family val="1"/>
      </rPr>
      <t>N</t>
    </r>
    <r>
      <rPr>
        <sz val="12"/>
        <rFont val="標楷體"/>
        <family val="4"/>
        <charset val="136"/>
      </rPr>
      <t>。</t>
    </r>
    <phoneticPr fontId="29" type="noConversion"/>
  </si>
  <si>
    <r>
      <rPr>
        <sz val="12"/>
        <rFont val="標楷體"/>
        <family val="4"/>
        <charset val="136"/>
      </rPr>
      <t>發行、始得贖回及到期年月日填寫方式為</t>
    </r>
    <r>
      <rPr>
        <sz val="12"/>
        <rFont val="Times New Roman"/>
        <family val="1"/>
      </rPr>
      <t>2000/01/01</t>
    </r>
    <r>
      <rPr>
        <sz val="12"/>
        <rFont val="標楷體"/>
        <family val="4"/>
        <charset val="136"/>
      </rPr>
      <t>。</t>
    </r>
    <phoneticPr fontId="29" type="noConversion"/>
  </si>
  <si>
    <r>
      <rPr>
        <sz val="12"/>
        <rFont val="標楷體"/>
        <family val="4"/>
        <charset val="136"/>
      </rPr>
      <t>發行公司注資於保險業之比率：若發行公司為保險公司者，請填列</t>
    </r>
    <r>
      <rPr>
        <sz val="12"/>
        <rFont val="Times New Roman"/>
        <family val="1"/>
      </rPr>
      <t>100%</t>
    </r>
    <r>
      <rPr>
        <sz val="12"/>
        <rFont val="標楷體"/>
        <family val="4"/>
        <charset val="136"/>
      </rPr>
      <t>；若為金融控股公司者，請依實際注資於保險子公司或轉投資保險公司之比率填列。</t>
    </r>
  </si>
  <si>
    <r>
      <rPr>
        <sz val="12"/>
        <rFont val="標楷體"/>
        <family val="4"/>
        <charset val="136"/>
      </rPr>
      <t>資本工具可計入發行公司自有資本之比率：保險公司及金控公司發行之資本工具，依規定應於發行期限最後</t>
    </r>
    <r>
      <rPr>
        <sz val="12"/>
        <rFont val="Times New Roman"/>
        <family val="1"/>
      </rPr>
      <t>5</t>
    </r>
    <r>
      <rPr>
        <sz val="12"/>
        <rFont val="標楷體"/>
        <family val="4"/>
        <charset val="136"/>
      </rPr>
      <t>年採逐年遞減</t>
    </r>
    <r>
      <rPr>
        <sz val="12"/>
        <rFont val="Times New Roman"/>
        <family val="1"/>
      </rPr>
      <t>20%</t>
    </r>
    <r>
      <rPr>
        <sz val="12"/>
        <rFont val="標楷體"/>
        <family val="4"/>
        <charset val="136"/>
      </rPr>
      <t>計入合格自有資本，請視投資之資本工具到期情形填列百分比。</t>
    </r>
  </si>
  <si>
    <r>
      <rPr>
        <sz val="12"/>
        <rFont val="標楷體"/>
        <family val="4"/>
        <charset val="136"/>
      </rPr>
      <t>保管情形請填保管機構名稱及帳號，若屬集保帳戶請填集保。</t>
    </r>
  </si>
  <si>
    <r>
      <rPr>
        <sz val="10"/>
        <rFont val="標楷體"/>
        <family val="4"/>
        <charset val="136"/>
      </rPr>
      <t>不動產使用狀態請依序填列</t>
    </r>
    <r>
      <rPr>
        <sz val="10"/>
        <rFont val="Book Antiqua"/>
        <family val="1"/>
      </rPr>
      <t>A.</t>
    </r>
    <r>
      <rPr>
        <sz val="10"/>
        <rFont val="標楷體"/>
        <family val="4"/>
        <charset val="136"/>
      </rPr>
      <t>投資用不動產為素地</t>
    </r>
    <r>
      <rPr>
        <sz val="10"/>
        <rFont val="Book Antiqua"/>
        <family val="1"/>
      </rPr>
      <t xml:space="preserve"> B.</t>
    </r>
    <r>
      <rPr>
        <sz val="10"/>
        <rFont val="標楷體"/>
        <family val="4"/>
        <charset val="136"/>
      </rPr>
      <t>自</t>
    </r>
    <r>
      <rPr>
        <sz val="10"/>
        <rFont val="Book Antiqua"/>
        <family val="1"/>
      </rPr>
      <t>100</t>
    </r>
    <r>
      <rPr>
        <sz val="10"/>
        <rFont val="標楷體"/>
        <family val="4"/>
        <charset val="136"/>
      </rPr>
      <t>年</t>
    </r>
    <r>
      <rPr>
        <sz val="10"/>
        <rFont val="Book Antiqua"/>
        <family val="1"/>
      </rPr>
      <t>2</t>
    </r>
    <r>
      <rPr>
        <sz val="10"/>
        <rFont val="標楷體"/>
        <family val="4"/>
        <charset val="136"/>
      </rPr>
      <t>月</t>
    </r>
    <r>
      <rPr>
        <sz val="10"/>
        <rFont val="Book Antiqua"/>
        <family val="1"/>
      </rPr>
      <t>24</t>
    </r>
    <r>
      <rPr>
        <sz val="10"/>
        <rFont val="標楷體"/>
        <family val="4"/>
        <charset val="136"/>
      </rPr>
      <t>日起未能符合即時利用並有收益認定標準者</t>
    </r>
    <r>
      <rPr>
        <sz val="10"/>
        <rFont val="Book Antiqua"/>
        <family val="1"/>
      </rPr>
      <t>(</t>
    </r>
    <r>
      <rPr>
        <sz val="10"/>
        <rFont val="標楷體"/>
        <family val="4"/>
        <charset val="136"/>
      </rPr>
      <t>包含金融監督管理委員會</t>
    </r>
    <r>
      <rPr>
        <sz val="10"/>
        <rFont val="Book Antiqua"/>
        <family val="1"/>
      </rPr>
      <t>108</t>
    </r>
    <r>
      <rPr>
        <sz val="10"/>
        <rFont val="標楷體"/>
        <family val="4"/>
        <charset val="136"/>
      </rPr>
      <t>年</t>
    </r>
    <r>
      <rPr>
        <sz val="10"/>
        <rFont val="Book Antiqua"/>
        <family val="1"/>
      </rPr>
      <t>8</t>
    </r>
    <r>
      <rPr>
        <sz val="10"/>
        <rFont val="標楷體"/>
        <family val="4"/>
        <charset val="136"/>
      </rPr>
      <t>月</t>
    </r>
    <r>
      <rPr>
        <sz val="10"/>
        <rFont val="Book Antiqua"/>
        <family val="1"/>
      </rPr>
      <t>23</t>
    </r>
    <r>
      <rPr>
        <sz val="10"/>
        <rFont val="標楷體"/>
        <family val="4"/>
        <charset val="136"/>
      </rPr>
      <t>日所頒布「保險業辦理不動產投資有關即時利用並有收益之認定標準及處理原則」第二點第</t>
    </r>
    <r>
      <rPr>
        <sz val="10"/>
        <rFont val="Book Antiqua"/>
        <family val="1"/>
      </rPr>
      <t>5</t>
    </r>
    <r>
      <rPr>
        <sz val="10"/>
        <rFont val="標楷體"/>
        <family val="4"/>
        <charset val="136"/>
      </rPr>
      <t>款所稱未達可用狀態但已開發中者</t>
    </r>
    <r>
      <rPr>
        <sz val="10"/>
        <rFont val="Book Antiqua"/>
        <family val="1"/>
      </rPr>
      <t>)</t>
    </r>
    <phoneticPr fontId="29" type="noConversion"/>
  </si>
  <si>
    <r>
      <t xml:space="preserve">(8) </t>
    </r>
    <r>
      <rPr>
        <sz val="12"/>
        <rFont val="標楷體"/>
        <family val="4"/>
        <charset val="136"/>
      </rPr>
      <t>已發行負債型特別股及具資本性質債券得計入自有資本之總額上限，不得超過當期自有資本之</t>
    </r>
    <r>
      <rPr>
        <sz val="12"/>
        <rFont val="Times New Roman"/>
        <family val="1"/>
      </rPr>
      <t>20%</t>
    </r>
    <r>
      <rPr>
        <sz val="12"/>
        <rFont val="標楷體"/>
        <family val="4"/>
        <charset val="136"/>
      </rPr>
      <t>。</t>
    </r>
    <phoneticPr fontId="29" type="noConversion"/>
  </si>
  <si>
    <r>
      <t xml:space="preserve"> 6.1 </t>
    </r>
    <r>
      <rPr>
        <sz val="12"/>
        <rFont val="標楷體"/>
        <family val="4"/>
        <charset val="136"/>
      </rPr>
      <t>業主權益總額</t>
    </r>
    <r>
      <rPr>
        <sz val="12"/>
        <rFont val="Times New Roman"/>
        <family val="1"/>
      </rPr>
      <t>(</t>
    </r>
    <r>
      <rPr>
        <sz val="12"/>
        <rFont val="標楷體"/>
        <family val="4"/>
        <charset val="136"/>
      </rPr>
      <t>淨認許股東權益</t>
    </r>
    <r>
      <rPr>
        <sz val="12"/>
        <rFont val="Times New Roman"/>
        <family val="1"/>
      </rPr>
      <t>)</t>
    </r>
    <phoneticPr fontId="26" type="noConversion"/>
  </si>
  <si>
    <r>
      <rPr>
        <sz val="12"/>
        <rFont val="標楷體"/>
        <family val="4"/>
        <charset val="136"/>
      </rPr>
      <t>「表</t>
    </r>
    <r>
      <rPr>
        <sz val="12"/>
        <rFont val="Times New Roman"/>
        <family val="1"/>
      </rPr>
      <t>03</t>
    </r>
    <r>
      <rPr>
        <sz val="12"/>
        <rFont val="標楷體"/>
        <family val="4"/>
        <charset val="136"/>
      </rPr>
      <t>：資產負債表」第</t>
    </r>
    <r>
      <rPr>
        <sz val="12"/>
        <rFont val="Times New Roman"/>
        <family val="1"/>
      </rPr>
      <t>(14)</t>
    </r>
    <r>
      <rPr>
        <sz val="12"/>
        <rFont val="標楷體"/>
        <family val="4"/>
        <charset val="136"/>
      </rPr>
      <t>欄第</t>
    </r>
    <r>
      <rPr>
        <sz val="12"/>
        <rFont val="Times New Roman"/>
        <family val="1"/>
      </rPr>
      <t>(95)</t>
    </r>
    <r>
      <rPr>
        <sz val="12"/>
        <rFont val="標楷體"/>
        <family val="4"/>
        <charset val="136"/>
      </rPr>
      <t>列</t>
    </r>
    <phoneticPr fontId="26" type="noConversion"/>
  </si>
  <si>
    <r>
      <rPr>
        <sz val="12"/>
        <rFont val="標楷體"/>
        <family val="4"/>
        <charset val="136"/>
      </rPr>
      <t>加計：</t>
    </r>
    <phoneticPr fontId="26" type="noConversion"/>
  </si>
  <si>
    <r>
      <t xml:space="preserve"> 6.2 </t>
    </r>
    <r>
      <rPr>
        <sz val="12"/>
        <rFont val="標楷體"/>
        <family val="4"/>
        <charset val="136"/>
      </rPr>
      <t>危險變動特別準備金</t>
    </r>
    <phoneticPr fontId="26"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</si>
  <si>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(41</t>
    </r>
    <r>
      <rPr>
        <sz val="12"/>
        <rFont val="標楷體"/>
        <family val="4"/>
        <charset val="136"/>
      </rPr>
      <t>－</t>
    </r>
    <r>
      <rPr>
        <sz val="12"/>
        <rFont val="Times New Roman"/>
        <family val="1"/>
      </rPr>
      <t>15</t>
    </r>
    <r>
      <rPr>
        <sz val="12"/>
        <rFont val="標楷體"/>
        <family val="4"/>
        <charset val="136"/>
      </rPr>
      <t>－</t>
    </r>
    <r>
      <rPr>
        <sz val="12"/>
        <rFont val="Times New Roman"/>
        <family val="1"/>
      </rPr>
      <t>16</t>
    </r>
    <r>
      <rPr>
        <sz val="12"/>
        <rFont val="標楷體"/>
        <family val="4"/>
        <charset val="136"/>
      </rPr>
      <t>－</t>
    </r>
    <r>
      <rPr>
        <sz val="12"/>
        <rFont val="Times New Roman"/>
        <family val="1"/>
      </rPr>
      <t>17)</t>
    </r>
    <r>
      <rPr>
        <sz val="12"/>
        <rFont val="標楷體"/>
        <family val="4"/>
        <charset val="136"/>
      </rPr>
      <t>列加計「表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r>
      <rPr>
        <sz val="12"/>
        <rFont val="標楷體"/>
        <family val="4"/>
        <charset val="136"/>
      </rPr>
      <t>」第</t>
    </r>
    <r>
      <rPr>
        <sz val="12"/>
        <rFont val="Times New Roman"/>
        <family val="1"/>
      </rPr>
      <t>(16)</t>
    </r>
    <r>
      <rPr>
        <sz val="12"/>
        <rFont val="標楷體"/>
        <family val="4"/>
        <charset val="136"/>
      </rPr>
      <t>欄第</t>
    </r>
    <r>
      <rPr>
        <sz val="12"/>
        <rFont val="Times New Roman"/>
        <family val="1"/>
      </rPr>
      <t>(15)</t>
    </r>
    <r>
      <rPr>
        <sz val="12"/>
        <rFont val="標楷體"/>
        <family val="4"/>
        <charset val="136"/>
      </rPr>
      <t>列</t>
    </r>
    <phoneticPr fontId="26" type="noConversion"/>
  </si>
  <si>
    <r>
      <t xml:space="preserve"> 6.3 </t>
    </r>
    <r>
      <rPr>
        <sz val="12"/>
        <rFont val="標楷體"/>
        <family val="4"/>
        <charset val="136"/>
      </rPr>
      <t>異常業務損失特別準備金</t>
    </r>
    <phoneticPr fontId="26" type="noConversion"/>
  </si>
  <si>
    <r>
      <rPr>
        <sz val="12"/>
        <rFont val="標楷體"/>
        <family val="4"/>
        <charset val="136"/>
      </rPr>
      <t>「表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r>
      <rPr>
        <sz val="12"/>
        <rFont val="標楷體"/>
        <family val="4"/>
        <charset val="136"/>
      </rPr>
      <t>」第</t>
    </r>
    <r>
      <rPr>
        <sz val="12"/>
        <rFont val="Times New Roman"/>
        <family val="1"/>
      </rPr>
      <t>(25)</t>
    </r>
    <r>
      <rPr>
        <sz val="12"/>
        <rFont val="標楷體"/>
        <family val="4"/>
        <charset val="136"/>
      </rPr>
      <t>欄第</t>
    </r>
    <r>
      <rPr>
        <sz val="12"/>
        <rFont val="Times New Roman"/>
        <family val="1"/>
      </rPr>
      <t>(15)</t>
    </r>
    <r>
      <rPr>
        <sz val="12"/>
        <rFont val="標楷體"/>
        <family val="4"/>
        <charset val="136"/>
      </rPr>
      <t>列</t>
    </r>
    <phoneticPr fontId="26" type="noConversion"/>
  </si>
  <si>
    <r>
      <t xml:space="preserve"> 6.4 </t>
    </r>
    <r>
      <rPr>
        <sz val="12"/>
        <rFont val="標楷體"/>
        <family val="4"/>
        <charset val="136"/>
      </rPr>
      <t>得計入自有資本之負債型特別股</t>
    </r>
    <r>
      <rPr>
        <sz val="12"/>
        <rFont val="Times New Roman"/>
        <family val="1"/>
      </rPr>
      <t>(</t>
    </r>
    <r>
      <rPr>
        <sz val="12"/>
        <rFont val="標楷體"/>
        <family val="4"/>
        <charset val="136"/>
      </rPr>
      <t>自</t>
    </r>
    <r>
      <rPr>
        <sz val="12"/>
        <rFont val="Times New Roman"/>
        <family val="1"/>
      </rPr>
      <t>97.11.15</t>
    </r>
    <r>
      <rPr>
        <sz val="12"/>
        <rFont val="標楷體"/>
        <family val="4"/>
        <charset val="136"/>
      </rPr>
      <t>起發行者</t>
    </r>
    <r>
      <rPr>
        <sz val="12"/>
        <rFont val="Times New Roman"/>
        <family val="1"/>
      </rPr>
      <t>)</t>
    </r>
    <phoneticPr fontId="26" type="noConversion"/>
  </si>
  <si>
    <r>
      <rPr>
        <sz val="12"/>
        <rFont val="標楷體"/>
        <family val="4"/>
        <charset val="136"/>
      </rPr>
      <t>「表</t>
    </r>
    <r>
      <rPr>
        <sz val="12"/>
        <rFont val="Times New Roman"/>
        <family val="1"/>
      </rPr>
      <t>30-8-1</t>
    </r>
    <r>
      <rPr>
        <sz val="12"/>
        <rFont val="標楷體"/>
        <family val="4"/>
        <charset val="136"/>
      </rPr>
      <t>：發行負債型特別股明細表（自</t>
    </r>
    <r>
      <rPr>
        <sz val="12"/>
        <rFont val="Times New Roman"/>
        <family val="1"/>
      </rPr>
      <t>97</t>
    </r>
    <r>
      <rPr>
        <sz val="12"/>
        <rFont val="標楷體"/>
        <family val="4"/>
        <charset val="136"/>
      </rPr>
      <t>年</t>
    </r>
    <r>
      <rPr>
        <sz val="12"/>
        <rFont val="Times New Roman"/>
        <family val="1"/>
      </rPr>
      <t>11</t>
    </r>
    <r>
      <rPr>
        <sz val="12"/>
        <rFont val="標楷體"/>
        <family val="4"/>
        <charset val="136"/>
      </rPr>
      <t>月</t>
    </r>
    <r>
      <rPr>
        <sz val="12"/>
        <rFont val="Times New Roman"/>
        <family val="1"/>
      </rPr>
      <t>15</t>
    </r>
    <r>
      <rPr>
        <sz val="12"/>
        <rFont val="標楷體"/>
        <family val="4"/>
        <charset val="136"/>
      </rPr>
      <t>日起發行者</t>
    </r>
    <r>
      <rPr>
        <sz val="12"/>
        <rFont val="Times New Roman"/>
        <family val="1"/>
      </rPr>
      <t>)</t>
    </r>
    <r>
      <rPr>
        <sz val="12"/>
        <rFont val="標楷體"/>
        <family val="4"/>
        <charset val="136"/>
      </rPr>
      <t>」第</t>
    </r>
    <r>
      <rPr>
        <sz val="12"/>
        <rFont val="Times New Roman"/>
        <family val="1"/>
      </rPr>
      <t>(10)</t>
    </r>
    <r>
      <rPr>
        <sz val="12"/>
        <rFont val="標楷體"/>
        <family val="4"/>
        <charset val="136"/>
      </rPr>
      <t>欄標註為「計入自有資本金額」合計值</t>
    </r>
    <phoneticPr fontId="26" type="noConversion"/>
  </si>
  <si>
    <r>
      <t xml:space="preserve"> 6.5 </t>
    </r>
    <r>
      <rPr>
        <sz val="12"/>
        <rFont val="標楷體"/>
        <family val="4"/>
        <charset val="136"/>
      </rPr>
      <t>得計入自有資本之具資本性資債券</t>
    </r>
    <r>
      <rPr>
        <sz val="12"/>
        <rFont val="Times New Roman"/>
        <family val="1"/>
      </rPr>
      <t>(</t>
    </r>
    <r>
      <rPr>
        <sz val="12"/>
        <rFont val="標楷體"/>
        <family val="4"/>
        <charset val="136"/>
      </rPr>
      <t>自</t>
    </r>
    <r>
      <rPr>
        <sz val="12"/>
        <rFont val="Times New Roman"/>
        <family val="1"/>
      </rPr>
      <t>97.11.15</t>
    </r>
    <r>
      <rPr>
        <sz val="12"/>
        <rFont val="標楷體"/>
        <family val="4"/>
        <charset val="136"/>
      </rPr>
      <t>起發行者）</t>
    </r>
    <phoneticPr fontId="26" type="noConversion"/>
  </si>
  <si>
    <r>
      <rPr>
        <sz val="12"/>
        <rFont val="標楷體"/>
        <family val="4"/>
        <charset val="136"/>
      </rPr>
      <t>「表</t>
    </r>
    <r>
      <rPr>
        <sz val="12"/>
        <rFont val="Times New Roman"/>
        <family val="1"/>
      </rPr>
      <t>30-8-2</t>
    </r>
    <r>
      <rPr>
        <sz val="12"/>
        <rFont val="標楷體"/>
        <family val="4"/>
        <charset val="136"/>
      </rPr>
      <t>：發行具資本性質債券明細表（自</t>
    </r>
    <r>
      <rPr>
        <sz val="12"/>
        <rFont val="Times New Roman"/>
        <family val="1"/>
      </rPr>
      <t>97</t>
    </r>
    <r>
      <rPr>
        <sz val="12"/>
        <rFont val="標楷體"/>
        <family val="4"/>
        <charset val="136"/>
      </rPr>
      <t>年</t>
    </r>
    <r>
      <rPr>
        <sz val="12"/>
        <rFont val="Times New Roman"/>
        <family val="1"/>
      </rPr>
      <t>11</t>
    </r>
    <r>
      <rPr>
        <sz val="12"/>
        <rFont val="標楷體"/>
        <family val="4"/>
        <charset val="136"/>
      </rPr>
      <t>月</t>
    </r>
    <r>
      <rPr>
        <sz val="12"/>
        <rFont val="Times New Roman"/>
        <family val="1"/>
      </rPr>
      <t>15</t>
    </r>
    <r>
      <rPr>
        <sz val="12"/>
        <rFont val="標楷體"/>
        <family val="4"/>
        <charset val="136"/>
      </rPr>
      <t>日起發行者）」第</t>
    </r>
    <r>
      <rPr>
        <sz val="12"/>
        <rFont val="Times New Roman"/>
        <family val="1"/>
      </rPr>
      <t>(10)</t>
    </r>
    <r>
      <rPr>
        <sz val="12"/>
        <rFont val="標楷體"/>
        <family val="4"/>
        <charset val="136"/>
      </rPr>
      <t>欄標註為「計入自有資本金額」合計值</t>
    </r>
    <phoneticPr fontId="26" type="noConversion"/>
  </si>
  <si>
    <r>
      <t xml:space="preserve"> 6.6 </t>
    </r>
    <r>
      <rPr>
        <sz val="12"/>
        <rFont val="標楷體"/>
        <family val="4"/>
        <charset val="136"/>
      </rPr>
      <t>得計入自有資本之不動產投資評價調整數</t>
    </r>
    <phoneticPr fontId="26"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</si>
  <si>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(9)</t>
    </r>
    <r>
      <rPr>
        <sz val="12"/>
        <rFont val="標楷體"/>
        <family val="4"/>
        <charset val="136"/>
      </rPr>
      <t>欄第</t>
    </r>
    <r>
      <rPr>
        <sz val="12"/>
        <rFont val="Times New Roman"/>
        <family val="1"/>
      </rPr>
      <t>(1)</t>
    </r>
    <r>
      <rPr>
        <sz val="12"/>
        <rFont val="標楷體"/>
        <family val="4"/>
        <charset val="136"/>
      </rPr>
      <t>列</t>
    </r>
    <phoneticPr fontId="26" type="noConversion"/>
  </si>
  <si>
    <r>
      <t xml:space="preserve"> 6.7 </t>
    </r>
    <r>
      <rPr>
        <sz val="12"/>
        <rFont val="標楷體"/>
        <family val="4"/>
        <charset val="136"/>
      </rPr>
      <t>特別準備</t>
    </r>
    <r>
      <rPr>
        <sz val="12"/>
        <rFont val="Times New Roman"/>
        <family val="1"/>
      </rPr>
      <t>-</t>
    </r>
    <r>
      <rPr>
        <sz val="12"/>
        <rFont val="標楷體"/>
        <family val="4"/>
        <charset val="136"/>
      </rPr>
      <t>不動產增值利益</t>
    </r>
    <phoneticPr fontId="26"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</si>
  <si>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(8)</t>
    </r>
    <r>
      <rPr>
        <sz val="12"/>
        <rFont val="標楷體"/>
        <family val="4"/>
        <charset val="136"/>
      </rPr>
      <t>欄第</t>
    </r>
    <r>
      <rPr>
        <sz val="12"/>
        <rFont val="Times New Roman"/>
        <family val="1"/>
      </rPr>
      <t>(1)</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(9)</t>
    </r>
    <r>
      <rPr>
        <sz val="12"/>
        <rFont val="標楷體"/>
        <family val="4"/>
        <charset val="136"/>
      </rPr>
      <t>欄第</t>
    </r>
    <r>
      <rPr>
        <sz val="12"/>
        <rFont val="Times New Roman"/>
        <family val="1"/>
      </rPr>
      <t>(1)</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phoneticPr fontId="26" type="noConversion"/>
  </si>
  <si>
    <r>
      <t xml:space="preserve">6.8  </t>
    </r>
    <r>
      <rPr>
        <sz val="12"/>
        <rFont val="標楷體"/>
        <family val="4"/>
        <charset val="136"/>
      </rPr>
      <t>其他經主管機關專案核定調整之項目及金額者，另依核定之方式計算</t>
    </r>
    <phoneticPr fontId="26" type="noConversion"/>
  </si>
  <si>
    <r>
      <rPr>
        <sz val="12"/>
        <rFont val="標楷體"/>
        <family val="4"/>
        <charset val="136"/>
      </rPr>
      <t>減除：</t>
    </r>
    <phoneticPr fontId="26" type="noConversion"/>
  </si>
  <si>
    <r>
      <t xml:space="preserve"> 6.9 </t>
    </r>
    <r>
      <rPr>
        <sz val="12"/>
        <rFont val="標楷體"/>
        <family val="4"/>
        <charset val="136"/>
      </rPr>
      <t>調整股票型金融資產帳載金額為半年收盤平均價</t>
    </r>
    <phoneticPr fontId="26"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</si>
  <si>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(7)</t>
    </r>
    <r>
      <rPr>
        <sz val="12"/>
        <rFont val="標楷體"/>
        <family val="4"/>
        <charset val="136"/>
      </rPr>
      <t>欄第</t>
    </r>
    <r>
      <rPr>
        <sz val="12"/>
        <rFont val="Times New Roman"/>
        <family val="1"/>
      </rPr>
      <t>(6)</t>
    </r>
    <r>
      <rPr>
        <sz val="12"/>
        <rFont val="標楷體"/>
        <family val="4"/>
        <charset val="136"/>
      </rPr>
      <t>列</t>
    </r>
    <phoneticPr fontId="26" type="noConversion"/>
  </si>
  <si>
    <r>
      <t xml:space="preserve"> 6.10 </t>
    </r>
    <r>
      <rPr>
        <sz val="12"/>
        <rFont val="標楷體"/>
        <family val="4"/>
        <charset val="136"/>
      </rPr>
      <t>「透過損益按公允價值衡量之金融資產</t>
    </r>
    <r>
      <rPr>
        <sz val="12"/>
        <rFont val="Times New Roman"/>
        <family val="1"/>
      </rPr>
      <t>--</t>
    </r>
    <r>
      <rPr>
        <sz val="12"/>
        <rFont val="標楷體"/>
        <family val="4"/>
        <charset val="136"/>
      </rPr>
      <t>上市櫃股票投資」未實現評價利益</t>
    </r>
    <phoneticPr fontId="26"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</si>
  <si>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(6)</t>
    </r>
    <r>
      <rPr>
        <sz val="12"/>
        <rFont val="標楷體"/>
        <family val="4"/>
        <charset val="136"/>
      </rPr>
      <t>欄第</t>
    </r>
    <r>
      <rPr>
        <sz val="12"/>
        <rFont val="Times New Roman"/>
        <family val="1"/>
      </rPr>
      <t>(1)</t>
    </r>
    <r>
      <rPr>
        <sz val="12"/>
        <rFont val="標楷體"/>
        <family val="4"/>
        <charset val="136"/>
      </rPr>
      <t>列</t>
    </r>
    <r>
      <rPr>
        <sz val="12"/>
        <rFont val="Times New Roman"/>
        <family val="1"/>
      </rPr>
      <t xml:space="preserve"> (</t>
    </r>
    <r>
      <rPr>
        <sz val="12"/>
        <rFont val="標楷體"/>
        <family val="4"/>
        <charset val="136"/>
      </rPr>
      <t>須為正值；若為負值請填</t>
    </r>
    <r>
      <rPr>
        <sz val="12"/>
        <rFont val="Times New Roman"/>
        <family val="1"/>
      </rPr>
      <t>0)</t>
    </r>
    <phoneticPr fontId="26" type="noConversion"/>
  </si>
  <si>
    <r>
      <t xml:space="preserve">6.11 </t>
    </r>
    <r>
      <rPr>
        <sz val="12"/>
        <rFont val="標楷體"/>
        <family val="4"/>
        <charset val="136"/>
      </rPr>
      <t>「透過其他綜合損益按公允價值衡量之金融資產</t>
    </r>
    <r>
      <rPr>
        <sz val="12"/>
        <rFont val="Times New Roman"/>
        <family val="1"/>
      </rPr>
      <t>--</t>
    </r>
    <r>
      <rPr>
        <sz val="12"/>
        <rFont val="標楷體"/>
        <family val="4"/>
        <charset val="136"/>
      </rPr>
      <t>上市櫃股票投資」未實現評價利益</t>
    </r>
    <phoneticPr fontId="26"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</si>
  <si>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(6)</t>
    </r>
    <r>
      <rPr>
        <sz val="12"/>
        <rFont val="標楷體"/>
        <family val="4"/>
        <charset val="136"/>
      </rPr>
      <t>欄第</t>
    </r>
    <r>
      <rPr>
        <sz val="12"/>
        <rFont val="Times New Roman"/>
        <family val="1"/>
      </rPr>
      <t>(2)</t>
    </r>
    <r>
      <rPr>
        <sz val="12"/>
        <rFont val="標楷體"/>
        <family val="4"/>
        <charset val="136"/>
      </rPr>
      <t>列</t>
    </r>
    <r>
      <rPr>
        <sz val="12"/>
        <rFont val="Times New Roman"/>
        <family val="1"/>
      </rPr>
      <t xml:space="preserve"> (</t>
    </r>
    <r>
      <rPr>
        <sz val="12"/>
        <rFont val="標楷體"/>
        <family val="4"/>
        <charset val="136"/>
      </rPr>
      <t>須為正值；若為負值請填</t>
    </r>
    <r>
      <rPr>
        <sz val="12"/>
        <rFont val="Times New Roman"/>
        <family val="1"/>
      </rPr>
      <t>0)</t>
    </r>
    <phoneticPr fontId="26" type="noConversion"/>
  </si>
  <si>
    <r>
      <t xml:space="preserve">6.12 </t>
    </r>
    <r>
      <rPr>
        <sz val="12"/>
        <rFont val="標楷體"/>
        <family val="4"/>
        <charset val="136"/>
      </rPr>
      <t>投資於屬實質互相投資之具資本性質債券及負債型特別股</t>
    </r>
    <phoneticPr fontId="26"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</si>
  <si>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(30)</t>
    </r>
    <r>
      <rPr>
        <sz val="12"/>
        <rFont val="標楷體"/>
        <family val="4"/>
        <charset val="136"/>
      </rPr>
      <t>欄第</t>
    </r>
    <r>
      <rPr>
        <sz val="12"/>
        <rFont val="Times New Roman"/>
        <family val="1"/>
      </rPr>
      <t>(22)</t>
    </r>
    <r>
      <rPr>
        <sz val="12"/>
        <rFont val="標楷體"/>
        <family val="4"/>
        <charset val="136"/>
      </rPr>
      <t>列</t>
    </r>
    <phoneticPr fontId="26" type="noConversion"/>
  </si>
  <si>
    <r>
      <t xml:space="preserve">6.13 </t>
    </r>
    <r>
      <rPr>
        <sz val="12"/>
        <rFont val="標楷體"/>
        <family val="4"/>
        <charset val="136"/>
      </rPr>
      <t>投資於非屬實質互相投資之具資本性質債券及負債型特別股合計超過淨值</t>
    </r>
    <r>
      <rPr>
        <sz val="12"/>
        <rFont val="Times New Roman"/>
        <family val="1"/>
      </rPr>
      <t>10%</t>
    </r>
    <r>
      <rPr>
        <sz val="12"/>
        <rFont val="標楷體"/>
        <family val="4"/>
        <charset val="136"/>
      </rPr>
      <t>金額</t>
    </r>
    <phoneticPr fontId="26"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</si>
  <si>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(30)</t>
    </r>
    <r>
      <rPr>
        <sz val="12"/>
        <rFont val="標楷體"/>
        <family val="4"/>
        <charset val="136"/>
      </rPr>
      <t>欄第</t>
    </r>
    <r>
      <rPr>
        <sz val="12"/>
        <rFont val="Times New Roman"/>
        <family val="1"/>
      </rPr>
      <t>(23)</t>
    </r>
    <r>
      <rPr>
        <sz val="12"/>
        <rFont val="標楷體"/>
        <family val="4"/>
        <charset val="136"/>
      </rPr>
      <t>列</t>
    </r>
    <phoneticPr fontId="26" type="noConversion"/>
  </si>
  <si>
    <r>
      <t xml:space="preserve">6.14 </t>
    </r>
    <r>
      <rPr>
        <sz val="12"/>
        <rFont val="標楷體"/>
        <family val="4"/>
        <charset val="136"/>
      </rPr>
      <t>異常業務損失特別準備金</t>
    </r>
    <phoneticPr fontId="26"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</si>
  <si>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r>
      <rPr>
        <sz val="12"/>
        <rFont val="標楷體"/>
        <family val="4"/>
        <charset val="136"/>
      </rPr>
      <t>」第</t>
    </r>
    <r>
      <rPr>
        <sz val="12"/>
        <rFont val="Times New Roman"/>
        <family val="1"/>
      </rPr>
      <t>(26)</t>
    </r>
    <r>
      <rPr>
        <sz val="12"/>
        <rFont val="標楷體"/>
        <family val="4"/>
        <charset val="136"/>
      </rPr>
      <t>欄第</t>
    </r>
    <r>
      <rPr>
        <sz val="12"/>
        <rFont val="Times New Roman"/>
        <family val="1"/>
      </rPr>
      <t>(41</t>
    </r>
    <r>
      <rPr>
        <sz val="12"/>
        <rFont val="標楷體"/>
        <family val="4"/>
        <charset val="136"/>
      </rPr>
      <t>－</t>
    </r>
    <r>
      <rPr>
        <sz val="12"/>
        <rFont val="Times New Roman"/>
        <family val="1"/>
      </rPr>
      <t>15</t>
    </r>
    <r>
      <rPr>
        <sz val="12"/>
        <rFont val="標楷體"/>
        <family val="4"/>
        <charset val="136"/>
      </rPr>
      <t>－</t>
    </r>
    <r>
      <rPr>
        <sz val="12"/>
        <rFont val="Times New Roman"/>
        <family val="1"/>
      </rPr>
      <t>16</t>
    </r>
    <r>
      <rPr>
        <sz val="12"/>
        <rFont val="標楷體"/>
        <family val="4"/>
        <charset val="136"/>
      </rPr>
      <t>－</t>
    </r>
    <r>
      <rPr>
        <sz val="12"/>
        <rFont val="Times New Roman"/>
        <family val="1"/>
      </rPr>
      <t>17)</t>
    </r>
    <r>
      <rPr>
        <sz val="12"/>
        <rFont val="標楷體"/>
        <family val="4"/>
        <charset val="136"/>
      </rPr>
      <t>列</t>
    </r>
    <phoneticPr fontId="26" type="noConversion"/>
  </si>
  <si>
    <r>
      <t xml:space="preserve">6.15 </t>
    </r>
    <r>
      <rPr>
        <sz val="12"/>
        <rFont val="標楷體"/>
        <family val="4"/>
        <charset val="136"/>
      </rPr>
      <t>投資性不動產後續衡量採用公允價值模式計算自有資本影響數</t>
    </r>
    <phoneticPr fontId="26"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</si>
  <si>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(13)</t>
    </r>
    <r>
      <rPr>
        <sz val="12"/>
        <rFont val="標楷體"/>
        <family val="4"/>
        <charset val="136"/>
      </rPr>
      <t>欄第</t>
    </r>
    <r>
      <rPr>
        <sz val="12"/>
        <rFont val="Times New Roman"/>
        <family val="1"/>
      </rPr>
      <t>(17)</t>
    </r>
    <r>
      <rPr>
        <sz val="12"/>
        <rFont val="標楷體"/>
        <family val="4"/>
        <charset val="136"/>
      </rPr>
      <t>列</t>
    </r>
    <phoneticPr fontId="26" type="noConversion"/>
  </si>
  <si>
    <r>
      <t xml:space="preserve">6.16 </t>
    </r>
    <r>
      <rPr>
        <sz val="12"/>
        <rFont val="標楷體"/>
        <family val="4"/>
        <charset val="136"/>
      </rPr>
      <t>投資於關係人且屬於國外保險相關事業其該公司之法定資本不足數</t>
    </r>
    <r>
      <rPr>
        <sz val="12"/>
        <rFont val="Times New Roman"/>
        <family val="1"/>
      </rPr>
      <t>(</t>
    </r>
    <r>
      <rPr>
        <sz val="12"/>
        <rFont val="標楷體"/>
        <family val="4"/>
        <charset val="136"/>
      </rPr>
      <t>註</t>
    </r>
    <r>
      <rPr>
        <sz val="12"/>
        <rFont val="Times New Roman"/>
        <family val="1"/>
      </rPr>
      <t>)</t>
    </r>
    <phoneticPr fontId="26" type="noConversion"/>
  </si>
  <si>
    <r>
      <t xml:space="preserve">6.17 </t>
    </r>
    <r>
      <rPr>
        <sz val="12"/>
        <rFont val="標楷體"/>
        <family val="4"/>
        <charset val="136"/>
      </rPr>
      <t>未上市櫃股票投資未實現評價利益</t>
    </r>
    <phoneticPr fontId="26" type="noConversion"/>
  </si>
  <si>
    <r>
      <rPr>
        <sz val="12"/>
        <rFont val="標楷體"/>
        <family val="4"/>
        <charset val="136"/>
      </rPr>
      <t>「表</t>
    </r>
    <r>
      <rPr>
        <sz val="12"/>
        <rFont val="Times New Roman"/>
        <family val="1"/>
      </rPr>
      <t>30-8-5</t>
    </r>
    <r>
      <rPr>
        <sz val="12"/>
        <rFont val="標楷體"/>
        <family val="4"/>
        <charset val="136"/>
      </rPr>
      <t>：認列未實現評價損益檢討計算表」第</t>
    </r>
    <r>
      <rPr>
        <sz val="12"/>
        <rFont val="Times New Roman"/>
        <family val="1"/>
      </rPr>
      <t>(13)</t>
    </r>
    <r>
      <rPr>
        <sz val="12"/>
        <rFont val="標楷體"/>
        <family val="4"/>
        <charset val="136"/>
      </rPr>
      <t>欄第</t>
    </r>
    <r>
      <rPr>
        <sz val="12"/>
        <rFont val="Times New Roman"/>
        <family val="1"/>
      </rPr>
      <t>(13)</t>
    </r>
    <r>
      <rPr>
        <sz val="12"/>
        <rFont val="標楷體"/>
        <family val="4"/>
        <charset val="136"/>
      </rPr>
      <t>列</t>
    </r>
    <phoneticPr fontId="26" type="noConversion"/>
  </si>
  <si>
    <r>
      <rPr>
        <b/>
        <sz val="12"/>
        <rFont val="標楷體"/>
        <family val="4"/>
        <charset val="136"/>
      </rPr>
      <t>《調整後自有資本》總計</t>
    </r>
    <phoneticPr fontId="26" type="noConversion"/>
  </si>
  <si>
    <r>
      <rPr>
        <sz val="12"/>
        <rFont val="標楷體"/>
        <family val="4"/>
        <charset val="136"/>
      </rPr>
      <t>註：投資於關係人且屬於國外保險相關事業若產生法定資本不足數之情事時，請提供相關佐證文件以茲證明。</t>
    </r>
    <phoneticPr fontId="26" type="noConversion"/>
  </si>
  <si>
    <r>
      <rPr>
        <sz val="12"/>
        <rFont val="標楷體"/>
        <family val="4"/>
        <charset val="136"/>
      </rPr>
      <t>表</t>
    </r>
    <r>
      <rPr>
        <sz val="12"/>
        <rFont val="Times New Roman"/>
        <family val="1"/>
      </rPr>
      <t>30-3-3</t>
    </r>
    <r>
      <rPr>
        <sz val="12"/>
        <rFont val="標楷體"/>
        <family val="4"/>
        <charset val="136"/>
      </rPr>
      <t>：組合式存款風險資本額計算表</t>
    </r>
    <phoneticPr fontId="29" type="noConversion"/>
  </si>
  <si>
    <r>
      <rPr>
        <sz val="12"/>
        <rFont val="標楷體"/>
        <family val="4"/>
        <charset val="136"/>
      </rPr>
      <t>單位：新台幣元</t>
    </r>
    <r>
      <rPr>
        <sz val="12"/>
        <rFont val="Times New Roman"/>
        <family val="1"/>
      </rPr>
      <t xml:space="preserve">, </t>
    </r>
    <r>
      <rPr>
        <sz val="12"/>
        <rFont val="標楷體"/>
        <family val="4"/>
        <charset val="136"/>
      </rPr>
      <t>％</t>
    </r>
    <phoneticPr fontId="26" type="noConversion"/>
  </si>
  <si>
    <r>
      <rPr>
        <b/>
        <sz val="12"/>
        <rFont val="標楷體"/>
        <family val="4"/>
        <charset val="136"/>
      </rPr>
      <t>列號</t>
    </r>
    <phoneticPr fontId="26" type="noConversion"/>
  </si>
  <si>
    <r>
      <rPr>
        <b/>
        <sz val="12"/>
        <rFont val="標楷體"/>
        <family val="4"/>
        <charset val="136"/>
      </rPr>
      <t>資產項目</t>
    </r>
    <phoneticPr fontId="26" type="noConversion"/>
  </si>
  <si>
    <r>
      <t>(</t>
    </r>
    <r>
      <rPr>
        <b/>
        <sz val="12"/>
        <rFont val="標楷體"/>
        <family val="4"/>
        <charset val="136"/>
      </rPr>
      <t>關係人</t>
    </r>
    <r>
      <rPr>
        <b/>
        <sz val="12"/>
        <rFont val="Times New Roman"/>
        <family val="1"/>
      </rPr>
      <t>)</t>
    </r>
    <r>
      <rPr>
        <b/>
        <sz val="12"/>
        <rFont val="標楷體"/>
        <family val="4"/>
        <charset val="136"/>
      </rPr>
      <t>金額</t>
    </r>
    <phoneticPr fontId="29" type="noConversion"/>
  </si>
  <si>
    <r>
      <t>(</t>
    </r>
    <r>
      <rPr>
        <b/>
        <sz val="12"/>
        <rFont val="標楷體"/>
        <family val="4"/>
        <charset val="136"/>
      </rPr>
      <t>非關係人、國內資產</t>
    </r>
    <r>
      <rPr>
        <b/>
        <sz val="12"/>
        <rFont val="Times New Roman"/>
        <family val="1"/>
      </rPr>
      <t>)</t>
    </r>
    <r>
      <rPr>
        <b/>
        <sz val="12"/>
        <rFont val="標楷體"/>
        <family val="4"/>
        <charset val="136"/>
      </rPr>
      <t>金額</t>
    </r>
    <phoneticPr fontId="26" type="noConversion"/>
  </si>
  <si>
    <r>
      <t>(</t>
    </r>
    <r>
      <rPr>
        <b/>
        <sz val="12"/>
        <rFont val="標楷體"/>
        <family val="4"/>
        <charset val="136"/>
      </rPr>
      <t>非關係人、國外資產</t>
    </r>
    <r>
      <rPr>
        <b/>
        <sz val="12"/>
        <rFont val="Times New Roman"/>
        <family val="1"/>
      </rPr>
      <t>)</t>
    </r>
    <r>
      <rPr>
        <b/>
        <sz val="12"/>
        <rFont val="標楷體"/>
        <family val="4"/>
        <charset val="136"/>
      </rPr>
      <t>金額</t>
    </r>
    <phoneticPr fontId="26" type="noConversion"/>
  </si>
  <si>
    <r>
      <rPr>
        <b/>
        <sz val="12"/>
        <rFont val="標楷體"/>
        <family val="4"/>
        <charset val="136"/>
      </rPr>
      <t>風險係數</t>
    </r>
    <phoneticPr fontId="26" type="noConversion"/>
  </si>
  <si>
    <r>
      <t>(</t>
    </r>
    <r>
      <rPr>
        <b/>
        <sz val="12"/>
        <rFont val="標楷體"/>
        <family val="4"/>
        <charset val="136"/>
      </rPr>
      <t>關係人</t>
    </r>
    <r>
      <rPr>
        <b/>
        <sz val="12"/>
        <rFont val="Times New Roman"/>
        <family val="1"/>
      </rPr>
      <t>)</t>
    </r>
    <r>
      <rPr>
        <b/>
        <sz val="12"/>
        <rFont val="標楷體"/>
        <family val="4"/>
        <charset val="136"/>
      </rPr>
      <t>風險資本額</t>
    </r>
    <phoneticPr fontId="29" type="noConversion"/>
  </si>
  <si>
    <r>
      <t>(</t>
    </r>
    <r>
      <rPr>
        <b/>
        <sz val="12"/>
        <rFont val="標楷體"/>
        <family val="4"/>
        <charset val="136"/>
      </rPr>
      <t>非關係人、國內資產</t>
    </r>
    <r>
      <rPr>
        <b/>
        <sz val="12"/>
        <rFont val="Times New Roman"/>
        <family val="1"/>
      </rPr>
      <t>)</t>
    </r>
    <r>
      <rPr>
        <b/>
        <sz val="12"/>
        <rFont val="標楷體"/>
        <family val="4"/>
        <charset val="136"/>
      </rPr>
      <t>風險資本額</t>
    </r>
    <phoneticPr fontId="26" type="noConversion"/>
  </si>
  <si>
    <r>
      <t>(</t>
    </r>
    <r>
      <rPr>
        <b/>
        <sz val="12"/>
        <rFont val="標楷體"/>
        <family val="4"/>
        <charset val="136"/>
      </rPr>
      <t>非關係人、國外資產</t>
    </r>
    <r>
      <rPr>
        <b/>
        <sz val="12"/>
        <rFont val="Times New Roman"/>
        <family val="1"/>
      </rPr>
      <t>)</t>
    </r>
    <r>
      <rPr>
        <b/>
        <sz val="12"/>
        <rFont val="標楷體"/>
        <family val="4"/>
        <charset val="136"/>
      </rPr>
      <t>風險資本額</t>
    </r>
    <phoneticPr fontId="26" type="noConversion"/>
  </si>
  <si>
    <r>
      <rPr>
        <sz val="12"/>
        <rFont val="標楷體"/>
        <family val="4"/>
        <charset val="136"/>
      </rPr>
      <t>本表第</t>
    </r>
    <r>
      <rPr>
        <sz val="12"/>
        <rFont val="Times New Roman"/>
        <family val="1"/>
      </rPr>
      <t>(45)</t>
    </r>
    <r>
      <rPr>
        <sz val="12"/>
        <rFont val="標楷體"/>
        <family val="4"/>
        <charset val="136"/>
      </rPr>
      <t>列第</t>
    </r>
    <r>
      <rPr>
        <sz val="12"/>
        <rFont val="Times New Roman"/>
        <family val="1"/>
      </rPr>
      <t>(3)</t>
    </r>
    <r>
      <rPr>
        <sz val="12"/>
        <rFont val="標楷體"/>
        <family val="4"/>
        <charset val="136"/>
      </rPr>
      <t>欄應與表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(228)</t>
    </r>
    <r>
      <rPr>
        <sz val="12"/>
        <rFont val="標楷體"/>
        <family val="4"/>
        <charset val="136"/>
      </rPr>
      <t>列之金額一致。</t>
    </r>
    <phoneticPr fontId="29" type="noConversion"/>
  </si>
  <si>
    <r>
      <rPr>
        <sz val="12"/>
        <rFont val="標楷體"/>
        <family val="4"/>
        <charset val="136"/>
      </rPr>
      <t>本表第</t>
    </r>
    <r>
      <rPr>
        <sz val="12"/>
        <rFont val="Times New Roman"/>
        <family val="1"/>
      </rPr>
      <t>(45)</t>
    </r>
    <r>
      <rPr>
        <sz val="12"/>
        <rFont val="標楷體"/>
        <family val="4"/>
        <charset val="136"/>
      </rPr>
      <t>列第</t>
    </r>
    <r>
      <rPr>
        <sz val="12"/>
        <rFont val="Times New Roman"/>
        <family val="1"/>
      </rPr>
      <t>(4)</t>
    </r>
    <r>
      <rPr>
        <sz val="12"/>
        <rFont val="標楷體"/>
        <family val="4"/>
        <charset val="136"/>
      </rPr>
      <t>欄應與表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(232)</t>
    </r>
    <r>
      <rPr>
        <sz val="12"/>
        <rFont val="標楷體"/>
        <family val="4"/>
        <charset val="136"/>
      </rPr>
      <t>列之金額一致。</t>
    </r>
    <phoneticPr fontId="29" type="noConversion"/>
  </si>
  <si>
    <r>
      <rPr>
        <sz val="12"/>
        <rFont val="標楷體"/>
        <family val="4"/>
        <charset val="136"/>
      </rPr>
      <t>本表第</t>
    </r>
    <r>
      <rPr>
        <sz val="12"/>
        <rFont val="Times New Roman"/>
        <family val="1"/>
      </rPr>
      <t>(45)</t>
    </r>
    <r>
      <rPr>
        <sz val="12"/>
        <rFont val="標楷體"/>
        <family val="4"/>
        <charset val="136"/>
      </rPr>
      <t>列第</t>
    </r>
    <r>
      <rPr>
        <sz val="12"/>
        <rFont val="Times New Roman"/>
        <family val="1"/>
      </rPr>
      <t>(5+6+7)</t>
    </r>
    <r>
      <rPr>
        <sz val="12"/>
        <rFont val="標楷體"/>
        <family val="4"/>
        <charset val="136"/>
      </rPr>
      <t>欄之合計數應與表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(236)</t>
    </r>
    <r>
      <rPr>
        <sz val="12"/>
        <rFont val="標楷體"/>
        <family val="4"/>
        <charset val="136"/>
      </rPr>
      <t>列之金額一致。</t>
    </r>
    <phoneticPr fontId="29" type="noConversion"/>
  </si>
  <si>
    <r>
      <rPr>
        <sz val="12"/>
        <rFont val="標楷體"/>
        <family val="4"/>
        <charset val="136"/>
      </rPr>
      <t>本表第</t>
    </r>
    <r>
      <rPr>
        <sz val="12"/>
        <rFont val="Times New Roman"/>
        <family val="1"/>
      </rPr>
      <t>(22)</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(109)</t>
    </r>
    <r>
      <rPr>
        <sz val="12"/>
        <rFont val="標楷體"/>
        <family val="4"/>
        <charset val="136"/>
      </rPr>
      <t>列及第</t>
    </r>
    <r>
      <rPr>
        <sz val="12"/>
        <rFont val="Times New Roman"/>
        <family val="1"/>
      </rPr>
      <t>(139)</t>
    </r>
    <r>
      <rPr>
        <sz val="12"/>
        <rFont val="標楷體"/>
        <family val="4"/>
        <charset val="136"/>
      </rPr>
      <t>列之金額一致。</t>
    </r>
    <phoneticPr fontId="29"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</si>
  <si>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(3)</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(110+112)</t>
    </r>
    <r>
      <rPr>
        <sz val="12"/>
        <rFont val="標楷體"/>
        <family val="4"/>
        <charset val="136"/>
      </rPr>
      <t>列之合計數。</t>
    </r>
    <phoneticPr fontId="29"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</si>
  <si>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(4)</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(140+142)</t>
    </r>
    <r>
      <rPr>
        <sz val="12"/>
        <rFont val="標楷體"/>
        <family val="4"/>
        <charset val="136"/>
      </rPr>
      <t>列之合計數。</t>
    </r>
    <phoneticPr fontId="29" type="noConversion"/>
  </si>
  <si>
    <r>
      <rPr>
        <sz val="12"/>
        <rFont val="標楷體"/>
        <family val="4"/>
        <charset val="136"/>
      </rPr>
      <t>本表第</t>
    </r>
    <r>
      <rPr>
        <sz val="12"/>
        <rFont val="Times New Roman"/>
        <family val="1"/>
      </rPr>
      <t>(66)</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(111)</t>
    </r>
    <r>
      <rPr>
        <sz val="12"/>
        <rFont val="標楷體"/>
        <family val="4"/>
        <charset val="136"/>
      </rPr>
      <t>列及第</t>
    </r>
    <r>
      <rPr>
        <sz val="12"/>
        <rFont val="Times New Roman"/>
        <family val="1"/>
      </rPr>
      <t>(141)</t>
    </r>
    <r>
      <rPr>
        <sz val="12"/>
        <rFont val="標楷體"/>
        <family val="4"/>
        <charset val="136"/>
      </rPr>
      <t>列之金額一致。</t>
    </r>
    <phoneticPr fontId="29" type="noConversion"/>
  </si>
  <si>
    <r>
      <rPr>
        <sz val="12"/>
        <rFont val="標楷體"/>
        <family val="4"/>
        <charset val="136"/>
      </rPr>
      <t>本表第</t>
    </r>
    <r>
      <rPr>
        <sz val="12"/>
        <rFont val="Times New Roman"/>
        <family val="1"/>
      </rPr>
      <t>(88)</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(114)</t>
    </r>
    <r>
      <rPr>
        <sz val="12"/>
        <rFont val="標楷體"/>
        <family val="4"/>
        <charset val="136"/>
      </rPr>
      <t>列及第</t>
    </r>
    <r>
      <rPr>
        <sz val="12"/>
        <rFont val="Times New Roman"/>
        <family val="1"/>
      </rPr>
      <t>(144)</t>
    </r>
    <r>
      <rPr>
        <sz val="12"/>
        <rFont val="標楷體"/>
        <family val="4"/>
        <charset val="136"/>
      </rPr>
      <t>列之金額一致。</t>
    </r>
    <phoneticPr fontId="29"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</si>
  <si>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(3)</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(39)</t>
    </r>
    <r>
      <rPr>
        <sz val="12"/>
        <rFont val="標楷體"/>
        <family val="4"/>
        <charset val="136"/>
      </rPr>
      <t>列之金額一致。</t>
    </r>
    <phoneticPr fontId="29"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</si>
  <si>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(4)</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(47)</t>
    </r>
    <r>
      <rPr>
        <sz val="12"/>
        <rFont val="標楷體"/>
        <family val="4"/>
        <charset val="136"/>
      </rPr>
      <t>列之金額一致。</t>
    </r>
    <phoneticPr fontId="29"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</si>
  <si>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29" type="noConversion"/>
  </si>
  <si>
    <r>
      <rPr>
        <sz val="12"/>
        <rFont val="標楷體"/>
        <family val="4"/>
        <charset val="136"/>
      </rPr>
      <t>可減除計算風險資本之金額</t>
    </r>
    <r>
      <rPr>
        <sz val="12"/>
        <rFont val="Times New Roman"/>
        <family val="1"/>
      </rPr>
      <t xml:space="preserve"> - </t>
    </r>
    <r>
      <rPr>
        <sz val="12"/>
        <rFont val="標楷體"/>
        <family val="4"/>
        <charset val="136"/>
      </rPr>
      <t>非屬實質互相投資之具資本性質債券</t>
    </r>
    <r>
      <rPr>
        <sz val="12"/>
        <rFont val="Times New Roman"/>
        <family val="1"/>
      </rPr>
      <t>(</t>
    </r>
    <r>
      <rPr>
        <sz val="12"/>
        <rFont val="標楷體"/>
        <family val="4"/>
        <charset val="136"/>
      </rPr>
      <t>註</t>
    </r>
    <r>
      <rPr>
        <sz val="12"/>
        <rFont val="Times New Roman"/>
        <family val="1"/>
      </rPr>
      <t>8)</t>
    </r>
    <phoneticPr fontId="29" type="noConversion"/>
  </si>
  <si>
    <r>
      <rPr>
        <sz val="12"/>
        <rFont val="標楷體"/>
        <family val="4"/>
        <charset val="136"/>
      </rPr>
      <t>由風險資本扣除之金額</t>
    </r>
    <r>
      <rPr>
        <sz val="12"/>
        <rFont val="Times New Roman"/>
        <family val="1"/>
      </rPr>
      <t xml:space="preserve"> - </t>
    </r>
    <r>
      <rPr>
        <sz val="12"/>
        <rFont val="標楷體"/>
        <family val="4"/>
        <charset val="136"/>
      </rPr>
      <t>非屬實質互相投資之具資本性質債券合計數</t>
    </r>
    <phoneticPr fontId="29" type="noConversion"/>
  </si>
  <si>
    <r>
      <t>若無法取得投資標的之信用評等等級者，則按最低評等等級所對應之數值作為風險係數。債券投資因信用風險顯著增加已依</t>
    </r>
    <r>
      <rPr>
        <sz val="12"/>
        <rFont val="Times New Roman"/>
        <family val="1"/>
      </rPr>
      <t>IFRS9</t>
    </r>
    <r>
      <rPr>
        <sz val="12"/>
        <rFont val="標楷體"/>
        <family val="4"/>
        <charset val="136"/>
      </rPr>
      <t>規定計算其存續期間之預期信用損失者，</t>
    </r>
    <phoneticPr fontId="29"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</si>
  <si>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(19+38+39)</t>
    </r>
    <r>
      <rPr>
        <sz val="12"/>
        <rFont val="標楷體"/>
        <family val="4"/>
        <charset val="136"/>
      </rPr>
      <t>列加計表</t>
    </r>
    <r>
      <rPr>
        <sz val="12"/>
        <rFont val="Times New Roman"/>
        <family val="1"/>
      </rPr>
      <t>30-3</t>
    </r>
    <r>
      <rPr>
        <sz val="12"/>
        <rFont val="標楷體"/>
        <family val="4"/>
        <charset val="136"/>
      </rPr>
      <t>第</t>
    </r>
    <r>
      <rPr>
        <sz val="12"/>
        <rFont val="Times New Roman"/>
        <family val="1"/>
      </rPr>
      <t>(1)</t>
    </r>
    <r>
      <rPr>
        <sz val="12"/>
        <rFont val="標楷體"/>
        <family val="4"/>
        <charset val="136"/>
      </rPr>
      <t>欄第</t>
    </r>
    <r>
      <rPr>
        <sz val="12"/>
        <rFont val="Times New Roman"/>
        <family val="1"/>
      </rPr>
      <t>(7)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(42)</t>
    </r>
    <r>
      <rPr>
        <sz val="12"/>
        <rFont val="標楷體"/>
        <family val="4"/>
        <charset val="136"/>
      </rPr>
      <t>列金額相等。</t>
    </r>
    <phoneticPr fontId="29"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</si>
  <si>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(96)</t>
    </r>
    <r>
      <rPr>
        <sz val="12"/>
        <rFont val="標楷體"/>
        <family val="4"/>
        <charset val="136"/>
      </rPr>
      <t>列加計表</t>
    </r>
    <r>
      <rPr>
        <sz val="12"/>
        <rFont val="Times New Roman"/>
        <family val="1"/>
      </rPr>
      <t>30-8-7</t>
    </r>
    <r>
      <rPr>
        <sz val="12"/>
        <rFont val="標楷體"/>
        <family val="4"/>
        <charset val="136"/>
      </rPr>
      <t>第</t>
    </r>
    <r>
      <rPr>
        <sz val="12"/>
        <rFont val="Times New Roman"/>
        <family val="1"/>
      </rPr>
      <t>(28)</t>
    </r>
    <r>
      <rPr>
        <sz val="12"/>
        <rFont val="標楷體"/>
        <family val="4"/>
        <charset val="136"/>
      </rPr>
      <t>欄第</t>
    </r>
    <r>
      <rPr>
        <sz val="12"/>
        <rFont val="Times New Roman"/>
        <family val="1"/>
      </rPr>
      <t>(12)</t>
    </r>
    <r>
      <rPr>
        <sz val="12"/>
        <rFont val="標楷體"/>
        <family val="4"/>
        <charset val="136"/>
      </rPr>
      <t>列之合計數應與表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(10+26)</t>
    </r>
    <r>
      <rPr>
        <sz val="12"/>
        <rFont val="標楷體"/>
        <family val="4"/>
        <charset val="136"/>
      </rPr>
      <t>列金額相等。</t>
    </r>
    <phoneticPr fontId="29" type="noConversion"/>
  </si>
  <si>
    <r>
      <t>次順位公司債及次順位金融債券本身無信用評等採發行人評等計提風險資本者，調整以發行人評等降</t>
    </r>
    <r>
      <rPr>
        <sz val="12"/>
        <rFont val="Times New Roman"/>
        <family val="1"/>
      </rPr>
      <t>3</t>
    </r>
    <r>
      <rPr>
        <sz val="12"/>
        <rFont val="標楷體"/>
        <family val="4"/>
        <charset val="136"/>
      </rPr>
      <t>個評等等級計提風險資本。</t>
    </r>
    <phoneticPr fontId="29" type="noConversion"/>
  </si>
  <si>
    <r>
      <rPr>
        <sz val="12"/>
        <rFont val="標楷體"/>
        <family val="4"/>
        <charset val="136"/>
      </rPr>
      <t>註</t>
    </r>
    <r>
      <rPr>
        <sz val="12"/>
        <rFont val="Times New Roman"/>
        <family val="1"/>
      </rPr>
      <t>8</t>
    </r>
    <phoneticPr fontId="29"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</si>
  <si>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(115)</t>
    </r>
    <r>
      <rPr>
        <sz val="12"/>
        <rFont val="標楷體"/>
        <family val="4"/>
        <charset val="136"/>
      </rPr>
      <t>列應與表</t>
    </r>
    <r>
      <rPr>
        <sz val="12"/>
        <rFont val="Times New Roman"/>
        <family val="1"/>
      </rPr>
      <t>30-8-7</t>
    </r>
    <r>
      <rPr>
        <sz val="12"/>
        <rFont val="標楷體"/>
        <family val="4"/>
        <charset val="136"/>
      </rPr>
      <t>第</t>
    </r>
    <r>
      <rPr>
        <sz val="12"/>
        <rFont val="Times New Roman"/>
        <family val="1"/>
      </rPr>
      <t>(27)</t>
    </r>
    <r>
      <rPr>
        <sz val="12"/>
        <rFont val="標楷體"/>
        <family val="4"/>
        <charset val="136"/>
      </rPr>
      <t>欄第</t>
    </r>
    <r>
      <rPr>
        <sz val="12"/>
        <rFont val="Times New Roman"/>
        <family val="1"/>
      </rPr>
      <t>(14)</t>
    </r>
    <r>
      <rPr>
        <sz val="12"/>
        <rFont val="標楷體"/>
        <family val="4"/>
        <charset val="136"/>
      </rPr>
      <t>列。</t>
    </r>
    <phoneticPr fontId="29"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</si>
  <si>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(19-115)</t>
    </r>
    <r>
      <rPr>
        <sz val="12"/>
        <rFont val="標楷體"/>
        <family val="4"/>
        <charset val="136"/>
      </rPr>
      <t>列</t>
    </r>
    <phoneticPr fontId="26"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</si>
  <si>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(38)</t>
    </r>
    <r>
      <rPr>
        <sz val="12"/>
        <rFont val="標楷體"/>
        <family val="4"/>
        <charset val="136"/>
      </rPr>
      <t>列</t>
    </r>
    <phoneticPr fontId="26"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</si>
  <si>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(3)</t>
    </r>
    <r>
      <rPr>
        <sz val="12"/>
        <rFont val="標楷體"/>
        <family val="4"/>
        <charset val="136"/>
      </rPr>
      <t>欄第</t>
    </r>
    <r>
      <rPr>
        <sz val="12"/>
        <rFont val="Times New Roman"/>
        <family val="1"/>
      </rPr>
      <t>(39)</t>
    </r>
    <r>
      <rPr>
        <sz val="12"/>
        <rFont val="標楷體"/>
        <family val="4"/>
        <charset val="136"/>
      </rPr>
      <t>列</t>
    </r>
    <phoneticPr fontId="26"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</si>
  <si>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(58)</t>
    </r>
    <r>
      <rPr>
        <sz val="12"/>
        <rFont val="標楷體"/>
        <family val="4"/>
        <charset val="136"/>
      </rPr>
      <t>列</t>
    </r>
    <phoneticPr fontId="26"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</si>
  <si>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(77)</t>
    </r>
    <r>
      <rPr>
        <sz val="12"/>
        <rFont val="標楷體"/>
        <family val="4"/>
        <charset val="136"/>
      </rPr>
      <t>列</t>
    </r>
    <phoneticPr fontId="26"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</si>
  <si>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(78)</t>
    </r>
    <r>
      <rPr>
        <sz val="12"/>
        <rFont val="標楷體"/>
        <family val="4"/>
        <charset val="136"/>
      </rPr>
      <t>列</t>
    </r>
    <phoneticPr fontId="26"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</si>
  <si>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(3)</t>
    </r>
    <r>
      <rPr>
        <sz val="12"/>
        <rFont val="標楷體"/>
        <family val="4"/>
        <charset val="136"/>
      </rPr>
      <t>欄第</t>
    </r>
    <r>
      <rPr>
        <sz val="12"/>
        <rFont val="Times New Roman"/>
        <family val="1"/>
      </rPr>
      <t>(79)</t>
    </r>
    <r>
      <rPr>
        <sz val="12"/>
        <rFont val="標楷體"/>
        <family val="4"/>
        <charset val="136"/>
      </rPr>
      <t>列</t>
    </r>
    <phoneticPr fontId="26" type="noConversion"/>
  </si>
  <si>
    <r>
      <rPr>
        <sz val="12"/>
        <rFont val="標楷體"/>
        <family val="4"/>
        <charset val="136"/>
      </rPr>
      <t>風險資本額計算來源「表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非關係人且非屬實質相互投資之具資本性質債券或負債型特別股之信用風險計算表」第</t>
    </r>
    <r>
      <rPr>
        <sz val="12"/>
        <rFont val="Times New Roman"/>
        <family val="1"/>
      </rPr>
      <t>(5)</t>
    </r>
    <r>
      <rPr>
        <sz val="12"/>
        <rFont val="標楷體"/>
        <family val="4"/>
        <charset val="136"/>
      </rPr>
      <t>欄第</t>
    </r>
    <r>
      <rPr>
        <sz val="12"/>
        <rFont val="Times New Roman"/>
        <family val="1"/>
      </rPr>
      <t>(96)</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</si>
  <si>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(53</t>
    </r>
    <r>
      <rPr>
        <b/>
        <sz val="12"/>
        <rFont val="Times New Roman"/>
        <family val="1"/>
      </rPr>
      <t>)</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</si>
  <si>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(56)</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</si>
  <si>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(57)</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</si>
  <si>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(18)</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phoneticPr fontId="26" type="noConversion"/>
  </si>
  <si>
    <r>
      <t>1.2.5.3 ETF-</t>
    </r>
    <r>
      <rPr>
        <sz val="12"/>
        <rFont val="標楷體"/>
        <family val="4"/>
        <charset val="136"/>
      </rPr>
      <t>其他型</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</si>
  <si>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</si>
  <si>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phoneticPr fontId="26" type="noConversion"/>
  </si>
  <si>
    <r>
      <t xml:space="preserve">1.3.1.2.1.2 </t>
    </r>
    <r>
      <rPr>
        <sz val="12"/>
        <rFont val="標楷體"/>
        <family val="4"/>
        <charset val="136"/>
      </rPr>
      <t>不動產投資為素地或未能符合即時利用並有收益認定標準者</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</si>
  <si>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(97+203)</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</si>
  <si>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(98+204)</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</si>
  <si>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(99+205)</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</si>
  <si>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(100+206)</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</si>
  <si>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(199)</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</si>
  <si>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(235)</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</si>
  <si>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(21+55+58+208+237)</t>
    </r>
    <r>
      <rPr>
        <sz val="12"/>
        <rFont val="標楷體"/>
        <family val="4"/>
        <charset val="136"/>
      </rPr>
      <t>列－「表</t>
    </r>
    <r>
      <rPr>
        <sz val="12"/>
        <rFont val="Times New Roman"/>
        <family val="1"/>
      </rPr>
      <t>10-4</t>
    </r>
    <r>
      <rPr>
        <sz val="12"/>
        <rFont val="標楷體"/>
        <family val="4"/>
        <charset val="136"/>
      </rPr>
      <t>：非關係人股票投資成本與市價明細表」第</t>
    </r>
    <r>
      <rPr>
        <sz val="12"/>
        <rFont val="Times New Roman"/>
        <family val="1"/>
      </rPr>
      <t>(2)</t>
    </r>
    <r>
      <rPr>
        <sz val="12"/>
        <rFont val="標楷體"/>
        <family val="4"/>
        <charset val="136"/>
      </rPr>
      <t>欄第</t>
    </r>
    <r>
      <rPr>
        <sz val="12"/>
        <rFont val="Times New Roman"/>
        <family val="1"/>
      </rPr>
      <t>(30)</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</si>
  <si>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(115)</t>
    </r>
    <r>
      <rPr>
        <sz val="12"/>
        <rFont val="標楷體"/>
        <family val="4"/>
        <charset val="136"/>
      </rPr>
      <t>列</t>
    </r>
    <phoneticPr fontId="26" type="noConversion"/>
  </si>
  <si>
    <r>
      <rPr>
        <sz val="12"/>
        <rFont val="標楷體"/>
        <family val="4"/>
        <charset val="136"/>
      </rPr>
      <t>「表</t>
    </r>
    <r>
      <rPr>
        <sz val="12"/>
        <rFont val="Times New Roman"/>
        <family val="1"/>
      </rPr>
      <t>10-4</t>
    </r>
    <r>
      <rPr>
        <sz val="12"/>
        <rFont val="標楷體"/>
        <family val="4"/>
        <charset val="136"/>
      </rPr>
      <t>：非關係人股票投資成本與市價明細表」第</t>
    </r>
    <r>
      <rPr>
        <sz val="12"/>
        <rFont val="Times New Roman"/>
        <family val="1"/>
      </rPr>
      <t>(6)</t>
    </r>
    <r>
      <rPr>
        <sz val="12"/>
        <rFont val="標楷體"/>
        <family val="4"/>
        <charset val="136"/>
      </rPr>
      <t>欄第</t>
    </r>
    <r>
      <rPr>
        <sz val="12"/>
        <rFont val="Times New Roman"/>
        <family val="1"/>
      </rPr>
      <t>(31+36)</t>
    </r>
    <r>
      <rPr>
        <sz val="12"/>
        <rFont val="標楷體"/>
        <family val="4"/>
        <charset val="136"/>
      </rPr>
      <t>列與第</t>
    </r>
    <r>
      <rPr>
        <sz val="12"/>
        <rFont val="Times New Roman"/>
        <family val="1"/>
      </rPr>
      <t>(5)</t>
    </r>
    <r>
      <rPr>
        <sz val="12"/>
        <rFont val="標楷體"/>
        <family val="4"/>
        <charset val="136"/>
      </rPr>
      <t>欄第</t>
    </r>
    <r>
      <rPr>
        <sz val="12"/>
        <rFont val="Times New Roman"/>
        <family val="1"/>
      </rPr>
      <t>(37)</t>
    </r>
    <r>
      <rPr>
        <sz val="12"/>
        <rFont val="標楷體"/>
        <family val="4"/>
        <charset val="136"/>
      </rPr>
      <t>列之合計數</t>
    </r>
    <phoneticPr fontId="26"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</si>
  <si>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(41)</t>
    </r>
    <r>
      <rPr>
        <sz val="12"/>
        <rFont val="標楷體"/>
        <family val="4"/>
        <charset val="136"/>
      </rPr>
      <t>列與第</t>
    </r>
    <r>
      <rPr>
        <sz val="12"/>
        <rFont val="Times New Roman"/>
        <family val="1"/>
      </rPr>
      <t>(5)</t>
    </r>
    <r>
      <rPr>
        <sz val="12"/>
        <rFont val="標楷體"/>
        <family val="4"/>
        <charset val="136"/>
      </rPr>
      <t>欄第</t>
    </r>
    <r>
      <rPr>
        <sz val="12"/>
        <rFont val="Times New Roman"/>
        <family val="1"/>
      </rPr>
      <t>(42)</t>
    </r>
    <r>
      <rPr>
        <sz val="12"/>
        <rFont val="標楷體"/>
        <family val="4"/>
        <charset val="136"/>
      </rPr>
      <t>列之合計數</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</si>
  <si>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(123)</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</si>
  <si>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(124)</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</si>
  <si>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(126)</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</si>
  <si>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r>
      <rPr>
        <sz val="12"/>
        <rFont val="Times New Roman"/>
        <family val="1"/>
      </rPr>
      <t>-</t>
    </r>
    <r>
      <rPr>
        <sz val="12"/>
        <rFont val="標楷體"/>
        <family val="4"/>
        <charset val="136"/>
      </rPr>
      <t>已開發國家</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</si>
  <si>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r>
      <rPr>
        <sz val="12"/>
        <rFont val="Times New Roman"/>
        <family val="1"/>
      </rPr>
      <t>-</t>
    </r>
    <r>
      <rPr>
        <sz val="12"/>
        <rFont val="標楷體"/>
        <family val="4"/>
        <charset val="136"/>
      </rPr>
      <t>已開發國家</t>
    </r>
    <phoneticPr fontId="26" type="noConversion"/>
  </si>
  <si>
    <r>
      <t xml:space="preserve">1b.1.10 ETF - </t>
    </r>
    <r>
      <rPr>
        <sz val="12"/>
        <rFont val="標楷體"/>
        <family val="4"/>
        <charset val="136"/>
      </rPr>
      <t>其他型</t>
    </r>
    <phoneticPr fontId="26"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</si>
  <si>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r>
      <rPr>
        <sz val="12"/>
        <rFont val="Times New Roman"/>
        <family val="1"/>
      </rPr>
      <t>-</t>
    </r>
    <r>
      <rPr>
        <sz val="12"/>
        <rFont val="標楷體"/>
        <family val="4"/>
        <charset val="136"/>
      </rPr>
      <t>已開發國家</t>
    </r>
    <phoneticPr fontId="26" type="noConversion"/>
  </si>
  <si>
    <r>
      <t xml:space="preserve">1b.1.12 </t>
    </r>
    <r>
      <rPr>
        <sz val="12"/>
        <rFont val="標楷體"/>
        <family val="4"/>
        <charset val="136"/>
      </rPr>
      <t>組合式存款</t>
    </r>
    <phoneticPr fontId="26" type="noConversion"/>
  </si>
  <si>
    <r>
      <t>1b.1.12.1 "100%"</t>
    </r>
    <r>
      <rPr>
        <sz val="12"/>
        <rFont val="標楷體"/>
        <family val="4"/>
        <charset val="136"/>
      </rPr>
      <t>保本組合式存款</t>
    </r>
    <phoneticPr fontId="26" type="noConversion"/>
  </si>
  <si>
    <r>
      <t xml:space="preserve">1b.1.13 </t>
    </r>
    <r>
      <rPr>
        <sz val="12"/>
        <rFont val="標楷體"/>
        <family val="4"/>
        <charset val="136"/>
      </rPr>
      <t>其他</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</si>
  <si>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(130)</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(132)</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(133)</t>
    </r>
    <r>
      <rPr>
        <sz val="12"/>
        <rFont val="標楷體"/>
        <family val="4"/>
        <charset val="136"/>
      </rPr>
      <t>列</t>
    </r>
    <r>
      <rPr>
        <sz val="12"/>
        <rFont val="Times New Roman"/>
        <family val="1"/>
      </rPr>
      <t>-</t>
    </r>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已開發國家</t>
    </r>
    <r>
      <rPr>
        <sz val="12"/>
        <rFont val="Times New Roman"/>
        <family val="1"/>
      </rPr>
      <t>)</t>
    </r>
    <r>
      <rPr>
        <sz val="12"/>
        <rFont val="標楷體"/>
        <family val="4"/>
        <charset val="136"/>
      </rPr>
      <t>列</t>
    </r>
    <phoneticPr fontId="26" type="noConversion"/>
  </si>
  <si>
    <r>
      <t xml:space="preserve">1b.1.13.2 </t>
    </r>
    <r>
      <rPr>
        <sz val="12"/>
        <rFont val="標楷體"/>
        <family val="4"/>
        <charset val="136"/>
      </rPr>
      <t>經由信託方式取得國外及大陸地區不動產</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</si>
  <si>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(137)</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</si>
  <si>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(145)</t>
    </r>
    <r>
      <rPr>
        <sz val="12"/>
        <rFont val="標楷體"/>
        <family val="4"/>
        <charset val="136"/>
      </rPr>
      <t>列</t>
    </r>
    <phoneticPr fontId="26" type="noConversion"/>
  </si>
  <si>
    <r>
      <rPr>
        <sz val="12"/>
        <rFont val="標楷體"/>
        <family val="4"/>
        <charset val="136"/>
      </rPr>
      <t>「表</t>
    </r>
    <r>
      <rPr>
        <sz val="12"/>
        <rFont val="Times New Roman"/>
        <family val="1"/>
      </rPr>
      <t>10-4</t>
    </r>
    <r>
      <rPr>
        <sz val="12"/>
        <rFont val="標楷體"/>
        <family val="4"/>
        <charset val="136"/>
      </rPr>
      <t>：非關係人股票投資成本與市價明細表」第</t>
    </r>
    <r>
      <rPr>
        <sz val="12"/>
        <rFont val="Times New Roman"/>
        <family val="1"/>
      </rPr>
      <t>(6)</t>
    </r>
    <r>
      <rPr>
        <sz val="12"/>
        <rFont val="標楷體"/>
        <family val="4"/>
        <charset val="136"/>
      </rPr>
      <t>欄第</t>
    </r>
    <r>
      <rPr>
        <sz val="12"/>
        <rFont val="Times New Roman"/>
        <family val="1"/>
      </rPr>
      <t>(32+44)</t>
    </r>
    <r>
      <rPr>
        <sz val="12"/>
        <rFont val="標楷體"/>
        <family val="4"/>
        <charset val="136"/>
      </rPr>
      <t>列與第</t>
    </r>
    <r>
      <rPr>
        <sz val="12"/>
        <rFont val="Times New Roman"/>
        <family val="1"/>
      </rPr>
      <t>(5)</t>
    </r>
    <r>
      <rPr>
        <sz val="12"/>
        <rFont val="標楷體"/>
        <family val="4"/>
        <charset val="136"/>
      </rPr>
      <t>欄與第</t>
    </r>
    <r>
      <rPr>
        <sz val="12"/>
        <rFont val="Times New Roman"/>
        <family val="1"/>
      </rPr>
      <t>(45)</t>
    </r>
    <r>
      <rPr>
        <sz val="12"/>
        <rFont val="標楷體"/>
        <family val="4"/>
        <charset val="136"/>
      </rPr>
      <t>列之合計數</t>
    </r>
    <phoneticPr fontId="26"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</si>
  <si>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(49)</t>
    </r>
    <r>
      <rPr>
        <sz val="12"/>
        <rFont val="標楷體"/>
        <family val="4"/>
        <charset val="136"/>
      </rPr>
      <t>列與第</t>
    </r>
    <r>
      <rPr>
        <sz val="12"/>
        <rFont val="Times New Roman"/>
        <family val="1"/>
      </rPr>
      <t>(5)</t>
    </r>
    <r>
      <rPr>
        <sz val="12"/>
        <rFont val="標楷體"/>
        <family val="4"/>
        <charset val="136"/>
      </rPr>
      <t>欄與第</t>
    </r>
    <r>
      <rPr>
        <sz val="12"/>
        <rFont val="Times New Roman"/>
        <family val="1"/>
      </rPr>
      <t>(50)</t>
    </r>
    <r>
      <rPr>
        <sz val="12"/>
        <rFont val="標楷體"/>
        <family val="4"/>
        <charset val="136"/>
      </rPr>
      <t>列之合計數</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</si>
  <si>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(153)</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</si>
  <si>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(154)</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</si>
  <si>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(156)</t>
    </r>
    <r>
      <rPr>
        <sz val="12"/>
        <rFont val="標楷體"/>
        <family val="4"/>
        <charset val="136"/>
      </rPr>
      <t>列</t>
    </r>
    <phoneticPr fontId="29" type="noConversion"/>
  </si>
  <si>
    <r>
      <t xml:space="preserve">1b.2.10 ETF - </t>
    </r>
    <r>
      <rPr>
        <sz val="12"/>
        <rFont val="標楷體"/>
        <family val="4"/>
        <charset val="136"/>
      </rPr>
      <t>其他型</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</si>
  <si>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r>
      <rPr>
        <sz val="12"/>
        <rFont val="Times New Roman"/>
        <family val="1"/>
      </rPr>
      <t>-</t>
    </r>
    <r>
      <rPr>
        <sz val="12"/>
        <rFont val="標楷體"/>
        <family val="4"/>
        <charset val="136"/>
      </rPr>
      <t>新興市場</t>
    </r>
    <phoneticPr fontId="26" type="noConversion"/>
  </si>
  <si>
    <r>
      <t xml:space="preserve">1b.2.12 </t>
    </r>
    <r>
      <rPr>
        <sz val="12"/>
        <rFont val="標楷體"/>
        <family val="4"/>
        <charset val="136"/>
      </rPr>
      <t>組合式存款</t>
    </r>
    <phoneticPr fontId="26" type="noConversion"/>
  </si>
  <si>
    <r>
      <t>1b.2.12.2 "90%"</t>
    </r>
    <r>
      <rPr>
        <sz val="12"/>
        <rFont val="標楷體"/>
        <family val="4"/>
        <charset val="136"/>
      </rPr>
      <t>保本組合式存款</t>
    </r>
    <phoneticPr fontId="26" type="noConversion"/>
  </si>
  <si>
    <r>
      <t>1b.2.13</t>
    </r>
    <r>
      <rPr>
        <sz val="12"/>
        <rFont val="標楷體"/>
        <family val="4"/>
        <charset val="136"/>
      </rPr>
      <t>其他</t>
    </r>
    <phoneticPr fontId="26" type="noConversion"/>
  </si>
  <si>
    <r>
      <t xml:space="preserve">1b.2.13.1 </t>
    </r>
    <r>
      <rPr>
        <sz val="12"/>
        <rFont val="標楷體"/>
        <family val="4"/>
        <charset val="136"/>
      </rPr>
      <t>其他</t>
    </r>
    <r>
      <rPr>
        <sz val="12"/>
        <rFont val="Times New Roman"/>
        <family val="1"/>
      </rPr>
      <t>(</t>
    </r>
    <r>
      <rPr>
        <sz val="12"/>
        <rFont val="標楷體"/>
        <family val="4"/>
        <charset val="136"/>
      </rPr>
      <t>除</t>
    </r>
    <r>
      <rPr>
        <sz val="12"/>
        <rFont val="Times New Roman"/>
        <family val="1"/>
      </rPr>
      <t>1b.2.13.2</t>
    </r>
    <r>
      <rPr>
        <sz val="12"/>
        <rFont val="標楷體"/>
        <family val="4"/>
        <charset val="136"/>
      </rPr>
      <t>外</t>
    </r>
    <r>
      <rPr>
        <sz val="12"/>
        <rFont val="Times New Roman"/>
        <family val="1"/>
      </rPr>
      <t>)</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</si>
  <si>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(160)</t>
    </r>
    <r>
      <rPr>
        <sz val="12"/>
        <rFont val="標楷體"/>
        <family val="4"/>
        <charset val="136"/>
      </rPr>
      <t>列</t>
    </r>
    <r>
      <rPr>
        <sz val="12"/>
        <rFont val="Times New Roman"/>
        <family val="1"/>
      </rPr>
      <t>-</t>
    </r>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(162)</t>
    </r>
    <r>
      <rPr>
        <sz val="12"/>
        <rFont val="標楷體"/>
        <family val="4"/>
        <charset val="136"/>
      </rPr>
      <t>列</t>
    </r>
    <r>
      <rPr>
        <sz val="12"/>
        <rFont val="Times New Roman"/>
        <family val="1"/>
      </rPr>
      <t>-</t>
    </r>
    <r>
      <rPr>
        <sz val="12"/>
        <rFont val="標楷體"/>
        <family val="4"/>
        <charset val="136"/>
      </rPr>
      <t>「表</t>
    </r>
    <r>
      <rPr>
        <sz val="12"/>
        <rFont val="Times New Roman"/>
        <family val="1"/>
      </rPr>
      <t>13-4</t>
    </r>
    <r>
      <rPr>
        <sz val="12"/>
        <rFont val="標楷體"/>
        <family val="4"/>
        <charset val="136"/>
      </rPr>
      <t>：國外及大陸地區不動產投資情形明細表」第</t>
    </r>
    <r>
      <rPr>
        <sz val="12"/>
        <rFont val="Times New Roman"/>
        <family val="1"/>
      </rPr>
      <t>(12)</t>
    </r>
    <r>
      <rPr>
        <sz val="12"/>
        <rFont val="標楷體"/>
        <family val="4"/>
        <charset val="136"/>
      </rPr>
      <t>欄第</t>
    </r>
    <r>
      <rPr>
        <sz val="12"/>
        <rFont val="Times New Roman"/>
        <family val="1"/>
      </rPr>
      <t>(</t>
    </r>
    <r>
      <rPr>
        <sz val="12"/>
        <rFont val="標楷體"/>
        <family val="4"/>
        <charset val="136"/>
      </rPr>
      <t>新興市場</t>
    </r>
    <r>
      <rPr>
        <sz val="12"/>
        <rFont val="Times New Roman"/>
        <family val="1"/>
      </rPr>
      <t>)</t>
    </r>
    <r>
      <rPr>
        <sz val="12"/>
        <rFont val="標楷體"/>
        <family val="4"/>
        <charset val="136"/>
      </rPr>
      <t>列</t>
    </r>
    <phoneticPr fontId="26" type="noConversion"/>
  </si>
  <si>
    <r>
      <t xml:space="preserve">1b.2.13.2 </t>
    </r>
    <r>
      <rPr>
        <sz val="12"/>
        <rFont val="標楷體"/>
        <family val="4"/>
        <charset val="136"/>
      </rPr>
      <t>經由信託方式取得國外及大陸地區不動產</t>
    </r>
    <phoneticPr fontId="26" type="noConversion"/>
  </si>
  <si>
    <r>
      <rPr>
        <sz val="12"/>
        <rFont val="標楷體"/>
        <family val="4"/>
        <charset val="136"/>
      </rPr>
      <t>本表</t>
    </r>
    <r>
      <rPr>
        <sz val="12"/>
        <rFont val="Times New Roman"/>
        <family val="1"/>
      </rPr>
      <t>1b.1.1~1b.1.13</t>
    </r>
    <r>
      <rPr>
        <sz val="12"/>
        <rFont val="標楷體"/>
        <family val="4"/>
        <charset val="136"/>
      </rPr>
      <t>金額合計</t>
    </r>
    <r>
      <rPr>
        <sz val="12"/>
        <rFont val="Times New Roman"/>
        <family val="1"/>
      </rPr>
      <t>+</t>
    </r>
    <r>
      <rPr>
        <sz val="12"/>
        <rFont val="標楷體"/>
        <family val="4"/>
        <charset val="136"/>
      </rPr>
      <t>本表</t>
    </r>
    <r>
      <rPr>
        <sz val="12"/>
        <rFont val="Times New Roman"/>
        <family val="1"/>
      </rPr>
      <t>1b.2.1~1b.2.13</t>
    </r>
    <r>
      <rPr>
        <sz val="12"/>
        <rFont val="標楷體"/>
        <family val="4"/>
        <charset val="136"/>
      </rPr>
      <t>金額合計－「表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(5)</t>
    </r>
    <r>
      <rPr>
        <sz val="12"/>
        <rFont val="標楷體"/>
        <family val="4"/>
        <charset val="136"/>
      </rPr>
      <t>欄第</t>
    </r>
    <r>
      <rPr>
        <sz val="12"/>
        <rFont val="Times New Roman"/>
        <family val="1"/>
      </rPr>
      <t>(6)</t>
    </r>
    <r>
      <rPr>
        <sz val="12"/>
        <rFont val="標楷體"/>
        <family val="4"/>
        <charset val="136"/>
      </rPr>
      <t>列－「表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以避險為目的」第</t>
    </r>
    <r>
      <rPr>
        <sz val="12"/>
        <rFont val="Times New Roman"/>
        <family val="1"/>
      </rPr>
      <t>(8)</t>
    </r>
    <r>
      <rPr>
        <sz val="12"/>
        <rFont val="標楷體"/>
        <family val="4"/>
        <charset val="136"/>
      </rPr>
      <t>欄第</t>
    </r>
    <r>
      <rPr>
        <sz val="12"/>
        <rFont val="Times New Roman"/>
        <family val="1"/>
      </rPr>
      <t>(6)</t>
    </r>
    <r>
      <rPr>
        <sz val="12"/>
        <rFont val="標楷體"/>
        <family val="4"/>
        <charset val="136"/>
      </rPr>
      <t>列</t>
    </r>
    <phoneticPr fontId="29" type="noConversion"/>
  </si>
  <si>
    <r>
      <rPr>
        <sz val="12"/>
        <rFont val="標楷體"/>
        <family val="4"/>
        <charset val="136"/>
      </rPr>
      <t>依金管保財字第</t>
    </r>
    <r>
      <rPr>
        <sz val="12"/>
        <rFont val="Times New Roman"/>
        <family val="1"/>
      </rPr>
      <t>10804277130</t>
    </r>
    <r>
      <rPr>
        <sz val="12"/>
        <rFont val="標楷體"/>
        <family val="4"/>
        <charset val="136"/>
      </rPr>
      <t>號函規定，屬實質互相投資之具資本性質債券或負債型特別股，應將投資金額全數由自有資本扣除。</t>
    </r>
    <phoneticPr fontId="26" type="noConversion"/>
  </si>
  <si>
    <r>
      <t xml:space="preserve">0.1 </t>
    </r>
    <r>
      <rPr>
        <sz val="12"/>
        <rFont val="標楷體"/>
        <family val="4"/>
        <charset val="136"/>
      </rPr>
      <t>與具控制與從屬關係之關係人交易</t>
    </r>
    <phoneticPr fontId="26" type="noConversion"/>
  </si>
  <si>
    <r>
      <t xml:space="preserve">0.1.1.1.1 </t>
    </r>
    <r>
      <rPr>
        <sz val="12"/>
        <rFont val="標楷體"/>
        <family val="4"/>
        <charset val="136"/>
      </rPr>
      <t>屬「實質互相投資」之負債型特別股</t>
    </r>
    <phoneticPr fontId="29"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</si>
  <si>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(3)</t>
    </r>
    <r>
      <rPr>
        <sz val="12"/>
        <rFont val="標楷體"/>
        <family val="4"/>
        <charset val="136"/>
      </rPr>
      <t>列</t>
    </r>
    <phoneticPr fontId="29" type="noConversion"/>
  </si>
  <si>
    <r>
      <t xml:space="preserve">0.1.1.1.2 </t>
    </r>
    <r>
      <rPr>
        <sz val="12"/>
        <rFont val="標楷體"/>
        <family val="4"/>
        <charset val="136"/>
      </rPr>
      <t>國內保險相關事業</t>
    </r>
    <phoneticPr fontId="29"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</si>
  <si>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(3)</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(3+4)</t>
    </r>
    <r>
      <rPr>
        <sz val="12"/>
        <rFont val="標楷體"/>
        <family val="4"/>
        <charset val="136"/>
      </rPr>
      <t>列</t>
    </r>
    <phoneticPr fontId="29" type="noConversion"/>
  </si>
  <si>
    <r>
      <t xml:space="preserve">0.1.1.1.3 </t>
    </r>
    <r>
      <rPr>
        <sz val="12"/>
        <rFont val="標楷體"/>
        <family val="4"/>
        <charset val="136"/>
      </rPr>
      <t>國外保險相關事業</t>
    </r>
    <r>
      <rPr>
        <b/>
        <sz val="12"/>
        <rFont val="Times New Roman"/>
        <family val="1"/>
      </rPr>
      <t/>
    </r>
    <phoneticPr fontId="29" type="noConversion"/>
  </si>
  <si>
    <r>
      <t xml:space="preserve">0.1.1.2 </t>
    </r>
    <r>
      <rPr>
        <sz val="12"/>
        <rFont val="標楷體"/>
        <family val="4"/>
        <charset val="136"/>
      </rPr>
      <t>投資非保險相關事業</t>
    </r>
    <phoneticPr fontId="26" type="noConversion"/>
  </si>
  <si>
    <r>
      <t xml:space="preserve">0.1.1.2.2 </t>
    </r>
    <r>
      <rPr>
        <sz val="12"/>
        <rFont val="標楷體"/>
        <family val="4"/>
        <charset val="136"/>
      </rPr>
      <t>國外非保險相關事業</t>
    </r>
    <r>
      <rPr>
        <b/>
        <sz val="12"/>
        <rFont val="Times New Roman"/>
        <family val="1"/>
      </rPr>
      <t/>
    </r>
    <phoneticPr fontId="29" type="noConversion"/>
  </si>
  <si>
    <r>
      <t xml:space="preserve">0.1.1.2.2.2 </t>
    </r>
    <r>
      <rPr>
        <sz val="12"/>
        <rFont val="標楷體"/>
        <family val="4"/>
        <charset val="136"/>
      </rPr>
      <t>其他</t>
    </r>
    <phoneticPr fontId="29" type="noConversion"/>
  </si>
  <si>
    <r>
      <t xml:space="preserve">0.1.2 </t>
    </r>
    <r>
      <rPr>
        <sz val="12"/>
        <rFont val="標楷體"/>
        <family val="4"/>
        <charset val="136"/>
      </rPr>
      <t>投資其他資產</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</si>
  <si>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(4+168)</t>
    </r>
    <r>
      <rPr>
        <sz val="12"/>
        <rFont val="標楷體"/>
        <family val="4"/>
        <charset val="136"/>
      </rPr>
      <t>列</t>
    </r>
    <phoneticPr fontId="29" type="noConversion"/>
  </si>
  <si>
    <r>
      <t xml:space="preserve">0.1.2.2 </t>
    </r>
    <r>
      <rPr>
        <sz val="12"/>
        <rFont val="標楷體"/>
        <family val="4"/>
        <charset val="136"/>
      </rPr>
      <t>債券、票券及不動產受益證劵及金融資產受益證券</t>
    </r>
    <r>
      <rPr>
        <sz val="12"/>
        <rFont val="Times New Roman"/>
        <family val="1"/>
      </rPr>
      <t>(</t>
    </r>
    <r>
      <rPr>
        <sz val="12"/>
        <rFont val="標楷體"/>
        <family val="4"/>
        <charset val="136"/>
      </rPr>
      <t>含資產基礎證券</t>
    </r>
    <r>
      <rPr>
        <sz val="12"/>
        <rFont val="Times New Roman"/>
        <family val="1"/>
      </rPr>
      <t>)</t>
    </r>
    <phoneticPr fontId="26" type="noConversion"/>
  </si>
  <si>
    <r>
      <t xml:space="preserve">0.1.2.2.1   </t>
    </r>
    <r>
      <rPr>
        <sz val="12"/>
        <rFont val="標楷體"/>
        <family val="4"/>
        <charset val="136"/>
      </rPr>
      <t>屬「實質互相投資」之具資本性質債券</t>
    </r>
    <phoneticPr fontId="29"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</si>
  <si>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：投資「國內保險業」及「國內金控公司」發行之具資本性質債券或負債型特別股明細表」第</t>
    </r>
    <r>
      <rPr>
        <sz val="12"/>
        <rFont val="Times New Roman"/>
        <family val="1"/>
      </rPr>
      <t>(27)</t>
    </r>
    <r>
      <rPr>
        <sz val="12"/>
        <rFont val="標楷體"/>
        <family val="4"/>
        <charset val="136"/>
      </rPr>
      <t>欄第</t>
    </r>
    <r>
      <rPr>
        <sz val="12"/>
        <rFont val="Times New Roman"/>
        <family val="1"/>
      </rPr>
      <t>(3)</t>
    </r>
    <r>
      <rPr>
        <sz val="12"/>
        <rFont val="標楷體"/>
        <family val="4"/>
        <charset val="136"/>
      </rPr>
      <t>列</t>
    </r>
    <phoneticPr fontId="29" type="noConversion"/>
  </si>
  <si>
    <r>
      <t xml:space="preserve">0.1.2.2.2   </t>
    </r>
    <r>
      <rPr>
        <sz val="12"/>
        <rFont val="標楷體"/>
        <family val="4"/>
        <charset val="136"/>
      </rPr>
      <t>非屬「實質互相投資」之具資本性質債券」</t>
    </r>
    <phoneticPr fontId="29" type="noConversion"/>
  </si>
  <si>
    <r>
      <t xml:space="preserve">0.1.2.2.2.1 </t>
    </r>
    <r>
      <rPr>
        <sz val="12"/>
        <rFont val="標楷體"/>
        <family val="4"/>
        <charset val="136"/>
      </rPr>
      <t>國內保險相關事業</t>
    </r>
    <phoneticPr fontId="29"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</si>
  <si>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(19)</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：投資「國內保險業」及「國內金控公司」發行之具資本性質債券或負債型特別股明細表」第</t>
    </r>
    <r>
      <rPr>
        <sz val="12"/>
        <rFont val="Times New Roman"/>
        <family val="1"/>
      </rPr>
      <t>(27)</t>
    </r>
    <r>
      <rPr>
        <sz val="12"/>
        <rFont val="標楷體"/>
        <family val="4"/>
        <charset val="136"/>
      </rPr>
      <t>欄第</t>
    </r>
    <r>
      <rPr>
        <sz val="12"/>
        <rFont val="Times New Roman"/>
        <family val="1"/>
      </rPr>
      <t>(4)</t>
    </r>
    <r>
      <rPr>
        <sz val="12"/>
        <rFont val="標楷體"/>
        <family val="4"/>
        <charset val="136"/>
      </rPr>
      <t>列</t>
    </r>
    <phoneticPr fontId="29" type="noConversion"/>
  </si>
  <si>
    <r>
      <t xml:space="preserve">0.1.2.2.2.2 </t>
    </r>
    <r>
      <rPr>
        <sz val="12"/>
        <rFont val="標楷體"/>
        <family val="4"/>
        <charset val="136"/>
      </rPr>
      <t>國外保險相關事業</t>
    </r>
    <phoneticPr fontId="29"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</si>
  <si>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(19)</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(27)</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</si>
  <si>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(28+48+170)</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(15)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(16)</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</si>
  <si>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具控制與從屬關係</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</si>
  <si>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具控制與從屬關係</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</si>
  <si>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(65)</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</si>
  <si>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(66)</t>
    </r>
    <r>
      <rPr>
        <sz val="12"/>
        <rFont val="標楷體"/>
        <family val="4"/>
        <charset val="136"/>
      </rPr>
      <t>列</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</si>
  <si>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具控制與從屬關係</t>
    </r>
    <phoneticPr fontId="29" type="noConversion"/>
  </si>
  <si>
    <r>
      <t xml:space="preserve">0.1.2.3.6.5 </t>
    </r>
    <r>
      <rPr>
        <sz val="12"/>
        <rFont val="標楷體"/>
        <family val="4"/>
        <charset val="136"/>
      </rPr>
      <t>私募股權基金</t>
    </r>
    <phoneticPr fontId="29" type="noConversion"/>
  </si>
  <si>
    <r>
      <t xml:space="preserve">0.1.2.3.6.8 </t>
    </r>
    <r>
      <rPr>
        <sz val="12"/>
        <rFont val="標楷體"/>
        <family val="4"/>
        <charset val="136"/>
      </rPr>
      <t>基礎建設基金</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</si>
  <si>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(175)</t>
    </r>
    <r>
      <rPr>
        <sz val="12"/>
        <rFont val="標楷體"/>
        <family val="4"/>
        <charset val="136"/>
      </rPr>
      <t>列</t>
    </r>
    <phoneticPr fontId="29" type="noConversion"/>
  </si>
  <si>
    <r>
      <t xml:space="preserve">0.1.2.3.6.9 </t>
    </r>
    <r>
      <rPr>
        <sz val="12"/>
        <rFont val="標楷體"/>
        <family val="4"/>
        <charset val="136"/>
      </rPr>
      <t>對沖基金</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</si>
  <si>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(177)</t>
    </r>
    <r>
      <rPr>
        <sz val="12"/>
        <rFont val="標楷體"/>
        <family val="4"/>
        <charset val="136"/>
      </rPr>
      <t>列</t>
    </r>
    <phoneticPr fontId="29" type="noConversion"/>
  </si>
  <si>
    <r>
      <t xml:space="preserve">0.1.2.4 </t>
    </r>
    <r>
      <rPr>
        <sz val="12"/>
        <rFont val="標楷體"/>
        <family val="4"/>
        <charset val="136"/>
      </rPr>
      <t>不動產</t>
    </r>
    <phoneticPr fontId="26" type="noConversion"/>
  </si>
  <si>
    <r>
      <t xml:space="preserve">0.1.2.4.2 </t>
    </r>
    <r>
      <rPr>
        <sz val="12"/>
        <rFont val="標楷體"/>
        <family val="4"/>
        <charset val="136"/>
      </rPr>
      <t>不動產投資為素地或未能符合即時利用並有收益認定標準者</t>
    </r>
    <phoneticPr fontId="29"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</si>
  <si>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(6+7)</t>
    </r>
    <r>
      <rPr>
        <sz val="12"/>
        <rFont val="標楷體"/>
        <family val="4"/>
        <charset val="136"/>
      </rPr>
      <t>列</t>
    </r>
    <phoneticPr fontId="29" type="noConversion"/>
  </si>
  <si>
    <r>
      <t xml:space="preserve">0.1.2.5 </t>
    </r>
    <r>
      <rPr>
        <sz val="12"/>
        <rFont val="標楷體"/>
        <family val="4"/>
        <charset val="136"/>
      </rPr>
      <t>放款</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</si>
  <si>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(102+169+216)</t>
    </r>
    <r>
      <rPr>
        <sz val="12"/>
        <rFont val="標楷體"/>
        <family val="4"/>
        <charset val="136"/>
      </rPr>
      <t>列－「表</t>
    </r>
    <r>
      <rPr>
        <sz val="12"/>
        <rFont val="Times New Roman"/>
        <family val="1"/>
      </rPr>
      <t>13-4</t>
    </r>
    <r>
      <rPr>
        <sz val="12"/>
        <rFont val="標楷體"/>
        <family val="4"/>
        <charset val="136"/>
      </rPr>
      <t>：國外及大陸地區不動產投資情形明細表」第</t>
    </r>
    <r>
      <rPr>
        <sz val="12"/>
        <rFont val="Times New Roman"/>
        <family val="1"/>
      </rPr>
      <t>(11)</t>
    </r>
    <r>
      <rPr>
        <sz val="12"/>
        <rFont val="標楷體"/>
        <family val="4"/>
        <charset val="136"/>
      </rPr>
      <t>欄第</t>
    </r>
    <r>
      <rPr>
        <sz val="12"/>
        <rFont val="Times New Roman"/>
        <family val="1"/>
      </rPr>
      <t>(</t>
    </r>
    <r>
      <rPr>
        <sz val="12"/>
        <rFont val="標楷體"/>
        <family val="4"/>
        <charset val="136"/>
      </rPr>
      <t>合計</t>
    </r>
    <r>
      <rPr>
        <sz val="12"/>
        <rFont val="Times New Roman"/>
        <family val="1"/>
      </rPr>
      <t>)</t>
    </r>
    <r>
      <rPr>
        <sz val="12"/>
        <rFont val="標楷體"/>
        <family val="4"/>
        <charset val="136"/>
      </rPr>
      <t>列</t>
    </r>
    <phoneticPr fontId="29" type="noConversion"/>
  </si>
  <si>
    <r>
      <t>0.1.2.7.1 ETF-</t>
    </r>
    <r>
      <rPr>
        <sz val="12"/>
        <rFont val="標楷體"/>
        <family val="4"/>
        <charset val="136"/>
      </rPr>
      <t>股票型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</si>
  <si>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(24)</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具控制與從屬關係</t>
    </r>
  </si>
  <si>
    <r>
      <t>0.1.2.7.2 ETF-</t>
    </r>
    <r>
      <rPr>
        <sz val="12"/>
        <rFont val="標楷體"/>
        <family val="4"/>
        <charset val="136"/>
      </rPr>
      <t>債券型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</si>
  <si>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(25)</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具控制與從屬關係</t>
    </r>
  </si>
  <si>
    <r>
      <t>0.1.2.7.3 ETF-</t>
    </r>
    <r>
      <rPr>
        <sz val="12"/>
        <rFont val="標楷體"/>
        <family val="4"/>
        <charset val="136"/>
      </rPr>
      <t>其他型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</si>
  <si>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(26)</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具控制與從屬關係</t>
    </r>
  </si>
  <si>
    <r>
      <t xml:space="preserve">0.1.2.7.4 </t>
    </r>
    <r>
      <rPr>
        <sz val="12"/>
        <rFont val="標楷體"/>
        <family val="4"/>
        <charset val="136"/>
      </rPr>
      <t>國外</t>
    </r>
    <r>
      <rPr>
        <sz val="12"/>
        <rFont val="Times New Roman"/>
        <family val="1"/>
      </rPr>
      <t>ETF</t>
    </r>
  </si>
  <si>
    <r>
      <t>0.1.2.7.4.1 ETF-</t>
    </r>
    <r>
      <rPr>
        <sz val="12"/>
        <rFont val="標楷體"/>
        <family val="4"/>
        <charset val="136"/>
      </rPr>
      <t>股票型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</si>
  <si>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(178)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具控制與從屬關係</t>
    </r>
  </si>
  <si>
    <r>
      <t>0.1.2.7.4.2 ETF-</t>
    </r>
    <r>
      <rPr>
        <sz val="12"/>
        <rFont val="標楷體"/>
        <family val="4"/>
        <charset val="136"/>
      </rPr>
      <t>債券型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</si>
  <si>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(179)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具控制與從屬關係</t>
    </r>
  </si>
  <si>
    <r>
      <t>0.1.2.7.4.3 ETF-</t>
    </r>
    <r>
      <rPr>
        <sz val="12"/>
        <rFont val="標楷體"/>
        <family val="4"/>
        <charset val="136"/>
      </rPr>
      <t>其他型</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</si>
  <si>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(180)</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具控制與從屬關係</t>
    </r>
  </si>
  <si>
    <r>
      <t>0.1.2.8.1 ETN-</t>
    </r>
    <r>
      <rPr>
        <sz val="12"/>
        <rFont val="標楷體"/>
        <family val="4"/>
        <charset val="136"/>
      </rPr>
      <t>投資標的市場於國內</t>
    </r>
  </si>
  <si>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具控制與從屬關係</t>
    </r>
  </si>
  <si>
    <r>
      <t>0.1.2.8.2 ETN-</t>
    </r>
    <r>
      <rPr>
        <sz val="12"/>
        <rFont val="標楷體"/>
        <family val="4"/>
        <charset val="136"/>
      </rPr>
      <t>投資標的市場於國外</t>
    </r>
  </si>
  <si>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具控制與從屬關係</t>
    </r>
  </si>
  <si>
    <r>
      <t xml:space="preserve">0.1.2.9 </t>
    </r>
    <r>
      <rPr>
        <sz val="12"/>
        <rFont val="標楷體"/>
        <family val="4"/>
        <charset val="136"/>
      </rPr>
      <t>其他投資</t>
    </r>
    <phoneticPr fontId="26" type="noConversion"/>
  </si>
  <si>
    <r>
      <t xml:space="preserve">0.1.2.9.1 </t>
    </r>
    <r>
      <rPr>
        <sz val="12"/>
        <rFont val="標楷體"/>
        <family val="4"/>
        <charset val="136"/>
      </rPr>
      <t>信託受益權</t>
    </r>
    <phoneticPr fontId="26" type="noConversion"/>
  </si>
  <si>
    <r>
      <t xml:space="preserve">0.1.2.9.2 </t>
    </r>
    <r>
      <rPr>
        <sz val="12"/>
        <rFont val="標楷體"/>
        <family val="4"/>
        <charset val="136"/>
      </rPr>
      <t>組合式存款</t>
    </r>
    <phoneticPr fontId="26" type="noConversion"/>
  </si>
  <si>
    <r>
      <t>0.1.2.9.2.1 "100%"</t>
    </r>
    <r>
      <rPr>
        <sz val="12"/>
        <rFont val="標楷體"/>
        <family val="4"/>
        <charset val="136"/>
      </rPr>
      <t>保本組合式存款</t>
    </r>
    <phoneticPr fontId="29"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</si>
  <si>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(9)</t>
    </r>
    <r>
      <rPr>
        <sz val="12"/>
        <rFont val="標楷體"/>
        <family val="4"/>
        <charset val="136"/>
      </rPr>
      <t>欄第</t>
    </r>
    <r>
      <rPr>
        <sz val="12"/>
        <rFont val="Times New Roman"/>
        <family val="1"/>
      </rPr>
      <t>(22)</t>
    </r>
    <r>
      <rPr>
        <sz val="12"/>
        <rFont val="標楷體"/>
        <family val="4"/>
        <charset val="136"/>
      </rPr>
      <t>列</t>
    </r>
    <phoneticPr fontId="29" type="noConversion"/>
  </si>
  <si>
    <r>
      <t>0.1.2.9.2.2 "90%"</t>
    </r>
    <r>
      <rPr>
        <sz val="12"/>
        <rFont val="標楷體"/>
        <family val="4"/>
        <charset val="136"/>
      </rPr>
      <t>保本組合式存款</t>
    </r>
    <phoneticPr fontId="29" type="noConversion"/>
  </si>
  <si>
    <r>
      <t xml:space="preserve">0.1.2.9.3 </t>
    </r>
    <r>
      <rPr>
        <sz val="12"/>
        <rFont val="標楷體"/>
        <family val="4"/>
        <charset val="136"/>
      </rPr>
      <t>其他</t>
    </r>
    <phoneticPr fontId="26" type="noConversion"/>
  </si>
  <si>
    <r>
      <t xml:space="preserve">0.1.2.9.3.1 </t>
    </r>
    <r>
      <rPr>
        <sz val="12"/>
        <rFont val="標楷體"/>
        <family val="4"/>
        <charset val="136"/>
      </rPr>
      <t>專案運用、公共及社會福利事業與其他主管機關核准項目</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</si>
  <si>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(211)</t>
    </r>
    <r>
      <rPr>
        <sz val="12"/>
        <rFont val="標楷體"/>
        <family val="4"/>
        <charset val="136"/>
      </rPr>
      <t>列</t>
    </r>
    <phoneticPr fontId="29" type="noConversion"/>
  </si>
  <si>
    <r>
      <t xml:space="preserve">0.1.2.9.3.2 </t>
    </r>
    <r>
      <rPr>
        <sz val="12"/>
        <rFont val="標楷體"/>
        <family val="4"/>
        <charset val="136"/>
      </rPr>
      <t>公共投資及</t>
    </r>
    <r>
      <rPr>
        <sz val="12"/>
        <rFont val="Times New Roman"/>
        <family val="1"/>
      </rPr>
      <t>5+2</t>
    </r>
    <r>
      <rPr>
        <sz val="12"/>
        <rFont val="標楷體"/>
        <family val="4"/>
        <charset val="136"/>
      </rPr>
      <t>產業</t>
    </r>
    <r>
      <rPr>
        <sz val="12"/>
        <rFont val="Times New Roman"/>
        <family val="1"/>
      </rPr>
      <t>(</t>
    </r>
    <r>
      <rPr>
        <sz val="12"/>
        <rFont val="標楷體"/>
        <family val="4"/>
        <charset val="136"/>
      </rPr>
      <t>註</t>
    </r>
    <r>
      <rPr>
        <sz val="12"/>
        <rFont val="Times New Roman"/>
        <family val="1"/>
      </rPr>
      <t>5)</t>
    </r>
    <phoneticPr fontId="26" type="noConversion"/>
  </si>
  <si>
    <r>
      <rPr>
        <sz val="12"/>
        <rFont val="標楷體"/>
        <family val="4"/>
        <charset val="136"/>
      </rPr>
      <t>「表</t>
    </r>
    <r>
      <rPr>
        <sz val="12"/>
        <rFont val="新細明體"/>
        <family val="1"/>
        <charset val="136"/>
      </rPr>
      <t>05-1</t>
    </r>
    <r>
      <rPr>
        <sz val="12"/>
        <rFont val="標楷體"/>
        <family val="4"/>
        <charset val="136"/>
      </rPr>
      <t>：資金運用表」第</t>
    </r>
    <r>
      <rPr>
        <sz val="12"/>
        <rFont val="新細明體"/>
        <family val="1"/>
        <charset val="136"/>
      </rPr>
      <t>(5)</t>
    </r>
    <r>
      <rPr>
        <sz val="12"/>
        <rFont val="標楷體"/>
        <family val="4"/>
        <charset val="136"/>
      </rPr>
      <t>欄第</t>
    </r>
    <r>
      <rPr>
        <sz val="12"/>
        <rFont val="新細明體"/>
        <family val="1"/>
        <charset val="136"/>
      </rPr>
      <t>(</t>
    </r>
    <r>
      <rPr>
        <sz val="12"/>
        <rFont val="Times New Roman"/>
        <family val="1"/>
      </rPr>
      <t>219</t>
    </r>
    <r>
      <rPr>
        <sz val="12"/>
        <rFont val="新細明體"/>
        <family val="1"/>
        <charset val="136"/>
      </rPr>
      <t>)</t>
    </r>
    <r>
      <rPr>
        <sz val="12"/>
        <rFont val="標楷體"/>
        <family val="4"/>
        <charset val="136"/>
      </rPr>
      <t>列</t>
    </r>
    <phoneticPr fontId="29" type="noConversion"/>
  </si>
  <si>
    <r>
      <t xml:space="preserve">0.1.2.9.3.3 </t>
    </r>
    <r>
      <rPr>
        <sz val="12"/>
        <rFont val="標楷體"/>
        <family val="4"/>
        <charset val="136"/>
      </rPr>
      <t>其他</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</si>
  <si>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(64+67+181+222+229)</t>
    </r>
    <r>
      <rPr>
        <sz val="12"/>
        <rFont val="標楷體"/>
        <family val="4"/>
        <charset val="136"/>
      </rPr>
      <t>列</t>
    </r>
    <phoneticPr fontId="29" type="noConversion"/>
  </si>
  <si>
    <r>
      <t xml:space="preserve">0.2.1.1.1 </t>
    </r>
    <r>
      <rPr>
        <sz val="12"/>
        <rFont val="標楷體"/>
        <family val="4"/>
        <charset val="136"/>
      </rPr>
      <t>屬「實質互相投資」之負債型特別股</t>
    </r>
    <phoneticPr fontId="29"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</si>
  <si>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(8)</t>
    </r>
    <r>
      <rPr>
        <sz val="12"/>
        <rFont val="標楷體"/>
        <family val="4"/>
        <charset val="136"/>
      </rPr>
      <t>列</t>
    </r>
    <phoneticPr fontId="29" type="noConversion"/>
  </si>
  <si>
    <r>
      <t xml:space="preserve">0.2.1.1.2 </t>
    </r>
    <r>
      <rPr>
        <sz val="12"/>
        <rFont val="標楷體"/>
        <family val="4"/>
        <charset val="136"/>
      </rPr>
      <t>國內保險相關事業</t>
    </r>
    <phoneticPr fontId="29"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</si>
  <si>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t>
    </r>
    <r>
      <rPr>
        <sz val="12"/>
        <rFont val="Times New Roman"/>
        <family val="1"/>
      </rPr>
      <t>8)</t>
    </r>
    <r>
      <rPr>
        <sz val="12"/>
        <rFont val="標楷體"/>
        <family val="4"/>
        <charset val="136"/>
      </rPr>
      <t>欄第</t>
    </r>
    <r>
      <rPr>
        <sz val="12"/>
        <rFont val="Times New Roman"/>
        <family val="1"/>
      </rPr>
      <t>(13)</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(8+9)</t>
    </r>
    <r>
      <rPr>
        <sz val="12"/>
        <rFont val="標楷體"/>
        <family val="4"/>
        <charset val="136"/>
      </rPr>
      <t>列</t>
    </r>
    <phoneticPr fontId="29" type="noConversion"/>
  </si>
  <si>
    <r>
      <t xml:space="preserve">0.2.1.1.3 </t>
    </r>
    <r>
      <rPr>
        <sz val="12"/>
        <rFont val="標楷體"/>
        <family val="4"/>
        <charset val="136"/>
      </rPr>
      <t>國外保險相關事業</t>
    </r>
    <r>
      <rPr>
        <b/>
        <sz val="12"/>
        <rFont val="Times New Roman"/>
        <family val="1"/>
      </rPr>
      <t/>
    </r>
    <phoneticPr fontId="29"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</si>
  <si>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t>
    </r>
    <r>
      <rPr>
        <sz val="12"/>
        <rFont val="標楷體"/>
        <family val="4"/>
        <charset val="136"/>
      </rPr>
      <t>＋</t>
    </r>
    <r>
      <rPr>
        <sz val="12"/>
        <rFont val="Times New Roman"/>
        <family val="1"/>
      </rPr>
      <t>7)</t>
    </r>
    <r>
      <rPr>
        <sz val="12"/>
        <rFont val="標楷體"/>
        <family val="4"/>
        <charset val="136"/>
      </rPr>
      <t>欄第</t>
    </r>
    <r>
      <rPr>
        <sz val="12"/>
        <rFont val="Times New Roman"/>
        <family val="1"/>
      </rPr>
      <t>(19+21+22)</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</si>
  <si>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(5+183)</t>
    </r>
    <r>
      <rPr>
        <sz val="12"/>
        <rFont val="標楷體"/>
        <family val="4"/>
        <charset val="136"/>
      </rPr>
      <t>列</t>
    </r>
    <phoneticPr fontId="29" type="noConversion"/>
  </si>
  <si>
    <r>
      <t xml:space="preserve">0.2.2.2.1   </t>
    </r>
    <r>
      <rPr>
        <sz val="12"/>
        <rFont val="標楷體"/>
        <family val="4"/>
        <charset val="136"/>
      </rPr>
      <t>屬「實質互相投資」之具資本性質債券</t>
    </r>
    <phoneticPr fontId="29"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</si>
  <si>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(27)</t>
    </r>
    <r>
      <rPr>
        <sz val="12"/>
        <rFont val="標楷體"/>
        <family val="4"/>
        <charset val="136"/>
      </rPr>
      <t>欄第</t>
    </r>
    <r>
      <rPr>
        <sz val="12"/>
        <rFont val="Times New Roman"/>
        <family val="1"/>
      </rPr>
      <t>(8)</t>
    </r>
    <r>
      <rPr>
        <sz val="12"/>
        <rFont val="標楷體"/>
        <family val="4"/>
        <charset val="136"/>
      </rPr>
      <t>列</t>
    </r>
    <phoneticPr fontId="29" type="noConversion"/>
  </si>
  <si>
    <r>
      <t xml:space="preserve">0.2.2.2.2   </t>
    </r>
    <r>
      <rPr>
        <sz val="12"/>
        <rFont val="標楷體"/>
        <family val="4"/>
        <charset val="136"/>
      </rPr>
      <t>非屬「實質互相投資」之具資本性質債券」</t>
    </r>
    <phoneticPr fontId="29"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</si>
  <si>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t>
    </r>
    <r>
      <rPr>
        <sz val="12"/>
        <rFont val="標楷體"/>
        <family val="4"/>
        <charset val="136"/>
      </rPr>
      <t>欄第</t>
    </r>
    <r>
      <rPr>
        <sz val="12"/>
        <rFont val="Times New Roman"/>
        <family val="1"/>
      </rPr>
      <t>(32)</t>
    </r>
    <r>
      <rPr>
        <sz val="12"/>
        <rFont val="標楷體"/>
        <family val="4"/>
        <charset val="136"/>
      </rPr>
      <t>列</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：投資國內具資本性質債券或負債型特別股明細表」第</t>
    </r>
    <r>
      <rPr>
        <sz val="12"/>
        <rFont val="Times New Roman"/>
        <family val="1"/>
      </rPr>
      <t>(27)</t>
    </r>
    <r>
      <rPr>
        <sz val="12"/>
        <rFont val="標楷體"/>
        <family val="4"/>
        <charset val="136"/>
      </rPr>
      <t>欄第</t>
    </r>
    <r>
      <rPr>
        <sz val="12"/>
        <rFont val="Times New Roman"/>
        <family val="1"/>
      </rPr>
      <t>(9)</t>
    </r>
    <r>
      <rPr>
        <sz val="12"/>
        <rFont val="標楷體"/>
        <family val="4"/>
        <charset val="136"/>
      </rPr>
      <t>列</t>
    </r>
    <phoneticPr fontId="29"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</si>
  <si>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(6)</t>
    </r>
    <r>
      <rPr>
        <sz val="12"/>
        <rFont val="標楷體"/>
        <family val="4"/>
        <charset val="136"/>
      </rPr>
      <t>欄第</t>
    </r>
    <r>
      <rPr>
        <sz val="12"/>
        <rFont val="Times New Roman"/>
        <family val="1"/>
      </rPr>
      <t>(32)</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</si>
  <si>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(34+49+185)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(75)</t>
    </r>
    <r>
      <rPr>
        <sz val="12"/>
        <rFont val="標楷體"/>
        <family val="4"/>
        <charset val="136"/>
      </rPr>
      <t>列</t>
    </r>
    <r>
      <rPr>
        <sz val="12"/>
        <rFont val="Times New Roman"/>
        <family val="1"/>
      </rPr>
      <t>-</t>
    </r>
    <r>
      <rPr>
        <sz val="12"/>
        <rFont val="標楷體"/>
        <family val="4"/>
        <charset val="136"/>
      </rPr>
      <t>本表第</t>
    </r>
    <r>
      <rPr>
        <sz val="12"/>
        <rFont val="Times New Roman"/>
        <family val="1"/>
      </rPr>
      <t>(1)</t>
    </r>
    <r>
      <rPr>
        <sz val="12"/>
        <rFont val="標楷體"/>
        <family val="4"/>
        <charset val="136"/>
      </rPr>
      <t>欄第</t>
    </r>
    <r>
      <rPr>
        <sz val="12"/>
        <rFont val="Times New Roman"/>
        <family val="1"/>
      </rPr>
      <t>(76)</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</si>
  <si>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(69)</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非控制與從屬關係</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</si>
  <si>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非控制與從屬關係</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</si>
  <si>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(73)</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</si>
  <si>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(74)</t>
    </r>
    <r>
      <rPr>
        <sz val="12"/>
        <rFont val="標楷體"/>
        <family val="4"/>
        <charset val="136"/>
      </rPr>
      <t>列</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</si>
  <si>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非控制與從屬關係</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</si>
  <si>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(37)</t>
    </r>
    <r>
      <rPr>
        <sz val="12"/>
        <rFont val="標楷體"/>
        <family val="4"/>
        <charset val="136"/>
      </rPr>
      <t>列</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</si>
  <si>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(39)</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</si>
  <si>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(190)</t>
    </r>
    <r>
      <rPr>
        <sz val="12"/>
        <rFont val="標楷體"/>
        <family val="4"/>
        <charset val="136"/>
      </rPr>
      <t>列</t>
    </r>
    <phoneticPr fontId="29" type="noConversion"/>
  </si>
  <si>
    <r>
      <t xml:space="preserve">0.2.2.3.6.9 </t>
    </r>
    <r>
      <rPr>
        <sz val="12"/>
        <rFont val="標楷體"/>
        <family val="4"/>
        <charset val="136"/>
      </rPr>
      <t>對沖基金</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</si>
  <si>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(192)</t>
    </r>
    <r>
      <rPr>
        <sz val="12"/>
        <rFont val="標楷體"/>
        <family val="4"/>
        <charset val="136"/>
      </rPr>
      <t>列</t>
    </r>
    <phoneticPr fontId="29" type="noConversion"/>
  </si>
  <si>
    <r>
      <t xml:space="preserve">0.2.2.4.2 </t>
    </r>
    <r>
      <rPr>
        <sz val="12"/>
        <rFont val="標楷體"/>
        <family val="4"/>
        <charset val="136"/>
      </rPr>
      <t>不動產投資為素地或未能符合即時利用並有收益認定標準者</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</si>
  <si>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(103+184+217)</t>
    </r>
    <r>
      <rPr>
        <sz val="12"/>
        <rFont val="標楷體"/>
        <family val="4"/>
        <charset val="136"/>
      </rPr>
      <t>列</t>
    </r>
    <phoneticPr fontId="29" type="noConversion"/>
  </si>
  <si>
    <r>
      <t>0.2.2.7.1 ETF-</t>
    </r>
    <r>
      <rPr>
        <sz val="12"/>
        <rFont val="標楷體"/>
        <family val="4"/>
        <charset val="136"/>
      </rPr>
      <t>股票型</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</si>
  <si>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(30)</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非控制與從屬關係</t>
    </r>
  </si>
  <si>
    <r>
      <t>0.2.2.7.2 ETF-</t>
    </r>
    <r>
      <rPr>
        <sz val="12"/>
        <rFont val="標楷體"/>
        <family val="4"/>
        <charset val="136"/>
      </rPr>
      <t>債券型</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</si>
  <si>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非控制與從屬關係</t>
    </r>
  </si>
  <si>
    <r>
      <t>0.2.2.7.3 ETF-</t>
    </r>
    <r>
      <rPr>
        <sz val="12"/>
        <rFont val="標楷體"/>
        <family val="4"/>
        <charset val="136"/>
      </rPr>
      <t>其他型</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</si>
  <si>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非控制與從屬關係</t>
    </r>
  </si>
  <si>
    <r>
      <t xml:space="preserve">0.2.2.7.4 </t>
    </r>
    <r>
      <rPr>
        <sz val="12"/>
        <rFont val="標楷體"/>
        <family val="4"/>
        <charset val="136"/>
      </rPr>
      <t>國外</t>
    </r>
    <r>
      <rPr>
        <sz val="12"/>
        <rFont val="Times New Roman"/>
        <family val="1"/>
      </rPr>
      <t>ETF</t>
    </r>
    <phoneticPr fontId="26" type="noConversion"/>
  </si>
  <si>
    <r>
      <t>0.2.2.7.4.1 ETF-</t>
    </r>
    <r>
      <rPr>
        <sz val="12"/>
        <rFont val="標楷體"/>
        <family val="4"/>
        <charset val="136"/>
      </rPr>
      <t>股票型</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</si>
  <si>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(193)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t>
    </r>
    <r>
      <rPr>
        <sz val="12"/>
        <rFont val="Times New Roman"/>
        <family val="1"/>
      </rPr>
      <t>--</t>
    </r>
    <r>
      <rPr>
        <sz val="12"/>
        <rFont val="標楷體"/>
        <family val="4"/>
        <charset val="136"/>
      </rPr>
      <t>非控制與從屬關係</t>
    </r>
  </si>
  <si>
    <r>
      <t>0.2.2.7.4.2 ETF-</t>
    </r>
    <r>
      <rPr>
        <sz val="12"/>
        <rFont val="標楷體"/>
        <family val="4"/>
        <charset val="136"/>
      </rPr>
      <t>債券型</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</si>
  <si>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t>
    </r>
    <r>
      <rPr>
        <sz val="12"/>
        <rFont val="Times New Roman"/>
        <family val="1"/>
      </rPr>
      <t>--</t>
    </r>
    <r>
      <rPr>
        <sz val="12"/>
        <rFont val="標楷體"/>
        <family val="4"/>
        <charset val="136"/>
      </rPr>
      <t>非控制與從屬關係</t>
    </r>
  </si>
  <si>
    <r>
      <t>0.2.2.7.4.3 ETF-</t>
    </r>
    <r>
      <rPr>
        <sz val="12"/>
        <rFont val="標楷體"/>
        <family val="4"/>
        <charset val="136"/>
      </rPr>
      <t>其他型</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</si>
  <si>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(195)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t>
    </r>
    <r>
      <rPr>
        <sz val="12"/>
        <rFont val="Times New Roman"/>
        <family val="1"/>
      </rPr>
      <t>--</t>
    </r>
    <r>
      <rPr>
        <sz val="12"/>
        <rFont val="標楷體"/>
        <family val="4"/>
        <charset val="136"/>
      </rPr>
      <t>非控制與從屬關係</t>
    </r>
  </si>
  <si>
    <r>
      <t>0.2.2.8.1 ETN-</t>
    </r>
    <r>
      <rPr>
        <sz val="12"/>
        <rFont val="標楷體"/>
        <family val="4"/>
        <charset val="136"/>
      </rPr>
      <t>投資標的市場於國內</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</si>
  <si>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(33)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非控制與從屬關係</t>
    </r>
  </si>
  <si>
    <r>
      <t>0.2.2.8.2 ETN-</t>
    </r>
    <r>
      <rPr>
        <sz val="12"/>
        <rFont val="標楷體"/>
        <family val="4"/>
        <charset val="136"/>
      </rPr>
      <t>投資標的市場於國外</t>
    </r>
    <phoneticPr fontId="26"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</si>
  <si>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非控制與從屬關係</t>
    </r>
  </si>
  <si>
    <r>
      <t xml:space="preserve">0.2.2.9 </t>
    </r>
    <r>
      <rPr>
        <sz val="12"/>
        <rFont val="標楷體"/>
        <family val="4"/>
        <charset val="136"/>
      </rPr>
      <t>其他投資</t>
    </r>
    <phoneticPr fontId="26" type="noConversion"/>
  </si>
  <si>
    <r>
      <t xml:space="preserve">0.2.2.9.1 </t>
    </r>
    <r>
      <rPr>
        <sz val="12"/>
        <rFont val="標楷體"/>
        <family val="4"/>
        <charset val="136"/>
      </rPr>
      <t>信託受益權</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</si>
  <si>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(231)</t>
    </r>
    <r>
      <rPr>
        <sz val="12"/>
        <rFont val="標楷體"/>
        <family val="4"/>
        <charset val="136"/>
      </rPr>
      <t>列</t>
    </r>
    <phoneticPr fontId="29" type="noConversion"/>
  </si>
  <si>
    <r>
      <t xml:space="preserve">0.2.2.9.2 </t>
    </r>
    <r>
      <rPr>
        <sz val="12"/>
        <rFont val="標楷體"/>
        <family val="4"/>
        <charset val="136"/>
      </rPr>
      <t>組合式存款</t>
    </r>
    <phoneticPr fontId="26" type="noConversion"/>
  </si>
  <si>
    <r>
      <t>0.2.2.9.2.1 "100%"</t>
    </r>
    <r>
      <rPr>
        <sz val="12"/>
        <rFont val="標楷體"/>
        <family val="4"/>
        <charset val="136"/>
      </rPr>
      <t>保本組合式存款</t>
    </r>
    <phoneticPr fontId="29" type="noConversion"/>
  </si>
  <si>
    <r>
      <t>0.2.2.9.2.2 "90%"</t>
    </r>
    <r>
      <rPr>
        <sz val="12"/>
        <rFont val="標楷體"/>
        <family val="4"/>
        <charset val="136"/>
      </rPr>
      <t>保本組合式存款</t>
    </r>
    <phoneticPr fontId="29"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</si>
  <si>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(10)</t>
    </r>
    <r>
      <rPr>
        <sz val="12"/>
        <rFont val="標楷體"/>
        <family val="4"/>
        <charset val="136"/>
      </rPr>
      <t>欄第</t>
    </r>
    <r>
      <rPr>
        <sz val="12"/>
        <rFont val="Times New Roman"/>
        <family val="1"/>
      </rPr>
      <t>(44)</t>
    </r>
    <r>
      <rPr>
        <sz val="12"/>
        <rFont val="標楷體"/>
        <family val="4"/>
        <charset val="136"/>
      </rPr>
      <t>列</t>
    </r>
    <phoneticPr fontId="29" type="noConversion"/>
  </si>
  <si>
    <r>
      <t xml:space="preserve">0.2.2.9.3 </t>
    </r>
    <r>
      <rPr>
        <sz val="12"/>
        <rFont val="標楷體"/>
        <family val="4"/>
        <charset val="136"/>
      </rPr>
      <t>其他</t>
    </r>
    <phoneticPr fontId="26" type="noConversion"/>
  </si>
  <si>
    <r>
      <t xml:space="preserve">0.2.2.9.3.1 </t>
    </r>
    <r>
      <rPr>
        <sz val="12"/>
        <rFont val="標楷體"/>
        <family val="4"/>
        <charset val="136"/>
      </rPr>
      <t>專案運用、公共及社會福利事業與其他主管機關核准項目</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</si>
  <si>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(212)</t>
    </r>
    <r>
      <rPr>
        <sz val="12"/>
        <rFont val="標楷體"/>
        <family val="4"/>
        <charset val="136"/>
      </rPr>
      <t>列</t>
    </r>
    <phoneticPr fontId="29" type="noConversion"/>
  </si>
  <si>
    <r>
      <t xml:space="preserve">0.2.2.9.3.2 </t>
    </r>
    <r>
      <rPr>
        <sz val="12"/>
        <rFont val="標楷體"/>
        <family val="4"/>
        <charset val="136"/>
      </rPr>
      <t>公共投資及</t>
    </r>
    <r>
      <rPr>
        <sz val="12"/>
        <rFont val="Times New Roman"/>
        <family val="1"/>
      </rPr>
      <t>5+2</t>
    </r>
    <r>
      <rPr>
        <sz val="12"/>
        <rFont val="標楷體"/>
        <family val="4"/>
        <charset val="136"/>
      </rPr>
      <t>產業</t>
    </r>
    <r>
      <rPr>
        <sz val="12"/>
        <rFont val="Times New Roman"/>
        <family val="1"/>
      </rPr>
      <t>(</t>
    </r>
    <r>
      <rPr>
        <sz val="12"/>
        <rFont val="標楷體"/>
        <family val="4"/>
        <charset val="136"/>
      </rPr>
      <t>註</t>
    </r>
    <r>
      <rPr>
        <sz val="12"/>
        <rFont val="Times New Roman"/>
        <family val="1"/>
      </rPr>
      <t>5)</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</si>
  <si>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(220)</t>
    </r>
    <r>
      <rPr>
        <sz val="12"/>
        <rFont val="標楷體"/>
        <family val="4"/>
        <charset val="136"/>
      </rPr>
      <t>列</t>
    </r>
    <phoneticPr fontId="29" type="noConversion"/>
  </si>
  <si>
    <r>
      <t xml:space="preserve">0.2.2.9.3.3 </t>
    </r>
    <r>
      <rPr>
        <sz val="12"/>
        <rFont val="標楷體"/>
        <family val="4"/>
        <charset val="136"/>
      </rPr>
      <t>其他</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</si>
  <si>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(72+75+196+223+233)</t>
    </r>
    <r>
      <rPr>
        <sz val="12"/>
        <rFont val="標楷體"/>
        <family val="4"/>
        <charset val="136"/>
      </rPr>
      <t>列</t>
    </r>
    <phoneticPr fontId="29" type="noConversion"/>
  </si>
  <si>
    <r>
      <t xml:space="preserve">0.3 </t>
    </r>
    <r>
      <rPr>
        <sz val="12"/>
        <rFont val="標楷體"/>
        <family val="4"/>
        <charset val="136"/>
      </rPr>
      <t>匯率風險</t>
    </r>
    <r>
      <rPr>
        <sz val="12"/>
        <rFont val="Times New Roman"/>
        <family val="1"/>
      </rPr>
      <t>(</t>
    </r>
    <r>
      <rPr>
        <sz val="12"/>
        <rFont val="標楷體"/>
        <family val="4"/>
        <charset val="136"/>
      </rPr>
      <t>註</t>
    </r>
    <r>
      <rPr>
        <sz val="12"/>
        <rFont val="Times New Roman"/>
        <family val="1"/>
      </rPr>
      <t>6)</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</si>
  <si>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(166)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值計算表」國內發行其投資區域包含國外之受益憑證</t>
    </r>
    <r>
      <rPr>
        <sz val="12"/>
        <rFont val="Times New Roman"/>
        <family val="1"/>
      </rPr>
      <t>(</t>
    </r>
    <r>
      <rPr>
        <sz val="12"/>
        <rFont val="標楷體"/>
        <family val="4"/>
        <charset val="136"/>
      </rPr>
      <t>關係人</t>
    </r>
    <r>
      <rPr>
        <sz val="12"/>
        <rFont val="Times New Roman"/>
        <family val="1"/>
      </rPr>
      <t>)</t>
    </r>
    <phoneticPr fontId="29" type="noConversion"/>
  </si>
  <si>
    <r>
      <rPr>
        <sz val="12"/>
        <rFont val="標楷體"/>
        <family val="4"/>
        <charset val="136"/>
      </rPr>
      <t>《資產風險</t>
    </r>
    <r>
      <rPr>
        <sz val="12"/>
        <rFont val="Times New Roman"/>
        <family val="1"/>
      </rPr>
      <t>--</t>
    </r>
    <r>
      <rPr>
        <sz val="12"/>
        <rFont val="標楷體"/>
        <family val="4"/>
        <charset val="136"/>
      </rPr>
      <t>關係人風險》總計</t>
    </r>
    <phoneticPr fontId="26" type="noConversion"/>
  </si>
  <si>
    <r>
      <rPr>
        <sz val="12"/>
        <rFont val="標楷體"/>
        <family val="4"/>
        <charset val="136"/>
      </rPr>
      <t>註</t>
    </r>
    <r>
      <rPr>
        <sz val="12"/>
        <rFont val="Times New Roman"/>
        <family val="1"/>
      </rPr>
      <t>1</t>
    </r>
    <r>
      <rPr>
        <sz val="12"/>
        <rFont val="標楷體"/>
        <family val="4"/>
        <charset val="136"/>
      </rPr>
      <t>：本報告各項資產之金額應依「保險業計算資本適足率之資產認許標準及評價原則」計算。</t>
    </r>
    <phoneticPr fontId="26" type="noConversion"/>
  </si>
  <si>
    <r>
      <rPr>
        <sz val="12"/>
        <rFont val="標楷體"/>
        <family val="4"/>
        <charset val="136"/>
      </rPr>
      <t>註</t>
    </r>
    <r>
      <rPr>
        <sz val="12"/>
        <rFont val="Times New Roman"/>
        <family val="1"/>
      </rPr>
      <t>3</t>
    </r>
    <r>
      <rPr>
        <sz val="12"/>
        <rFont val="標楷體"/>
        <family val="4"/>
        <charset val="136"/>
      </rPr>
      <t>：依金管保財字第</t>
    </r>
    <r>
      <rPr>
        <sz val="12"/>
        <rFont val="Times New Roman"/>
        <family val="1"/>
      </rPr>
      <t>10804277130</t>
    </r>
    <r>
      <rPr>
        <sz val="12"/>
        <rFont val="標楷體"/>
        <family val="4"/>
        <charset val="136"/>
      </rPr>
      <t>號函規定，屬實質互相投資之具資本性質債券或負債型特別股，應將投資金額全數由自有資本扣除。</t>
    </r>
    <phoneticPr fontId="29" type="noConversion"/>
  </si>
  <si>
    <r>
      <rPr>
        <sz val="12"/>
        <rFont val="標楷體"/>
        <family val="4"/>
        <charset val="136"/>
      </rPr>
      <t>註</t>
    </r>
    <r>
      <rPr>
        <sz val="12"/>
        <rFont val="Times New Roman"/>
        <family val="1"/>
      </rPr>
      <t>6</t>
    </r>
    <r>
      <rPr>
        <sz val="12"/>
        <rFont val="標楷體"/>
        <family val="4"/>
        <charset val="136"/>
      </rPr>
      <t>：國內發行其投資區域包含國外之資產，該資產應計入匯率風險金額中計算匯率風險資本。</t>
    </r>
    <phoneticPr fontId="26" type="noConversion"/>
  </si>
  <si>
    <r>
      <t>註</t>
    </r>
    <r>
      <rPr>
        <sz val="10"/>
        <rFont val="Times New Roman"/>
        <family val="1"/>
      </rPr>
      <t>:</t>
    </r>
    <phoneticPr fontId="29" type="noConversion"/>
  </si>
  <si>
    <r>
      <rPr>
        <sz val="10"/>
        <rFont val="標楷體"/>
        <family val="4"/>
        <charset val="136"/>
      </rPr>
      <t>被避險資產屬國外投資</t>
    </r>
    <r>
      <rPr>
        <sz val="10"/>
        <rFont val="Book Antiqua"/>
        <family val="1"/>
      </rPr>
      <t>(</t>
    </r>
    <r>
      <rPr>
        <sz val="10"/>
        <rFont val="標楷體"/>
        <family val="4"/>
        <charset val="136"/>
      </rPr>
      <t>新興市場</t>
    </r>
    <r>
      <rPr>
        <sz val="10"/>
        <rFont val="Book Antiqua"/>
        <family val="1"/>
      </rPr>
      <t>)</t>
    </r>
    <phoneticPr fontId="26" type="noConversion"/>
  </si>
  <si>
    <r>
      <rPr>
        <sz val="10"/>
        <rFont val="標楷體"/>
        <family val="4"/>
        <charset val="136"/>
      </rPr>
      <t>本表第</t>
    </r>
    <r>
      <rPr>
        <sz val="10"/>
        <rFont val="Book Antiqua"/>
        <family val="1"/>
      </rPr>
      <t>(8)</t>
    </r>
    <r>
      <rPr>
        <sz val="10"/>
        <rFont val="標楷體"/>
        <family val="4"/>
        <charset val="136"/>
      </rPr>
      <t>欄第</t>
    </r>
    <r>
      <rPr>
        <sz val="10"/>
        <rFont val="Book Antiqua"/>
        <family val="1"/>
      </rPr>
      <t>(6)</t>
    </r>
    <r>
      <rPr>
        <sz val="10"/>
        <rFont val="標楷體"/>
        <family val="4"/>
        <charset val="136"/>
      </rPr>
      <t>列之金額係做為表</t>
    </r>
    <r>
      <rPr>
        <sz val="10"/>
        <rFont val="Book Antiqua"/>
        <family val="1"/>
      </rPr>
      <t>30-3</t>
    </r>
    <r>
      <rPr>
        <sz val="10"/>
        <rFont val="標楷體"/>
        <family val="4"/>
        <charset val="136"/>
      </rPr>
      <t>國外資產風險項下，新興市場的外匯風險之扣抵額</t>
    </r>
    <phoneticPr fontId="26" type="noConversion"/>
  </si>
  <si>
    <r>
      <rPr>
        <sz val="10"/>
        <rFont val="標楷體"/>
        <family val="4"/>
        <charset val="136"/>
      </rPr>
      <t>非控制與從屬關係</t>
    </r>
    <r>
      <rPr>
        <sz val="10"/>
        <rFont val="Book Antiqua"/>
        <family val="1"/>
      </rPr>
      <t>--</t>
    </r>
    <r>
      <rPr>
        <sz val="10"/>
        <rFont val="標楷體"/>
        <family val="4"/>
        <charset val="136"/>
      </rPr>
      <t>其他不動產</t>
    </r>
    <phoneticPr fontId="26" type="noConversion"/>
  </si>
  <si>
    <r>
      <rPr>
        <sz val="10"/>
        <rFont val="標楷體"/>
        <family val="4"/>
        <charset val="136"/>
      </rPr>
      <t>後續衡量採用公允價值模式之影響淨額</t>
    </r>
    <phoneticPr fontId="32" type="noConversion"/>
  </si>
  <si>
    <r>
      <rPr>
        <sz val="10"/>
        <rFont val="標楷體"/>
        <family val="4"/>
        <charset val="136"/>
      </rPr>
      <t>後續衡量未採用公允價值模式之帳面淨額</t>
    </r>
    <phoneticPr fontId="32" type="noConversion"/>
  </si>
  <si>
    <r>
      <rPr>
        <sz val="10"/>
        <rFont val="標楷體"/>
        <family val="4"/>
        <charset val="136"/>
      </rPr>
      <t>首次採用</t>
    </r>
    <r>
      <rPr>
        <sz val="10"/>
        <rFont val="Book Antiqua"/>
        <family val="1"/>
      </rPr>
      <t>IFRSs</t>
    </r>
    <r>
      <rPr>
        <sz val="10"/>
        <rFont val="標楷體"/>
        <family val="4"/>
        <charset val="136"/>
      </rPr>
      <t>依公允價值調整認定成本時之鑑價公司</t>
    </r>
    <phoneticPr fontId="29" type="noConversion"/>
  </si>
  <si>
    <r>
      <rPr>
        <sz val="10"/>
        <rFont val="標楷體"/>
        <family val="4"/>
        <charset val="136"/>
      </rPr>
      <t>是否符合計入自有資本調整項之規範</t>
    </r>
    <phoneticPr fontId="29" type="noConversion"/>
  </si>
  <si>
    <r>
      <rPr>
        <sz val="10"/>
        <rFont val="標楷體"/>
        <family val="4"/>
        <charset val="136"/>
      </rPr>
      <t>最近三個月內之鑑價結果</t>
    </r>
    <phoneticPr fontId="29" type="noConversion"/>
  </si>
  <si>
    <r>
      <rPr>
        <sz val="10"/>
        <rFont val="標楷體"/>
        <family val="4"/>
        <charset val="136"/>
      </rPr>
      <t>未實現增值應負擔之稅負</t>
    </r>
    <phoneticPr fontId="29" type="noConversion"/>
  </si>
  <si>
    <r>
      <rPr>
        <sz val="10"/>
        <rFont val="標楷體"/>
        <family val="4"/>
        <charset val="136"/>
      </rPr>
      <t>稅後增值或稅後減少之金額</t>
    </r>
    <phoneticPr fontId="29"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</si>
  <si>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(26+27+28+29)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(173)</t>
    </r>
    <r>
      <rPr>
        <sz val="12"/>
        <rFont val="標楷體"/>
        <family val="4"/>
        <charset val="136"/>
      </rPr>
      <t>列金額相等。</t>
    </r>
    <phoneticPr fontId="29"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</si>
  <si>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(34+35+36+37)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(188)</t>
    </r>
    <r>
      <rPr>
        <sz val="12"/>
        <rFont val="標楷體"/>
        <family val="4"/>
        <charset val="136"/>
      </rPr>
      <t>列金額相等。</t>
    </r>
    <r>
      <rPr>
        <sz val="10"/>
        <color indexed="30"/>
        <rFont val="標楷體"/>
        <family val="4"/>
        <charset val="136"/>
      </rPr>
      <t/>
    </r>
    <phoneticPr fontId="29"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</si>
  <si>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(43+44+45+46)</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(121)</t>
    </r>
    <r>
      <rPr>
        <sz val="12"/>
        <rFont val="標楷體"/>
        <family val="4"/>
        <charset val="136"/>
      </rPr>
      <t>列金額相等。</t>
    </r>
    <r>
      <rPr>
        <sz val="10"/>
        <color indexed="30"/>
        <rFont val="標楷體"/>
        <family val="4"/>
        <charset val="136"/>
      </rPr>
      <t/>
    </r>
    <phoneticPr fontId="29"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</si>
  <si>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(51+52+53+54)</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(151)</t>
    </r>
    <r>
      <rPr>
        <sz val="12"/>
        <rFont val="標楷體"/>
        <family val="4"/>
        <charset val="136"/>
      </rPr>
      <t>列金額相等。</t>
    </r>
    <r>
      <rPr>
        <sz val="10"/>
        <color indexed="30"/>
        <rFont val="標楷體"/>
        <family val="4"/>
        <charset val="136"/>
      </rPr>
      <t/>
    </r>
    <phoneticPr fontId="29"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</si>
  <si>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(30+31+32)</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(176)</t>
    </r>
    <r>
      <rPr>
        <sz val="12"/>
        <rFont val="標楷體"/>
        <family val="4"/>
        <charset val="136"/>
      </rPr>
      <t>列金額相等。</t>
    </r>
    <r>
      <rPr>
        <sz val="10"/>
        <color indexed="30"/>
        <rFont val="標楷體"/>
        <family val="4"/>
        <charset val="136"/>
      </rPr>
      <t/>
    </r>
    <phoneticPr fontId="29"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</si>
  <si>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(38+39+40)</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(191)</t>
    </r>
    <r>
      <rPr>
        <sz val="12"/>
        <rFont val="標楷體"/>
        <family val="4"/>
        <charset val="136"/>
      </rPr>
      <t>列金額相等。</t>
    </r>
    <r>
      <rPr>
        <sz val="10"/>
        <color indexed="30"/>
        <rFont val="標楷體"/>
        <family val="4"/>
        <charset val="136"/>
      </rPr>
      <t/>
    </r>
    <phoneticPr fontId="29"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</si>
  <si>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(47+48+49)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(132)</t>
    </r>
    <r>
      <rPr>
        <sz val="12"/>
        <rFont val="標楷體"/>
        <family val="4"/>
        <charset val="136"/>
      </rPr>
      <t>列金額相等。</t>
    </r>
    <r>
      <rPr>
        <sz val="10"/>
        <color indexed="30"/>
        <rFont val="標楷體"/>
        <family val="4"/>
        <charset val="136"/>
      </rPr>
      <t/>
    </r>
    <phoneticPr fontId="29"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</si>
  <si>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(55+56+57)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(162)</t>
    </r>
    <r>
      <rPr>
        <sz val="12"/>
        <rFont val="標楷體"/>
        <family val="4"/>
        <charset val="136"/>
      </rPr>
      <t>列金額相等。</t>
    </r>
    <r>
      <rPr>
        <sz val="10"/>
        <color indexed="30"/>
        <rFont val="標楷體"/>
        <family val="4"/>
        <charset val="136"/>
      </rPr>
      <t/>
    </r>
    <phoneticPr fontId="29" type="noConversion"/>
  </si>
  <si>
    <r>
      <t>J1.</t>
    </r>
    <r>
      <rPr>
        <sz val="12"/>
        <rFont val="標楷體"/>
        <family val="4"/>
        <charset val="136"/>
      </rPr>
      <t>國外私募股權基金</t>
    </r>
    <r>
      <rPr>
        <sz val="12"/>
        <rFont val="Times New Roman"/>
        <family val="1"/>
      </rPr>
      <t>, J2.</t>
    </r>
    <r>
      <rPr>
        <sz val="12"/>
        <rFont val="標楷體"/>
        <family val="4"/>
        <charset val="136"/>
      </rPr>
      <t>國外私募債權基金</t>
    </r>
    <r>
      <rPr>
        <sz val="12"/>
        <rFont val="Times New Roman"/>
        <family val="1"/>
      </rPr>
      <t>, J3.</t>
    </r>
    <r>
      <rPr>
        <sz val="12"/>
        <rFont val="標楷體"/>
        <family val="4"/>
        <charset val="136"/>
      </rPr>
      <t>國外不動產私募基金</t>
    </r>
    <r>
      <rPr>
        <sz val="12"/>
        <rFont val="Times New Roman"/>
        <family val="1"/>
      </rPr>
      <t>, K.</t>
    </r>
    <r>
      <rPr>
        <sz val="12"/>
        <rFont val="標楷體"/>
        <family val="4"/>
        <charset val="136"/>
      </rPr>
      <t>基礎建設基金</t>
    </r>
    <r>
      <rPr>
        <sz val="12"/>
        <rFont val="Times New Roman"/>
        <family val="1"/>
      </rPr>
      <t>, L.</t>
    </r>
    <r>
      <rPr>
        <sz val="12"/>
        <rFont val="標楷體"/>
        <family val="4"/>
        <charset val="136"/>
      </rPr>
      <t>商品基金</t>
    </r>
    <r>
      <rPr>
        <sz val="12"/>
        <rFont val="Times New Roman"/>
        <family val="1"/>
      </rPr>
      <t>, M.</t>
    </r>
    <r>
      <rPr>
        <sz val="12"/>
        <rFont val="標楷體"/>
        <family val="4"/>
        <charset val="136"/>
      </rPr>
      <t>其他；國內基金分類請參考填報手冊中表</t>
    </r>
    <r>
      <rPr>
        <sz val="12"/>
        <rFont val="Times New Roman"/>
        <family val="1"/>
      </rPr>
      <t>05-1</t>
    </r>
    <r>
      <rPr>
        <sz val="12"/>
        <rFont val="標楷體"/>
        <family val="4"/>
        <charset val="136"/>
      </rPr>
      <t>第</t>
    </r>
    <r>
      <rPr>
        <sz val="12"/>
        <rFont val="Times New Roman"/>
        <family val="1"/>
      </rPr>
      <t>50</t>
    </r>
    <r>
      <rPr>
        <sz val="12"/>
        <rFont val="標楷體"/>
        <family val="4"/>
        <charset val="136"/>
      </rPr>
      <t>列之說明。</t>
    </r>
    <r>
      <rPr>
        <sz val="12"/>
        <rFont val="Times New Roman"/>
        <family val="1"/>
      </rPr>
      <t>(</t>
    </r>
    <r>
      <rPr>
        <sz val="12"/>
        <rFont val="標楷體"/>
        <family val="4"/>
        <charset val="136"/>
      </rPr>
      <t>若係屬於國內私募基金者，請直接填列</t>
    </r>
    <r>
      <rPr>
        <sz val="12"/>
        <rFont val="Times New Roman"/>
        <family val="1"/>
      </rPr>
      <t>F1</t>
    </r>
    <r>
      <rPr>
        <sz val="12"/>
        <rFont val="標楷體"/>
        <family val="4"/>
        <charset val="136"/>
      </rPr>
      <t>、</t>
    </r>
    <r>
      <rPr>
        <sz val="12"/>
        <rFont val="Times New Roman"/>
        <family val="1"/>
      </rPr>
      <t>F2</t>
    </r>
    <r>
      <rPr>
        <sz val="12"/>
        <rFont val="標楷體"/>
        <family val="4"/>
        <charset val="136"/>
      </rPr>
      <t>、</t>
    </r>
    <r>
      <rPr>
        <sz val="12"/>
        <rFont val="Times New Roman"/>
        <family val="1"/>
      </rPr>
      <t>F3</t>
    </r>
    <r>
      <rPr>
        <sz val="12"/>
        <rFont val="標楷體"/>
        <family val="4"/>
        <charset val="136"/>
      </rPr>
      <t>，而不需考慮</t>
    </r>
    <r>
      <rPr>
        <sz val="12"/>
        <rFont val="Times New Roman"/>
        <family val="1"/>
      </rPr>
      <t>A</t>
    </r>
    <r>
      <rPr>
        <sz val="12"/>
        <rFont val="標楷體"/>
        <family val="4"/>
        <charset val="136"/>
      </rPr>
      <t>至</t>
    </r>
    <r>
      <rPr>
        <sz val="12"/>
        <rFont val="Times New Roman"/>
        <family val="1"/>
      </rPr>
      <t>E</t>
    </r>
    <r>
      <rPr>
        <sz val="12"/>
        <rFont val="標楷體"/>
        <family val="4"/>
        <charset val="136"/>
      </rPr>
      <t>之證券種類。</t>
    </r>
    <r>
      <rPr>
        <sz val="12"/>
        <rFont val="Times New Roman"/>
        <family val="1"/>
      </rPr>
      <t>)</t>
    </r>
    <phoneticPr fontId="29" type="noConversion"/>
  </si>
  <si>
    <r>
      <rPr>
        <sz val="12"/>
        <rFont val="標楷體"/>
        <family val="4"/>
        <charset val="136"/>
      </rPr>
      <t>專案運用公共及社會福利事業投資</t>
    </r>
    <phoneticPr fontId="29" type="noConversion"/>
  </si>
  <si>
    <t>關係人(註3)</t>
    <phoneticPr fontId="29" type="noConversion"/>
  </si>
  <si>
    <t>屬實質互相投資</t>
    <phoneticPr fontId="29" type="noConversion"/>
  </si>
  <si>
    <t>非關係人(註3)</t>
    <phoneticPr fontId="29" type="noConversion"/>
  </si>
  <si>
    <r>
      <rPr>
        <sz val="12"/>
        <rFont val="標楷體"/>
        <family val="4"/>
        <charset val="136"/>
      </rPr>
      <t>列</t>
    </r>
    <r>
      <rPr>
        <sz val="12"/>
        <rFont val="Times New Roman"/>
        <family val="1"/>
      </rPr>
      <t>17</t>
    </r>
    <r>
      <rPr>
        <sz val="12"/>
        <rFont val="標楷體"/>
        <family val="4"/>
        <charset val="136"/>
      </rPr>
      <t>至列</t>
    </r>
    <r>
      <rPr>
        <sz val="12"/>
        <rFont val="Times New Roman"/>
        <family val="1"/>
      </rPr>
      <t>22</t>
    </r>
    <r>
      <rPr>
        <sz val="12"/>
        <rFont val="標楷體"/>
        <family val="4"/>
        <charset val="136"/>
      </rPr>
      <t>屬於屬性分類無需加總。</t>
    </r>
    <phoneticPr fontId="29" type="noConversion"/>
  </si>
  <si>
    <r>
      <rPr>
        <b/>
        <sz val="12"/>
        <rFont val="標楷體"/>
        <family val="4"/>
        <charset val="136"/>
      </rPr>
      <t>是否屬實質互相投資之具資本性質債券</t>
    </r>
    <phoneticPr fontId="29" type="noConversion"/>
  </si>
  <si>
    <r>
      <rPr>
        <sz val="12"/>
        <rFont val="標楷體"/>
        <family val="4"/>
        <charset val="136"/>
      </rPr>
      <t>是否屬實質互相投資之具資本性質債券，請填列</t>
    </r>
    <r>
      <rPr>
        <sz val="12"/>
        <rFont val="Times New Roman"/>
        <family val="1"/>
      </rPr>
      <t>A.</t>
    </r>
    <r>
      <rPr>
        <sz val="12"/>
        <rFont val="標楷體"/>
        <family val="4"/>
        <charset val="136"/>
      </rPr>
      <t>屬實質互相投資之具資本性質債券</t>
    </r>
    <r>
      <rPr>
        <sz val="12"/>
        <rFont val="Times New Roman"/>
        <family val="1"/>
      </rPr>
      <t>, B.</t>
    </r>
    <r>
      <rPr>
        <sz val="12"/>
        <rFont val="標楷體"/>
        <family val="4"/>
        <charset val="136"/>
      </rPr>
      <t>非屬實質互相投資之具資本性質債券</t>
    </r>
    <r>
      <rPr>
        <sz val="12"/>
        <rFont val="Times New Roman"/>
        <family val="1"/>
      </rPr>
      <t>-</t>
    </r>
    <r>
      <rPr>
        <sz val="12"/>
        <rFont val="標楷體"/>
        <family val="4"/>
        <charset val="136"/>
      </rPr>
      <t>其發行者係國內保險業或國內金控公司</t>
    </r>
    <r>
      <rPr>
        <sz val="12"/>
        <rFont val="Times New Roman"/>
        <family val="1"/>
      </rPr>
      <t>(</t>
    </r>
    <r>
      <rPr>
        <sz val="12"/>
        <rFont val="標楷體"/>
        <family val="4"/>
        <charset val="136"/>
      </rPr>
      <t>為注資其保險子公司、為轉投資保險公司及其他經主管機關認定者</t>
    </r>
    <r>
      <rPr>
        <sz val="12"/>
        <rFont val="Times New Roman"/>
        <family val="1"/>
      </rPr>
      <t>), C.</t>
    </r>
    <r>
      <rPr>
        <sz val="12"/>
        <rFont val="標楷體"/>
        <family val="4"/>
        <charset val="136"/>
      </rPr>
      <t>非屬實質互相投資之具資本性質債券</t>
    </r>
    <r>
      <rPr>
        <sz val="12"/>
        <rFont val="Times New Roman"/>
        <family val="1"/>
      </rPr>
      <t>-</t>
    </r>
    <r>
      <rPr>
        <sz val="12"/>
        <rFont val="標楷體"/>
        <family val="4"/>
        <charset val="136"/>
      </rPr>
      <t>其他</t>
    </r>
    <r>
      <rPr>
        <sz val="12"/>
        <rFont val="Times New Roman"/>
        <family val="1"/>
      </rPr>
      <t>, D.</t>
    </r>
    <r>
      <rPr>
        <sz val="12"/>
        <rFont val="標楷體"/>
        <family val="4"/>
        <charset val="136"/>
      </rPr>
      <t>非具資本性質債券。是否屬實質互相投資請參考保險事業發展中心提供之實質互相投資公司清單。</t>
    </r>
    <phoneticPr fontId="29"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</si>
  <si>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：①保險業實質互相投資於「國內保險業」發行之具資本性質債券；或②自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日起保險業新增實質互相投資於「國內金控公司」發行之具資本性質債券。</t>
    </r>
    <phoneticPr fontId="29" type="noConversion"/>
  </si>
  <si>
    <r>
      <t>1.</t>
    </r>
    <r>
      <rPr>
        <sz val="12"/>
        <rFont val="標楷體"/>
        <family val="4"/>
        <charset val="136"/>
      </rPr>
      <t>發行公司隸屬國家為已開發國家</t>
    </r>
    <phoneticPr fontId="26" type="noConversion"/>
  </si>
  <si>
    <r>
      <t>2.</t>
    </r>
    <r>
      <rPr>
        <sz val="12"/>
        <rFont val="標楷體"/>
        <family val="4"/>
        <charset val="136"/>
      </rPr>
      <t>發行公司隸屬國家為新興市場</t>
    </r>
    <phoneticPr fontId="26"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</si>
  <si>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(2+5+8)</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(38)</t>
    </r>
    <r>
      <rPr>
        <sz val="12"/>
        <rFont val="標楷體"/>
        <family val="4"/>
        <charset val="136"/>
      </rPr>
      <t>列之金額相一致。</t>
    </r>
    <phoneticPr fontId="26" type="noConversion"/>
  </si>
  <si>
    <r>
      <rPr>
        <sz val="12"/>
        <rFont val="標楷體"/>
        <family val="4"/>
        <charset val="136"/>
      </rPr>
      <t>本表第</t>
    </r>
    <r>
      <rPr>
        <sz val="12"/>
        <rFont val="Times New Roman"/>
        <family val="1"/>
      </rPr>
      <t>(2)</t>
    </r>
    <r>
      <rPr>
        <sz val="12"/>
        <rFont val="標楷體"/>
        <family val="4"/>
        <charset val="136"/>
      </rPr>
      <t>欄</t>
    </r>
    <r>
      <rPr>
        <sz val="12"/>
        <rFont val="Times New Roman"/>
        <family val="1"/>
      </rPr>
      <t>(10)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(40)</t>
    </r>
    <r>
      <rPr>
        <sz val="12"/>
        <rFont val="標楷體"/>
        <family val="4"/>
        <charset val="136"/>
      </rPr>
      <t>列之金額相一致。</t>
    </r>
    <phoneticPr fontId="26"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</si>
  <si>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(41)</t>
    </r>
    <r>
      <rPr>
        <sz val="12"/>
        <rFont val="標楷體"/>
        <family val="4"/>
        <charset val="136"/>
      </rPr>
      <t>列之金額相一致。</t>
    </r>
    <phoneticPr fontId="26"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</si>
  <si>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(36+37)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(117)</t>
    </r>
    <r>
      <rPr>
        <sz val="12"/>
        <rFont val="標楷體"/>
        <family val="4"/>
        <charset val="136"/>
      </rPr>
      <t>列之金額相一致。</t>
    </r>
    <phoneticPr fontId="26"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</si>
  <si>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(39)</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(119)</t>
    </r>
    <r>
      <rPr>
        <sz val="12"/>
        <rFont val="標楷體"/>
        <family val="4"/>
        <charset val="136"/>
      </rPr>
      <t>列之金額相一致。</t>
    </r>
    <phoneticPr fontId="26"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</si>
  <si>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(120)</t>
    </r>
    <r>
      <rPr>
        <sz val="12"/>
        <rFont val="標楷體"/>
        <family val="4"/>
        <charset val="136"/>
      </rPr>
      <t>列之金額相一致。</t>
    </r>
    <phoneticPr fontId="26"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</si>
  <si>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(44+45)</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(147)</t>
    </r>
    <r>
      <rPr>
        <sz val="12"/>
        <rFont val="標楷體"/>
        <family val="4"/>
        <charset val="136"/>
      </rPr>
      <t>列之金額相一致。</t>
    </r>
    <phoneticPr fontId="26"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</si>
  <si>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(149)</t>
    </r>
    <r>
      <rPr>
        <sz val="12"/>
        <rFont val="標楷體"/>
        <family val="4"/>
        <charset val="136"/>
      </rPr>
      <t>列之金額相一致。</t>
    </r>
    <phoneticPr fontId="26"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</si>
  <si>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(48)</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(150)</t>
    </r>
    <r>
      <rPr>
        <sz val="12"/>
        <rFont val="標楷體"/>
        <family val="4"/>
        <charset val="136"/>
      </rPr>
      <t>列之金額相一致。</t>
    </r>
    <phoneticPr fontId="26"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</si>
  <si>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(16)</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(200)</t>
    </r>
    <r>
      <rPr>
        <sz val="12"/>
        <rFont val="標楷體"/>
        <family val="4"/>
        <charset val="136"/>
      </rPr>
      <t>列之金額相一致。</t>
    </r>
    <phoneticPr fontId="26" type="noConversion"/>
  </si>
  <si>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(17)</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(201)</t>
    </r>
    <r>
      <rPr>
        <sz val="12"/>
        <rFont val="標楷體"/>
        <family val="4"/>
        <charset val="136"/>
      </rPr>
      <t>列之金額相一致。</t>
    </r>
    <phoneticPr fontId="26" type="noConversion"/>
  </si>
  <si>
    <r>
      <rPr>
        <sz val="12"/>
        <rFont val="標楷體"/>
        <family val="4"/>
        <charset val="136"/>
      </rPr>
      <t>註</t>
    </r>
    <r>
      <rPr>
        <sz val="12"/>
        <rFont val="Times New Roman"/>
        <family val="1"/>
      </rPr>
      <t>13</t>
    </r>
  </si>
  <si>
    <r>
      <rPr>
        <sz val="12"/>
        <rFont val="標楷體"/>
        <family val="4"/>
        <charset val="136"/>
      </rPr>
      <t>本表第</t>
    </r>
    <r>
      <rPr>
        <sz val="12"/>
        <rFont val="Times New Roman"/>
        <family val="1"/>
      </rPr>
      <t>(2)</t>
    </r>
    <r>
      <rPr>
        <sz val="12"/>
        <rFont val="標楷體"/>
        <family val="4"/>
        <charset val="136"/>
      </rPr>
      <t>欄第</t>
    </r>
    <r>
      <rPr>
        <sz val="12"/>
        <rFont val="Times New Roman"/>
        <family val="1"/>
      </rPr>
      <t>(30)</t>
    </r>
    <r>
      <rPr>
        <sz val="12"/>
        <rFont val="標楷體"/>
        <family val="4"/>
        <charset val="136"/>
      </rPr>
      <t>列之金額依台財保字第</t>
    </r>
    <r>
      <rPr>
        <sz val="12"/>
        <rFont val="Times New Roman"/>
        <family val="1"/>
      </rPr>
      <t>0900700387</t>
    </r>
    <r>
      <rPr>
        <sz val="12"/>
        <rFont val="標楷體"/>
        <family val="4"/>
        <charset val="136"/>
      </rPr>
      <t>號函規定應填入表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21</t>
    </r>
    <r>
      <rPr>
        <sz val="12"/>
        <rFont val="標楷體"/>
        <family val="4"/>
        <charset val="136"/>
      </rPr>
      <t>列中。</t>
    </r>
    <phoneticPr fontId="26"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</si>
  <si>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(4+5+6+11)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(45)</t>
    </r>
    <r>
      <rPr>
        <sz val="12"/>
        <rFont val="標楷體"/>
        <family val="4"/>
        <charset val="136"/>
      </rPr>
      <t>列之金額相一致。</t>
    </r>
    <phoneticPr fontId="26"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</si>
  <si>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(14+15+16+22)</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(46)</t>
    </r>
    <r>
      <rPr>
        <sz val="12"/>
        <rFont val="標楷體"/>
        <family val="4"/>
        <charset val="136"/>
      </rPr>
      <t>列之金額相一致。</t>
    </r>
    <phoneticPr fontId="26"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</si>
  <si>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(26)</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(171)</t>
    </r>
    <r>
      <rPr>
        <sz val="12"/>
        <rFont val="標楷體"/>
        <family val="4"/>
        <charset val="136"/>
      </rPr>
      <t>列之金額相一致。</t>
    </r>
    <phoneticPr fontId="26"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</si>
  <si>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(33)</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(186)</t>
    </r>
    <r>
      <rPr>
        <sz val="12"/>
        <rFont val="標楷體"/>
        <family val="4"/>
        <charset val="136"/>
      </rPr>
      <t>列之金額相一致。</t>
    </r>
    <phoneticPr fontId="26"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</si>
  <si>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(9+19+20)</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欄第</t>
    </r>
    <r>
      <rPr>
        <sz val="12"/>
        <rFont val="Times New Roman"/>
        <family val="1"/>
      </rPr>
      <t>(213)</t>
    </r>
    <r>
      <rPr>
        <sz val="12"/>
        <rFont val="標楷體"/>
        <family val="4"/>
        <charset val="136"/>
      </rPr>
      <t>列之金額相一致。</t>
    </r>
    <phoneticPr fontId="26" type="noConversion"/>
  </si>
  <si>
    <r>
      <rPr>
        <sz val="12"/>
        <rFont val="標楷體"/>
        <family val="4"/>
        <charset val="136"/>
      </rPr>
      <t>本表第</t>
    </r>
    <r>
      <rPr>
        <sz val="12"/>
        <rFont val="Times New Roman"/>
        <family val="1"/>
      </rPr>
      <t>(2+3)</t>
    </r>
    <r>
      <rPr>
        <sz val="12"/>
        <rFont val="標楷體"/>
        <family val="4"/>
        <charset val="136"/>
      </rPr>
      <t>欄第</t>
    </r>
    <r>
      <rPr>
        <sz val="12"/>
        <rFont val="Times New Roman"/>
        <family val="1"/>
      </rPr>
      <t>(10+21)</t>
    </r>
    <r>
      <rPr>
        <sz val="12"/>
        <rFont val="標楷體"/>
        <family val="4"/>
        <charset val="136"/>
      </rPr>
      <t>列之金額應與表</t>
    </r>
    <r>
      <rPr>
        <sz val="12"/>
        <rFont val="Times New Roman"/>
        <family val="1"/>
      </rPr>
      <t>05-1</t>
    </r>
    <r>
      <rPr>
        <sz val="12"/>
        <rFont val="標楷體"/>
        <family val="4"/>
        <charset val="136"/>
      </rPr>
      <t>資金運用表第</t>
    </r>
    <r>
      <rPr>
        <sz val="12"/>
        <rFont val="Times New Roman"/>
        <family val="1"/>
      </rPr>
      <t>(2)</t>
    </r>
    <r>
      <rPr>
        <sz val="12"/>
        <rFont val="標楷體"/>
        <family val="4"/>
        <charset val="136"/>
      </rPr>
      <t>欄</t>
    </r>
    <r>
      <rPr>
        <sz val="12"/>
        <rFont val="Times New Roman"/>
        <family val="1"/>
      </rPr>
      <t>(214)</t>
    </r>
    <r>
      <rPr>
        <sz val="12"/>
        <rFont val="標楷體"/>
        <family val="4"/>
        <charset val="136"/>
      </rPr>
      <t>列之金額相一致。</t>
    </r>
    <phoneticPr fontId="26" type="noConversion"/>
  </si>
  <si>
    <r>
      <rPr>
        <sz val="12"/>
        <rFont val="標楷體"/>
        <family val="4"/>
        <charset val="136"/>
      </rPr>
      <t>存託憑證</t>
    </r>
    <phoneticPr fontId="29" type="noConversion"/>
  </si>
  <si>
    <r>
      <rPr>
        <sz val="12"/>
        <rFont val="標楷體"/>
        <family val="4"/>
        <charset val="136"/>
      </rPr>
      <t>總計</t>
    </r>
    <r>
      <rPr>
        <sz val="12"/>
        <rFont val="Times New Roman"/>
        <family val="1"/>
      </rPr>
      <t>(</t>
    </r>
    <r>
      <rPr>
        <sz val="12"/>
        <rFont val="標楷體"/>
        <family val="4"/>
        <charset val="136"/>
      </rPr>
      <t>屬實質互相投資之負債型特別股</t>
    </r>
    <r>
      <rPr>
        <sz val="12"/>
        <rFont val="Times New Roman"/>
        <family val="1"/>
      </rPr>
      <t>)</t>
    </r>
    <phoneticPr fontId="29" type="noConversion"/>
  </si>
  <si>
    <r>
      <rPr>
        <sz val="12"/>
        <rFont val="標楷體"/>
        <family val="4"/>
        <charset val="136"/>
      </rPr>
      <t>列</t>
    </r>
    <r>
      <rPr>
        <sz val="12"/>
        <rFont val="Times New Roman"/>
        <family val="1"/>
      </rPr>
      <t>21</t>
    </r>
    <r>
      <rPr>
        <sz val="12"/>
        <rFont val="標楷體"/>
        <family val="4"/>
        <charset val="136"/>
      </rPr>
      <t>至列</t>
    </r>
    <r>
      <rPr>
        <sz val="12"/>
        <rFont val="Times New Roman"/>
        <family val="1"/>
      </rPr>
      <t>28</t>
    </r>
    <r>
      <rPr>
        <sz val="12"/>
        <rFont val="標楷體"/>
        <family val="4"/>
        <charset val="136"/>
      </rPr>
      <t>屬於屬性分類無需加總。</t>
    </r>
    <phoneticPr fontId="29" type="noConversion"/>
  </si>
  <si>
    <r>
      <rPr>
        <sz val="12"/>
        <rFont val="標楷體"/>
        <family val="4"/>
        <charset val="136"/>
      </rPr>
      <t>小計應與「表</t>
    </r>
    <r>
      <rPr>
        <sz val="12"/>
        <rFont val="Times New Roman"/>
        <family val="1"/>
      </rPr>
      <t>10-1</t>
    </r>
    <r>
      <rPr>
        <sz val="12"/>
        <rFont val="標楷體"/>
        <family val="4"/>
        <charset val="136"/>
      </rPr>
      <t>：股票餘額明細表」第</t>
    </r>
    <r>
      <rPr>
        <sz val="12"/>
        <rFont val="Times New Roman"/>
        <family val="1"/>
      </rPr>
      <t>(11)</t>
    </r>
    <r>
      <rPr>
        <sz val="12"/>
        <rFont val="標楷體"/>
        <family val="4"/>
        <charset val="136"/>
      </rPr>
      <t>欄填列為</t>
    </r>
    <r>
      <rPr>
        <sz val="12"/>
        <rFont val="Times New Roman"/>
        <family val="1"/>
      </rPr>
      <t>"A"</t>
    </r>
    <r>
      <rPr>
        <sz val="12"/>
        <rFont val="標楷體"/>
        <family val="4"/>
        <charset val="136"/>
      </rPr>
      <t>者之期末帳載金額合計數相同。</t>
    </r>
    <phoneticPr fontId="29" type="noConversion"/>
  </si>
  <si>
    <r>
      <rPr>
        <b/>
        <sz val="12"/>
        <rFont val="標楷體"/>
        <family val="4"/>
        <charset val="136"/>
      </rPr>
      <t>是否屬實質互相投資之負債型特別股</t>
    </r>
    <phoneticPr fontId="29" type="noConversion"/>
  </si>
  <si>
    <r>
      <rPr>
        <sz val="12"/>
        <rFont val="標楷體"/>
        <family val="4"/>
        <charset val="136"/>
      </rPr>
      <t>證券種類請依序填列</t>
    </r>
    <r>
      <rPr>
        <sz val="12"/>
        <rFont val="Times New Roman"/>
        <family val="1"/>
      </rPr>
      <t>A.</t>
    </r>
    <r>
      <rPr>
        <sz val="12"/>
        <rFont val="標楷體"/>
        <family val="4"/>
        <charset val="136"/>
      </rPr>
      <t>普通股</t>
    </r>
    <r>
      <rPr>
        <sz val="12"/>
        <rFont val="Times New Roman"/>
        <family val="1"/>
      </rPr>
      <t>, B1.</t>
    </r>
    <r>
      <rPr>
        <sz val="12"/>
        <rFont val="標楷體"/>
        <family val="4"/>
        <charset val="136"/>
      </rPr>
      <t>固定收益特別股</t>
    </r>
    <r>
      <rPr>
        <sz val="12"/>
        <rFont val="Times New Roman"/>
        <family val="1"/>
      </rPr>
      <t>, B2.</t>
    </r>
    <r>
      <rPr>
        <sz val="12"/>
        <rFont val="標楷體"/>
        <family val="4"/>
        <charset val="136"/>
      </rPr>
      <t>非固定收益特別股</t>
    </r>
    <r>
      <rPr>
        <sz val="12"/>
        <rFont val="Times New Roman"/>
        <family val="1"/>
      </rPr>
      <t>, C.</t>
    </r>
    <r>
      <rPr>
        <sz val="12"/>
        <rFont val="標楷體"/>
        <family val="4"/>
        <charset val="136"/>
      </rPr>
      <t>存託憑證。</t>
    </r>
    <phoneticPr fontId="26" type="noConversion"/>
  </si>
  <si>
    <r>
      <rPr>
        <sz val="12"/>
        <rFont val="標楷體"/>
        <family val="4"/>
        <charset val="136"/>
      </rPr>
      <t>是否屬實質互相投資之負債型特別股，請填列</t>
    </r>
    <r>
      <rPr>
        <sz val="12"/>
        <rFont val="Times New Roman"/>
        <family val="1"/>
      </rPr>
      <t>A.</t>
    </r>
    <r>
      <rPr>
        <sz val="12"/>
        <rFont val="標楷體"/>
        <family val="4"/>
        <charset val="136"/>
      </rPr>
      <t>屬實質互相投資之負債型特別股</t>
    </r>
    <r>
      <rPr>
        <sz val="12"/>
        <rFont val="Times New Roman"/>
        <family val="1"/>
      </rPr>
      <t>, B.</t>
    </r>
    <r>
      <rPr>
        <sz val="12"/>
        <rFont val="標楷體"/>
        <family val="4"/>
        <charset val="136"/>
      </rPr>
      <t>非屬實質互相投資之負債型特別股</t>
    </r>
    <r>
      <rPr>
        <sz val="12"/>
        <rFont val="Times New Roman"/>
        <family val="1"/>
      </rPr>
      <t>, C.</t>
    </r>
    <r>
      <rPr>
        <sz val="12"/>
        <rFont val="標楷體"/>
        <family val="4"/>
        <charset val="136"/>
      </rPr>
      <t>非負債型特別股。是否屬實質互相投資請參考保險事業發展中心提供之實質互相投資公司清單。</t>
    </r>
    <phoneticPr fontId="29" type="noConversion"/>
  </si>
  <si>
    <r>
      <rPr>
        <sz val="12"/>
        <rFont val="標楷體"/>
        <family val="4"/>
        <charset val="136"/>
      </rPr>
      <t>所稱屬實質互相投資，係指依金管保財字第</t>
    </r>
    <r>
      <rPr>
        <sz val="12"/>
        <rFont val="Times New Roman"/>
        <family val="1"/>
      </rPr>
      <t>10804277130</t>
    </r>
    <r>
      <rPr>
        <sz val="12"/>
        <rFont val="標楷體"/>
        <family val="4"/>
        <charset val="136"/>
      </rPr>
      <t>號函附件項目</t>
    </r>
    <r>
      <rPr>
        <sz val="12"/>
        <rFont val="Times New Roman"/>
        <family val="1"/>
      </rPr>
      <t>2</t>
    </r>
    <r>
      <rPr>
        <sz val="12"/>
        <rFont val="標楷體"/>
        <family val="4"/>
        <charset val="136"/>
      </rPr>
      <t>：①保險業實質互相投資於「國內保險業」發行之負債型特別股；或②自</t>
    </r>
    <r>
      <rPr>
        <sz val="12"/>
        <rFont val="Times New Roman"/>
        <family val="1"/>
      </rPr>
      <t>108</t>
    </r>
    <r>
      <rPr>
        <sz val="12"/>
        <rFont val="標楷體"/>
        <family val="4"/>
        <charset val="136"/>
      </rPr>
      <t>年</t>
    </r>
    <r>
      <rPr>
        <sz val="12"/>
        <rFont val="Times New Roman"/>
        <family val="1"/>
      </rPr>
      <t>11</t>
    </r>
    <r>
      <rPr>
        <sz val="12"/>
        <rFont val="標楷體"/>
        <family val="4"/>
        <charset val="136"/>
      </rPr>
      <t>月</t>
    </r>
    <r>
      <rPr>
        <sz val="12"/>
        <rFont val="Times New Roman"/>
        <family val="1"/>
      </rPr>
      <t>1</t>
    </r>
    <r>
      <rPr>
        <sz val="12"/>
        <rFont val="標楷體"/>
        <family val="4"/>
        <charset val="136"/>
      </rPr>
      <t>日起保險業新增實質互相投資於「國內金控公司」發行之負債型特別股。</t>
    </r>
    <phoneticPr fontId="29" type="noConversion"/>
  </si>
  <si>
    <r>
      <rPr>
        <sz val="12"/>
        <rFont val="標楷體"/>
        <family val="4"/>
        <charset val="136"/>
      </rPr>
      <t>小計</t>
    </r>
    <r>
      <rPr>
        <sz val="12"/>
        <rFont val="Times New Roman"/>
        <family val="1"/>
      </rPr>
      <t>(</t>
    </r>
    <r>
      <rPr>
        <sz val="12"/>
        <rFont val="標楷體"/>
        <family val="4"/>
        <charset val="136"/>
      </rPr>
      <t>註</t>
    </r>
    <r>
      <rPr>
        <sz val="12"/>
        <rFont val="Times New Roman"/>
        <family val="1"/>
      </rPr>
      <t>1)</t>
    </r>
    <phoneticPr fontId="29" type="noConversion"/>
  </si>
  <si>
    <r>
      <rPr>
        <sz val="12"/>
        <rFont val="標楷體"/>
        <family val="4"/>
        <charset val="136"/>
      </rPr>
      <t>合</t>
    </r>
    <r>
      <rPr>
        <sz val="12"/>
        <rFont val="Times New Roman"/>
        <family val="1"/>
      </rPr>
      <t xml:space="preserve">              </t>
    </r>
    <r>
      <rPr>
        <sz val="12"/>
        <rFont val="標楷體"/>
        <family val="4"/>
        <charset val="136"/>
      </rPr>
      <t>計</t>
    </r>
    <r>
      <rPr>
        <sz val="12"/>
        <rFont val="Times New Roman"/>
        <family val="1"/>
      </rPr>
      <t>(</t>
    </r>
    <r>
      <rPr>
        <sz val="12"/>
        <rFont val="標楷體"/>
        <family val="4"/>
        <charset val="136"/>
      </rPr>
      <t>列</t>
    </r>
    <r>
      <rPr>
        <sz val="12"/>
        <rFont val="Times New Roman"/>
        <family val="1"/>
      </rPr>
      <t>1-15)</t>
    </r>
    <phoneticPr fontId="29" type="noConversion"/>
  </si>
  <si>
    <r>
      <rPr>
        <sz val="12"/>
        <rFont val="標楷體"/>
        <family val="4"/>
        <charset val="136"/>
      </rPr>
      <t>小計應與「表</t>
    </r>
    <r>
      <rPr>
        <sz val="12"/>
        <rFont val="Times New Roman"/>
        <family val="1"/>
      </rPr>
      <t>09-1</t>
    </r>
    <r>
      <rPr>
        <sz val="12"/>
        <rFont val="標楷體"/>
        <family val="4"/>
        <charset val="136"/>
      </rPr>
      <t>：金融債券及其他經主管機關核准購買之有價證券餘額明細表」第</t>
    </r>
    <r>
      <rPr>
        <sz val="12"/>
        <rFont val="Times New Roman"/>
        <family val="1"/>
      </rPr>
      <t>(8)</t>
    </r>
    <r>
      <rPr>
        <sz val="12"/>
        <rFont val="標楷體"/>
        <family val="4"/>
        <charset val="136"/>
      </rPr>
      <t>欄填列為</t>
    </r>
    <r>
      <rPr>
        <sz val="12"/>
        <rFont val="Times New Roman"/>
        <family val="1"/>
      </rPr>
      <t>"Y"</t>
    </r>
    <r>
      <rPr>
        <sz val="12"/>
        <rFont val="標楷體"/>
        <family val="4"/>
        <charset val="136"/>
      </rPr>
      <t>者之期末帳載金額合計數相同</t>
    </r>
    <phoneticPr fontId="29" type="noConversion"/>
  </si>
  <si>
    <r>
      <rPr>
        <b/>
        <sz val="12"/>
        <rFont val="標楷體"/>
        <family val="4"/>
        <charset val="136"/>
      </rPr>
      <t>是否為具資本性質債券</t>
    </r>
    <phoneticPr fontId="26" type="noConversion"/>
  </si>
  <si>
    <r>
      <t>H1.</t>
    </r>
    <r>
      <rPr>
        <sz val="12"/>
        <rFont val="標楷體"/>
        <family val="4"/>
        <charset val="136"/>
      </rPr>
      <t>國內不動產資產信託受益證券</t>
    </r>
    <r>
      <rPr>
        <sz val="12"/>
        <rFont val="Times New Roman"/>
        <family val="1"/>
      </rPr>
      <t>(REAT), H2.</t>
    </r>
    <r>
      <rPr>
        <sz val="12"/>
        <rFont val="標楷體"/>
        <family val="4"/>
        <charset val="136"/>
      </rPr>
      <t>國內不動產投資信託受益證券</t>
    </r>
    <r>
      <rPr>
        <sz val="12"/>
        <rFont val="Times New Roman"/>
        <family val="1"/>
      </rPr>
      <t>(REIT), I.</t>
    </r>
    <r>
      <rPr>
        <sz val="12"/>
        <rFont val="標楷體"/>
        <family val="4"/>
        <charset val="136"/>
      </rPr>
      <t>信託受益權</t>
    </r>
    <r>
      <rPr>
        <sz val="12"/>
        <rFont val="Times New Roman"/>
        <family val="1"/>
      </rPr>
      <t>(</t>
    </r>
    <r>
      <rPr>
        <sz val="12"/>
        <rFont val="標楷體"/>
        <family val="4"/>
        <charset val="136"/>
      </rPr>
      <t>指主管機關依保險法第一百四十六條第一項第八款核准之資金運用</t>
    </r>
    <r>
      <rPr>
        <sz val="12"/>
        <rFont val="Times New Roman"/>
        <family val="1"/>
      </rPr>
      <t>), J.ETF-</t>
    </r>
    <r>
      <rPr>
        <sz val="12"/>
        <rFont val="標楷體"/>
        <family val="4"/>
        <charset val="136"/>
      </rPr>
      <t>股票型</t>
    </r>
    <r>
      <rPr>
        <sz val="12"/>
        <rFont val="Times New Roman"/>
        <family val="1"/>
      </rPr>
      <t>, K.ETF-</t>
    </r>
    <r>
      <rPr>
        <sz val="12"/>
        <rFont val="標楷體"/>
        <family val="4"/>
        <charset val="136"/>
      </rPr>
      <t>債券型</t>
    </r>
    <r>
      <rPr>
        <sz val="12"/>
        <rFont val="Times New Roman"/>
        <family val="1"/>
      </rPr>
      <t>, L.ETF-</t>
    </r>
    <r>
      <rPr>
        <sz val="12"/>
        <rFont val="標楷體"/>
        <family val="4"/>
        <charset val="136"/>
      </rPr>
      <t>其他型</t>
    </r>
    <r>
      <rPr>
        <sz val="12"/>
        <rFont val="Times New Roman"/>
        <family val="1"/>
      </rPr>
      <t>, M.ETN, N.</t>
    </r>
    <r>
      <rPr>
        <sz val="12"/>
        <rFont val="標楷體"/>
        <family val="4"/>
        <charset val="136"/>
      </rPr>
      <t>其他。</t>
    </r>
    <phoneticPr fontId="26" type="noConversion"/>
  </si>
  <si>
    <r>
      <rPr>
        <sz val="12"/>
        <rFont val="標楷體"/>
        <family val="4"/>
        <charset val="136"/>
      </rPr>
      <t>另依台財保字第</t>
    </r>
    <r>
      <rPr>
        <sz val="12"/>
        <rFont val="Times New Roman"/>
        <family val="1"/>
      </rPr>
      <t xml:space="preserve"> 0900700387 </t>
    </r>
    <r>
      <rPr>
        <sz val="12"/>
        <rFont val="標楷體"/>
        <family val="4"/>
        <charset val="136"/>
      </rPr>
      <t>號函投資之台灣存託憑證請填列於「表</t>
    </r>
    <r>
      <rPr>
        <sz val="12"/>
        <rFont val="Times New Roman"/>
        <family val="1"/>
      </rPr>
      <t>10-1</t>
    </r>
    <r>
      <rPr>
        <sz val="12"/>
        <rFont val="標楷體"/>
        <family val="4"/>
        <charset val="136"/>
      </rPr>
      <t>：股票餘額明細表」。</t>
    </r>
    <phoneticPr fontId="26" type="noConversion"/>
  </si>
  <si>
    <r>
      <t>10</t>
    </r>
    <r>
      <rPr>
        <sz val="12"/>
        <rFont val="標楷體"/>
        <family val="4"/>
        <charset val="136"/>
      </rPr>
      <t>、</t>
    </r>
    <r>
      <rPr>
        <sz val="12"/>
        <rFont val="Times New Roman"/>
        <family val="1"/>
      </rPr>
      <t>ETF-</t>
    </r>
    <r>
      <rPr>
        <sz val="12"/>
        <rFont val="標楷體"/>
        <family val="4"/>
        <charset val="136"/>
      </rPr>
      <t>其他型</t>
    </r>
  </si>
  <si>
    <r>
      <t>11</t>
    </r>
    <r>
      <rPr>
        <sz val="12"/>
        <rFont val="標楷體"/>
        <family val="4"/>
        <charset val="136"/>
      </rPr>
      <t>、</t>
    </r>
    <r>
      <rPr>
        <sz val="12"/>
        <rFont val="Times New Roman"/>
        <family val="1"/>
      </rPr>
      <t>ETN</t>
    </r>
  </si>
  <si>
    <r>
      <t>(1)ETF-</t>
    </r>
    <r>
      <rPr>
        <sz val="12"/>
        <rFont val="標楷體"/>
        <family val="4"/>
        <charset val="136"/>
      </rPr>
      <t>股票型</t>
    </r>
  </si>
  <si>
    <r>
      <t>(2)ETF-</t>
    </r>
    <r>
      <rPr>
        <sz val="12"/>
        <rFont val="標楷體"/>
        <family val="4"/>
        <charset val="136"/>
      </rPr>
      <t>債券型</t>
    </r>
  </si>
  <si>
    <r>
      <t>(3)ETF-</t>
    </r>
    <r>
      <rPr>
        <sz val="12"/>
        <rFont val="標楷體"/>
        <family val="4"/>
        <charset val="136"/>
      </rPr>
      <t>其他型</t>
    </r>
  </si>
  <si>
    <r>
      <rPr>
        <sz val="12"/>
        <rFont val="標楷體"/>
        <family val="4"/>
        <charset val="136"/>
      </rPr>
      <t>一、投資非關係人不動產</t>
    </r>
    <phoneticPr fontId="26" type="noConversion"/>
  </si>
  <si>
    <r>
      <rPr>
        <sz val="12"/>
        <rFont val="標楷體"/>
        <family val="4"/>
        <charset val="136"/>
      </rPr>
      <t>二、投資關係人不動產</t>
    </r>
    <phoneticPr fontId="26" type="noConversion"/>
  </si>
  <si>
    <r>
      <t>10.ETF-</t>
    </r>
    <r>
      <rPr>
        <sz val="12"/>
        <rFont val="標楷體"/>
        <family val="4"/>
        <charset val="136"/>
      </rPr>
      <t>其他型</t>
    </r>
  </si>
  <si>
    <r>
      <t>(3)</t>
    </r>
    <r>
      <rPr>
        <sz val="12"/>
        <rFont val="標楷體"/>
        <family val="4"/>
        <charset val="136"/>
      </rPr>
      <t>對沖基金</t>
    </r>
  </si>
  <si>
    <r>
      <t>(4)ETF-</t>
    </r>
    <r>
      <rPr>
        <sz val="12"/>
        <rFont val="標楷體"/>
        <family val="4"/>
        <charset val="136"/>
      </rPr>
      <t>股票型</t>
    </r>
  </si>
  <si>
    <r>
      <t>(5)ETF-</t>
    </r>
    <r>
      <rPr>
        <sz val="12"/>
        <rFont val="標楷體"/>
        <family val="4"/>
        <charset val="136"/>
      </rPr>
      <t>債券型</t>
    </r>
  </si>
  <si>
    <r>
      <t>(6)ETF-</t>
    </r>
    <r>
      <rPr>
        <sz val="12"/>
        <rFont val="標楷體"/>
        <family val="4"/>
        <charset val="136"/>
      </rPr>
      <t>其他型</t>
    </r>
  </si>
  <si>
    <r>
      <rPr>
        <sz val="12"/>
        <rFont val="標楷體"/>
        <family val="4"/>
        <charset val="136"/>
      </rPr>
      <t>所稱之其他係指依「保險業辦理國外投資管理辦法」第八條規定，除不動產投資信託基金、受益憑證及信託資金、對沖基金及</t>
    </r>
    <r>
      <rPr>
        <sz val="12"/>
        <rFont val="Times New Roman"/>
        <family val="1"/>
      </rPr>
      <t>ETF</t>
    </r>
    <r>
      <rPr>
        <sz val="12"/>
        <rFont val="標楷體"/>
        <family val="4"/>
        <charset val="136"/>
      </rPr>
      <t>以外，所投資之有價證券種類。</t>
    </r>
    <phoneticPr fontId="29" type="noConversion"/>
  </si>
  <si>
    <t>保險股份有限公司(  分公司)   年度(月)報表</t>
    <phoneticPr fontId="29" type="noConversion"/>
  </si>
  <si>
    <t xml:space="preserve"> 保險股份有限公司(  分公司)   年度報表</t>
    <phoneticPr fontId="26" type="noConversion"/>
  </si>
  <si>
    <t>再保險股份有限公司     年度報表</t>
    <phoneticPr fontId="26" type="noConversion"/>
  </si>
  <si>
    <t xml:space="preserve"> 保險股份有限公司(  分公司)   年度報表</t>
    <phoneticPr fontId="26" type="noConversion"/>
  </si>
  <si>
    <t xml:space="preserve"> 保險股份有限公司(  分公司)   年度報表</t>
    <phoneticPr fontId="29" type="noConversion"/>
  </si>
  <si>
    <t xml:space="preserve"> 保險股份有限公司(  分公司)   年度報表</t>
    <phoneticPr fontId="29" type="noConversion"/>
  </si>
  <si>
    <t xml:space="preserve"> 保險股份有限公司(  分公司)   年度報表</t>
    <phoneticPr fontId="26" type="noConversion"/>
  </si>
  <si>
    <t xml:space="preserve"> 保險股份有限公司    年度(月)報表</t>
    <phoneticPr fontId="26" type="noConversion"/>
  </si>
  <si>
    <t xml:space="preserve"> 保險股份有限公司    年度(月)報表</t>
    <phoneticPr fontId="26" type="noConversion"/>
  </si>
  <si>
    <t xml:space="preserve"> 保險股份有限公司    年度(月)報表</t>
    <phoneticPr fontId="29" type="noConversion"/>
  </si>
  <si>
    <t xml:space="preserve"> 保險股份有限公司    年度(月)報表</t>
    <phoneticPr fontId="29" type="noConversion"/>
  </si>
  <si>
    <t xml:space="preserve"> 保險股份有限公司    年度(月)報表</t>
    <phoneticPr fontId="26" type="noConversion"/>
  </si>
  <si>
    <r>
      <t xml:space="preserve"> </t>
    </r>
    <r>
      <rPr>
        <sz val="12"/>
        <rFont val="標楷體"/>
        <family val="4"/>
        <charset val="136"/>
      </rPr>
      <t>保險股份有限公司</t>
    </r>
    <r>
      <rPr>
        <sz val="12"/>
        <rFont val="Times New Roman"/>
        <family val="1"/>
      </rPr>
      <t xml:space="preserve">(  </t>
    </r>
    <r>
      <rPr>
        <sz val="12"/>
        <rFont val="標楷體"/>
        <family val="4"/>
        <charset val="136"/>
      </rPr>
      <t>分公司</t>
    </r>
    <r>
      <rPr>
        <sz val="12"/>
        <rFont val="Times New Roman"/>
        <family val="1"/>
      </rPr>
      <t xml:space="preserve">)   </t>
    </r>
    <r>
      <rPr>
        <sz val="12"/>
        <rFont val="標楷體"/>
        <family val="4"/>
        <charset val="136"/>
      </rPr>
      <t>年度報表</t>
    </r>
    <phoneticPr fontId="26" type="noConversion"/>
  </si>
  <si>
    <r>
      <rPr>
        <sz val="12"/>
        <rFont val="標楷體"/>
        <family val="4"/>
        <charset val="136"/>
      </rPr>
      <t>＊計算說明</t>
    </r>
    <phoneticPr fontId="26" type="noConversion"/>
  </si>
  <si>
    <r>
      <t>-</t>
    </r>
    <r>
      <rPr>
        <sz val="12"/>
        <rFont val="標楷體"/>
        <family val="4"/>
        <charset val="136"/>
      </rPr>
      <t>風險資本總額</t>
    </r>
    <r>
      <rPr>
        <sz val="12"/>
        <rFont val="Times New Roman"/>
        <family val="1"/>
      </rPr>
      <t xml:space="preserve"> </t>
    </r>
    <r>
      <rPr>
        <sz val="12"/>
        <rFont val="標楷體"/>
        <family val="4"/>
        <charset val="136"/>
      </rPr>
      <t>＝</t>
    </r>
    <r>
      <rPr>
        <sz val="12"/>
        <rFont val="Times New Roman"/>
        <family val="1"/>
      </rPr>
      <t xml:space="preserve"> </t>
    </r>
    <phoneticPr fontId="26" type="noConversion"/>
  </si>
  <si>
    <r>
      <t>-</t>
    </r>
    <r>
      <rPr>
        <sz val="12"/>
        <rFont val="標楷體"/>
        <family val="4"/>
        <charset val="136"/>
      </rPr>
      <t>資本適足比率</t>
    </r>
    <r>
      <rPr>
        <sz val="12"/>
        <rFont val="Times New Roman"/>
        <family val="1"/>
      </rPr>
      <t xml:space="preserve"> </t>
    </r>
    <r>
      <rPr>
        <sz val="12"/>
        <rFont val="標楷體"/>
        <family val="4"/>
        <charset val="136"/>
      </rPr>
      <t>＝</t>
    </r>
    <r>
      <rPr>
        <sz val="12"/>
        <rFont val="Times New Roman"/>
        <family val="1"/>
      </rPr>
      <t xml:space="preserve"> (</t>
    </r>
    <r>
      <rPr>
        <sz val="12"/>
        <rFont val="標楷體"/>
        <family val="4"/>
        <charset val="136"/>
      </rPr>
      <t>自有資本總額</t>
    </r>
    <r>
      <rPr>
        <sz val="12"/>
        <rFont val="Times New Roman"/>
        <family val="1"/>
      </rPr>
      <t xml:space="preserve"> / </t>
    </r>
    <r>
      <rPr>
        <sz val="12"/>
        <rFont val="標楷體"/>
        <family val="4"/>
        <charset val="136"/>
      </rPr>
      <t>風險資本總額</t>
    </r>
    <r>
      <rPr>
        <sz val="12"/>
        <rFont val="Times New Roman"/>
        <family val="1"/>
      </rPr>
      <t>) × 100%</t>
    </r>
    <phoneticPr fontId="26" type="noConversion"/>
  </si>
  <si>
    <r>
      <rPr>
        <sz val="12"/>
        <rFont val="標楷體"/>
        <family val="4"/>
        <charset val="136"/>
      </rPr>
      <t>＊結果分析</t>
    </r>
    <phoneticPr fontId="26" type="noConversion"/>
  </si>
  <si>
    <r>
      <rPr>
        <b/>
        <sz val="12"/>
        <rFont val="標楷體"/>
        <family val="4"/>
        <charset val="136"/>
      </rPr>
      <t>風險項目</t>
    </r>
    <phoneticPr fontId="26" type="noConversion"/>
  </si>
  <si>
    <r>
      <t>R</t>
    </r>
    <r>
      <rPr>
        <vertAlign val="subscript"/>
        <sz val="12"/>
        <rFont val="Times New Roman"/>
        <family val="1"/>
      </rPr>
      <t>0</t>
    </r>
    <r>
      <rPr>
        <sz val="12"/>
        <rFont val="標楷體"/>
        <family val="4"/>
        <charset val="136"/>
      </rPr>
      <t>：資產風險</t>
    </r>
    <r>
      <rPr>
        <sz val="12"/>
        <rFont val="Times New Roman"/>
        <family val="1"/>
      </rPr>
      <t>--</t>
    </r>
    <r>
      <rPr>
        <sz val="12"/>
        <rFont val="標楷體"/>
        <family val="4"/>
        <charset val="136"/>
      </rPr>
      <t>關係人風險</t>
    </r>
    <phoneticPr fontId="26" type="noConversion"/>
  </si>
  <si>
    <r>
      <t>R</t>
    </r>
    <r>
      <rPr>
        <vertAlign val="subscript"/>
        <sz val="12"/>
        <rFont val="Times New Roman"/>
        <family val="1"/>
      </rPr>
      <t>1</t>
    </r>
    <r>
      <rPr>
        <sz val="12"/>
        <rFont val="標楷體"/>
        <family val="4"/>
        <charset val="136"/>
      </rPr>
      <t>：資產風險</t>
    </r>
    <r>
      <rPr>
        <sz val="12"/>
        <rFont val="Times New Roman"/>
        <family val="1"/>
      </rPr>
      <t>--</t>
    </r>
    <r>
      <rPr>
        <sz val="12"/>
        <rFont val="標楷體"/>
        <family val="4"/>
        <charset val="136"/>
      </rPr>
      <t>非關係人風險</t>
    </r>
    <phoneticPr fontId="26" type="noConversion"/>
  </si>
  <si>
    <r>
      <t>R</t>
    </r>
    <r>
      <rPr>
        <vertAlign val="subscript"/>
        <sz val="12"/>
        <rFont val="Times New Roman"/>
        <family val="1"/>
      </rPr>
      <t>3a</t>
    </r>
    <r>
      <rPr>
        <sz val="12"/>
        <rFont val="標楷體"/>
        <family val="4"/>
        <charset val="136"/>
      </rPr>
      <t>：核保風險</t>
    </r>
    <r>
      <rPr>
        <sz val="12"/>
        <rFont val="Times New Roman"/>
        <family val="1"/>
      </rPr>
      <t>--</t>
    </r>
    <r>
      <rPr>
        <sz val="12"/>
        <rFont val="標楷體"/>
        <family val="4"/>
        <charset val="136"/>
      </rPr>
      <t>準備金風險</t>
    </r>
    <phoneticPr fontId="26" type="noConversion"/>
  </si>
  <si>
    <r>
      <t>R</t>
    </r>
    <r>
      <rPr>
        <vertAlign val="subscript"/>
        <sz val="12"/>
        <rFont val="Times New Roman"/>
        <family val="1"/>
      </rPr>
      <t>3b</t>
    </r>
    <r>
      <rPr>
        <sz val="12"/>
        <rFont val="標楷體"/>
        <family val="4"/>
        <charset val="136"/>
      </rPr>
      <t>：核保風險</t>
    </r>
    <r>
      <rPr>
        <sz val="12"/>
        <rFont val="Times New Roman"/>
        <family val="1"/>
      </rPr>
      <t>--</t>
    </r>
    <r>
      <rPr>
        <sz val="12"/>
        <rFont val="標楷體"/>
        <family val="4"/>
        <charset val="136"/>
      </rPr>
      <t>保費風險</t>
    </r>
    <phoneticPr fontId="26" type="noConversion"/>
  </si>
  <si>
    <r>
      <t>R</t>
    </r>
    <r>
      <rPr>
        <vertAlign val="subscript"/>
        <sz val="12"/>
        <rFont val="Times New Roman"/>
        <family val="1"/>
      </rPr>
      <t>4</t>
    </r>
    <r>
      <rPr>
        <sz val="12"/>
        <rFont val="標楷體"/>
        <family val="4"/>
        <charset val="136"/>
      </rPr>
      <t>：資產負債配置風險</t>
    </r>
    <phoneticPr fontId="26" type="noConversion"/>
  </si>
  <si>
    <r>
      <t>R</t>
    </r>
    <r>
      <rPr>
        <vertAlign val="subscript"/>
        <sz val="12"/>
        <rFont val="Times New Roman"/>
        <family val="1"/>
      </rPr>
      <t>5</t>
    </r>
    <r>
      <rPr>
        <sz val="12"/>
        <rFont val="標楷體"/>
        <family val="4"/>
        <charset val="136"/>
      </rPr>
      <t>：其他風險</t>
    </r>
    <phoneticPr fontId="26" type="noConversion"/>
  </si>
  <si>
    <r>
      <rPr>
        <sz val="12"/>
        <rFont val="標楷體"/>
        <family val="4"/>
        <charset val="136"/>
      </rPr>
      <t>調整前風險資本總額</t>
    </r>
    <phoneticPr fontId="26" type="noConversion"/>
  </si>
  <si>
    <r>
      <rPr>
        <sz val="12"/>
        <rFont val="標楷體"/>
        <family val="4"/>
        <charset val="136"/>
      </rPr>
      <t>自有資本總額</t>
    </r>
    <phoneticPr fontId="26" type="noConversion"/>
  </si>
  <si>
    <r>
      <rPr>
        <sz val="12"/>
        <rFont val="標楷體"/>
        <family val="4"/>
        <charset val="136"/>
      </rPr>
      <t>註：另針對</t>
    </r>
    <r>
      <rPr>
        <sz val="12"/>
        <rFont val="Times New Roman"/>
        <family val="1"/>
      </rPr>
      <t>K</t>
    </r>
    <r>
      <rPr>
        <sz val="12"/>
        <rFont val="標楷體"/>
        <family val="4"/>
        <charset val="136"/>
      </rPr>
      <t>值或資產負債配置風險</t>
    </r>
    <r>
      <rPr>
        <sz val="12"/>
        <rFont val="Times New Roman"/>
        <family val="1"/>
      </rPr>
      <t>(R4)</t>
    </r>
    <r>
      <rPr>
        <sz val="12"/>
        <rFont val="標楷體"/>
        <family val="4"/>
        <charset val="136"/>
      </rPr>
      <t>及自有資本總額，若經主管機關基於安定保險市場專案核定者另依核定之方式計算</t>
    </r>
    <phoneticPr fontId="26" type="noConversion"/>
  </si>
  <si>
    <t>風險資本額</t>
    <phoneticPr fontId="26" type="noConversion"/>
  </si>
  <si>
    <r>
      <rPr>
        <sz val="12"/>
        <color theme="1"/>
        <rFont val="標楷體"/>
        <family val="4"/>
        <charset val="136"/>
      </rPr>
      <t>表</t>
    </r>
    <r>
      <rPr>
        <sz val="12"/>
        <color theme="1"/>
        <rFont val="Times New Roman"/>
        <family val="1"/>
      </rPr>
      <t>30-3</t>
    </r>
    <r>
      <rPr>
        <sz val="12"/>
        <color theme="1"/>
        <rFont val="標楷體"/>
        <family val="4"/>
        <charset val="136"/>
      </rPr>
      <t>：</t>
    </r>
    <r>
      <rPr>
        <sz val="12"/>
        <color theme="1"/>
        <rFont val="Times New Roman"/>
        <family val="1"/>
      </rPr>
      <t>R1</t>
    </r>
    <r>
      <rPr>
        <sz val="12"/>
        <color theme="1"/>
        <rFont val="標楷體"/>
        <family val="4"/>
        <charset val="136"/>
      </rPr>
      <t>：資產風險</t>
    </r>
    <r>
      <rPr>
        <sz val="12"/>
        <color theme="1"/>
        <rFont val="Times New Roman"/>
        <family val="1"/>
      </rPr>
      <t>--</t>
    </r>
    <r>
      <rPr>
        <sz val="12"/>
        <color theme="1"/>
        <rFont val="標楷體"/>
        <family val="4"/>
        <charset val="136"/>
      </rPr>
      <t>非關係人風險計算表</t>
    </r>
    <phoneticPr fontId="29" type="noConversion"/>
  </si>
  <si>
    <r>
      <t xml:space="preserve">R1a </t>
    </r>
    <r>
      <rPr>
        <sz val="12"/>
        <rFont val="標楷體"/>
        <family val="4"/>
        <charset val="136"/>
      </rPr>
      <t>國內資產風險</t>
    </r>
    <phoneticPr fontId="26" type="noConversion"/>
  </si>
  <si>
    <r>
      <t xml:space="preserve">1.1 </t>
    </r>
    <r>
      <rPr>
        <sz val="12"/>
        <rFont val="標楷體"/>
        <family val="4"/>
        <charset val="136"/>
      </rPr>
      <t>現金及銀行存款</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</si>
  <si>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t>
    </r>
    <r>
      <rPr>
        <sz val="12"/>
        <rFont val="標楷體"/>
        <family val="4"/>
        <charset val="136"/>
      </rPr>
      <t>列</t>
    </r>
    <phoneticPr fontId="26" type="noConversion"/>
  </si>
  <si>
    <r>
      <t xml:space="preserve">1.2 </t>
    </r>
    <r>
      <rPr>
        <sz val="12"/>
        <rFont val="標楷體"/>
        <family val="4"/>
        <charset val="136"/>
      </rPr>
      <t>有價證券</t>
    </r>
    <phoneticPr fontId="26" type="noConversion"/>
  </si>
  <si>
    <r>
      <t xml:space="preserve">1.2.1 </t>
    </r>
    <r>
      <rPr>
        <sz val="12"/>
        <rFont val="標楷體"/>
        <family val="4"/>
        <charset val="136"/>
      </rPr>
      <t>債券</t>
    </r>
    <phoneticPr fontId="26" type="noConversion"/>
  </si>
  <si>
    <r>
      <t xml:space="preserve">1.2.1.2.1 </t>
    </r>
    <r>
      <rPr>
        <sz val="12"/>
        <rFont val="標楷體"/>
        <family val="4"/>
        <charset val="136"/>
      </rPr>
      <t>屬保險業實質互相投資之具資本性質債券</t>
    </r>
    <phoneticPr fontId="26"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</si>
  <si>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(27)</t>
    </r>
    <r>
      <rPr>
        <sz val="12"/>
        <rFont val="標楷體"/>
        <family val="4"/>
        <charset val="136"/>
      </rPr>
      <t>欄第</t>
    </r>
    <r>
      <rPr>
        <sz val="12"/>
        <rFont val="Times New Roman"/>
        <family val="1"/>
      </rPr>
      <t>(13)</t>
    </r>
    <r>
      <rPr>
        <sz val="12"/>
        <rFont val="標楷體"/>
        <family val="4"/>
        <charset val="136"/>
      </rPr>
      <t>列</t>
    </r>
    <phoneticPr fontId="29" type="noConversion"/>
  </si>
  <si>
    <t>N/A(註7)</t>
    <phoneticPr fontId="26" type="noConversion"/>
  </si>
  <si>
    <r>
      <t xml:space="preserve">1.2.1.2.2.1 </t>
    </r>
    <r>
      <rPr>
        <sz val="12"/>
        <rFont val="標楷體"/>
        <family val="4"/>
        <charset val="136"/>
      </rPr>
      <t>有評等公司債</t>
    </r>
    <r>
      <rPr>
        <sz val="12"/>
        <rFont val="Times New Roman"/>
        <family val="1"/>
      </rPr>
      <t xml:space="preserve"> </t>
    </r>
    <phoneticPr fontId="26" type="noConversion"/>
  </si>
  <si>
    <r>
      <t xml:space="preserve">1.2.1.4.3 </t>
    </r>
    <r>
      <rPr>
        <sz val="12"/>
        <rFont val="標楷體"/>
        <family val="4"/>
        <charset val="136"/>
      </rPr>
      <t>不動產投資信託受益證券</t>
    </r>
    <r>
      <rPr>
        <sz val="12"/>
        <rFont val="Times New Roman"/>
        <family val="1"/>
      </rPr>
      <t>(REIT)</t>
    </r>
    <phoneticPr fontId="26" type="noConversion"/>
  </si>
  <si>
    <r>
      <t xml:space="preserve">1.2.2.1 </t>
    </r>
    <r>
      <rPr>
        <sz val="12"/>
        <rFont val="標楷體"/>
        <family val="4"/>
        <charset val="136"/>
      </rPr>
      <t>可轉讓定期存單</t>
    </r>
    <phoneticPr fontId="26" type="noConversion"/>
  </si>
  <si>
    <r>
      <t xml:space="preserve">1.2.2.2 </t>
    </r>
    <r>
      <rPr>
        <sz val="12"/>
        <rFont val="標楷體"/>
        <family val="4"/>
        <charset val="136"/>
      </rPr>
      <t>銀行承兌匯票</t>
    </r>
    <phoneticPr fontId="26" type="noConversion"/>
  </si>
  <si>
    <r>
      <t xml:space="preserve">1.2.2.3 </t>
    </r>
    <r>
      <rPr>
        <sz val="12"/>
        <rFont val="標楷體"/>
        <family val="4"/>
        <charset val="136"/>
      </rPr>
      <t>金融機構保證商業本票</t>
    </r>
    <phoneticPr fontId="26" type="noConversion"/>
  </si>
  <si>
    <r>
      <t xml:space="preserve">1.2.3 </t>
    </r>
    <r>
      <rPr>
        <sz val="12"/>
        <rFont val="標楷體"/>
        <family val="4"/>
        <charset val="136"/>
      </rPr>
      <t>股票</t>
    </r>
    <phoneticPr fontId="26"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</si>
  <si>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(7+23)</t>
    </r>
    <r>
      <rPr>
        <sz val="12"/>
        <rFont val="標楷體"/>
        <family val="4"/>
        <charset val="136"/>
      </rPr>
      <t>列</t>
    </r>
    <phoneticPr fontId="29"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</si>
  <si>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(8+24)</t>
    </r>
    <r>
      <rPr>
        <sz val="12"/>
        <rFont val="標楷體"/>
        <family val="4"/>
        <charset val="136"/>
      </rPr>
      <t>列</t>
    </r>
    <phoneticPr fontId="29" type="noConversion"/>
  </si>
  <si>
    <r>
      <t xml:space="preserve">1.2.3.4.1 </t>
    </r>
    <r>
      <rPr>
        <sz val="12"/>
        <rFont val="標楷體"/>
        <family val="4"/>
        <charset val="136"/>
      </rPr>
      <t>屬保險業實質互相投資之負債型特別股</t>
    </r>
    <phoneticPr fontId="26"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</si>
  <si>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(28+29)</t>
    </r>
    <r>
      <rPr>
        <sz val="12"/>
        <rFont val="標楷體"/>
        <family val="4"/>
        <charset val="136"/>
      </rPr>
      <t>欄第</t>
    </r>
    <r>
      <rPr>
        <sz val="12"/>
        <rFont val="Times New Roman"/>
        <family val="1"/>
      </rPr>
      <t>(13)</t>
    </r>
    <r>
      <rPr>
        <sz val="12"/>
        <rFont val="標楷體"/>
        <family val="4"/>
        <charset val="136"/>
      </rPr>
      <t>列</t>
    </r>
    <phoneticPr fontId="29" type="noConversion"/>
  </si>
  <si>
    <t>N/A(註7)</t>
    <phoneticPr fontId="26" type="noConversion"/>
  </si>
  <si>
    <r>
      <t xml:space="preserve">1.2.3.4.2.2 </t>
    </r>
    <r>
      <rPr>
        <sz val="12"/>
        <rFont val="標楷體"/>
        <family val="4"/>
        <charset val="136"/>
      </rPr>
      <t>非固定收益特別股</t>
    </r>
    <phoneticPr fontId="26" type="noConversion"/>
  </si>
  <si>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(6)</t>
    </r>
    <r>
      <rPr>
        <sz val="12"/>
        <rFont val="標楷體"/>
        <family val="4"/>
        <charset val="136"/>
      </rPr>
      <t>欄第</t>
    </r>
    <r>
      <rPr>
        <sz val="12"/>
        <rFont val="Times New Roman"/>
        <family val="1"/>
      </rPr>
      <t>(12+28)</t>
    </r>
    <r>
      <rPr>
        <sz val="12"/>
        <rFont val="標楷體"/>
        <family val="4"/>
        <charset val="136"/>
      </rPr>
      <t>列與第</t>
    </r>
    <r>
      <rPr>
        <sz val="12"/>
        <rFont val="Times New Roman"/>
        <family val="1"/>
      </rPr>
      <t>(5)</t>
    </r>
    <r>
      <rPr>
        <sz val="12"/>
        <rFont val="標楷體"/>
        <family val="4"/>
        <charset val="136"/>
      </rPr>
      <t>欄第</t>
    </r>
    <r>
      <rPr>
        <sz val="12"/>
        <rFont val="Times New Roman"/>
        <family val="1"/>
      </rPr>
      <t>(13+29)</t>
    </r>
    <r>
      <rPr>
        <sz val="12"/>
        <rFont val="標楷體"/>
        <family val="4"/>
        <charset val="136"/>
      </rPr>
      <t>列之合計數</t>
    </r>
    <r>
      <rPr>
        <sz val="12"/>
        <rFont val="Times New Roman"/>
        <family val="1"/>
      </rPr>
      <t>-</t>
    </r>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：投資「國內保險業」及「國內金控公司」發行之具資本性質債券或負債型特別股由自有資本扣除計算表」第</t>
    </r>
    <r>
      <rPr>
        <sz val="12"/>
        <rFont val="Times New Roman"/>
        <family val="1"/>
      </rPr>
      <t>(29)</t>
    </r>
    <r>
      <rPr>
        <sz val="12"/>
        <rFont val="標楷體"/>
        <family val="4"/>
        <charset val="136"/>
      </rPr>
      <t>欄第</t>
    </r>
    <r>
      <rPr>
        <sz val="12"/>
        <rFont val="Times New Roman"/>
        <family val="1"/>
      </rPr>
      <t>(12)</t>
    </r>
    <r>
      <rPr>
        <sz val="12"/>
        <rFont val="標楷體"/>
        <family val="4"/>
        <charset val="136"/>
      </rPr>
      <t>列</t>
    </r>
    <phoneticPr fontId="29" type="noConversion"/>
  </si>
  <si>
    <r>
      <t xml:space="preserve">1.2.4.1 </t>
    </r>
    <r>
      <rPr>
        <sz val="12"/>
        <rFont val="標楷體"/>
        <family val="4"/>
        <charset val="136"/>
      </rPr>
      <t>股票型共同基金</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</si>
  <si>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(52)</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phoneticPr fontId="26" type="noConversion"/>
  </si>
  <si>
    <r>
      <t>1.2.4.4</t>
    </r>
    <r>
      <rPr>
        <sz val="12"/>
        <rFont val="標楷體"/>
        <family val="4"/>
        <charset val="136"/>
      </rPr>
      <t>貨幣型共同基金</t>
    </r>
    <phoneticPr fontId="26" type="noConversion"/>
  </si>
  <si>
    <t>1.2.5 ETF</t>
    <phoneticPr fontId="26" type="noConversion"/>
  </si>
  <si>
    <r>
      <t>1.2.5.1 ETF-</t>
    </r>
    <r>
      <rPr>
        <sz val="12"/>
        <rFont val="標楷體"/>
        <family val="4"/>
        <charset val="136"/>
      </rPr>
      <t>股票型</t>
    </r>
    <phoneticPr fontId="26" type="noConversion"/>
  </si>
  <si>
    <r>
      <t xml:space="preserve">1.3.1.1.1 </t>
    </r>
    <r>
      <rPr>
        <sz val="12"/>
        <rFont val="標楷體"/>
        <family val="4"/>
        <charset val="136"/>
      </rPr>
      <t>不動產投資</t>
    </r>
    <r>
      <rPr>
        <sz val="12"/>
        <rFont val="Times New Roman"/>
        <family val="1"/>
      </rPr>
      <t>(</t>
    </r>
    <r>
      <rPr>
        <sz val="12"/>
        <rFont val="標楷體"/>
        <family val="4"/>
        <charset val="136"/>
      </rPr>
      <t>除</t>
    </r>
    <r>
      <rPr>
        <sz val="12"/>
        <rFont val="Times New Roman"/>
        <family val="1"/>
      </rPr>
      <t>1.3.1.1.2</t>
    </r>
    <r>
      <rPr>
        <sz val="12"/>
        <rFont val="標楷體"/>
        <family val="4"/>
        <charset val="136"/>
      </rPr>
      <t>外</t>
    </r>
    <r>
      <rPr>
        <sz val="12"/>
        <rFont val="Times New Roman"/>
        <family val="1"/>
      </rPr>
      <t>)</t>
    </r>
    <phoneticPr fontId="26" type="noConversion"/>
  </si>
  <si>
    <r>
      <rPr>
        <sz val="12"/>
        <rFont val="標楷體"/>
        <family val="4"/>
        <charset val="136"/>
      </rPr>
      <t>「表</t>
    </r>
    <r>
      <rPr>
        <sz val="12"/>
        <rFont val="Times New Roman"/>
        <family val="1"/>
      </rPr>
      <t>13-2</t>
    </r>
    <r>
      <rPr>
        <sz val="12"/>
        <rFont val="標楷體"/>
        <family val="4"/>
        <charset val="136"/>
      </rPr>
      <t>：不動產餘額明細表（總計）」第</t>
    </r>
    <r>
      <rPr>
        <sz val="12"/>
        <rFont val="Times New Roman"/>
        <family val="1"/>
      </rPr>
      <t>(6)</t>
    </r>
    <r>
      <rPr>
        <sz val="12"/>
        <rFont val="標楷體"/>
        <family val="4"/>
        <charset val="136"/>
      </rPr>
      <t>欄第</t>
    </r>
    <r>
      <rPr>
        <sz val="12"/>
        <rFont val="Times New Roman"/>
        <family val="1"/>
      </rPr>
      <t>(2+3)</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(12)</t>
    </r>
    <r>
      <rPr>
        <sz val="12"/>
        <rFont val="標楷體"/>
        <family val="4"/>
        <charset val="136"/>
      </rPr>
      <t>欄第</t>
    </r>
    <r>
      <rPr>
        <sz val="12"/>
        <rFont val="Times New Roman"/>
        <family val="1"/>
      </rPr>
      <t>(2)</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(1)</t>
    </r>
    <r>
      <rPr>
        <sz val="12"/>
        <rFont val="標楷體"/>
        <family val="4"/>
        <charset val="136"/>
      </rPr>
      <t>列</t>
    </r>
    <phoneticPr fontId="26" type="noConversion"/>
  </si>
  <si>
    <r>
      <t xml:space="preserve">1.3.1.1.2 </t>
    </r>
    <r>
      <rPr>
        <sz val="12"/>
        <rFont val="標楷體"/>
        <family val="4"/>
        <charset val="136"/>
      </rPr>
      <t>不動產投資為素地或未能符合即時利用並有收益認定標準者</t>
    </r>
    <phoneticPr fontId="26" type="noConversion"/>
  </si>
  <si>
    <r>
      <t xml:space="preserve">1.3.1.2 </t>
    </r>
    <r>
      <rPr>
        <sz val="12"/>
        <rFont val="標楷體"/>
        <family val="4"/>
        <charset val="136"/>
      </rPr>
      <t>承受擔保品</t>
    </r>
    <phoneticPr fontId="26" type="noConversion"/>
  </si>
  <si>
    <r>
      <t xml:space="preserve">1.3.1.2.1 </t>
    </r>
    <r>
      <rPr>
        <sz val="12"/>
        <rFont val="標楷體"/>
        <family val="4"/>
        <charset val="136"/>
      </rPr>
      <t>協議取得</t>
    </r>
    <phoneticPr fontId="26" type="noConversion"/>
  </si>
  <si>
    <r>
      <t xml:space="preserve">1.3.1.2.2.1 </t>
    </r>
    <r>
      <rPr>
        <sz val="12"/>
        <rFont val="標楷體"/>
        <family val="4"/>
        <charset val="136"/>
      </rPr>
      <t>經法院拍賣取得</t>
    </r>
    <r>
      <rPr>
        <sz val="12"/>
        <rFont val="Times New Roman"/>
        <family val="1"/>
      </rPr>
      <t>(</t>
    </r>
    <r>
      <rPr>
        <sz val="12"/>
        <rFont val="標楷體"/>
        <family val="4"/>
        <charset val="136"/>
      </rPr>
      <t>除</t>
    </r>
    <r>
      <rPr>
        <sz val="12"/>
        <rFont val="Times New Roman"/>
        <family val="1"/>
      </rPr>
      <t>1.3.1.2.2.2)</t>
    </r>
    <phoneticPr fontId="26" type="noConversion"/>
  </si>
  <si>
    <r>
      <t xml:space="preserve">1.3.1.2.2.2 </t>
    </r>
    <r>
      <rPr>
        <sz val="12"/>
        <rFont val="標楷體"/>
        <family val="4"/>
        <charset val="136"/>
      </rPr>
      <t>不動產投資為素地或未能符合即時利用並有收益認定標準者</t>
    </r>
    <phoneticPr fontId="26"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</si>
  <si>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(3)</t>
    </r>
    <r>
      <rPr>
        <sz val="12"/>
        <rFont val="標楷體"/>
        <family val="4"/>
        <charset val="136"/>
      </rPr>
      <t>列</t>
    </r>
    <phoneticPr fontId="26" type="noConversion"/>
  </si>
  <si>
    <r>
      <t xml:space="preserve">1.3.2 </t>
    </r>
    <r>
      <rPr>
        <sz val="12"/>
        <rFont val="標楷體"/>
        <family val="4"/>
        <charset val="136"/>
      </rPr>
      <t>自用不動產</t>
    </r>
    <phoneticPr fontId="26" type="noConversion"/>
  </si>
  <si>
    <r>
      <t xml:space="preserve">1.4.1.3 </t>
    </r>
    <r>
      <rPr>
        <sz val="12"/>
        <rFont val="標楷體"/>
        <family val="4"/>
        <charset val="136"/>
      </rPr>
      <t>有價證券質押放款</t>
    </r>
    <phoneticPr fontId="26" type="noConversion"/>
  </si>
  <si>
    <r>
      <t xml:space="preserve">1.4.1.4 </t>
    </r>
    <r>
      <rPr>
        <sz val="12"/>
        <rFont val="標楷體"/>
        <family val="4"/>
        <charset val="136"/>
      </rPr>
      <t>銀行保證放款</t>
    </r>
    <phoneticPr fontId="26" type="noConversion"/>
  </si>
  <si>
    <r>
      <t>1.5.1.2</t>
    </r>
    <r>
      <rPr>
        <sz val="12"/>
        <rFont val="標楷體"/>
        <family val="4"/>
        <charset val="136"/>
      </rPr>
      <t>創業投資</t>
    </r>
    <phoneticPr fontId="26" type="noConversion"/>
  </si>
  <si>
    <r>
      <rPr>
        <sz val="12"/>
        <rFont val="標楷體"/>
        <family val="4"/>
        <charset val="136"/>
      </rPr>
      <t>「表</t>
    </r>
    <r>
      <rPr>
        <sz val="12"/>
        <rFont val="Times New Roman"/>
        <family val="1"/>
      </rPr>
      <t>10-3</t>
    </r>
    <r>
      <rPr>
        <sz val="12"/>
        <rFont val="標楷體"/>
        <family val="4"/>
        <charset val="136"/>
      </rPr>
      <t>：關係人股票投資明細表」第</t>
    </r>
    <r>
      <rPr>
        <sz val="12"/>
        <rFont val="Times New Roman"/>
        <family val="1"/>
      </rPr>
      <t>(6+7)</t>
    </r>
    <r>
      <rPr>
        <sz val="12"/>
        <rFont val="標楷體"/>
        <family val="4"/>
        <charset val="136"/>
      </rPr>
      <t>欄第</t>
    </r>
    <r>
      <rPr>
        <sz val="12"/>
        <rFont val="Times New Roman"/>
        <family val="1"/>
      </rPr>
      <t>(20)</t>
    </r>
    <r>
      <rPr>
        <sz val="12"/>
        <rFont val="標楷體"/>
        <family val="4"/>
        <charset val="136"/>
      </rPr>
      <t>列</t>
    </r>
    <r>
      <rPr>
        <sz val="12"/>
        <rFont val="Times New Roman"/>
        <family val="1"/>
      </rPr>
      <t>+</t>
    </r>
    <r>
      <rPr>
        <sz val="12"/>
        <rFont val="標楷體"/>
        <family val="4"/>
        <charset val="136"/>
      </rPr>
      <t>「表</t>
    </r>
    <r>
      <rPr>
        <sz val="12"/>
        <rFont val="Times New Roman"/>
        <family val="1"/>
      </rPr>
      <t>10-4</t>
    </r>
    <r>
      <rPr>
        <sz val="12"/>
        <rFont val="標楷體"/>
        <family val="4"/>
        <charset val="136"/>
      </rPr>
      <t>：非關係人股票投資明細表」第</t>
    </r>
    <r>
      <rPr>
        <sz val="12"/>
        <rFont val="Times New Roman"/>
        <family val="1"/>
      </rPr>
      <t>(5)</t>
    </r>
    <r>
      <rPr>
        <sz val="12"/>
        <rFont val="標楷體"/>
        <family val="4"/>
        <charset val="136"/>
      </rPr>
      <t>欄第</t>
    </r>
    <r>
      <rPr>
        <sz val="12"/>
        <rFont val="Times New Roman"/>
        <family val="1"/>
      </rPr>
      <t>(16)</t>
    </r>
    <r>
      <rPr>
        <sz val="12"/>
        <rFont val="標楷體"/>
        <family val="4"/>
        <charset val="136"/>
      </rPr>
      <t>列</t>
    </r>
    <phoneticPr fontId="29"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</si>
  <si>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(207)</t>
    </r>
    <r>
      <rPr>
        <sz val="12"/>
        <rFont val="標楷體"/>
        <family val="4"/>
        <charset val="136"/>
      </rPr>
      <t>列</t>
    </r>
    <phoneticPr fontId="29" type="noConversion"/>
  </si>
  <si>
    <r>
      <t>1.5.2</t>
    </r>
    <r>
      <rPr>
        <sz val="12"/>
        <rFont val="標楷體"/>
        <family val="4"/>
        <charset val="136"/>
      </rPr>
      <t>其他投資</t>
    </r>
    <phoneticPr fontId="26"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</si>
  <si>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(11)</t>
    </r>
    <r>
      <rPr>
        <sz val="12"/>
        <rFont val="標楷體"/>
        <family val="4"/>
        <charset val="136"/>
      </rPr>
      <t>欄第</t>
    </r>
    <r>
      <rPr>
        <sz val="12"/>
        <rFont val="Times New Roman"/>
        <family val="1"/>
      </rPr>
      <t>(44)</t>
    </r>
    <r>
      <rPr>
        <sz val="12"/>
        <rFont val="標楷體"/>
        <family val="4"/>
        <charset val="136"/>
      </rPr>
      <t>列</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</si>
  <si>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(107)</t>
    </r>
    <r>
      <rPr>
        <sz val="12"/>
        <rFont val="標楷體"/>
        <family val="4"/>
        <charset val="136"/>
      </rPr>
      <t>列</t>
    </r>
    <phoneticPr fontId="29" type="noConversion"/>
  </si>
  <si>
    <r>
      <t xml:space="preserve">1b.1.2 </t>
    </r>
    <r>
      <rPr>
        <sz val="12"/>
        <rFont val="標楷體"/>
        <family val="4"/>
        <charset val="136"/>
      </rPr>
      <t>固定型收益投資</t>
    </r>
    <phoneticPr fontId="26" type="noConversion"/>
  </si>
  <si>
    <r>
      <t xml:space="preserve">1b.1.2.2 </t>
    </r>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6" type="noConversion"/>
  </si>
  <si>
    <r>
      <t xml:space="preserve">1b.1.2.3 </t>
    </r>
    <r>
      <rPr>
        <sz val="12"/>
        <rFont val="標楷體"/>
        <family val="4"/>
        <charset val="136"/>
      </rPr>
      <t>不動產投資信託基金</t>
    </r>
    <phoneticPr fontId="26" type="noConversion"/>
  </si>
  <si>
    <r>
      <t xml:space="preserve">1b.1.3.2.2 </t>
    </r>
    <r>
      <rPr>
        <sz val="12"/>
        <rFont val="標楷體"/>
        <family val="4"/>
        <charset val="136"/>
      </rPr>
      <t>非固定收益特別股</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</si>
  <si>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(43)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已開發國家</t>
    </r>
    <r>
      <rPr>
        <sz val="10"/>
        <rFont val="Book Antiqua"/>
        <family val="1"/>
      </rPr>
      <t/>
    </r>
    <phoneticPr fontId="26" type="noConversion"/>
  </si>
  <si>
    <r>
      <t xml:space="preserve">1b.1.4.2 </t>
    </r>
    <r>
      <rPr>
        <sz val="12"/>
        <rFont val="標楷體"/>
        <family val="4"/>
        <charset val="136"/>
      </rPr>
      <t>債券型共同基金</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</si>
  <si>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(44)</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已開發國家</t>
    </r>
    <phoneticPr fontId="26" type="noConversion"/>
  </si>
  <si>
    <r>
      <t xml:space="preserve">1b.1.4.4 </t>
    </r>
    <r>
      <rPr>
        <sz val="12"/>
        <rFont val="標楷體"/>
        <family val="4"/>
        <charset val="136"/>
      </rPr>
      <t>貨幣型共同基金</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</si>
  <si>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(46)</t>
    </r>
    <r>
      <rPr>
        <sz val="12"/>
        <rFont val="標楷體"/>
        <family val="4"/>
        <charset val="136"/>
      </rPr>
      <t>列</t>
    </r>
    <phoneticPr fontId="26" type="noConversion"/>
  </si>
  <si>
    <r>
      <t xml:space="preserve">1b.1.4.5 </t>
    </r>
    <r>
      <rPr>
        <sz val="12"/>
        <rFont val="標楷體"/>
        <family val="4"/>
        <charset val="136"/>
      </rPr>
      <t>私募股權基金</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</si>
  <si>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(47)</t>
    </r>
    <r>
      <rPr>
        <sz val="12"/>
        <rFont val="標楷體"/>
        <family val="4"/>
        <charset val="136"/>
      </rPr>
      <t>列</t>
    </r>
    <phoneticPr fontId="26" type="noConversion"/>
  </si>
  <si>
    <r>
      <t xml:space="preserve">1b.1.4.6 </t>
    </r>
    <r>
      <rPr>
        <sz val="12"/>
        <rFont val="標楷體"/>
        <family val="4"/>
        <charset val="136"/>
      </rPr>
      <t>私募債權基金</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</si>
  <si>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(48)</t>
    </r>
    <r>
      <rPr>
        <sz val="12"/>
        <rFont val="標楷體"/>
        <family val="4"/>
        <charset val="136"/>
      </rPr>
      <t>列</t>
    </r>
    <phoneticPr fontId="26" type="noConversion"/>
  </si>
  <si>
    <r>
      <t xml:space="preserve">1b.1.4.7 </t>
    </r>
    <r>
      <rPr>
        <sz val="12"/>
        <rFont val="標楷體"/>
        <family val="4"/>
        <charset val="136"/>
      </rPr>
      <t>不動產私募基金</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</si>
  <si>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(49)</t>
    </r>
    <r>
      <rPr>
        <sz val="12"/>
        <rFont val="標楷體"/>
        <family val="4"/>
        <charset val="136"/>
      </rPr>
      <t>列</t>
    </r>
    <phoneticPr fontId="26" type="noConversion"/>
  </si>
  <si>
    <r>
      <t xml:space="preserve">1b.1.4.8 </t>
    </r>
    <r>
      <rPr>
        <sz val="12"/>
        <rFont val="標楷體"/>
        <family val="4"/>
        <charset val="136"/>
      </rPr>
      <t>基礎建設基金</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</si>
  <si>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(133)</t>
    </r>
    <r>
      <rPr>
        <sz val="12"/>
        <rFont val="標楷體"/>
        <family val="4"/>
        <charset val="136"/>
      </rPr>
      <t>列</t>
    </r>
    <phoneticPr fontId="26" type="noConversion"/>
  </si>
  <si>
    <r>
      <t xml:space="preserve">1b.1.5.2 </t>
    </r>
    <r>
      <rPr>
        <sz val="12"/>
        <rFont val="標楷體"/>
        <family val="4"/>
        <charset val="136"/>
      </rPr>
      <t>其他放款</t>
    </r>
    <phoneticPr fontId="26" type="noConversion"/>
  </si>
  <si>
    <r>
      <t xml:space="preserve">1b.1.6.1 </t>
    </r>
    <r>
      <rPr>
        <sz val="12"/>
        <rFont val="標楷體"/>
        <family val="4"/>
        <charset val="136"/>
      </rPr>
      <t>不動產</t>
    </r>
    <r>
      <rPr>
        <sz val="12"/>
        <rFont val="Times New Roman"/>
        <family val="1"/>
      </rPr>
      <t>(</t>
    </r>
    <r>
      <rPr>
        <sz val="12"/>
        <rFont val="標楷體"/>
        <family val="4"/>
        <charset val="136"/>
      </rPr>
      <t>除</t>
    </r>
    <r>
      <rPr>
        <sz val="12"/>
        <rFont val="Times New Roman"/>
        <family val="1"/>
      </rPr>
      <t>1b.1.6.2</t>
    </r>
    <r>
      <rPr>
        <sz val="12"/>
        <rFont val="標楷體"/>
        <family val="4"/>
        <charset val="136"/>
      </rPr>
      <t>外</t>
    </r>
    <r>
      <rPr>
        <sz val="12"/>
        <rFont val="Times New Roman"/>
        <family val="1"/>
      </rPr>
      <t>)</t>
    </r>
    <phoneticPr fontId="26" type="noConversion"/>
  </si>
  <si>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(11)</t>
    </r>
    <r>
      <rPr>
        <sz val="12"/>
        <rFont val="標楷體"/>
        <family val="4"/>
        <charset val="136"/>
      </rPr>
      <t>欄第</t>
    </r>
    <r>
      <rPr>
        <sz val="12"/>
        <rFont val="Times New Roman"/>
        <family val="1"/>
      </rPr>
      <t>(8+11)</t>
    </r>
    <r>
      <rPr>
        <sz val="12"/>
        <rFont val="標楷體"/>
        <family val="4"/>
        <charset val="136"/>
      </rPr>
      <t>列</t>
    </r>
    <r>
      <rPr>
        <sz val="12"/>
        <rFont val="Times New Roman"/>
        <family val="1"/>
      </rPr>
      <t>+</t>
    </r>
    <r>
      <rPr>
        <sz val="12"/>
        <rFont val="標楷體"/>
        <family val="4"/>
        <charset val="136"/>
      </rPr>
      <t>「表</t>
    </r>
    <r>
      <rPr>
        <sz val="12"/>
        <rFont val="Times New Roman"/>
        <family val="1"/>
      </rPr>
      <t>30-8-3</t>
    </r>
    <r>
      <rPr>
        <sz val="12"/>
        <rFont val="標楷體"/>
        <family val="4"/>
        <charset val="136"/>
      </rPr>
      <t>：不動產投資採市價評價計入自有資本調整計算表」第</t>
    </r>
    <r>
      <rPr>
        <sz val="12"/>
        <rFont val="Times New Roman"/>
        <family val="1"/>
      </rPr>
      <t>(12)</t>
    </r>
    <r>
      <rPr>
        <sz val="12"/>
        <rFont val="標楷體"/>
        <family val="4"/>
        <charset val="136"/>
      </rPr>
      <t>欄第</t>
    </r>
    <r>
      <rPr>
        <sz val="12"/>
        <rFont val="Times New Roman"/>
        <family val="1"/>
      </rPr>
      <t>(6)</t>
    </r>
    <r>
      <rPr>
        <sz val="12"/>
        <rFont val="標楷體"/>
        <family val="4"/>
        <charset val="136"/>
      </rPr>
      <t>列</t>
    </r>
    <r>
      <rPr>
        <sz val="12"/>
        <rFont val="Times New Roman"/>
        <family val="1"/>
      </rPr>
      <t>-</t>
    </r>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(4)</t>
    </r>
    <r>
      <rPr>
        <sz val="12"/>
        <rFont val="標楷體"/>
        <family val="4"/>
        <charset val="136"/>
      </rPr>
      <t>列</t>
    </r>
    <phoneticPr fontId="26" type="noConversion"/>
  </si>
  <si>
    <r>
      <t xml:space="preserve">1b.1.6.2  </t>
    </r>
    <r>
      <rPr>
        <sz val="12"/>
        <rFont val="標楷體"/>
        <family val="4"/>
        <charset val="136"/>
      </rPr>
      <t xml:space="preserve">不動產投資為素地或未能符合
</t>
    </r>
    <r>
      <rPr>
        <sz val="12"/>
        <rFont val="Times New Roman"/>
        <family val="1"/>
      </rPr>
      <t xml:space="preserve">          </t>
    </r>
    <r>
      <rPr>
        <sz val="12"/>
        <rFont val="標楷體"/>
        <family val="4"/>
        <charset val="136"/>
      </rPr>
      <t>即時利用並有收益認定標準者</t>
    </r>
    <phoneticPr fontId="26" type="noConversion"/>
  </si>
  <si>
    <r>
      <rPr>
        <sz val="12"/>
        <rFont val="標楷體"/>
        <family val="4"/>
        <charset val="136"/>
      </rPr>
      <t>「表</t>
    </r>
    <r>
      <rPr>
        <sz val="12"/>
        <rFont val="Times New Roman"/>
        <family val="1"/>
      </rPr>
      <t>30-8-4</t>
    </r>
    <r>
      <rPr>
        <sz val="12"/>
        <rFont val="標楷體"/>
        <family val="4"/>
        <charset val="136"/>
      </rPr>
      <t>：投資用不動產為素地或自</t>
    </r>
    <r>
      <rPr>
        <sz val="12"/>
        <rFont val="Times New Roman"/>
        <family val="1"/>
      </rPr>
      <t>100</t>
    </r>
    <r>
      <rPr>
        <sz val="12"/>
        <rFont val="標楷體"/>
        <family val="4"/>
        <charset val="136"/>
      </rPr>
      <t>年</t>
    </r>
    <r>
      <rPr>
        <sz val="12"/>
        <rFont val="Times New Roman"/>
        <family val="1"/>
      </rPr>
      <t>2</t>
    </r>
    <r>
      <rPr>
        <sz val="12"/>
        <rFont val="標楷體"/>
        <family val="4"/>
        <charset val="136"/>
      </rPr>
      <t>月</t>
    </r>
    <r>
      <rPr>
        <sz val="12"/>
        <rFont val="Times New Roman"/>
        <family val="1"/>
      </rPr>
      <t>24</t>
    </r>
    <r>
      <rPr>
        <sz val="12"/>
        <rFont val="標楷體"/>
        <family val="4"/>
        <charset val="136"/>
      </rPr>
      <t>日起未能符合即時利用並有收益認定標準且報經主管機關核准展延期限者加計風險資本額調整計算表」第</t>
    </r>
    <r>
      <rPr>
        <sz val="12"/>
        <rFont val="Times New Roman"/>
        <family val="1"/>
      </rPr>
      <t>(2)</t>
    </r>
    <r>
      <rPr>
        <sz val="12"/>
        <rFont val="標楷體"/>
        <family val="4"/>
        <charset val="136"/>
      </rPr>
      <t>欄第</t>
    </r>
    <r>
      <rPr>
        <sz val="12"/>
        <rFont val="Times New Roman"/>
        <family val="1"/>
      </rPr>
      <t>(4)</t>
    </r>
    <r>
      <rPr>
        <sz val="12"/>
        <rFont val="標楷體"/>
        <family val="4"/>
        <charset val="136"/>
      </rPr>
      <t>列</t>
    </r>
    <phoneticPr fontId="26" type="noConversion"/>
  </si>
  <si>
    <r>
      <t xml:space="preserve">1b.1.8 ETF - </t>
    </r>
    <r>
      <rPr>
        <sz val="12"/>
        <rFont val="標楷體"/>
        <family val="4"/>
        <charset val="136"/>
      </rPr>
      <t>股票型</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</si>
  <si>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(129)</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其他型帳載價值</t>
    </r>
    <r>
      <rPr>
        <sz val="12"/>
        <rFont val="Times New Roman"/>
        <family val="1"/>
      </rPr>
      <t>-</t>
    </r>
    <r>
      <rPr>
        <sz val="12"/>
        <rFont val="標楷體"/>
        <family val="4"/>
        <charset val="136"/>
      </rPr>
      <t>已開發國家</t>
    </r>
    <phoneticPr fontId="26" type="noConversion"/>
  </si>
  <si>
    <r>
      <t>1b.1.12.2 "90%"</t>
    </r>
    <r>
      <rPr>
        <sz val="12"/>
        <rFont val="標楷體"/>
        <family val="4"/>
        <charset val="136"/>
      </rPr>
      <t>保本組合式存款</t>
    </r>
    <phoneticPr fontId="26" type="noConversion"/>
  </si>
  <si>
    <r>
      <rPr>
        <sz val="12"/>
        <rFont val="標楷體"/>
        <family val="4"/>
        <charset val="136"/>
      </rPr>
      <t>風險資本額計算來源「表</t>
    </r>
    <r>
      <rPr>
        <sz val="12"/>
        <rFont val="Times New Roman"/>
        <family val="1"/>
      </rPr>
      <t>30-3-3</t>
    </r>
    <r>
      <rPr>
        <sz val="12"/>
        <rFont val="標楷體"/>
        <family val="4"/>
        <charset val="136"/>
      </rPr>
      <t>：組合式存款風險資本額計算表」第</t>
    </r>
    <r>
      <rPr>
        <sz val="12"/>
        <rFont val="Times New Roman"/>
        <family val="1"/>
      </rPr>
      <t>(12)</t>
    </r>
    <r>
      <rPr>
        <sz val="12"/>
        <rFont val="標楷體"/>
        <family val="4"/>
        <charset val="136"/>
      </rPr>
      <t>欄第</t>
    </r>
    <r>
      <rPr>
        <sz val="12"/>
        <rFont val="Times New Roman"/>
        <family val="1"/>
      </rPr>
      <t>(44)</t>
    </r>
    <r>
      <rPr>
        <sz val="12"/>
        <rFont val="標楷體"/>
        <family val="4"/>
        <charset val="136"/>
      </rPr>
      <t>列</t>
    </r>
    <phoneticPr fontId="26" type="noConversion"/>
  </si>
  <si>
    <r>
      <t xml:space="preserve">1b.1.13.1 </t>
    </r>
    <r>
      <rPr>
        <sz val="12"/>
        <rFont val="標楷體"/>
        <family val="4"/>
        <charset val="136"/>
      </rPr>
      <t>其他</t>
    </r>
    <r>
      <rPr>
        <sz val="12"/>
        <rFont val="Times New Roman"/>
        <family val="1"/>
      </rPr>
      <t>(</t>
    </r>
    <r>
      <rPr>
        <sz val="12"/>
        <rFont val="標楷體"/>
        <family val="4"/>
        <charset val="136"/>
      </rPr>
      <t>除</t>
    </r>
    <r>
      <rPr>
        <sz val="12"/>
        <rFont val="Times New Roman"/>
        <family val="1"/>
      </rPr>
      <t>1b.1.13.2</t>
    </r>
    <r>
      <rPr>
        <sz val="12"/>
        <rFont val="標楷體"/>
        <family val="4"/>
        <charset val="136"/>
      </rPr>
      <t>外</t>
    </r>
    <r>
      <rPr>
        <sz val="12"/>
        <rFont val="Times New Roman"/>
        <family val="1"/>
      </rPr>
      <t>)</t>
    </r>
    <phoneticPr fontId="26" type="noConversion"/>
  </si>
  <si>
    <r>
      <t xml:space="preserve">1b.2 </t>
    </r>
    <r>
      <rPr>
        <sz val="12"/>
        <rFont val="標楷體"/>
        <family val="4"/>
        <charset val="136"/>
      </rPr>
      <t>新興市場</t>
    </r>
    <phoneticPr fontId="26" type="noConversion"/>
  </si>
  <si>
    <r>
      <t xml:space="preserve">1b.2.2 </t>
    </r>
    <r>
      <rPr>
        <sz val="12"/>
        <rFont val="標楷體"/>
        <family val="4"/>
        <charset val="136"/>
      </rPr>
      <t>固定型收益投資</t>
    </r>
    <phoneticPr fontId="26" type="noConversion"/>
  </si>
  <si>
    <r>
      <t xml:space="preserve">1b.2.2.4 </t>
    </r>
    <r>
      <rPr>
        <sz val="12"/>
        <rFont val="標楷體"/>
        <family val="4"/>
        <charset val="136"/>
      </rPr>
      <t>其他</t>
    </r>
    <phoneticPr fontId="26" type="noConversion"/>
  </si>
  <si>
    <r>
      <t xml:space="preserve">1b.2.2.4.2 </t>
    </r>
    <r>
      <rPr>
        <sz val="12"/>
        <rFont val="標楷體"/>
        <family val="4"/>
        <charset val="136"/>
      </rPr>
      <t>無信用評等者</t>
    </r>
    <phoneticPr fontId="26" type="noConversion"/>
  </si>
  <si>
    <r>
      <t xml:space="preserve">1b.2.3.1 </t>
    </r>
    <r>
      <rPr>
        <sz val="12"/>
        <rFont val="標楷體"/>
        <family val="4"/>
        <charset val="136"/>
      </rPr>
      <t>普通股</t>
    </r>
    <phoneticPr fontId="26" type="noConversion"/>
  </si>
  <si>
    <r>
      <t xml:space="preserve">1b.2.4.1 </t>
    </r>
    <r>
      <rPr>
        <sz val="12"/>
        <rFont val="標楷體"/>
        <family val="4"/>
        <charset val="136"/>
      </rPr>
      <t>股票型共同基金</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</si>
  <si>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(51)</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值計算表」國內發行其投資區域包含國外之股票型共同基金帳載價值</t>
    </r>
    <r>
      <rPr>
        <sz val="12"/>
        <rFont val="Times New Roman"/>
        <family val="1"/>
      </rPr>
      <t>-</t>
    </r>
    <r>
      <rPr>
        <sz val="12"/>
        <rFont val="標楷體"/>
        <family val="4"/>
        <charset val="136"/>
      </rPr>
      <t>新興市場</t>
    </r>
    <phoneticPr fontId="26" type="noConversion"/>
  </si>
  <si>
    <r>
      <t xml:space="preserve">1b.2.4.2 </t>
    </r>
    <r>
      <rPr>
        <sz val="12"/>
        <rFont val="標楷體"/>
        <family val="4"/>
        <charset val="136"/>
      </rPr>
      <t>債券型共同基金</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</si>
  <si>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(52)</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值計算表」國內發行其投資區域包含國外之債券型共同基金帳載價值</t>
    </r>
    <r>
      <rPr>
        <sz val="12"/>
        <rFont val="Times New Roman"/>
        <family val="1"/>
      </rPr>
      <t>-</t>
    </r>
    <r>
      <rPr>
        <sz val="12"/>
        <rFont val="標楷體"/>
        <family val="4"/>
        <charset val="136"/>
      </rPr>
      <t>新興市場</t>
    </r>
    <phoneticPr fontId="26" type="noConversion"/>
  </si>
  <si>
    <r>
      <t xml:space="preserve">1b.2.4.4 </t>
    </r>
    <r>
      <rPr>
        <sz val="12"/>
        <rFont val="標楷體"/>
        <family val="4"/>
        <charset val="136"/>
      </rPr>
      <t>貨幣型共同基金</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</si>
  <si>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(54)</t>
    </r>
    <r>
      <rPr>
        <sz val="12"/>
        <rFont val="標楷體"/>
        <family val="4"/>
        <charset val="136"/>
      </rPr>
      <t>列</t>
    </r>
    <phoneticPr fontId="26" type="noConversion"/>
  </si>
  <si>
    <r>
      <t xml:space="preserve">1b.2.4.5 </t>
    </r>
    <r>
      <rPr>
        <sz val="12"/>
        <rFont val="標楷體"/>
        <family val="4"/>
        <charset val="136"/>
      </rPr>
      <t>私募股權基金</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</si>
  <si>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(55)</t>
    </r>
    <r>
      <rPr>
        <sz val="12"/>
        <rFont val="標楷體"/>
        <family val="4"/>
        <charset val="136"/>
      </rPr>
      <t>列</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</si>
  <si>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(56)</t>
    </r>
    <r>
      <rPr>
        <sz val="12"/>
        <rFont val="標楷體"/>
        <family val="4"/>
        <charset val="136"/>
      </rPr>
      <t>列</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</si>
  <si>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(17)</t>
    </r>
    <r>
      <rPr>
        <sz val="12"/>
        <rFont val="標楷體"/>
        <family val="4"/>
        <charset val="136"/>
      </rPr>
      <t>欄第</t>
    </r>
    <r>
      <rPr>
        <sz val="12"/>
        <rFont val="Times New Roman"/>
        <family val="1"/>
      </rPr>
      <t>(57)</t>
    </r>
    <r>
      <rPr>
        <sz val="12"/>
        <rFont val="標楷體"/>
        <family val="4"/>
        <charset val="136"/>
      </rPr>
      <t>列</t>
    </r>
    <phoneticPr fontId="26" type="noConversion"/>
  </si>
  <si>
    <r>
      <t xml:space="preserve">1b.2.6.1 </t>
    </r>
    <r>
      <rPr>
        <sz val="12"/>
        <rFont val="標楷體"/>
        <family val="4"/>
        <charset val="136"/>
      </rPr>
      <t>不動產</t>
    </r>
    <r>
      <rPr>
        <sz val="12"/>
        <rFont val="Times New Roman"/>
        <family val="1"/>
      </rPr>
      <t>(</t>
    </r>
    <r>
      <rPr>
        <sz val="12"/>
        <rFont val="標楷體"/>
        <family val="4"/>
        <charset val="136"/>
      </rPr>
      <t>除</t>
    </r>
    <r>
      <rPr>
        <sz val="12"/>
        <rFont val="Times New Roman"/>
        <family val="1"/>
      </rPr>
      <t>1b.2.6.2</t>
    </r>
    <r>
      <rPr>
        <sz val="12"/>
        <rFont val="標楷體"/>
        <family val="4"/>
        <charset val="136"/>
      </rPr>
      <t>外</t>
    </r>
    <r>
      <rPr>
        <sz val="12"/>
        <rFont val="Times New Roman"/>
        <family val="1"/>
      </rPr>
      <t>)</t>
    </r>
    <phoneticPr fontId="26" type="noConversion"/>
  </si>
  <si>
    <r>
      <t xml:space="preserve">1b.2.6.2 </t>
    </r>
    <r>
      <rPr>
        <sz val="12"/>
        <rFont val="標楷體"/>
        <family val="4"/>
        <charset val="136"/>
      </rPr>
      <t>不動產投資為素地或未能符合即時利用並有收益認定標準者</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</si>
  <si>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(157)</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股票型帳載價值</t>
    </r>
    <r>
      <rPr>
        <sz val="12"/>
        <rFont val="Times New Roman"/>
        <family val="1"/>
      </rPr>
      <t>-</t>
    </r>
    <r>
      <rPr>
        <sz val="12"/>
        <rFont val="標楷體"/>
        <family val="4"/>
        <charset val="136"/>
      </rPr>
      <t>新興市場</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</si>
  <si>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(5)</t>
    </r>
    <r>
      <rPr>
        <sz val="12"/>
        <rFont val="標楷體"/>
        <family val="4"/>
        <charset val="136"/>
      </rPr>
      <t>欄第</t>
    </r>
    <r>
      <rPr>
        <sz val="12"/>
        <rFont val="Times New Roman"/>
        <family val="1"/>
      </rPr>
      <t>(158)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ETF-</t>
    </r>
    <r>
      <rPr>
        <sz val="12"/>
        <rFont val="標楷體"/>
        <family val="4"/>
        <charset val="136"/>
      </rPr>
      <t>債券型帳載價值</t>
    </r>
    <r>
      <rPr>
        <sz val="12"/>
        <rFont val="Times New Roman"/>
        <family val="1"/>
      </rPr>
      <t>-</t>
    </r>
    <r>
      <rPr>
        <sz val="12"/>
        <rFont val="標楷體"/>
        <family val="4"/>
        <charset val="136"/>
      </rPr>
      <t>新興市場</t>
    </r>
    <phoneticPr fontId="29"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</si>
  <si>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t>
    </r>
    <r>
      <rPr>
        <sz val="12"/>
        <rFont val="Times New Roman"/>
        <family val="1"/>
      </rPr>
      <t>ETN</t>
    </r>
    <r>
      <rPr>
        <sz val="12"/>
        <rFont val="標楷體"/>
        <family val="4"/>
        <charset val="136"/>
      </rPr>
      <t>帳載價值</t>
    </r>
    <r>
      <rPr>
        <sz val="12"/>
        <rFont val="Times New Roman"/>
        <family val="1"/>
      </rPr>
      <t>-</t>
    </r>
    <r>
      <rPr>
        <sz val="12"/>
        <rFont val="標楷體"/>
        <family val="4"/>
        <charset val="136"/>
      </rPr>
      <t>新興市場</t>
    </r>
    <phoneticPr fontId="26" type="noConversion"/>
  </si>
  <si>
    <r>
      <t>1b.2.12.1 "100%"</t>
    </r>
    <r>
      <rPr>
        <sz val="12"/>
        <rFont val="標楷體"/>
        <family val="4"/>
        <charset val="136"/>
      </rPr>
      <t>保本組合式存款</t>
    </r>
    <phoneticPr fontId="26" type="noConversion"/>
  </si>
  <si>
    <r>
      <t xml:space="preserve">1b.4 </t>
    </r>
    <r>
      <rPr>
        <sz val="12"/>
        <rFont val="標楷體"/>
        <family val="4"/>
        <charset val="136"/>
      </rPr>
      <t>借券再投資風險</t>
    </r>
    <phoneticPr fontId="26" type="noConversion"/>
  </si>
  <si>
    <r>
      <t xml:space="preserve">1b.5 </t>
    </r>
    <r>
      <rPr>
        <sz val="12"/>
        <rFont val="標楷體"/>
        <family val="4"/>
        <charset val="136"/>
      </rPr>
      <t>國內外資產集中度風險</t>
    </r>
    <r>
      <rPr>
        <sz val="12"/>
        <rFont val="Times New Roman"/>
        <family val="1"/>
      </rPr>
      <t>--</t>
    </r>
    <r>
      <rPr>
        <sz val="12"/>
        <rFont val="標楷體"/>
        <family val="4"/>
        <charset val="136"/>
      </rPr>
      <t>國外部份</t>
    </r>
    <phoneticPr fontId="26" type="noConversion"/>
  </si>
  <si>
    <t>註5</t>
    <phoneticPr fontId="26" type="noConversion"/>
  </si>
  <si>
    <r>
      <t>R</t>
    </r>
    <r>
      <rPr>
        <vertAlign val="subscript"/>
        <sz val="12"/>
        <rFont val="Times New Roman"/>
        <family val="1"/>
      </rPr>
      <t>0O</t>
    </r>
    <r>
      <rPr>
        <sz val="12"/>
        <rFont val="標楷體"/>
        <family val="4"/>
        <charset val="136"/>
      </rPr>
      <t>：資產風險</t>
    </r>
    <r>
      <rPr>
        <sz val="12"/>
        <rFont val="Times New Roman"/>
        <family val="1"/>
      </rPr>
      <t>--</t>
    </r>
    <r>
      <rPr>
        <sz val="12"/>
        <rFont val="標楷體"/>
        <family val="4"/>
        <charset val="136"/>
      </rPr>
      <t>關係人除匯率以外之資產風險</t>
    </r>
    <phoneticPr fontId="26" type="noConversion"/>
  </si>
  <si>
    <r>
      <t>R</t>
    </r>
    <r>
      <rPr>
        <vertAlign val="subscript"/>
        <sz val="12"/>
        <rFont val="Times New Roman"/>
        <family val="1"/>
      </rPr>
      <t>0C</t>
    </r>
    <r>
      <rPr>
        <sz val="12"/>
        <rFont val="標楷體"/>
        <family val="4"/>
        <charset val="136"/>
      </rPr>
      <t>：資產風險</t>
    </r>
    <r>
      <rPr>
        <sz val="12"/>
        <rFont val="Times New Roman"/>
        <family val="1"/>
      </rPr>
      <t>--</t>
    </r>
    <r>
      <rPr>
        <sz val="12"/>
        <rFont val="標楷體"/>
        <family val="4"/>
        <charset val="136"/>
      </rPr>
      <t>關係人匯率風險</t>
    </r>
    <phoneticPr fontId="26" type="noConversion"/>
  </si>
  <si>
    <r>
      <rPr>
        <sz val="10"/>
        <color rgb="FFFF0000"/>
        <rFont val="Book Antiqua"/>
        <family val="1"/>
      </rPr>
      <t>(5a)</t>
    </r>
    <phoneticPr fontId="29" type="noConversion"/>
  </si>
  <si>
    <r>
      <rPr>
        <sz val="12"/>
        <color indexed="10"/>
        <rFont val="標楷體"/>
        <family val="4"/>
        <charset val="136"/>
      </rPr>
      <t>＊計算說明</t>
    </r>
    <phoneticPr fontId="26" type="noConversion"/>
  </si>
  <si>
    <r>
      <t>-</t>
    </r>
    <r>
      <rPr>
        <sz val="12"/>
        <color indexed="10"/>
        <rFont val="標楷體"/>
        <family val="4"/>
        <charset val="136"/>
      </rPr>
      <t>淨值比率</t>
    </r>
    <r>
      <rPr>
        <sz val="12"/>
        <color indexed="10"/>
        <rFont val="Times New Roman"/>
        <family val="1"/>
      </rPr>
      <t xml:space="preserve"> </t>
    </r>
    <r>
      <rPr>
        <sz val="12"/>
        <color indexed="10"/>
        <rFont val="標楷體"/>
        <family val="4"/>
        <charset val="136"/>
      </rPr>
      <t>＝</t>
    </r>
    <r>
      <rPr>
        <sz val="12"/>
        <color indexed="10"/>
        <rFont val="Times New Roman"/>
        <family val="1"/>
      </rPr>
      <t xml:space="preserve">  (</t>
    </r>
    <r>
      <rPr>
        <sz val="12"/>
        <color indexed="10"/>
        <rFont val="標楷體"/>
        <family val="4"/>
        <charset val="136"/>
      </rPr>
      <t>業主權益/不含投資型保險專設帳簿之資產總額)</t>
    </r>
    <phoneticPr fontId="26" type="noConversion"/>
  </si>
  <si>
    <r>
      <rPr>
        <sz val="12"/>
        <color indexed="10"/>
        <rFont val="標楷體"/>
        <family val="4"/>
        <charset val="136"/>
      </rPr>
      <t>＊結果分析</t>
    </r>
    <phoneticPr fontId="26" type="noConversion"/>
  </si>
  <si>
    <r>
      <rPr>
        <sz val="12"/>
        <color indexed="10"/>
        <rFont val="標楷體"/>
        <family val="4"/>
        <charset val="136"/>
      </rPr>
      <t>單位：新台幣元</t>
    </r>
  </si>
  <si>
    <t>本期</t>
    <phoneticPr fontId="26" type="noConversion"/>
  </si>
  <si>
    <t>前期</t>
    <phoneticPr fontId="26" type="noConversion"/>
  </si>
  <si>
    <t>業主權益</t>
    <phoneticPr fontId="26" type="noConversion"/>
  </si>
  <si>
    <t>不含投資型保險專設帳簿之資產總額</t>
    <phoneticPr fontId="26" type="noConversion"/>
  </si>
  <si>
    <t>淨值比率</t>
    <phoneticPr fontId="26" type="noConversion"/>
  </si>
  <si>
    <r>
      <t>2</t>
    </r>
    <r>
      <rPr>
        <sz val="12"/>
        <color indexed="8"/>
        <rFont val="標楷體"/>
        <family val="4"/>
        <charset val="136"/>
      </rPr>
      <t>、債券型共同基金</t>
    </r>
  </si>
  <si>
    <r>
      <t>3</t>
    </r>
    <r>
      <rPr>
        <sz val="12"/>
        <color indexed="8"/>
        <rFont val="標楷體"/>
        <family val="4"/>
        <charset val="136"/>
      </rPr>
      <t>、平衡型共同基金及</t>
    </r>
    <r>
      <rPr>
        <sz val="12"/>
        <color indexed="10"/>
        <rFont val="標楷體"/>
        <family val="4"/>
        <charset val="136"/>
      </rPr>
      <t>多重資產型基金</t>
    </r>
    <phoneticPr fontId="29" type="noConversion"/>
  </si>
  <si>
    <r>
      <t>4</t>
    </r>
    <r>
      <rPr>
        <sz val="12"/>
        <color indexed="8"/>
        <rFont val="標楷體"/>
        <family val="4"/>
        <charset val="136"/>
      </rPr>
      <t>、避險型共同基金</t>
    </r>
  </si>
  <si>
    <r>
      <t>5</t>
    </r>
    <r>
      <rPr>
        <sz val="12"/>
        <color indexed="8"/>
        <rFont val="標楷體"/>
        <family val="4"/>
        <charset val="136"/>
      </rPr>
      <t>、貨幣型共同基金</t>
    </r>
  </si>
  <si>
    <r>
      <t>6</t>
    </r>
    <r>
      <rPr>
        <sz val="12"/>
        <color indexed="8"/>
        <rFont val="標楷體"/>
        <family val="4"/>
        <charset val="136"/>
      </rPr>
      <t>、私募基金</t>
    </r>
  </si>
  <si>
    <r>
      <t>7</t>
    </r>
    <r>
      <rPr>
        <sz val="12"/>
        <color indexed="8"/>
        <rFont val="標楷體"/>
        <family val="4"/>
        <charset val="136"/>
      </rPr>
      <t>、其他</t>
    </r>
  </si>
  <si>
    <r>
      <t>(</t>
    </r>
    <r>
      <rPr>
        <sz val="12"/>
        <color indexed="8"/>
        <rFont val="標楷體"/>
        <family val="4"/>
        <charset val="136"/>
      </rPr>
      <t>二</t>
    </r>
    <r>
      <rPr>
        <sz val="12"/>
        <color indexed="8"/>
        <rFont val="Times New Roman"/>
        <family val="1"/>
      </rPr>
      <t>)</t>
    </r>
    <r>
      <rPr>
        <sz val="12"/>
        <color indexed="8"/>
        <rFont val="標楷體"/>
        <family val="4"/>
        <charset val="136"/>
      </rPr>
      <t>、關係人</t>
    </r>
    <phoneticPr fontId="26" type="noConversion"/>
  </si>
  <si>
    <r>
      <t>1</t>
    </r>
    <r>
      <rPr>
        <sz val="12"/>
        <color indexed="8"/>
        <rFont val="標楷體"/>
        <family val="4"/>
        <charset val="136"/>
      </rPr>
      <t>、具控制與從屬關係</t>
    </r>
    <phoneticPr fontId="26" type="noConversion"/>
  </si>
  <si>
    <r>
      <t>(1)</t>
    </r>
    <r>
      <rPr>
        <sz val="12"/>
        <color indexed="8"/>
        <rFont val="標楷體"/>
        <family val="4"/>
        <charset val="136"/>
      </rPr>
      <t>股票型共同基金</t>
    </r>
  </si>
  <si>
    <r>
      <t>(2)</t>
    </r>
    <r>
      <rPr>
        <sz val="12"/>
        <color indexed="8"/>
        <rFont val="標楷體"/>
        <family val="4"/>
        <charset val="136"/>
      </rPr>
      <t>債券型共同基金</t>
    </r>
  </si>
  <si>
    <r>
      <t>(3)</t>
    </r>
    <r>
      <rPr>
        <sz val="12"/>
        <color indexed="8"/>
        <rFont val="標楷體"/>
        <family val="4"/>
        <charset val="136"/>
      </rPr>
      <t>平衡型共同基金</t>
    </r>
    <r>
      <rPr>
        <sz val="12"/>
        <color indexed="10"/>
        <rFont val="標楷體"/>
        <family val="4"/>
        <charset val="136"/>
      </rPr>
      <t>及多重資產型基金</t>
    </r>
    <phoneticPr fontId="29" type="noConversion"/>
  </si>
  <si>
    <r>
      <t>(4)</t>
    </r>
    <r>
      <rPr>
        <sz val="12"/>
        <color indexed="8"/>
        <rFont val="標楷體"/>
        <family val="4"/>
        <charset val="136"/>
      </rPr>
      <t>避險型共同基金</t>
    </r>
  </si>
  <si>
    <r>
      <t>(5)</t>
    </r>
    <r>
      <rPr>
        <sz val="12"/>
        <color indexed="8"/>
        <rFont val="標楷體"/>
        <family val="4"/>
        <charset val="136"/>
      </rPr>
      <t>貨幣型共同基金</t>
    </r>
  </si>
  <si>
    <r>
      <t>(6)</t>
    </r>
    <r>
      <rPr>
        <sz val="12"/>
        <color indexed="8"/>
        <rFont val="標楷體"/>
        <family val="4"/>
        <charset val="136"/>
      </rPr>
      <t>私募基金</t>
    </r>
  </si>
  <si>
    <r>
      <t>(7)</t>
    </r>
    <r>
      <rPr>
        <sz val="12"/>
        <color indexed="8"/>
        <rFont val="標楷體"/>
        <family val="4"/>
        <charset val="136"/>
      </rPr>
      <t>其他</t>
    </r>
  </si>
  <si>
    <r>
      <t>2</t>
    </r>
    <r>
      <rPr>
        <sz val="12"/>
        <color indexed="8"/>
        <rFont val="標楷體"/>
        <family val="4"/>
        <charset val="136"/>
      </rPr>
      <t>、非控制與從屬關係</t>
    </r>
    <phoneticPr fontId="26" type="noConversion"/>
  </si>
  <si>
    <r>
      <t>(3)</t>
    </r>
    <r>
      <rPr>
        <sz val="12"/>
        <color indexed="8"/>
        <rFont val="標楷體"/>
        <family val="4"/>
        <charset val="136"/>
      </rPr>
      <t>平衡型共同基金</t>
    </r>
    <r>
      <rPr>
        <sz val="12"/>
        <color indexed="10"/>
        <rFont val="標楷體"/>
        <family val="4"/>
        <charset val="136"/>
      </rPr>
      <t>及多重資產型基金</t>
    </r>
    <phoneticPr fontId="29" type="noConversion"/>
  </si>
  <si>
    <r>
      <rPr>
        <sz val="12"/>
        <color indexed="8"/>
        <rFont val="標楷體"/>
        <family val="4"/>
        <charset val="136"/>
      </rPr>
      <t>證券種類小計</t>
    </r>
    <phoneticPr fontId="26" type="noConversion"/>
  </si>
  <si>
    <t>股票型基金</t>
    <phoneticPr fontId="26" type="noConversion"/>
  </si>
  <si>
    <r>
      <t>平衡型基金</t>
    </r>
    <r>
      <rPr>
        <sz val="12"/>
        <color indexed="10"/>
        <rFont val="標楷體"/>
        <family val="4"/>
        <charset val="136"/>
      </rPr>
      <t>及多重資產型基金</t>
    </r>
    <phoneticPr fontId="32" type="noConversion"/>
  </si>
  <si>
    <r>
      <rPr>
        <sz val="12"/>
        <rFont val="標楷體"/>
        <family val="4"/>
        <charset val="136"/>
      </rPr>
      <t>證券種類請依序填列</t>
    </r>
    <r>
      <rPr>
        <sz val="12"/>
        <rFont val="Times New Roman"/>
        <family val="1"/>
      </rPr>
      <t>A.</t>
    </r>
    <r>
      <rPr>
        <sz val="12"/>
        <rFont val="標楷體"/>
        <family val="4"/>
        <charset val="136"/>
      </rPr>
      <t>股票型基金</t>
    </r>
    <r>
      <rPr>
        <sz val="12"/>
        <rFont val="Times New Roman"/>
        <family val="1"/>
      </rPr>
      <t>,</t>
    </r>
    <r>
      <rPr>
        <sz val="12"/>
        <rFont val="新細明體"/>
        <family val="1"/>
        <charset val="136"/>
      </rPr>
      <t xml:space="preserve"> </t>
    </r>
    <r>
      <rPr>
        <sz val="12"/>
        <rFont val="Times New Roman"/>
        <family val="1"/>
      </rPr>
      <t>B.</t>
    </r>
    <r>
      <rPr>
        <sz val="12"/>
        <rFont val="標楷體"/>
        <family val="4"/>
        <charset val="136"/>
      </rPr>
      <t>債券型基金</t>
    </r>
    <r>
      <rPr>
        <sz val="12"/>
        <rFont val="Times New Roman"/>
        <family val="1"/>
      </rPr>
      <t>,</t>
    </r>
    <r>
      <rPr>
        <sz val="12"/>
        <rFont val="新細明體"/>
        <family val="1"/>
        <charset val="136"/>
      </rPr>
      <t xml:space="preserve"> </t>
    </r>
    <r>
      <rPr>
        <sz val="12"/>
        <rFont val="Times New Roman"/>
        <family val="1"/>
      </rPr>
      <t>C.</t>
    </r>
    <r>
      <rPr>
        <sz val="12"/>
        <rFont val="標楷體"/>
        <family val="4"/>
        <charset val="136"/>
      </rPr>
      <t>平衡型基金</t>
    </r>
    <r>
      <rPr>
        <sz val="12"/>
        <color indexed="10"/>
        <rFont val="標楷體"/>
        <family val="4"/>
        <charset val="136"/>
      </rPr>
      <t>及多重資產型基金</t>
    </r>
    <r>
      <rPr>
        <sz val="12"/>
        <rFont val="Times New Roman"/>
        <family val="1"/>
      </rPr>
      <t>,</t>
    </r>
    <r>
      <rPr>
        <sz val="12"/>
        <rFont val="新細明體"/>
        <family val="1"/>
        <charset val="136"/>
      </rPr>
      <t xml:space="preserve"> </t>
    </r>
    <r>
      <rPr>
        <sz val="12"/>
        <rFont val="Times New Roman"/>
        <family val="1"/>
      </rPr>
      <t>D.</t>
    </r>
    <r>
      <rPr>
        <sz val="12"/>
        <rFont val="標楷體"/>
        <family val="4"/>
        <charset val="136"/>
      </rPr>
      <t>國內避險型基金</t>
    </r>
    <r>
      <rPr>
        <sz val="12"/>
        <rFont val="Times New Roman"/>
        <family val="1"/>
      </rPr>
      <t>,</t>
    </r>
    <r>
      <rPr>
        <sz val="12"/>
        <rFont val="新細明體"/>
        <family val="1"/>
        <charset val="136"/>
      </rPr>
      <t xml:space="preserve"> </t>
    </r>
    <r>
      <rPr>
        <sz val="12"/>
        <rFont val="Times New Roman"/>
        <family val="1"/>
      </rPr>
      <t>E.</t>
    </r>
    <r>
      <rPr>
        <sz val="12"/>
        <rFont val="標楷體"/>
        <family val="4"/>
        <charset val="136"/>
      </rPr>
      <t>貨幣型基金</t>
    </r>
    <r>
      <rPr>
        <sz val="12"/>
        <rFont val="Times New Roman"/>
        <family val="1"/>
      </rPr>
      <t>,</t>
    </r>
    <r>
      <rPr>
        <sz val="12"/>
        <rFont val="新細明體"/>
        <family val="1"/>
        <charset val="136"/>
      </rPr>
      <t xml:space="preserve"> </t>
    </r>
    <r>
      <rPr>
        <sz val="12"/>
        <rFont val="Times New Roman"/>
        <family val="1"/>
      </rPr>
      <t>F1.</t>
    </r>
    <r>
      <rPr>
        <sz val="12"/>
        <rFont val="標楷體"/>
        <family val="4"/>
        <charset val="136"/>
      </rPr>
      <t>國家級投資公司所設立之國內私募股權基金</t>
    </r>
    <r>
      <rPr>
        <sz val="12"/>
        <rFont val="Times New Roman"/>
        <family val="1"/>
      </rPr>
      <t>,</t>
    </r>
    <r>
      <rPr>
        <sz val="12"/>
        <rFont val="新細明體"/>
        <family val="1"/>
        <charset val="136"/>
      </rPr>
      <t xml:space="preserve"> </t>
    </r>
    <r>
      <rPr>
        <sz val="12"/>
        <rFont val="Times New Roman"/>
        <family val="1"/>
      </rPr>
      <t>F2.</t>
    </r>
    <r>
      <rPr>
        <sz val="12"/>
        <rFont val="標楷體"/>
        <family val="4"/>
        <charset val="136"/>
      </rPr>
      <t>證投信及證券商轉投資子公司擔任普通合夥人設立之國內私募股權基金</t>
    </r>
    <r>
      <rPr>
        <sz val="12"/>
        <rFont val="Times New Roman"/>
        <family val="1"/>
      </rPr>
      <t>,</t>
    </r>
    <r>
      <rPr>
        <sz val="12"/>
        <rFont val="新細明體"/>
        <family val="1"/>
        <charset val="136"/>
      </rPr>
      <t xml:space="preserve"> </t>
    </r>
    <r>
      <rPr>
        <sz val="12"/>
        <rFont val="Times New Roman"/>
        <family val="1"/>
      </rPr>
      <t>F3</t>
    </r>
    <r>
      <rPr>
        <sz val="12"/>
        <rFont val="標楷體"/>
        <family val="4"/>
        <charset val="136"/>
      </rPr>
      <t>其他國內私募基金</t>
    </r>
    <r>
      <rPr>
        <sz val="12"/>
        <rFont val="Times New Roman"/>
        <family val="1"/>
      </rPr>
      <t>,</t>
    </r>
    <r>
      <rPr>
        <sz val="12"/>
        <rFont val="新細明體"/>
        <family val="1"/>
        <charset val="136"/>
      </rPr>
      <t xml:space="preserve"> </t>
    </r>
    <r>
      <rPr>
        <sz val="12"/>
        <rFont val="Times New Roman"/>
        <family val="1"/>
      </rPr>
      <t>G.</t>
    </r>
    <r>
      <rPr>
        <sz val="12"/>
        <rFont val="標楷體"/>
        <family val="4"/>
        <charset val="136"/>
      </rPr>
      <t>指數型基金</t>
    </r>
    <r>
      <rPr>
        <sz val="12"/>
        <rFont val="Times New Roman"/>
        <family val="1"/>
      </rPr>
      <t>,</t>
    </r>
    <r>
      <rPr>
        <sz val="12"/>
        <rFont val="新細明體"/>
        <family val="1"/>
        <charset val="136"/>
      </rPr>
      <t xml:space="preserve"> </t>
    </r>
    <r>
      <rPr>
        <sz val="12"/>
        <rFont val="Times New Roman"/>
        <family val="1"/>
      </rPr>
      <t>H.</t>
    </r>
    <r>
      <rPr>
        <sz val="12"/>
        <rFont val="標楷體"/>
        <family val="4"/>
        <charset val="136"/>
      </rPr>
      <t>國外不動產投資信託基金</t>
    </r>
    <r>
      <rPr>
        <sz val="12"/>
        <rFont val="Times New Roman"/>
        <family val="1"/>
      </rPr>
      <t>,</t>
    </r>
    <r>
      <rPr>
        <sz val="12"/>
        <rFont val="新細明體"/>
        <family val="1"/>
        <charset val="136"/>
      </rPr>
      <t xml:space="preserve"> </t>
    </r>
    <r>
      <rPr>
        <sz val="12"/>
        <rFont val="Times New Roman"/>
        <family val="1"/>
      </rPr>
      <t>I.</t>
    </r>
    <r>
      <rPr>
        <sz val="12"/>
        <rFont val="標楷體"/>
        <family val="4"/>
        <charset val="136"/>
      </rPr>
      <t>國外對沖基金</t>
    </r>
    <r>
      <rPr>
        <sz val="12"/>
        <rFont val="Times New Roman"/>
        <family val="1"/>
      </rPr>
      <t>,</t>
    </r>
    <r>
      <rPr>
        <sz val="10"/>
        <rFont val="標楷體"/>
        <family val="4"/>
        <charset val="136"/>
      </rPr>
      <t/>
    </r>
    <phoneticPr fontId="26" type="noConversion"/>
  </si>
  <si>
    <r>
      <rPr>
        <sz val="12"/>
        <rFont val="標楷體"/>
        <family val="4"/>
        <charset val="136"/>
      </rPr>
      <t>非關係人股票型受益憑證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</si>
  <si>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非關係人債券型受益憑證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</si>
  <si>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非關係人平衡型</t>
    </r>
    <r>
      <rPr>
        <sz val="12"/>
        <color indexed="10"/>
        <rFont val="標楷體"/>
        <family val="4"/>
        <charset val="136"/>
      </rPr>
      <t>及多重資產型</t>
    </r>
    <r>
      <rPr>
        <sz val="12"/>
        <rFont val="標楷體"/>
        <family val="4"/>
        <charset val="136"/>
      </rPr>
      <t>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</si>
  <si>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具控制與從屬關係之關係人受益憑證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</si>
  <si>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上市受益憑證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</si>
  <si>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上櫃受益憑證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</si>
  <si>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興櫃受益憑證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</si>
  <si>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</si>
  <si>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平衡型</t>
    </r>
    <r>
      <rPr>
        <sz val="12"/>
        <color indexed="10"/>
        <rFont val="標楷體"/>
        <family val="4"/>
        <charset val="136"/>
      </rPr>
      <t>及多重資產型</t>
    </r>
    <r>
      <rPr>
        <sz val="12"/>
        <rFont val="標楷體"/>
        <family val="4"/>
        <charset val="136"/>
      </rPr>
      <t>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</si>
  <si>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國家級投資公司所設立之國內私募股權基金</t>
    </r>
    <phoneticPr fontId="29" type="noConversion"/>
  </si>
  <si>
    <r>
      <rPr>
        <sz val="12"/>
        <rFont val="標楷體"/>
        <family val="4"/>
        <charset val="136"/>
      </rPr>
      <t>證投信及證券商轉投資子公司擔任普通合夥人設立之國內私募股權基金</t>
    </r>
    <phoneticPr fontId="29" type="noConversion"/>
  </si>
  <si>
    <r>
      <rPr>
        <sz val="12"/>
        <rFont val="標楷體"/>
        <family val="4"/>
        <charset val="136"/>
      </rPr>
      <t>國外不動產投資信託基金</t>
    </r>
    <phoneticPr fontId="29" type="noConversion"/>
  </si>
  <si>
    <r>
      <rPr>
        <sz val="12"/>
        <rFont val="標楷體"/>
        <family val="4"/>
        <charset val="136"/>
      </rPr>
      <t>國外不動產私募基金</t>
    </r>
    <phoneticPr fontId="29" type="noConversion"/>
  </si>
  <si>
    <r>
      <rPr>
        <sz val="12"/>
        <rFont val="標楷體"/>
        <family val="4"/>
        <charset val="136"/>
      </rPr>
      <t>基礎建設基金</t>
    </r>
    <phoneticPr fontId="29" type="noConversion"/>
  </si>
  <si>
    <r>
      <rPr>
        <sz val="12"/>
        <rFont val="標楷體"/>
        <family val="4"/>
        <charset val="136"/>
      </rPr>
      <t>商品基金</t>
    </r>
    <phoneticPr fontId="29" type="noConversion"/>
  </si>
  <si>
    <r>
      <rPr>
        <sz val="12"/>
        <rFont val="標楷體"/>
        <family val="4"/>
        <charset val="136"/>
      </rPr>
      <t>一、國外關係人投資</t>
    </r>
    <phoneticPr fontId="29" type="noConversion"/>
  </si>
  <si>
    <r>
      <t>(</t>
    </r>
    <r>
      <rPr>
        <sz val="12"/>
        <rFont val="標楷體"/>
        <family val="4"/>
        <charset val="136"/>
      </rPr>
      <t>一</t>
    </r>
    <r>
      <rPr>
        <sz val="12"/>
        <rFont val="Times New Roman"/>
        <family val="1"/>
      </rPr>
      <t xml:space="preserve">) </t>
    </r>
    <r>
      <rPr>
        <sz val="12"/>
        <rFont val="標楷體"/>
        <family val="4"/>
        <charset val="136"/>
      </rPr>
      <t>具控制與從屬關係</t>
    </r>
    <phoneticPr fontId="29"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</si>
  <si>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</si>
  <si>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</si>
  <si>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平衡型</t>
    </r>
    <r>
      <rPr>
        <sz val="12"/>
        <color indexed="10"/>
        <rFont val="標楷體"/>
        <family val="4"/>
        <charset val="136"/>
      </rPr>
      <t>及多重資產型</t>
    </r>
    <r>
      <rPr>
        <sz val="12"/>
        <rFont val="標楷體"/>
        <family val="4"/>
        <charset val="136"/>
      </rPr>
      <t>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</si>
  <si>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</si>
  <si>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國外私募股權基金</t>
    </r>
  </si>
  <si>
    <r>
      <rPr>
        <sz val="12"/>
        <rFont val="標楷體"/>
        <family val="4"/>
        <charset val="136"/>
      </rPr>
      <t>國外私募債權基金</t>
    </r>
  </si>
  <si>
    <r>
      <rPr>
        <sz val="12"/>
        <rFont val="標楷體"/>
        <family val="4"/>
        <charset val="136"/>
      </rPr>
      <t>國外不動產私募基金</t>
    </r>
  </si>
  <si>
    <r>
      <t>(</t>
    </r>
    <r>
      <rPr>
        <sz val="12"/>
        <rFont val="標楷體"/>
        <family val="4"/>
        <charset val="136"/>
      </rPr>
      <t>二</t>
    </r>
    <r>
      <rPr>
        <sz val="12"/>
        <rFont val="Times New Roman"/>
        <family val="1"/>
      </rPr>
      <t xml:space="preserve">) </t>
    </r>
    <r>
      <rPr>
        <sz val="12"/>
        <rFont val="標楷體"/>
        <family val="4"/>
        <charset val="136"/>
      </rPr>
      <t>非具控制與從屬關係</t>
    </r>
    <phoneticPr fontId="29"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</si>
  <si>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phoneticPr fontId="29" type="noConversion"/>
  </si>
  <si>
    <r>
      <rPr>
        <sz val="12"/>
        <rFont val="標楷體"/>
        <family val="4"/>
        <charset val="136"/>
      </rPr>
      <t>二、國外非關係人投資</t>
    </r>
    <phoneticPr fontId="29" type="noConversion"/>
  </si>
  <si>
    <r>
      <t>(</t>
    </r>
    <r>
      <rPr>
        <sz val="12"/>
        <rFont val="標楷體"/>
        <family val="4"/>
        <charset val="136"/>
      </rPr>
      <t>一</t>
    </r>
    <r>
      <rPr>
        <sz val="12"/>
        <rFont val="Times New Roman"/>
        <family val="1"/>
      </rPr>
      <t>)</t>
    </r>
    <r>
      <rPr>
        <sz val="12"/>
        <rFont val="標楷體"/>
        <family val="4"/>
        <charset val="136"/>
      </rPr>
      <t>已關發國家</t>
    </r>
    <phoneticPr fontId="29" type="noConversion"/>
  </si>
  <si>
    <r>
      <t>(</t>
    </r>
    <r>
      <rPr>
        <sz val="12"/>
        <rFont val="標楷體"/>
        <family val="4"/>
        <charset val="136"/>
      </rPr>
      <t>二</t>
    </r>
    <r>
      <rPr>
        <sz val="12"/>
        <rFont val="Times New Roman"/>
        <family val="1"/>
      </rPr>
      <t>)</t>
    </r>
    <r>
      <rPr>
        <sz val="12"/>
        <rFont val="標楷體"/>
        <family val="4"/>
        <charset val="136"/>
      </rPr>
      <t>新興市場</t>
    </r>
    <phoneticPr fontId="29" type="noConversion"/>
  </si>
  <si>
    <r>
      <t xml:space="preserve">0.1.2.3.3 </t>
    </r>
    <r>
      <rPr>
        <sz val="12"/>
        <rFont val="標楷體"/>
        <family val="4"/>
        <charset val="136"/>
      </rPr>
      <t>平衡型共同基金</t>
    </r>
    <r>
      <rPr>
        <sz val="12"/>
        <color rgb="FFFF0000"/>
        <rFont val="標楷體"/>
        <family val="4"/>
        <charset val="136"/>
      </rPr>
      <t>及多重資產型基金</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</si>
  <si>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(63)</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t>
    </r>
    <r>
      <rPr>
        <sz val="12"/>
        <color rgb="FFFF0000"/>
        <rFont val="標楷體"/>
        <family val="4"/>
        <charset val="136"/>
      </rPr>
      <t>及多重資產型基金</t>
    </r>
    <r>
      <rPr>
        <sz val="12"/>
        <rFont val="標楷體"/>
        <family val="4"/>
        <charset val="136"/>
      </rPr>
      <t>帳載價值</t>
    </r>
    <r>
      <rPr>
        <sz val="12"/>
        <rFont val="Times New Roman"/>
        <family val="1"/>
      </rPr>
      <t>--</t>
    </r>
    <r>
      <rPr>
        <sz val="12"/>
        <rFont val="標楷體"/>
        <family val="4"/>
        <charset val="136"/>
      </rPr>
      <t>具控制與從屬關係</t>
    </r>
    <phoneticPr fontId="29" type="noConversion"/>
  </si>
  <si>
    <r>
      <t xml:space="preserve">0.1.2.3.6.3 </t>
    </r>
    <r>
      <rPr>
        <sz val="12"/>
        <rFont val="標楷體"/>
        <family val="4"/>
        <charset val="136"/>
      </rPr>
      <t>平衡型共同基金</t>
    </r>
    <r>
      <rPr>
        <sz val="12"/>
        <color rgb="FFFF0000"/>
        <rFont val="標楷體"/>
        <family val="4"/>
        <charset val="136"/>
      </rPr>
      <t>及多重資產型基金</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</si>
  <si>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(28)</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t>
    </r>
    <r>
      <rPr>
        <sz val="12"/>
        <color rgb="FFFF0000"/>
        <rFont val="標楷體"/>
        <family val="4"/>
        <charset val="136"/>
      </rPr>
      <t>及多重資產型基金</t>
    </r>
    <r>
      <rPr>
        <sz val="12"/>
        <rFont val="標楷體"/>
        <family val="4"/>
        <charset val="136"/>
      </rPr>
      <t>帳載價值</t>
    </r>
    <r>
      <rPr>
        <sz val="12"/>
        <rFont val="Times New Roman"/>
        <family val="1"/>
      </rPr>
      <t>--</t>
    </r>
    <r>
      <rPr>
        <sz val="12"/>
        <rFont val="標楷體"/>
        <family val="4"/>
        <charset val="136"/>
      </rPr>
      <t>具控制與從屬關係</t>
    </r>
    <phoneticPr fontId="29" type="noConversion"/>
  </si>
  <si>
    <r>
      <t xml:space="preserve">0.2.2.3.3 </t>
    </r>
    <r>
      <rPr>
        <sz val="12"/>
        <rFont val="標楷體"/>
        <family val="4"/>
        <charset val="136"/>
      </rPr>
      <t>平衡型共同基金</t>
    </r>
    <r>
      <rPr>
        <sz val="12"/>
        <color rgb="FFFF0000"/>
        <rFont val="標楷體"/>
        <family val="4"/>
        <charset val="136"/>
      </rPr>
      <t>及多重資產型基金</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</si>
  <si>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(71)</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t>
    </r>
    <r>
      <rPr>
        <sz val="12"/>
        <color rgb="FFFF0000"/>
        <rFont val="標楷體"/>
        <family val="4"/>
        <charset val="136"/>
      </rPr>
      <t>及多重資產型基金</t>
    </r>
    <r>
      <rPr>
        <sz val="12"/>
        <rFont val="標楷體"/>
        <family val="4"/>
        <charset val="136"/>
      </rPr>
      <t>帳載價值</t>
    </r>
    <r>
      <rPr>
        <sz val="12"/>
        <rFont val="Times New Roman"/>
        <family val="1"/>
      </rPr>
      <t>--</t>
    </r>
    <r>
      <rPr>
        <sz val="12"/>
        <rFont val="標楷體"/>
        <family val="4"/>
        <charset val="136"/>
      </rPr>
      <t>非控制與從屬關係</t>
    </r>
    <phoneticPr fontId="29" type="noConversion"/>
  </si>
  <si>
    <r>
      <t xml:space="preserve">0.2.2.3.6.3 </t>
    </r>
    <r>
      <rPr>
        <sz val="12"/>
        <rFont val="標楷體"/>
        <family val="4"/>
        <charset val="136"/>
      </rPr>
      <t>平衡型共同基金</t>
    </r>
    <r>
      <rPr>
        <sz val="12"/>
        <color rgb="FFFF0000"/>
        <rFont val="標楷體"/>
        <family val="4"/>
        <charset val="136"/>
      </rPr>
      <t>及多重資產型基金</t>
    </r>
    <phoneticPr fontId="29"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</si>
  <si>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(36)</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t>
    </r>
    <r>
      <rPr>
        <sz val="12"/>
        <color rgb="FFFF0000"/>
        <rFont val="標楷體"/>
        <family val="4"/>
        <charset val="136"/>
      </rPr>
      <t>及多重資產型基金</t>
    </r>
    <r>
      <rPr>
        <sz val="12"/>
        <rFont val="標楷體"/>
        <family val="4"/>
        <charset val="136"/>
      </rPr>
      <t>帳載價值</t>
    </r>
    <r>
      <rPr>
        <sz val="12"/>
        <rFont val="Times New Roman"/>
        <family val="1"/>
      </rPr>
      <t>--</t>
    </r>
    <r>
      <rPr>
        <sz val="12"/>
        <rFont val="標楷體"/>
        <family val="4"/>
        <charset val="136"/>
      </rPr>
      <t>非控制與從屬關係</t>
    </r>
    <phoneticPr fontId="29" type="noConversion"/>
  </si>
  <si>
    <r>
      <t xml:space="preserve">1.2.4.3 </t>
    </r>
    <r>
      <rPr>
        <sz val="12"/>
        <rFont val="標楷體"/>
        <family val="4"/>
        <charset val="136"/>
      </rPr>
      <t>平衡型共同基金</t>
    </r>
    <r>
      <rPr>
        <sz val="12"/>
        <color rgb="FFFF0000"/>
        <rFont val="標楷體"/>
        <family val="4"/>
        <charset val="136"/>
      </rPr>
      <t>及多重資產型基金</t>
    </r>
    <phoneticPr fontId="26" type="noConversion"/>
  </si>
  <si>
    <r>
      <rPr>
        <sz val="12"/>
        <rFont val="標楷體"/>
        <family val="4"/>
        <charset val="136"/>
      </rPr>
      <t>「表</t>
    </r>
    <r>
      <rPr>
        <sz val="12"/>
        <rFont val="Times New Roman"/>
        <family val="1"/>
      </rPr>
      <t>05-1</t>
    </r>
    <r>
      <rPr>
        <sz val="12"/>
        <rFont val="標楷體"/>
        <family val="4"/>
        <charset val="136"/>
      </rPr>
      <t>：資金運用表」第</t>
    </r>
    <r>
      <rPr>
        <sz val="12"/>
        <rFont val="Times New Roman"/>
        <family val="1"/>
      </rPr>
      <t>(11)</t>
    </r>
    <r>
      <rPr>
        <sz val="12"/>
        <rFont val="標楷體"/>
        <family val="4"/>
        <charset val="136"/>
      </rPr>
      <t>欄第</t>
    </r>
    <r>
      <rPr>
        <sz val="12"/>
        <rFont val="Times New Roman"/>
        <family val="1"/>
      </rPr>
      <t>(54)</t>
    </r>
    <r>
      <rPr>
        <sz val="12"/>
        <rFont val="標楷體"/>
        <family val="4"/>
        <charset val="136"/>
      </rPr>
      <t>列－「表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t>
    </r>
    <r>
      <rPr>
        <sz val="12"/>
        <color rgb="FFFF0000"/>
        <rFont val="標楷體"/>
        <family val="4"/>
        <charset val="136"/>
      </rPr>
      <t>及多重資產型基金</t>
    </r>
    <r>
      <rPr>
        <sz val="12"/>
        <rFont val="標楷體"/>
        <family val="4"/>
        <charset val="136"/>
      </rPr>
      <t>帳載價值</t>
    </r>
    <phoneticPr fontId="26" type="noConversion"/>
  </si>
  <si>
    <r>
      <t xml:space="preserve">1b.1.4.3 </t>
    </r>
    <r>
      <rPr>
        <sz val="12"/>
        <rFont val="標楷體"/>
        <family val="4"/>
        <charset val="136"/>
      </rPr>
      <t>平衡型共同基金</t>
    </r>
    <r>
      <rPr>
        <sz val="12"/>
        <color rgb="FFFF0000"/>
        <rFont val="標楷體"/>
        <family val="4"/>
        <charset val="136"/>
      </rPr>
      <t>及多重資產型基金</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</si>
  <si>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(45)</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t>
    </r>
    <r>
      <rPr>
        <sz val="12"/>
        <color rgb="FFFF0000"/>
        <rFont val="標楷體"/>
        <family val="4"/>
        <charset val="136"/>
      </rPr>
      <t>及多重資產型基金</t>
    </r>
    <r>
      <rPr>
        <sz val="12"/>
        <rFont val="標楷體"/>
        <family val="4"/>
        <charset val="136"/>
      </rPr>
      <t>帳載價值</t>
    </r>
    <r>
      <rPr>
        <sz val="12"/>
        <rFont val="Times New Roman"/>
        <family val="1"/>
      </rPr>
      <t>-</t>
    </r>
    <r>
      <rPr>
        <sz val="12"/>
        <rFont val="標楷體"/>
        <family val="4"/>
        <charset val="136"/>
      </rPr>
      <t>已開發國家</t>
    </r>
    <phoneticPr fontId="26" type="noConversion"/>
  </si>
  <si>
    <r>
      <t xml:space="preserve">1b.2.4.3 </t>
    </r>
    <r>
      <rPr>
        <sz val="12"/>
        <rFont val="標楷體"/>
        <family val="4"/>
        <charset val="136"/>
      </rPr>
      <t>平衡型共同基金</t>
    </r>
    <r>
      <rPr>
        <sz val="12"/>
        <color rgb="FFFF0000"/>
        <rFont val="標楷體"/>
        <family val="4"/>
        <charset val="136"/>
      </rPr>
      <t>及多重資產型基金</t>
    </r>
    <phoneticPr fontId="26"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</si>
  <si>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」第</t>
    </r>
    <r>
      <rPr>
        <sz val="12"/>
        <rFont val="Times New Roman"/>
        <family val="1"/>
      </rPr>
      <t>(20)</t>
    </r>
    <r>
      <rPr>
        <sz val="12"/>
        <rFont val="標楷體"/>
        <family val="4"/>
        <charset val="136"/>
      </rPr>
      <t>欄第</t>
    </r>
    <r>
      <rPr>
        <sz val="12"/>
        <rFont val="Times New Roman"/>
        <family val="1"/>
      </rPr>
      <t>(53)</t>
    </r>
    <r>
      <rPr>
        <sz val="12"/>
        <rFont val="標楷體"/>
        <family val="4"/>
        <charset val="136"/>
      </rPr>
      <t>列</t>
    </r>
    <r>
      <rPr>
        <sz val="12"/>
        <rFont val="Times New Roman"/>
        <family val="1"/>
      </rPr>
      <t>+</t>
    </r>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值計算表」國內發行其投資區域包含國外之平衡型共同基金</t>
    </r>
    <r>
      <rPr>
        <sz val="12"/>
        <color rgb="FFFF0000"/>
        <rFont val="標楷體"/>
        <family val="4"/>
        <charset val="136"/>
      </rPr>
      <t>及多重資產型基金</t>
    </r>
    <r>
      <rPr>
        <sz val="12"/>
        <rFont val="標楷體"/>
        <family val="4"/>
        <charset val="136"/>
      </rPr>
      <t>帳載價值</t>
    </r>
    <r>
      <rPr>
        <sz val="12"/>
        <rFont val="Times New Roman"/>
        <family val="1"/>
      </rPr>
      <t>-</t>
    </r>
    <r>
      <rPr>
        <sz val="12"/>
        <rFont val="標楷體"/>
        <family val="4"/>
        <charset val="136"/>
      </rPr>
      <t>新興市場</t>
    </r>
    <phoneticPr fontId="26" type="noConversion"/>
  </si>
  <si>
    <r>
      <rPr>
        <sz val="10"/>
        <color indexed="8"/>
        <rFont val="標楷體"/>
        <family val="4"/>
        <charset val="136"/>
      </rPr>
      <t>平衡型共同基金</t>
    </r>
    <r>
      <rPr>
        <sz val="10"/>
        <color indexed="10"/>
        <rFont val="標楷體"/>
        <family val="4"/>
        <charset val="136"/>
      </rPr>
      <t>及多重資產型基金</t>
    </r>
    <r>
      <rPr>
        <sz val="10"/>
        <color indexed="8"/>
        <rFont val="Book Antiqua"/>
        <family val="1"/>
      </rPr>
      <t>(</t>
    </r>
    <r>
      <rPr>
        <sz val="10"/>
        <color indexed="8"/>
        <rFont val="標楷體"/>
        <family val="4"/>
        <charset val="136"/>
      </rPr>
      <t>小計</t>
    </r>
    <r>
      <rPr>
        <sz val="10"/>
        <color indexed="8"/>
        <rFont val="Book Antiqua"/>
        <family val="1"/>
      </rPr>
      <t>)
(</t>
    </r>
    <r>
      <rPr>
        <sz val="10"/>
        <color indexed="8"/>
        <rFont val="標楷體"/>
        <family val="4"/>
        <charset val="136"/>
      </rPr>
      <t>來源</t>
    </r>
    <r>
      <rPr>
        <sz val="10"/>
        <color indexed="8"/>
        <rFont val="Book Antiqua"/>
        <family val="1"/>
      </rPr>
      <t>:</t>
    </r>
    <r>
      <rPr>
        <sz val="10"/>
        <color indexed="8"/>
        <rFont val="標楷體"/>
        <family val="4"/>
        <charset val="136"/>
      </rPr>
      <t>表</t>
    </r>
    <r>
      <rPr>
        <sz val="10"/>
        <color indexed="8"/>
        <rFont val="Book Antiqua"/>
        <family val="1"/>
      </rPr>
      <t>12-1)</t>
    </r>
    <phoneticPr fontId="29" type="noConversion"/>
  </si>
  <si>
    <r>
      <rPr>
        <sz val="12"/>
        <color indexed="8"/>
        <rFont val="標楷體"/>
        <family val="4"/>
        <charset val="136"/>
      </rPr>
      <t>平衡型共同基金</t>
    </r>
    <r>
      <rPr>
        <sz val="12"/>
        <color indexed="10"/>
        <rFont val="標楷體"/>
        <family val="4"/>
        <charset val="136"/>
      </rPr>
      <t>及多重資產型基金</t>
    </r>
    <phoneticPr fontId="29" type="noConversion"/>
  </si>
  <si>
    <r>
      <rPr>
        <sz val="12"/>
        <color indexed="8"/>
        <rFont val="標楷體"/>
        <family val="4"/>
        <charset val="136"/>
      </rPr>
      <t>國外股票</t>
    </r>
    <r>
      <rPr>
        <sz val="12"/>
        <color indexed="8"/>
        <rFont val="Times New Roman"/>
        <family val="1"/>
      </rPr>
      <t>-</t>
    </r>
    <r>
      <rPr>
        <sz val="12"/>
        <color indexed="8"/>
        <rFont val="標楷體"/>
        <family val="4"/>
        <charset val="136"/>
      </rPr>
      <t>已開發國家</t>
    </r>
  </si>
  <si>
    <r>
      <rPr>
        <sz val="12"/>
        <color indexed="8"/>
        <rFont val="標楷體"/>
        <family val="4"/>
        <charset val="136"/>
      </rPr>
      <t>普通股</t>
    </r>
  </si>
  <si>
    <r>
      <rPr>
        <sz val="12"/>
        <color indexed="8"/>
        <rFont val="標楷體"/>
        <family val="4"/>
        <charset val="136"/>
      </rPr>
      <t>非固定收益特別股</t>
    </r>
  </si>
  <si>
    <r>
      <rPr>
        <sz val="12"/>
        <color indexed="8"/>
        <rFont val="標楷體"/>
        <family val="4"/>
        <charset val="136"/>
      </rPr>
      <t>國外受益憑證</t>
    </r>
    <r>
      <rPr>
        <sz val="12"/>
        <color indexed="8"/>
        <rFont val="Times New Roman"/>
        <family val="1"/>
      </rPr>
      <t>-</t>
    </r>
    <r>
      <rPr>
        <sz val="12"/>
        <color indexed="8"/>
        <rFont val="標楷體"/>
        <family val="4"/>
        <charset val="136"/>
      </rPr>
      <t>已開發國家</t>
    </r>
  </si>
  <si>
    <r>
      <rPr>
        <sz val="12"/>
        <color indexed="8"/>
        <rFont val="標楷體"/>
        <family val="4"/>
        <charset val="136"/>
      </rPr>
      <t>股票型共同基金</t>
    </r>
  </si>
  <si>
    <r>
      <rPr>
        <sz val="12"/>
        <color indexed="8"/>
        <rFont val="標楷體"/>
        <family val="4"/>
        <charset val="136"/>
      </rPr>
      <t>國外股票</t>
    </r>
    <r>
      <rPr>
        <sz val="12"/>
        <color indexed="8"/>
        <rFont val="Times New Roman"/>
        <family val="1"/>
      </rPr>
      <t>-</t>
    </r>
    <r>
      <rPr>
        <sz val="12"/>
        <color indexed="8"/>
        <rFont val="標楷體"/>
        <family val="4"/>
        <charset val="136"/>
      </rPr>
      <t>新興市場</t>
    </r>
  </si>
  <si>
    <r>
      <rPr>
        <sz val="12"/>
        <color indexed="8"/>
        <rFont val="標楷體"/>
        <family val="4"/>
        <charset val="136"/>
      </rPr>
      <t>國外受益憑證</t>
    </r>
    <r>
      <rPr>
        <sz val="12"/>
        <color indexed="8"/>
        <rFont val="Times New Roman"/>
        <family val="1"/>
      </rPr>
      <t>-</t>
    </r>
    <r>
      <rPr>
        <sz val="12"/>
        <color indexed="8"/>
        <rFont val="標楷體"/>
        <family val="4"/>
        <charset val="136"/>
      </rPr>
      <t>新興市場</t>
    </r>
  </si>
  <si>
    <r>
      <rPr>
        <sz val="12"/>
        <color indexed="8"/>
        <rFont val="標楷體"/>
        <family val="4"/>
        <charset val="136"/>
      </rPr>
      <t>平衡型共同基金</t>
    </r>
    <r>
      <rPr>
        <sz val="12"/>
        <color indexed="10"/>
        <rFont val="標楷體"/>
        <family val="4"/>
        <charset val="136"/>
      </rPr>
      <t>及多重資產型基金</t>
    </r>
    <phoneticPr fontId="29" type="noConversion"/>
  </si>
  <si>
    <r>
      <t>1.1 股票型共同基金帳載價值</t>
    </r>
    <r>
      <rPr>
        <sz val="12"/>
        <color indexed="8"/>
        <rFont val="Times New Roman"/>
        <family val="1"/>
      </rPr>
      <t>-</t>
    </r>
    <r>
      <rPr>
        <sz val="12"/>
        <color indexed="8"/>
        <rFont val="標楷體"/>
        <family val="4"/>
        <charset val="136"/>
      </rPr>
      <t>已開發國家</t>
    </r>
    <r>
      <rPr>
        <sz val="12"/>
        <color indexed="8"/>
        <rFont val="Times New Roman"/>
        <family val="1"/>
      </rPr>
      <t>(</t>
    </r>
    <r>
      <rPr>
        <sz val="12"/>
        <color indexed="8"/>
        <rFont val="標楷體"/>
        <family val="4"/>
        <charset val="136"/>
      </rPr>
      <t>註</t>
    </r>
    <r>
      <rPr>
        <sz val="12"/>
        <color indexed="8"/>
        <rFont val="Times New Roman"/>
        <family val="1"/>
      </rPr>
      <t>2)</t>
    </r>
    <phoneticPr fontId="26" type="noConversion"/>
  </si>
  <si>
    <r>
      <t>1.2 股票型共同基金帳載價值</t>
    </r>
    <r>
      <rPr>
        <sz val="12"/>
        <color indexed="8"/>
        <rFont val="Times New Roman"/>
        <family val="1"/>
      </rPr>
      <t>-</t>
    </r>
    <r>
      <rPr>
        <sz val="12"/>
        <color indexed="8"/>
        <rFont val="標楷體"/>
        <family val="4"/>
        <charset val="136"/>
      </rPr>
      <t>新興市場</t>
    </r>
    <r>
      <rPr>
        <sz val="12"/>
        <color indexed="8"/>
        <rFont val="Times New Roman"/>
        <family val="1"/>
      </rPr>
      <t>(</t>
    </r>
    <r>
      <rPr>
        <sz val="12"/>
        <color indexed="8"/>
        <rFont val="標楷體"/>
        <family val="4"/>
        <charset val="136"/>
      </rPr>
      <t>註</t>
    </r>
    <r>
      <rPr>
        <sz val="12"/>
        <color indexed="8"/>
        <rFont val="Times New Roman"/>
        <family val="1"/>
      </rPr>
      <t>2)</t>
    </r>
    <phoneticPr fontId="26" type="noConversion"/>
  </si>
  <si>
    <r>
      <t>2.1 債券型共同基金帳載價值</t>
    </r>
    <r>
      <rPr>
        <sz val="12"/>
        <color indexed="8"/>
        <rFont val="Times New Roman"/>
        <family val="1"/>
      </rPr>
      <t>-</t>
    </r>
    <r>
      <rPr>
        <sz val="12"/>
        <color indexed="8"/>
        <rFont val="標楷體"/>
        <family val="4"/>
        <charset val="136"/>
      </rPr>
      <t>已開發國家</t>
    </r>
    <phoneticPr fontId="26" type="noConversion"/>
  </si>
  <si>
    <r>
      <t>2.2 債券型共同基金帳載價值</t>
    </r>
    <r>
      <rPr>
        <sz val="12"/>
        <color indexed="8"/>
        <rFont val="Times New Roman"/>
        <family val="1"/>
      </rPr>
      <t>-</t>
    </r>
    <r>
      <rPr>
        <sz val="12"/>
        <color indexed="8"/>
        <rFont val="標楷體"/>
        <family val="4"/>
        <charset val="136"/>
      </rPr>
      <t>新興市場</t>
    </r>
    <phoneticPr fontId="26" type="noConversion"/>
  </si>
  <si>
    <r>
      <rPr>
        <sz val="12"/>
        <color indexed="8"/>
        <rFont val="Times New Roman"/>
        <family val="1"/>
      </rPr>
      <t xml:space="preserve">3.1 </t>
    </r>
    <r>
      <rPr>
        <sz val="12"/>
        <color indexed="8"/>
        <rFont val="標楷體"/>
        <family val="4"/>
        <charset val="136"/>
      </rPr>
      <t>平衡型共同基金</t>
    </r>
    <r>
      <rPr>
        <sz val="12"/>
        <color indexed="10"/>
        <rFont val="標楷體"/>
        <family val="4"/>
        <charset val="136"/>
      </rPr>
      <t>及多重資產型基金</t>
    </r>
    <r>
      <rPr>
        <sz val="12"/>
        <color indexed="8"/>
        <rFont val="標楷體"/>
        <family val="4"/>
        <charset val="136"/>
      </rPr>
      <t>帳載價值</t>
    </r>
    <r>
      <rPr>
        <sz val="12"/>
        <color indexed="8"/>
        <rFont val="Times New Roman"/>
        <family val="1"/>
      </rPr>
      <t>-</t>
    </r>
    <r>
      <rPr>
        <sz val="12"/>
        <color indexed="8"/>
        <rFont val="標楷體"/>
        <family val="4"/>
        <charset val="136"/>
      </rPr>
      <t>已開發國家</t>
    </r>
    <r>
      <rPr>
        <sz val="12"/>
        <color indexed="8"/>
        <rFont val="Times New Roman"/>
        <family val="1"/>
      </rPr>
      <t>(</t>
    </r>
    <r>
      <rPr>
        <sz val="12"/>
        <color indexed="8"/>
        <rFont val="標楷體"/>
        <family val="4"/>
        <charset val="136"/>
      </rPr>
      <t>註</t>
    </r>
    <r>
      <rPr>
        <sz val="12"/>
        <color indexed="8"/>
        <rFont val="Times New Roman"/>
        <family val="1"/>
      </rPr>
      <t>2)</t>
    </r>
    <phoneticPr fontId="26" type="noConversion"/>
  </si>
  <si>
    <r>
      <rPr>
        <sz val="12"/>
        <color indexed="8"/>
        <rFont val="Times New Roman"/>
        <family val="1"/>
      </rPr>
      <t xml:space="preserve">3.2 </t>
    </r>
    <r>
      <rPr>
        <sz val="12"/>
        <color indexed="8"/>
        <rFont val="標楷體"/>
        <family val="4"/>
        <charset val="136"/>
      </rPr>
      <t>平衡型共同基金</t>
    </r>
    <r>
      <rPr>
        <sz val="12"/>
        <color indexed="10"/>
        <rFont val="標楷體"/>
        <family val="4"/>
        <charset val="136"/>
      </rPr>
      <t>及多重資產型基金</t>
    </r>
    <r>
      <rPr>
        <sz val="12"/>
        <color indexed="8"/>
        <rFont val="標楷體"/>
        <family val="4"/>
        <charset val="136"/>
      </rPr>
      <t>帳載價值</t>
    </r>
    <r>
      <rPr>
        <sz val="12"/>
        <color indexed="8"/>
        <rFont val="Times New Roman"/>
        <family val="1"/>
      </rPr>
      <t>-</t>
    </r>
    <r>
      <rPr>
        <sz val="12"/>
        <color indexed="8"/>
        <rFont val="標楷體"/>
        <family val="4"/>
        <charset val="136"/>
      </rPr>
      <t>新興市場</t>
    </r>
    <r>
      <rPr>
        <sz val="12"/>
        <color indexed="8"/>
        <rFont val="Times New Roman"/>
        <family val="1"/>
      </rPr>
      <t>(</t>
    </r>
    <r>
      <rPr>
        <sz val="12"/>
        <color indexed="8"/>
        <rFont val="標楷體"/>
        <family val="4"/>
        <charset val="136"/>
      </rPr>
      <t>註</t>
    </r>
    <r>
      <rPr>
        <sz val="12"/>
        <color indexed="8"/>
        <rFont val="Times New Roman"/>
        <family val="1"/>
      </rPr>
      <t>2)</t>
    </r>
    <phoneticPr fontId="26" type="noConversion"/>
  </si>
  <si>
    <r>
      <rPr>
        <sz val="12"/>
        <color indexed="8"/>
        <rFont val="Times New Roman"/>
        <family val="1"/>
      </rPr>
      <t>4.1 ETF-</t>
    </r>
    <r>
      <rPr>
        <sz val="12"/>
        <color indexed="8"/>
        <rFont val="標楷體"/>
        <family val="4"/>
        <charset val="136"/>
      </rPr>
      <t>股票型帳載價值</t>
    </r>
    <r>
      <rPr>
        <sz val="12"/>
        <color indexed="8"/>
        <rFont val="Times New Roman"/>
        <family val="1"/>
      </rPr>
      <t>-</t>
    </r>
    <r>
      <rPr>
        <sz val="12"/>
        <color indexed="8"/>
        <rFont val="標楷體"/>
        <family val="4"/>
        <charset val="136"/>
      </rPr>
      <t>已開發國家</t>
    </r>
    <r>
      <rPr>
        <sz val="12"/>
        <color indexed="8"/>
        <rFont val="Times New Roman"/>
        <family val="1"/>
      </rPr>
      <t>(</t>
    </r>
    <r>
      <rPr>
        <sz val="12"/>
        <color indexed="8"/>
        <rFont val="標楷體"/>
        <family val="4"/>
        <charset val="136"/>
      </rPr>
      <t>註</t>
    </r>
    <r>
      <rPr>
        <sz val="12"/>
        <color indexed="8"/>
        <rFont val="Times New Roman"/>
        <family val="1"/>
      </rPr>
      <t>2)</t>
    </r>
    <phoneticPr fontId="26" type="noConversion"/>
  </si>
  <si>
    <r>
      <rPr>
        <sz val="12"/>
        <color indexed="8"/>
        <rFont val="Times New Roman"/>
        <family val="1"/>
      </rPr>
      <t>4.2 ETF-</t>
    </r>
    <r>
      <rPr>
        <sz val="12"/>
        <color indexed="8"/>
        <rFont val="標楷體"/>
        <family val="4"/>
        <charset val="136"/>
      </rPr>
      <t>股票型帳載價值</t>
    </r>
    <r>
      <rPr>
        <sz val="12"/>
        <color indexed="8"/>
        <rFont val="Times New Roman"/>
        <family val="1"/>
      </rPr>
      <t>-</t>
    </r>
    <r>
      <rPr>
        <sz val="12"/>
        <color indexed="8"/>
        <rFont val="標楷體"/>
        <family val="4"/>
        <charset val="136"/>
      </rPr>
      <t>新興市場</t>
    </r>
    <r>
      <rPr>
        <sz val="12"/>
        <color indexed="8"/>
        <rFont val="Times New Roman"/>
        <family val="1"/>
      </rPr>
      <t>(</t>
    </r>
    <r>
      <rPr>
        <sz val="12"/>
        <color indexed="8"/>
        <rFont val="標楷體"/>
        <family val="4"/>
        <charset val="136"/>
      </rPr>
      <t>註</t>
    </r>
    <r>
      <rPr>
        <sz val="12"/>
        <color indexed="8"/>
        <rFont val="Times New Roman"/>
        <family val="1"/>
      </rPr>
      <t>2)</t>
    </r>
    <phoneticPr fontId="26" type="noConversion"/>
  </si>
  <si>
    <r>
      <t>5.1 ETF-債券型帳載價值</t>
    </r>
    <r>
      <rPr>
        <sz val="12"/>
        <color indexed="8"/>
        <rFont val="Times New Roman"/>
        <family val="1"/>
      </rPr>
      <t>-</t>
    </r>
    <r>
      <rPr>
        <sz val="12"/>
        <color indexed="8"/>
        <rFont val="標楷體"/>
        <family val="4"/>
        <charset val="136"/>
      </rPr>
      <t>已開發國家</t>
    </r>
    <phoneticPr fontId="26" type="noConversion"/>
  </si>
  <si>
    <r>
      <t>5.2 ETF-債券型帳載價值</t>
    </r>
    <r>
      <rPr>
        <sz val="12"/>
        <color indexed="8"/>
        <rFont val="Times New Roman"/>
        <family val="1"/>
      </rPr>
      <t>-</t>
    </r>
    <r>
      <rPr>
        <sz val="12"/>
        <color indexed="8"/>
        <rFont val="標楷體"/>
        <family val="4"/>
        <charset val="136"/>
      </rPr>
      <t>新興市場</t>
    </r>
    <phoneticPr fontId="26" type="noConversion"/>
  </si>
  <si>
    <r>
      <t>7.1 ETN帳載價值</t>
    </r>
    <r>
      <rPr>
        <sz val="12"/>
        <color indexed="8"/>
        <rFont val="Times New Roman"/>
        <family val="1"/>
      </rPr>
      <t>-</t>
    </r>
    <r>
      <rPr>
        <sz val="12"/>
        <color indexed="8"/>
        <rFont val="標楷體"/>
        <family val="4"/>
        <charset val="136"/>
      </rPr>
      <t>已開發國家</t>
    </r>
    <phoneticPr fontId="26" type="noConversion"/>
  </si>
  <si>
    <r>
      <t>7.2 ETN帳載價值</t>
    </r>
    <r>
      <rPr>
        <sz val="12"/>
        <color indexed="8"/>
        <rFont val="Times New Roman"/>
        <family val="1"/>
      </rPr>
      <t>-</t>
    </r>
    <r>
      <rPr>
        <sz val="12"/>
        <color indexed="8"/>
        <rFont val="標楷體"/>
        <family val="4"/>
        <charset val="136"/>
      </rPr>
      <t>新興市場</t>
    </r>
    <phoneticPr fontId="26" type="noConversion"/>
  </si>
  <si>
    <r>
      <t>1.1股票型共同基金帳載價值</t>
    </r>
    <r>
      <rPr>
        <sz val="12"/>
        <color indexed="8"/>
        <rFont val="Times New Roman"/>
        <family val="1"/>
      </rPr>
      <t>-</t>
    </r>
    <r>
      <rPr>
        <sz val="12"/>
        <color indexed="8"/>
        <rFont val="標楷體"/>
        <family val="4"/>
        <charset val="136"/>
      </rPr>
      <t>具控制與從屬關係</t>
    </r>
    <phoneticPr fontId="26" type="noConversion"/>
  </si>
  <si>
    <r>
      <t>1.2股票型共同基金帳載價值</t>
    </r>
    <r>
      <rPr>
        <sz val="12"/>
        <color indexed="8"/>
        <rFont val="Times New Roman"/>
        <family val="1"/>
      </rPr>
      <t>-</t>
    </r>
    <r>
      <rPr>
        <sz val="12"/>
        <color indexed="8"/>
        <rFont val="標楷體"/>
        <family val="4"/>
        <charset val="136"/>
      </rPr>
      <t>非控制與從屬關係</t>
    </r>
    <phoneticPr fontId="26" type="noConversion"/>
  </si>
  <si>
    <r>
      <t>2.1 債券型共同基金帳載價值</t>
    </r>
    <r>
      <rPr>
        <sz val="12"/>
        <color indexed="8"/>
        <rFont val="Times New Roman"/>
        <family val="1"/>
      </rPr>
      <t>-</t>
    </r>
    <r>
      <rPr>
        <sz val="12"/>
        <color indexed="8"/>
        <rFont val="標楷體"/>
        <family val="4"/>
        <charset val="136"/>
      </rPr>
      <t>具控制與從屬關係</t>
    </r>
    <phoneticPr fontId="26" type="noConversion"/>
  </si>
  <si>
    <r>
      <t>2.2 債券型共同基金帳載價值</t>
    </r>
    <r>
      <rPr>
        <sz val="12"/>
        <color indexed="8"/>
        <rFont val="Times New Roman"/>
        <family val="1"/>
      </rPr>
      <t>-</t>
    </r>
    <r>
      <rPr>
        <sz val="12"/>
        <color indexed="8"/>
        <rFont val="標楷體"/>
        <family val="4"/>
        <charset val="136"/>
      </rPr>
      <t>非控制與從屬關係</t>
    </r>
    <phoneticPr fontId="26" type="noConversion"/>
  </si>
  <si>
    <r>
      <rPr>
        <sz val="12"/>
        <color indexed="8"/>
        <rFont val="Times New Roman"/>
        <family val="1"/>
      </rPr>
      <t xml:space="preserve">3.1 </t>
    </r>
    <r>
      <rPr>
        <sz val="12"/>
        <color indexed="8"/>
        <rFont val="標楷體"/>
        <family val="4"/>
        <charset val="136"/>
      </rPr>
      <t>平衡型共同基金</t>
    </r>
    <r>
      <rPr>
        <sz val="12"/>
        <color indexed="10"/>
        <rFont val="標楷體"/>
        <family val="4"/>
        <charset val="136"/>
      </rPr>
      <t>及多重資產型基金</t>
    </r>
    <r>
      <rPr>
        <sz val="12"/>
        <color indexed="8"/>
        <rFont val="標楷體"/>
        <family val="4"/>
        <charset val="136"/>
      </rPr>
      <t>帳載價值</t>
    </r>
    <r>
      <rPr>
        <sz val="12"/>
        <color indexed="8"/>
        <rFont val="Times New Roman"/>
        <family val="1"/>
      </rPr>
      <t>-</t>
    </r>
    <r>
      <rPr>
        <sz val="12"/>
        <color indexed="8"/>
        <rFont val="標楷體"/>
        <family val="4"/>
        <charset val="136"/>
      </rPr>
      <t>具控制與從屬關係</t>
    </r>
    <r>
      <rPr>
        <sz val="12"/>
        <color indexed="8"/>
        <rFont val="Times New Roman"/>
        <family val="1"/>
      </rPr>
      <t>(</t>
    </r>
    <r>
      <rPr>
        <sz val="12"/>
        <color indexed="8"/>
        <rFont val="標楷體"/>
        <family val="4"/>
        <charset val="136"/>
      </rPr>
      <t>註</t>
    </r>
    <r>
      <rPr>
        <sz val="12"/>
        <color indexed="8"/>
        <rFont val="Times New Roman"/>
        <family val="1"/>
      </rPr>
      <t>2)</t>
    </r>
    <phoneticPr fontId="26" type="noConversion"/>
  </si>
  <si>
    <r>
      <rPr>
        <sz val="12"/>
        <color indexed="8"/>
        <rFont val="Times New Roman"/>
        <family val="1"/>
      </rPr>
      <t xml:space="preserve">3.2 </t>
    </r>
    <r>
      <rPr>
        <sz val="12"/>
        <color indexed="8"/>
        <rFont val="標楷體"/>
        <family val="4"/>
        <charset val="136"/>
      </rPr>
      <t>平衡型共同基金</t>
    </r>
    <r>
      <rPr>
        <sz val="12"/>
        <color indexed="10"/>
        <rFont val="標楷體"/>
        <family val="4"/>
        <charset val="136"/>
      </rPr>
      <t>及多重資產型基金</t>
    </r>
    <r>
      <rPr>
        <sz val="12"/>
        <color indexed="8"/>
        <rFont val="標楷體"/>
        <family val="4"/>
        <charset val="136"/>
      </rPr>
      <t>帳載價值</t>
    </r>
    <r>
      <rPr>
        <sz val="12"/>
        <color indexed="8"/>
        <rFont val="Times New Roman"/>
        <family val="1"/>
      </rPr>
      <t>-</t>
    </r>
    <r>
      <rPr>
        <sz val="12"/>
        <color indexed="8"/>
        <rFont val="標楷體"/>
        <family val="4"/>
        <charset val="136"/>
      </rPr>
      <t>非控制與從屬關係</t>
    </r>
    <r>
      <rPr>
        <sz val="12"/>
        <color indexed="8"/>
        <rFont val="Times New Roman"/>
        <family val="1"/>
      </rPr>
      <t>(</t>
    </r>
    <r>
      <rPr>
        <sz val="12"/>
        <color indexed="8"/>
        <rFont val="標楷體"/>
        <family val="4"/>
        <charset val="136"/>
      </rPr>
      <t>註</t>
    </r>
    <r>
      <rPr>
        <sz val="12"/>
        <color indexed="8"/>
        <rFont val="Times New Roman"/>
        <family val="1"/>
      </rPr>
      <t>2)</t>
    </r>
    <phoneticPr fontId="26" type="noConversion"/>
  </si>
  <si>
    <r>
      <t>4.1 ETF-股票型帳載價值</t>
    </r>
    <r>
      <rPr>
        <sz val="12"/>
        <color indexed="8"/>
        <rFont val="Times New Roman"/>
        <family val="1"/>
      </rPr>
      <t>-</t>
    </r>
    <r>
      <rPr>
        <sz val="12"/>
        <color indexed="8"/>
        <rFont val="標楷體"/>
        <family val="4"/>
        <charset val="136"/>
      </rPr>
      <t>具控制與從屬關係</t>
    </r>
    <r>
      <rPr>
        <sz val="12"/>
        <color indexed="8"/>
        <rFont val="Times New Roman"/>
        <family val="1"/>
      </rPr>
      <t>(</t>
    </r>
    <r>
      <rPr>
        <sz val="12"/>
        <color indexed="8"/>
        <rFont val="標楷體"/>
        <family val="4"/>
        <charset val="136"/>
      </rPr>
      <t>註</t>
    </r>
    <r>
      <rPr>
        <sz val="12"/>
        <color indexed="8"/>
        <rFont val="Times New Roman"/>
        <family val="1"/>
      </rPr>
      <t>2)</t>
    </r>
    <phoneticPr fontId="26" type="noConversion"/>
  </si>
  <si>
    <r>
      <t>4.2 ETF-股票型帳載價值</t>
    </r>
    <r>
      <rPr>
        <sz val="12"/>
        <color indexed="8"/>
        <rFont val="Times New Roman"/>
        <family val="1"/>
      </rPr>
      <t>-</t>
    </r>
    <r>
      <rPr>
        <sz val="12"/>
        <color indexed="8"/>
        <rFont val="標楷體"/>
        <family val="4"/>
        <charset val="136"/>
      </rPr>
      <t>非控制與從屬關係</t>
    </r>
    <r>
      <rPr>
        <sz val="12"/>
        <color indexed="8"/>
        <rFont val="Times New Roman"/>
        <family val="1"/>
      </rPr>
      <t>(</t>
    </r>
    <r>
      <rPr>
        <sz val="12"/>
        <color indexed="8"/>
        <rFont val="標楷體"/>
        <family val="4"/>
        <charset val="136"/>
      </rPr>
      <t>註</t>
    </r>
    <r>
      <rPr>
        <sz val="12"/>
        <color indexed="8"/>
        <rFont val="Times New Roman"/>
        <family val="1"/>
      </rPr>
      <t>2)</t>
    </r>
    <phoneticPr fontId="26" type="noConversion"/>
  </si>
  <si>
    <r>
      <t>5.1 ETF-債券型帳載價值</t>
    </r>
    <r>
      <rPr>
        <sz val="12"/>
        <color indexed="8"/>
        <rFont val="Times New Roman"/>
        <family val="1"/>
      </rPr>
      <t>-</t>
    </r>
    <r>
      <rPr>
        <sz val="12"/>
        <color indexed="8"/>
        <rFont val="標楷體"/>
        <family val="4"/>
        <charset val="136"/>
      </rPr>
      <t>具控制與從屬關係</t>
    </r>
    <phoneticPr fontId="26" type="noConversion"/>
  </si>
  <si>
    <r>
      <t>平衡型基金</t>
    </r>
    <r>
      <rPr>
        <sz val="12"/>
        <color indexed="10"/>
        <rFont val="標楷體"/>
        <family val="4"/>
        <charset val="136"/>
      </rPr>
      <t>及多重資產型基金</t>
    </r>
    <phoneticPr fontId="26" type="noConversion"/>
  </si>
  <si>
    <r>
      <t>平衡型基金</t>
    </r>
    <r>
      <rPr>
        <sz val="12"/>
        <color indexed="10"/>
        <rFont val="標楷體"/>
        <family val="4"/>
        <charset val="136"/>
      </rPr>
      <t>及多重資產型基金</t>
    </r>
    <phoneticPr fontId="26" type="noConversion"/>
  </si>
  <si>
    <r>
      <t>平衡型基金</t>
    </r>
    <r>
      <rPr>
        <sz val="12"/>
        <color indexed="10"/>
        <rFont val="標楷體"/>
        <family val="4"/>
        <charset val="136"/>
      </rPr>
      <t>及多重資產型基金</t>
    </r>
    <phoneticPr fontId="26" type="noConversion"/>
  </si>
  <si>
    <t>資本適足率</t>
    <phoneticPr fontId="26" type="noConversion"/>
  </si>
  <si>
    <t>一、資本適足率</t>
    <phoneticPr fontId="26" type="noConversion"/>
  </si>
  <si>
    <t>二、淨值比率</t>
    <phoneticPr fontId="26" type="noConversion"/>
  </si>
  <si>
    <r>
      <rPr>
        <sz val="12"/>
        <rFont val="標楷體"/>
        <family val="4"/>
        <charset val="136"/>
      </rPr>
      <t>表</t>
    </r>
    <r>
      <rPr>
        <sz val="12"/>
        <rFont val="Times New Roman"/>
        <family val="1"/>
      </rPr>
      <t>30-1</t>
    </r>
    <r>
      <rPr>
        <sz val="12"/>
        <rFont val="標楷體"/>
        <family val="4"/>
        <charset val="136"/>
      </rPr>
      <t>：資本適足</t>
    </r>
    <r>
      <rPr>
        <sz val="12"/>
        <color rgb="FFFF0000"/>
        <rFont val="標楷體"/>
        <family val="4"/>
        <charset val="136"/>
      </rPr>
      <t>性</t>
    </r>
    <r>
      <rPr>
        <sz val="12"/>
        <rFont val="標楷體"/>
        <family val="4"/>
        <charset val="136"/>
      </rPr>
      <t>分析表</t>
    </r>
    <phoneticPr fontId="29" type="noConversion"/>
  </si>
  <si>
    <r>
      <rPr>
        <sz val="12"/>
        <rFont val="標楷體"/>
        <family val="4"/>
        <charset val="136"/>
      </rPr>
      <t>表</t>
    </r>
    <r>
      <rPr>
        <sz val="12"/>
        <rFont val="Times New Roman"/>
        <family val="1"/>
      </rPr>
      <t>30-14-3</t>
    </r>
    <r>
      <rPr>
        <sz val="12"/>
        <rFont val="標楷體"/>
        <family val="4"/>
        <charset val="136"/>
      </rPr>
      <t>：股票逆景氣循環措施調整項計算表</t>
    </r>
    <r>
      <rPr>
        <sz val="12"/>
        <rFont val="Times New Roman"/>
        <family val="1"/>
      </rPr>
      <t>(</t>
    </r>
    <r>
      <rPr>
        <sz val="12"/>
        <rFont val="標楷體"/>
        <family val="4"/>
        <charset val="136"/>
      </rPr>
      <t>計算期間：</t>
    </r>
    <r>
      <rPr>
        <sz val="12"/>
        <color indexed="10"/>
        <rFont val="Times New Roman"/>
        <family val="1"/>
      </rPr>
      <t>106/07/01~109/6/30</t>
    </r>
    <r>
      <rPr>
        <sz val="12"/>
        <rFont val="Times New Roman"/>
        <family val="1"/>
      </rPr>
      <t>)</t>
    </r>
    <phoneticPr fontId="29"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</si>
  <si>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color rgb="FFFF0000"/>
        <rFont val="Times New Roman"/>
        <family val="1"/>
      </rPr>
      <t>7</t>
    </r>
    <r>
      <rPr>
        <b/>
        <sz val="12"/>
        <rFont val="Times New Roman"/>
        <family val="1"/>
      </rPr>
      <t>)</t>
    </r>
    <phoneticPr fontId="32" type="noConversion"/>
  </si>
  <si>
    <t>備註</t>
    <phoneticPr fontId="26" type="noConversion"/>
  </si>
  <si>
    <r>
      <rPr>
        <sz val="12"/>
        <color indexed="10"/>
        <rFont val="標楷體"/>
        <family val="4"/>
        <charset val="136"/>
      </rPr>
      <t>註</t>
    </r>
    <r>
      <rPr>
        <sz val="12"/>
        <color indexed="10"/>
        <rFont val="Times New Roman"/>
        <family val="1"/>
      </rPr>
      <t>2</t>
    </r>
    <r>
      <rPr>
        <sz val="12"/>
        <color indexed="10"/>
        <rFont val="標楷體"/>
        <family val="4"/>
        <charset val="136"/>
      </rPr>
      <t>：保險業淨值比率係依金融監督管理委員會</t>
    </r>
    <r>
      <rPr>
        <sz val="12"/>
        <color indexed="10"/>
        <rFont val="Times New Roman"/>
        <family val="1"/>
      </rPr>
      <t>108</t>
    </r>
    <r>
      <rPr>
        <sz val="12"/>
        <color indexed="10"/>
        <rFont val="標楷體"/>
        <family val="4"/>
        <charset val="136"/>
      </rPr>
      <t>年</t>
    </r>
    <r>
      <rPr>
        <sz val="12"/>
        <color indexed="10"/>
        <rFont val="Times New Roman"/>
        <family val="1"/>
      </rPr>
      <t>12</t>
    </r>
    <r>
      <rPr>
        <sz val="12"/>
        <color indexed="10"/>
        <rFont val="標楷體"/>
        <family val="4"/>
        <charset val="136"/>
      </rPr>
      <t>月</t>
    </r>
    <r>
      <rPr>
        <sz val="12"/>
        <color indexed="10"/>
        <rFont val="Times New Roman"/>
        <family val="1"/>
      </rPr>
      <t>4</t>
    </r>
    <r>
      <rPr>
        <sz val="12"/>
        <color indexed="10"/>
        <rFont val="標楷體"/>
        <family val="4"/>
        <charset val="136"/>
      </rPr>
      <t>日金管保財字第</t>
    </r>
    <r>
      <rPr>
        <sz val="12"/>
        <color indexed="10"/>
        <rFont val="Times New Roman"/>
        <family val="1"/>
      </rPr>
      <t>10804960006</t>
    </r>
    <r>
      <rPr>
        <sz val="12"/>
        <color indexed="10"/>
        <rFont val="標楷體"/>
        <family val="4"/>
        <charset val="136"/>
      </rPr>
      <t>號解釋令計算者，請於本表備註說明。</t>
    </r>
    <phoneticPr fontId="26" type="noConversion"/>
  </si>
  <si>
    <r>
      <rPr>
        <sz val="12"/>
        <color indexed="10"/>
        <rFont val="標楷體"/>
        <family val="4"/>
        <charset val="136"/>
      </rPr>
      <t>註</t>
    </r>
    <r>
      <rPr>
        <sz val="12"/>
        <color indexed="10"/>
        <rFont val="Times New Roman"/>
        <family val="1"/>
      </rPr>
      <t>1</t>
    </r>
    <r>
      <rPr>
        <sz val="12"/>
        <color indexed="10"/>
        <rFont val="標楷體"/>
        <family val="4"/>
        <charset val="136"/>
      </rPr>
      <t>：於填報當年半年度報表時，前期係指前一年度餘額；於填報當年度報表時，前期係指當年半年度餘額。</t>
    </r>
    <phoneticPr fontId="26" type="noConversion"/>
  </si>
  <si>
    <r>
      <rPr>
        <sz val="12"/>
        <rFont val="標楷體"/>
        <family val="4"/>
        <charset val="136"/>
      </rPr>
      <t>表</t>
    </r>
    <r>
      <rPr>
        <sz val="12"/>
        <rFont val="Times New Roman"/>
        <family val="1"/>
      </rPr>
      <t>30-1</t>
    </r>
    <r>
      <rPr>
        <sz val="12"/>
        <rFont val="標楷體"/>
        <family val="4"/>
        <charset val="136"/>
      </rPr>
      <t>：資本適足</t>
    </r>
    <r>
      <rPr>
        <sz val="12"/>
        <color rgb="FFFF0000"/>
        <rFont val="標楷體"/>
        <family val="4"/>
        <charset val="136"/>
      </rPr>
      <t>性</t>
    </r>
    <r>
      <rPr>
        <sz val="12"/>
        <rFont val="標楷體"/>
        <family val="4"/>
        <charset val="136"/>
      </rPr>
      <t>分析表</t>
    </r>
    <phoneticPr fontId="26" type="noConversion"/>
  </si>
  <si>
    <r>
      <t>6.1 ETF-其他型帳載價值</t>
    </r>
    <r>
      <rPr>
        <sz val="12"/>
        <color indexed="8"/>
        <rFont val="Times New Roman"/>
        <family val="1"/>
      </rPr>
      <t>-</t>
    </r>
    <r>
      <rPr>
        <sz val="12"/>
        <color indexed="8"/>
        <rFont val="標楷體"/>
        <family val="4"/>
        <charset val="136"/>
      </rPr>
      <t>已開發國家</t>
    </r>
    <phoneticPr fontId="26" type="noConversion"/>
  </si>
  <si>
    <r>
      <t>6.2 ETF-其他型帳載價值</t>
    </r>
    <r>
      <rPr>
        <sz val="12"/>
        <color indexed="8"/>
        <rFont val="Times New Roman"/>
        <family val="1"/>
      </rPr>
      <t>-</t>
    </r>
    <r>
      <rPr>
        <sz val="12"/>
        <color indexed="8"/>
        <rFont val="標楷體"/>
        <family val="4"/>
        <charset val="136"/>
      </rPr>
      <t>新興市場</t>
    </r>
    <phoneticPr fontId="26" type="noConversion"/>
  </si>
  <si>
    <r>
      <rPr>
        <sz val="10"/>
        <rFont val="標楷體"/>
        <family val="4"/>
        <charset val="136"/>
      </rPr>
      <t>得計入自有資本之最大金額，第</t>
    </r>
    <r>
      <rPr>
        <sz val="10"/>
        <rFont val="Book Antiqua"/>
        <family val="1"/>
      </rPr>
      <t>(28)</t>
    </r>
    <r>
      <rPr>
        <sz val="10"/>
        <rFont val="標楷體"/>
        <family val="4"/>
        <charset val="136"/>
      </rPr>
      <t>欄為</t>
    </r>
    <r>
      <rPr>
        <sz val="10"/>
        <rFont val="Book Antiqua"/>
        <family val="1"/>
      </rPr>
      <t>Y</t>
    </r>
    <r>
      <rPr>
        <sz val="10"/>
        <rFont val="標楷體"/>
        <family val="4"/>
        <charset val="136"/>
      </rPr>
      <t>者，其財務報表針對投資性不動產之後續衡量採公允價值模式之保險公司，</t>
    </r>
    <r>
      <rPr>
        <sz val="10"/>
        <color indexed="10"/>
        <rFont val="標楷體"/>
        <family val="4"/>
        <charset val="136"/>
      </rPr>
      <t>於中華民國</t>
    </r>
    <r>
      <rPr>
        <sz val="10"/>
        <color indexed="10"/>
        <rFont val="Book Antiqua"/>
        <family val="1"/>
      </rPr>
      <t>109</t>
    </r>
    <r>
      <rPr>
        <sz val="10"/>
        <color indexed="10"/>
        <rFont val="標楷體"/>
        <family val="4"/>
        <charset val="136"/>
      </rPr>
      <t>年</t>
    </r>
    <r>
      <rPr>
        <sz val="10"/>
        <color indexed="10"/>
        <rFont val="Book Antiqua"/>
        <family val="1"/>
      </rPr>
      <t>5</t>
    </r>
    <r>
      <rPr>
        <sz val="10"/>
        <color indexed="10"/>
        <rFont val="標楷體"/>
        <family val="4"/>
        <charset val="136"/>
      </rPr>
      <t>月</t>
    </r>
    <r>
      <rPr>
        <sz val="10"/>
        <color indexed="10"/>
        <rFont val="Book Antiqua"/>
        <family val="1"/>
      </rPr>
      <t>11</t>
    </r>
    <r>
      <rPr>
        <sz val="10"/>
        <color indexed="10"/>
        <rFont val="標楷體"/>
        <family val="4"/>
        <charset val="136"/>
      </rPr>
      <t>日保險業財務報告編製準則修正發布前，原帳列投資性不動產之後續衡量已採用公允價值模式者，</t>
    </r>
    <r>
      <rPr>
        <sz val="10"/>
        <rFont val="標楷體"/>
        <family val="4"/>
        <charset val="136"/>
      </rPr>
      <t>若市價高於帳面價值，則以稅後增值金額之</t>
    </r>
    <r>
      <rPr>
        <b/>
        <sz val="10"/>
        <rFont val="Book Antiqua"/>
        <family val="1"/>
      </rPr>
      <t>85%</t>
    </r>
    <r>
      <rPr>
        <sz val="10"/>
        <rFont val="標楷體"/>
        <family val="4"/>
        <charset val="136"/>
      </rPr>
      <t>列入自有資本</t>
    </r>
    <r>
      <rPr>
        <sz val="10"/>
        <color indexed="10"/>
        <rFont val="標楷體"/>
        <family val="4"/>
        <charset val="136"/>
      </rPr>
      <t>；前述修正發布後採用公允價值模式者，以稅後增值金額之</t>
    </r>
    <r>
      <rPr>
        <sz val="10"/>
        <color indexed="10"/>
        <rFont val="Book Antiqua"/>
        <family val="1"/>
      </rPr>
      <t>100%</t>
    </r>
    <r>
      <rPr>
        <sz val="10"/>
        <color indexed="10"/>
        <rFont val="標楷體"/>
        <family val="4"/>
        <charset val="136"/>
      </rPr>
      <t>列入自有資本</t>
    </r>
    <r>
      <rPr>
        <sz val="10"/>
        <rFont val="標楷體"/>
        <family val="4"/>
        <charset val="136"/>
      </rPr>
      <t>。若市價低於帳面價值，且未經會計師以減損認列者，則以稅後減少金額之</t>
    </r>
    <r>
      <rPr>
        <sz val="10"/>
        <rFont val="Book Antiqua"/>
        <family val="1"/>
      </rPr>
      <t>100%</t>
    </r>
    <r>
      <rPr>
        <sz val="10"/>
        <rFont val="標楷體"/>
        <family val="4"/>
        <charset val="136"/>
      </rPr>
      <t>由自有資本扣除。</t>
    </r>
    <phoneticPr fontId="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</si>
</sst>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48">
    <numFmt numFmtId="41" formatCode="_-* #,##0_-;\-* #,##0_-;_-* &quot;-&quot;_-;_-@_-"/>
    <numFmt numFmtId="43" formatCode="_-* #,##0.00_-;\-* #,##0.00_-;_-* &quot;-&quot;??_-;_-@_-"/>
    <numFmt numFmtId="176" formatCode="_(* #,##0_);_(* \(#,##0\);_(* &quot;-&quot;_);_(@_)"/>
    <numFmt numFmtId="177" formatCode="_(* #,##0.00_);_(* \(#,##0.00\);_(* &quot;-&quot;??_);_(@_)"/>
    <numFmt numFmtId="178" formatCode="_-* #,##0_-;\-* #,##0_-;_-* &quot;-&quot;??_-;_-@_-"/>
    <numFmt numFmtId="179" formatCode="#,##0_ "/>
    <numFmt numFmtId="180" formatCode="#,##0_);[Red]\(#,##0\)"/>
    <numFmt numFmtId="181" formatCode="&quot;$&quot;#,##0_);[Red]\(&quot;$&quot;#,##0\)"/>
    <numFmt numFmtId="182" formatCode="#,##0_ ;[Red]\-#,##0\ "/>
    <numFmt numFmtId="183" formatCode="_(* #,##0_);_(* \(#,##0\);_(* &quot;-&quot;??_);_(@_)"/>
    <numFmt numFmtId="184" formatCode="yyyy/mm/dd"/>
    <numFmt numFmtId="185" formatCode="#,###;\-#,###;\-\ "/>
    <numFmt numFmtId="186" formatCode="#,###.00%;\-#,###.00%;\-"/>
    <numFmt numFmtId="187" formatCode="#,###;\-#,###;\-"/>
    <numFmt numFmtId="188" formatCode="0.00_ "/>
    <numFmt numFmtId="189" formatCode="?,???,???,??0"/>
    <numFmt numFmtId="190" formatCode="??0.00%"/>
    <numFmt numFmtId="191" formatCode="0.0000_ "/>
    <numFmt numFmtId="192" formatCode="?,???,???,???"/>
    <numFmt numFmtId="193" formatCode="0.0000"/>
    <numFmt numFmtId="194" formatCode="?0.0000"/>
    <numFmt numFmtId="195" formatCode="0.0000_);[Red]\(0.0000\)"/>
    <numFmt numFmtId="196" formatCode="0.000_ "/>
    <numFmt numFmtId="197" formatCode="#"/>
    <numFmt numFmtId="198" formatCode="#,##0;\-#,##0;#"/>
    <numFmt numFmtId="199" formatCode="0.00_);[Red]\(0.00\)"/>
    <numFmt numFmtId="200" formatCode="_(* #,##0.0000_);_(* \(#,##0.0000\);_(* &quot;-&quot;??_);_(@_)"/>
    <numFmt numFmtId="201" formatCode="0.00%;\-0.00%;#"/>
    <numFmt numFmtId="202" formatCode="_(* #,##0.00_);_(* \(#,##0.00\);_(* &quot;-&quot;_);_(@_)"/>
    <numFmt numFmtId="203" formatCode="0.0000_);\(0.0000\)"/>
    <numFmt numFmtId="204" formatCode="0_ "/>
    <numFmt numFmtId="205" formatCode="0_);[Red]\(0\)"/>
    <numFmt numFmtId="206" formatCode="?0.00000"/>
    <numFmt numFmtId="207" formatCode="#,###;\-#,###;0;\-"/>
    <numFmt numFmtId="208" formatCode="#,###.0000%;\-#,###.0000%;\-"/>
    <numFmt numFmtId="209" formatCode="m&quot;月&quot;d&quot;日&quot;"/>
    <numFmt numFmtId="210" formatCode="_._.* \(#,##0\)_%;_._.* #,##0_)_%;_._.* 0_)_%;_._.@_)_%"/>
    <numFmt numFmtId="211" formatCode="* \(#,##0\);* #,##0_);&quot;-&quot;??_);@"/>
    <numFmt numFmtId="212" formatCode="* #,##0_);* \(#,##0\);&quot;-&quot;??_);@"/>
    <numFmt numFmtId="213" formatCode="_-[$€-2]* #,##0.00_-;\-[$€-2]* #,##0.00_-;_-[$€-2]* &quot;-&quot;??_-"/>
    <numFmt numFmtId="214" formatCode="0%_);\(0%\)"/>
    <numFmt numFmtId="215" formatCode="&quot;Yes&quot;;&quot;Yes&quot;;&quot;No&quot;"/>
    <numFmt numFmtId="216" formatCode="#,##0_);\(#,##0\)"/>
    <numFmt numFmtId="217" formatCode="0.00000_ "/>
    <numFmt numFmtId="218" formatCode="yyyy/m/d;@"/>
    <numFmt numFmtId="219" formatCode="#,###_0;\-#,###_0;#"/>
    <numFmt numFmtId="220" formatCode="0.000"/>
    <numFmt numFmtId="221" formatCode="_-* #,##0.0000_-;\-* #,##0.0000_-;_-* &quot;-&quot;??_-;_-@_-"/>
  </numFmts>
  <fonts count="105">
    <font>
      <sz val="12"/>
      <name val="新細明體"/>
      <family val="1"/>
      <charset val="136"/>
    </font>
    <font>
      <sz val="10"/>
      <name val="Arial"/>
      <family val="2"/>
    </font>
    <font>
      <sz val="12"/>
      <color indexed="8"/>
      <name val="新細明體"/>
      <family val="1"/>
      <charset val="136"/>
    </font>
    <font>
      <sz val="12"/>
      <color indexed="9"/>
      <name val="新細明體"/>
      <family val="1"/>
      <charset val="136"/>
    </font>
    <font>
      <sz val="8"/>
      <name val="Times New Roman"/>
      <family val="1"/>
    </font>
    <font>
      <sz val="12"/>
      <name val="新細明體"/>
      <family val="1"/>
      <charset val="136"/>
    </font>
    <font>
      <b/>
      <sz val="8"/>
      <name val="Arial"/>
      <family val="2"/>
    </font>
    <font>
      <b/>
      <sz val="9"/>
      <name val="Arial"/>
      <family val="2"/>
    </font>
    <font>
      <sz val="8"/>
      <name val="Arial"/>
      <family val="2"/>
    </font>
    <font>
      <sz val="12"/>
      <name val="Times New Roman"/>
      <family val="1"/>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name val="Courier"/>
      <family val="3"/>
    </font>
    <font>
      <sz val="12"/>
      <color indexed="5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9"/>
      <name val="新細明體"/>
      <family val="1"/>
      <charset val="136"/>
    </font>
    <font>
      <sz val="10"/>
      <name val="標楷體"/>
      <family val="4"/>
      <charset val="136"/>
    </font>
    <font>
      <sz val="12"/>
      <name val="標楷體"/>
      <family val="4"/>
      <charset val="136"/>
    </font>
    <font>
      <sz val="9"/>
      <name val="細明體"/>
      <family val="3"/>
      <charset val="136"/>
    </font>
    <font>
      <sz val="10"/>
      <name val="新細明體"/>
      <family val="1"/>
      <charset val="136"/>
    </font>
    <font>
      <sz val="10"/>
      <name val="Times New Roman"/>
      <family val="1"/>
    </font>
    <font>
      <sz val="9"/>
      <name val="標楷體"/>
      <family val="4"/>
      <charset val="136"/>
    </font>
    <font>
      <u/>
      <sz val="10"/>
      <name val="標楷體"/>
      <family val="4"/>
      <charset val="136"/>
    </font>
    <font>
      <sz val="10"/>
      <color indexed="10"/>
      <name val="標楷體"/>
      <family val="4"/>
      <charset val="136"/>
    </font>
    <font>
      <b/>
      <u/>
      <sz val="10"/>
      <name val="標楷體"/>
      <family val="4"/>
      <charset val="136"/>
    </font>
    <font>
      <sz val="10"/>
      <color indexed="10"/>
      <name val="Times New Roman"/>
      <family val="1"/>
    </font>
    <font>
      <i/>
      <sz val="10"/>
      <name val="標楷體"/>
      <family val="4"/>
      <charset val="136"/>
    </font>
    <font>
      <sz val="12"/>
      <color indexed="10"/>
      <name val="Times New Roman"/>
      <family val="1"/>
    </font>
    <font>
      <b/>
      <sz val="10"/>
      <name val="標楷體"/>
      <family val="4"/>
      <charset val="136"/>
    </font>
    <font>
      <b/>
      <sz val="12"/>
      <name val="Times New Roman"/>
      <family val="1"/>
    </font>
    <font>
      <i/>
      <vertAlign val="subscript"/>
      <sz val="10"/>
      <name val="標楷體"/>
      <family val="4"/>
      <charset val="136"/>
    </font>
    <font>
      <i/>
      <vertAlign val="superscript"/>
      <sz val="10"/>
      <name val="標楷體"/>
      <family val="4"/>
      <charset val="136"/>
    </font>
    <font>
      <sz val="10"/>
      <name val="細明體"/>
      <family val="3"/>
      <charset val="136"/>
    </font>
    <font>
      <b/>
      <sz val="9"/>
      <color indexed="81"/>
      <name val="新細明體"/>
      <family val="1"/>
      <charset val="136"/>
    </font>
    <font>
      <sz val="9"/>
      <color indexed="81"/>
      <name val="新細明體"/>
      <family val="1"/>
      <charset val="136"/>
    </font>
    <font>
      <sz val="9"/>
      <name val="Times New Roman"/>
      <family val="1"/>
    </font>
    <font>
      <sz val="36"/>
      <name val="標楷體"/>
      <family val="4"/>
      <charset val="136"/>
    </font>
    <font>
      <sz val="24"/>
      <name val="標楷體"/>
      <family val="4"/>
      <charset val="136"/>
    </font>
    <font>
      <sz val="32"/>
      <name val="標楷體"/>
      <family val="4"/>
      <charset val="136"/>
    </font>
    <font>
      <sz val="32"/>
      <name val="Times New Roman"/>
      <family val="1"/>
    </font>
    <font>
      <b/>
      <u/>
      <sz val="32"/>
      <name val="標楷體"/>
      <family val="4"/>
      <charset val="136"/>
    </font>
    <font>
      <sz val="30"/>
      <name val="標楷體"/>
      <family val="4"/>
      <charset val="136"/>
    </font>
    <font>
      <sz val="16"/>
      <name val="標楷體"/>
      <family val="4"/>
      <charset val="136"/>
    </font>
    <font>
      <b/>
      <sz val="11"/>
      <name val="Arial"/>
      <family val="2"/>
    </font>
    <font>
      <sz val="11"/>
      <color indexed="12"/>
      <name val="Times New Roman"/>
      <family val="1"/>
    </font>
    <font>
      <b/>
      <sz val="10"/>
      <name val="Arial"/>
      <family val="2"/>
    </font>
    <font>
      <sz val="10"/>
      <color indexed="8"/>
      <name val="Arial"/>
      <family val="2"/>
    </font>
    <font>
      <b/>
      <sz val="10"/>
      <color indexed="10"/>
      <name val="Arial"/>
      <family val="2"/>
    </font>
    <font>
      <sz val="12"/>
      <color indexed="17"/>
      <name val="標楷體"/>
      <family val="4"/>
      <charset val="136"/>
    </font>
    <font>
      <sz val="12"/>
      <color indexed="20"/>
      <name val="標楷體"/>
      <family val="4"/>
      <charset val="136"/>
    </font>
    <font>
      <sz val="9"/>
      <name val="Arial"/>
      <family val="2"/>
    </font>
    <font>
      <sz val="12"/>
      <color indexed="8"/>
      <name val="標楷體"/>
      <family val="4"/>
      <charset val="136"/>
    </font>
    <font>
      <u/>
      <sz val="10"/>
      <name val="Book Antiqua"/>
      <family val="1"/>
    </font>
    <font>
      <sz val="11"/>
      <name val="ＭＳ Ｐゴシック"/>
      <family val="2"/>
      <charset val="128"/>
    </font>
    <font>
      <sz val="11"/>
      <name val="돋움"/>
      <family val="2"/>
      <charset val="129"/>
    </font>
    <font>
      <sz val="8"/>
      <color indexed="8"/>
      <name val="新細明體"/>
      <family val="1"/>
      <charset val="136"/>
    </font>
    <font>
      <sz val="11"/>
      <name val="ＭＳ ゴシック"/>
      <family val="3"/>
      <charset val="128"/>
    </font>
    <font>
      <sz val="12"/>
      <color indexed="36"/>
      <name val="新細明體"/>
      <family val="1"/>
      <charset val="136"/>
    </font>
    <font>
      <sz val="12"/>
      <color indexed="8"/>
      <name val="新細明體"/>
      <family val="1"/>
      <charset val="136"/>
    </font>
    <font>
      <sz val="10"/>
      <name val="Book Antiqua"/>
      <family val="1"/>
    </font>
    <font>
      <sz val="12"/>
      <name val="Book Antiqua"/>
      <family val="1"/>
    </font>
    <font>
      <sz val="10"/>
      <color indexed="10"/>
      <name val="Book Antiqua"/>
      <family val="1"/>
    </font>
    <font>
      <b/>
      <sz val="16"/>
      <name val="標楷體"/>
      <family val="4"/>
      <charset val="136"/>
    </font>
    <font>
      <sz val="10"/>
      <name val="華康仿宋體W6"/>
      <family val="3"/>
      <charset val="136"/>
    </font>
    <font>
      <b/>
      <sz val="10"/>
      <name val="Book Antiqua"/>
      <family val="1"/>
    </font>
    <font>
      <sz val="11"/>
      <name val="Book Antiqua"/>
      <family val="1"/>
    </font>
    <font>
      <sz val="11"/>
      <name val="標楷體"/>
      <family val="4"/>
      <charset val="136"/>
    </font>
    <font>
      <sz val="10"/>
      <color indexed="30"/>
      <name val="標楷體"/>
      <family val="4"/>
      <charset val="136"/>
    </font>
    <font>
      <sz val="11"/>
      <name val="新細明體"/>
      <family val="1"/>
      <charset val="136"/>
    </font>
    <font>
      <b/>
      <sz val="12"/>
      <name val="標楷體"/>
      <family val="4"/>
      <charset val="136"/>
    </font>
    <font>
      <vertAlign val="subscript"/>
      <sz val="12"/>
      <name val="Times New Roman"/>
      <family val="1"/>
    </font>
    <font>
      <strike/>
      <sz val="12"/>
      <name val="Times New Roman"/>
      <family val="1"/>
    </font>
    <font>
      <b/>
      <i/>
      <sz val="12"/>
      <name val="Times New Roman"/>
      <family val="1"/>
    </font>
    <font>
      <b/>
      <i/>
      <vertAlign val="subscript"/>
      <sz val="12"/>
      <name val="Times New Roman"/>
      <family val="1"/>
    </font>
    <font>
      <b/>
      <i/>
      <vertAlign val="superscript"/>
      <sz val="12"/>
      <name val="Times New Roman"/>
      <family val="1"/>
    </font>
    <font>
      <u/>
      <sz val="12"/>
      <name val="Times New Roman"/>
      <family val="1"/>
    </font>
    <font>
      <sz val="12"/>
      <color theme="1"/>
      <name val="新細明體"/>
      <family val="1"/>
      <charset val="136"/>
      <scheme val="minor"/>
    </font>
    <font>
      <sz val="12"/>
      <color theme="1"/>
      <name val="標楷體"/>
      <family val="4"/>
      <charset val="136"/>
    </font>
    <font>
      <u/>
      <sz val="12"/>
      <color theme="10"/>
      <name val="新細明體"/>
      <family val="1"/>
      <charset val="136"/>
    </font>
    <font>
      <sz val="12"/>
      <color rgb="FFFF0000"/>
      <name val="Times New Roman"/>
      <family val="1"/>
    </font>
    <font>
      <sz val="12"/>
      <color theme="1"/>
      <name val="Times New Roman"/>
      <family val="1"/>
    </font>
    <font>
      <strike/>
      <sz val="12"/>
      <color theme="1"/>
      <name val="Times New Roman"/>
      <family val="1"/>
    </font>
    <font>
      <u/>
      <sz val="12"/>
      <color theme="1"/>
      <name val="Times New Roman"/>
      <family val="1"/>
    </font>
    <font>
      <b/>
      <sz val="12"/>
      <color theme="1"/>
      <name val="Times New Roman"/>
      <family val="1"/>
    </font>
    <font>
      <sz val="10"/>
      <color rgb="FFFF0000"/>
      <name val="Book Antiqua"/>
      <family val="1"/>
    </font>
    <font>
      <sz val="12"/>
      <color indexed="10"/>
      <name val="標楷體"/>
      <family val="4"/>
      <charset val="136"/>
    </font>
    <font>
      <b/>
      <sz val="12"/>
      <color rgb="FFFF0000"/>
      <name val="標楷體"/>
      <family val="4"/>
      <charset val="136"/>
    </font>
    <font>
      <sz val="12"/>
      <color rgb="FFFF0000"/>
      <name val="標楷體"/>
      <family val="4"/>
      <charset val="136"/>
    </font>
    <font>
      <b/>
      <sz val="12"/>
      <color rgb="FFFF0000"/>
      <name val="Times New Roman"/>
      <family val="1"/>
    </font>
    <font>
      <sz val="12"/>
      <color rgb="FFFF0000"/>
      <name val="細明體"/>
      <family val="3"/>
      <charset val="136"/>
    </font>
    <font>
      <sz val="12"/>
      <color indexed="8"/>
      <name val="Times New Roman"/>
      <family val="1"/>
    </font>
    <font>
      <sz val="10"/>
      <color theme="1"/>
      <name val="Book Antiqua"/>
      <family val="1"/>
    </font>
    <font>
      <sz val="10"/>
      <color indexed="8"/>
      <name val="標楷體"/>
      <family val="4"/>
      <charset val="136"/>
    </font>
    <font>
      <sz val="10"/>
      <color indexed="8"/>
      <name val="Book Antiqua"/>
      <family val="1"/>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55"/>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FFF00"/>
        <bgColor indexed="64"/>
      </patternFill>
    </fill>
    <fill>
      <patternFill patternType="gray0625">
        <bgColor indexed="42"/>
      </patternFill>
    </fill>
    <fill>
      <patternFill patternType="solid">
        <fgColor rgb="FFFFFF99"/>
        <bgColor indexed="64"/>
      </patternFill>
    </fill>
  </fills>
  <borders count="273">
    <border>
      <left/>
      <right/>
      <top/>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style="thin">
        <color indexed="64"/>
      </left>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hair">
        <color indexed="64"/>
      </bottom>
      <diagonal/>
    </border>
    <border>
      <left style="slantDashDot">
        <color indexed="64"/>
      </left>
      <right style="thin">
        <color indexed="64"/>
      </right>
      <top style="slantDashDot">
        <color indexed="64"/>
      </top>
      <bottom/>
      <diagonal/>
    </border>
    <border>
      <left style="thin">
        <color indexed="64"/>
      </left>
      <right/>
      <top style="slantDashDot">
        <color indexed="64"/>
      </top>
      <bottom style="hair">
        <color indexed="64"/>
      </bottom>
      <diagonal/>
    </border>
    <border>
      <left style="hair">
        <color indexed="64"/>
      </left>
      <right style="hair">
        <color indexed="64"/>
      </right>
      <top style="slantDashDot">
        <color indexed="64"/>
      </top>
      <bottom style="hair">
        <color indexed="64"/>
      </bottom>
      <diagonal/>
    </border>
    <border>
      <left style="hair">
        <color indexed="64"/>
      </left>
      <right/>
      <top style="slantDashDot">
        <color indexed="64"/>
      </top>
      <bottom style="hair">
        <color indexed="64"/>
      </bottom>
      <diagonal/>
    </border>
    <border>
      <left style="thin">
        <color indexed="64"/>
      </left>
      <right style="slantDashDot">
        <color indexed="64"/>
      </right>
      <top style="slantDashDot">
        <color indexed="64"/>
      </top>
      <bottom style="hair">
        <color indexed="64"/>
      </bottom>
      <diagonal/>
    </border>
    <border>
      <left style="slantDashDot">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slantDashDot">
        <color indexed="64"/>
      </right>
      <top/>
      <bottom style="thin">
        <color indexed="64"/>
      </bottom>
      <diagonal/>
    </border>
    <border>
      <left style="slantDashDot">
        <color indexed="64"/>
      </left>
      <right style="thin">
        <color indexed="64"/>
      </right>
      <top style="hair">
        <color indexed="64"/>
      </top>
      <bottom style="hair">
        <color indexed="64"/>
      </bottom>
      <diagonal/>
    </border>
    <border>
      <left style="slantDashDot">
        <color indexed="64"/>
      </left>
      <right style="thin">
        <color indexed="64"/>
      </right>
      <top style="hair">
        <color indexed="64"/>
      </top>
      <bottom style="thin">
        <color indexed="64"/>
      </bottom>
      <diagonal/>
    </border>
    <border>
      <left style="slantDashDot">
        <color indexed="64"/>
      </left>
      <right style="thin">
        <color indexed="64"/>
      </right>
      <top style="thin">
        <color indexed="64"/>
      </top>
      <bottom style="hair">
        <color indexed="64"/>
      </bottom>
      <diagonal/>
    </border>
    <border>
      <left style="slantDashDot">
        <color indexed="64"/>
      </left>
      <right style="thin">
        <color indexed="64"/>
      </right>
      <top style="hair">
        <color indexed="64"/>
      </top>
      <bottom style="double">
        <color indexed="64"/>
      </bottom>
      <diagonal/>
    </border>
    <border>
      <left style="slantDashDot">
        <color indexed="64"/>
      </left>
      <right style="thin">
        <color indexed="64"/>
      </right>
      <top/>
      <bottom style="slantDashDot">
        <color indexed="64"/>
      </bottom>
      <diagonal/>
    </border>
    <border>
      <left style="slantDashDot">
        <color indexed="64"/>
      </left>
      <right/>
      <top style="slantDashDot">
        <color indexed="64"/>
      </top>
      <bottom style="thin">
        <color indexed="64"/>
      </bottom>
      <diagonal/>
    </border>
    <border>
      <left style="thin">
        <color indexed="64"/>
      </left>
      <right/>
      <top style="slantDashDot">
        <color indexed="64"/>
      </top>
      <bottom style="thin">
        <color indexed="64"/>
      </bottom>
      <diagonal/>
    </border>
    <border>
      <left/>
      <right style="slantDashDot">
        <color indexed="64"/>
      </right>
      <top style="slantDashDot">
        <color indexed="64"/>
      </top>
      <bottom style="thin">
        <color indexed="64"/>
      </bottom>
      <diagonal/>
    </border>
    <border>
      <left style="slantDashDot">
        <color indexed="64"/>
      </left>
      <right/>
      <top style="thin">
        <color indexed="64"/>
      </top>
      <bottom style="hair">
        <color indexed="64"/>
      </bottom>
      <diagonal/>
    </border>
    <border>
      <left style="slantDashDot">
        <color indexed="64"/>
      </left>
      <right/>
      <top/>
      <bottom style="slantDashDot">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slantDashDot">
        <color indexed="64"/>
      </left>
      <right style="thin">
        <color indexed="64"/>
      </right>
      <top style="slantDashDot">
        <color indexed="64"/>
      </top>
      <bottom style="thin">
        <color indexed="64"/>
      </bottom>
      <diagonal/>
    </border>
    <border>
      <left style="slantDashDot">
        <color indexed="64"/>
      </left>
      <right style="thin">
        <color indexed="64"/>
      </right>
      <top/>
      <bottom style="double">
        <color indexed="64"/>
      </bottom>
      <diagonal/>
    </border>
    <border>
      <left style="slantDashDot">
        <color indexed="64"/>
      </left>
      <right/>
      <top style="thin">
        <color indexed="64"/>
      </top>
      <bottom style="double">
        <color indexed="64"/>
      </bottom>
      <diagonal/>
    </border>
    <border>
      <left style="slantDashDot">
        <color indexed="64"/>
      </left>
      <right/>
      <top style="double">
        <color indexed="64"/>
      </top>
      <bottom style="slantDashDot">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slantDashDot">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slantDashDot">
        <color indexed="64"/>
      </right>
      <top/>
      <bottom style="hair">
        <color indexed="64"/>
      </bottom>
      <diagonal/>
    </border>
    <border>
      <left/>
      <right style="slantDashDot">
        <color indexed="64"/>
      </right>
      <top style="hair">
        <color indexed="64"/>
      </top>
      <bottom style="hair">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slantDashDot">
        <color indexed="64"/>
      </right>
      <top style="thin">
        <color indexed="64"/>
      </top>
      <bottom style="double">
        <color indexed="64"/>
      </bottom>
      <diagonal/>
    </border>
    <border>
      <left style="thin">
        <color indexed="64"/>
      </left>
      <right/>
      <top/>
      <bottom style="slantDashDot">
        <color indexed="64"/>
      </bottom>
      <diagonal/>
    </border>
    <border>
      <left style="thin">
        <color indexed="64"/>
      </left>
      <right style="thin">
        <color indexed="64"/>
      </right>
      <top/>
      <bottom style="slantDashDot">
        <color indexed="64"/>
      </bottom>
      <diagonal/>
    </border>
    <border>
      <left/>
      <right style="slantDashDot">
        <color indexed="64"/>
      </right>
      <top style="thin">
        <color indexed="64"/>
      </top>
      <bottom style="slantDashDot">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slantDashDot">
        <color indexed="64"/>
      </right>
      <top style="thin">
        <color indexed="64"/>
      </top>
      <bottom style="hair">
        <color indexed="64"/>
      </bottom>
      <diagonal/>
    </border>
    <border>
      <left style="thin">
        <color indexed="64"/>
      </left>
      <right/>
      <top style="double">
        <color indexed="64"/>
      </top>
      <bottom style="slantDashDot">
        <color indexed="64"/>
      </bottom>
      <diagonal/>
    </border>
    <border>
      <left style="thin">
        <color indexed="64"/>
      </left>
      <right style="thin">
        <color indexed="64"/>
      </right>
      <top style="double">
        <color indexed="64"/>
      </top>
      <bottom style="slantDashDot">
        <color indexed="64"/>
      </bottom>
      <diagonal/>
    </border>
    <border>
      <left/>
      <right style="slantDashDot">
        <color indexed="64"/>
      </right>
      <top style="double">
        <color indexed="64"/>
      </top>
      <bottom style="slantDashDot">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slantDashDot">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slantDashDot">
        <color indexed="64"/>
      </right>
      <top style="hair">
        <color indexed="64"/>
      </top>
      <bottom style="hair">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thin">
        <color indexed="64"/>
      </left>
      <right style="slantDashDot">
        <color indexed="64"/>
      </right>
      <top style="hair">
        <color indexed="64"/>
      </top>
      <bottom style="thin">
        <color indexed="64"/>
      </bottom>
      <diagonal/>
    </border>
    <border>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slantDashDot">
        <color indexed="64"/>
      </right>
      <top style="hair">
        <color indexed="64"/>
      </top>
      <bottom style="double">
        <color indexed="64"/>
      </bottom>
      <diagonal/>
    </border>
    <border>
      <left/>
      <right/>
      <top/>
      <bottom style="slantDashDot">
        <color indexed="64"/>
      </bottom>
      <diagonal/>
    </border>
    <border>
      <left style="hair">
        <color indexed="64"/>
      </left>
      <right style="hair">
        <color indexed="64"/>
      </right>
      <top/>
      <bottom style="slantDashDot">
        <color indexed="64"/>
      </bottom>
      <diagonal/>
    </border>
    <border>
      <left style="hair">
        <color indexed="64"/>
      </left>
      <right/>
      <top/>
      <bottom style="slantDashDot">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right style="thin">
        <color indexed="64"/>
      </right>
      <top style="hair">
        <color indexed="64"/>
      </top>
      <bottom style="hair">
        <color indexed="64"/>
      </bottom>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style="thin">
        <color indexed="64"/>
      </left>
      <right style="thin">
        <color indexed="64"/>
      </right>
      <top style="hair">
        <color indexed="64"/>
      </top>
      <bottom style="thin">
        <color indexed="64"/>
      </bottom>
      <diagonal style="thin">
        <color indexed="64"/>
      </diagonal>
    </border>
    <border>
      <left/>
      <right style="slantDashDot">
        <color indexed="64"/>
      </right>
      <top/>
      <bottom style="slantDashDot">
        <color indexed="64"/>
      </bottom>
      <diagonal/>
    </border>
    <border>
      <left style="thin">
        <color indexed="64"/>
      </left>
      <right style="slantDashDot">
        <color indexed="64"/>
      </right>
      <top/>
      <bottom style="slantDashDot">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left style="hair">
        <color indexed="64"/>
      </left>
      <right style="hair">
        <color indexed="64"/>
      </right>
      <top/>
      <bottom/>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double">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double">
        <color indexed="64"/>
      </bottom>
      <diagonal/>
    </border>
    <border diagonalUp="1" diagonalDown="1">
      <left style="thin">
        <color indexed="64"/>
      </left>
      <right style="thin">
        <color indexed="64"/>
      </right>
      <top style="hair">
        <color indexed="64"/>
      </top>
      <bottom style="double">
        <color indexed="64"/>
      </bottom>
      <diagonal style="hair">
        <color indexed="64"/>
      </diagonal>
    </border>
    <border>
      <left/>
      <right style="medium">
        <color indexed="64"/>
      </right>
      <top style="hair">
        <color indexed="64"/>
      </top>
      <bottom style="double">
        <color indexed="64"/>
      </bottom>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thin">
        <color indexed="64"/>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medium">
        <color indexed="64"/>
      </right>
      <top/>
      <bottom style="thin">
        <color indexed="64"/>
      </bottom>
      <diagonal style="thin">
        <color indexed="64"/>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medium">
        <color indexed="64"/>
      </top>
      <bottom style="thin">
        <color indexed="64"/>
      </bottom>
      <diagonal/>
    </border>
    <border diagonalUp="1" diagonalDown="1">
      <left style="thin">
        <color indexed="64"/>
      </left>
      <right style="thin">
        <color indexed="64"/>
      </right>
      <top style="hair">
        <color indexed="64"/>
      </top>
      <bottom style="hair">
        <color indexed="64"/>
      </bottom>
      <diagonal style="hair">
        <color indexed="64"/>
      </diagonal>
    </border>
    <border>
      <left style="medium">
        <color indexed="64"/>
      </left>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top/>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hair">
        <color indexed="64"/>
      </top>
      <bottom/>
      <diagonal/>
    </border>
    <border>
      <left style="medium">
        <color indexed="64"/>
      </left>
      <right style="thin">
        <color indexed="64"/>
      </right>
      <top style="double">
        <color indexed="64"/>
      </top>
      <bottom style="medium">
        <color indexed="64"/>
      </bottom>
      <diagonal/>
    </border>
    <border>
      <left style="hair">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bottom style="hair">
        <color indexed="64"/>
      </bottom>
      <diagonal/>
    </border>
    <border>
      <left/>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diagonalUp="1" diagonalDown="1">
      <left/>
      <right style="thin">
        <color indexed="64"/>
      </right>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hair">
        <color indexed="64"/>
      </right>
      <top/>
      <bottom style="medium">
        <color indexed="64"/>
      </bottom>
      <diagonal/>
    </border>
    <border>
      <left style="thin">
        <color indexed="64"/>
      </left>
      <right style="hair">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thin">
        <color indexed="64"/>
      </right>
      <top style="double">
        <color indexed="64"/>
      </top>
      <bottom style="medium">
        <color indexed="64"/>
      </bottom>
      <diagonal/>
    </border>
    <border diagonalUp="1" diagonalDown="1">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diagonal style="thin">
        <color indexed="64"/>
      </diagonal>
    </border>
    <border diagonalUp="1" diagonalDown="1">
      <left style="thin">
        <color indexed="64"/>
      </left>
      <right/>
      <top style="thin">
        <color indexed="64"/>
      </top>
      <bottom/>
      <diagonal style="thin">
        <color indexed="64"/>
      </diagonal>
    </border>
    <border>
      <left style="medium">
        <color indexed="64"/>
      </left>
      <right style="thin">
        <color indexed="64"/>
      </right>
      <top/>
      <bottom/>
      <diagonal/>
    </border>
    <border diagonalUp="1" diagonalDown="1">
      <left style="medium">
        <color indexed="64"/>
      </left>
      <right style="thin">
        <color indexed="64"/>
      </right>
      <top/>
      <bottom style="thin">
        <color indexed="64"/>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style="medium">
        <color indexed="64"/>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diagonalUp="1" diagonalDown="1">
      <left/>
      <right style="thin">
        <color indexed="64"/>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left style="thin">
        <color indexed="64"/>
      </left>
      <right style="medium">
        <color indexed="64"/>
      </right>
      <top style="medium">
        <color indexed="64"/>
      </top>
      <bottom/>
      <diagonal/>
    </border>
    <border diagonalUp="1" diagonalDown="1">
      <left style="thin">
        <color indexed="64"/>
      </left>
      <right style="thin">
        <color indexed="64"/>
      </right>
      <top/>
      <bottom/>
      <diagonal style="thin">
        <color indexed="64"/>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top style="medium">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diagonal style="thin">
        <color indexed="64"/>
      </diagonal>
    </border>
    <border diagonalUp="1" diagonalDown="1">
      <left style="thin">
        <color indexed="64"/>
      </left>
      <right style="thin">
        <color indexed="64"/>
      </right>
      <top style="hair">
        <color indexed="64"/>
      </top>
      <bottom style="hair">
        <color indexed="64"/>
      </bottom>
      <diagonal style="thin">
        <color indexed="10"/>
      </diagonal>
    </border>
    <border diagonalUp="1" diagonalDown="1">
      <left style="thin">
        <color indexed="64"/>
      </left>
      <right style="thin">
        <color indexed="64"/>
      </right>
      <top style="hair">
        <color indexed="64"/>
      </top>
      <bottom/>
      <diagonal style="thin">
        <color indexed="10"/>
      </diagonal>
    </border>
    <border>
      <left style="thin">
        <color indexed="64"/>
      </left>
      <right style="hair">
        <color indexed="64"/>
      </right>
      <top style="medium">
        <color indexed="64"/>
      </top>
      <bottom style="thin">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double">
        <color indexed="64"/>
      </bottom>
      <diagonal/>
    </border>
    <border>
      <left style="hair">
        <color indexed="64"/>
      </left>
      <right style="hair">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slantDashDot">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s>
  <cellStyleXfs count="257">
    <xf numFmtId="0" fontId="0" fillId="0" borderId="0"/>
    <xf numFmtId="0" fontId="1" fillId="0" borderId="0"/>
    <xf numFmtId="0" fontId="2" fillId="2" borderId="0" applyNumberFormat="0" applyBorder="0" applyAlignment="0" applyProtection="0">
      <alignment vertical="center"/>
    </xf>
    <xf numFmtId="0" fontId="2" fillId="3" borderId="0" applyNumberFormat="0" applyBorder="0" applyAlignment="0" applyProtection="0">
      <alignment vertical="center"/>
    </xf>
    <xf numFmtId="0" fontId="2" fillId="4" borderId="0" applyNumberFormat="0" applyBorder="0" applyAlignment="0" applyProtection="0">
      <alignment vertical="center"/>
    </xf>
    <xf numFmtId="0" fontId="2" fillId="5" borderId="0" applyNumberFormat="0" applyBorder="0" applyAlignment="0" applyProtection="0">
      <alignment vertical="center"/>
    </xf>
    <xf numFmtId="0" fontId="2" fillId="6" borderId="0" applyNumberFormat="0" applyBorder="0" applyAlignment="0" applyProtection="0">
      <alignment vertical="center"/>
    </xf>
    <xf numFmtId="0" fontId="2" fillId="7" borderId="0" applyNumberFormat="0" applyBorder="0" applyAlignment="0" applyProtection="0">
      <alignment vertical="center"/>
    </xf>
    <xf numFmtId="0" fontId="2" fillId="8"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5" borderId="0" applyNumberFormat="0" applyBorder="0" applyAlignment="0" applyProtection="0">
      <alignment vertical="center"/>
    </xf>
    <xf numFmtId="0" fontId="2" fillId="8" borderId="0" applyNumberFormat="0" applyBorder="0" applyAlignment="0" applyProtection="0">
      <alignment vertical="center"/>
    </xf>
    <xf numFmtId="0" fontId="2" fillId="11" borderId="0" applyNumberFormat="0" applyBorder="0" applyAlignment="0" applyProtection="0">
      <alignment vertical="center"/>
    </xf>
    <xf numFmtId="0" fontId="3" fillId="12"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54" fillId="0" borderId="0" applyFill="0" applyBorder="0" applyProtection="0">
      <alignment horizontal="center"/>
      <protection locked="0"/>
    </xf>
    <xf numFmtId="38" fontId="64" fillId="0" borderId="0" applyFont="0" applyFill="0" applyBorder="0" applyAlignment="0" applyProtection="0"/>
    <xf numFmtId="43" fontId="1" fillId="0" borderId="0" applyFont="0" applyFill="0" applyBorder="0" applyAlignment="0" applyProtection="0"/>
    <xf numFmtId="210" fontId="55" fillId="0" borderId="0" applyFill="0" applyBorder="0" applyProtection="0"/>
    <xf numFmtId="211" fontId="31" fillId="0" borderId="0" applyFill="0" applyBorder="0" applyProtection="0"/>
    <xf numFmtId="211" fontId="31" fillId="0" borderId="1" applyFill="0" applyProtection="0"/>
    <xf numFmtId="211" fontId="31" fillId="0" borderId="2" applyFill="0" applyProtection="0"/>
    <xf numFmtId="212" fontId="31" fillId="0" borderId="0" applyFill="0" applyBorder="0" applyProtection="0"/>
    <xf numFmtId="212" fontId="31" fillId="0" borderId="1" applyFill="0" applyProtection="0"/>
    <xf numFmtId="212" fontId="31" fillId="0" borderId="2" applyFill="0" applyProtection="0"/>
    <xf numFmtId="213" fontId="5" fillId="0" borderId="0" applyFont="0" applyFill="0" applyBorder="0" applyAlignment="0" applyProtection="0">
      <alignment vertical="center"/>
    </xf>
    <xf numFmtId="0" fontId="4" fillId="0" borderId="0" applyFill="0" applyBorder="0" applyProtection="0">
      <alignment horizontal="left"/>
    </xf>
    <xf numFmtId="14" fontId="56" fillId="16" borderId="3">
      <alignment horizontal="center" vertical="center" wrapText="1"/>
    </xf>
    <xf numFmtId="0" fontId="54" fillId="0" borderId="0" applyFill="0" applyAlignment="0" applyProtection="0">
      <protection locked="0"/>
    </xf>
    <xf numFmtId="0" fontId="57" fillId="0" borderId="0"/>
    <xf numFmtId="0" fontId="1" fillId="0" borderId="0"/>
    <xf numFmtId="214" fontId="1" fillId="0" borderId="0" applyFont="0" applyFill="0" applyBorder="0" applyAlignment="0" applyProtection="0"/>
    <xf numFmtId="0" fontId="6" fillId="0" borderId="0" applyBorder="0" applyProtection="0">
      <alignment horizontal="left"/>
    </xf>
    <xf numFmtId="0" fontId="7" fillId="0" borderId="0" applyFill="0" applyBorder="0" applyProtection="0">
      <alignment horizontal="left"/>
    </xf>
    <xf numFmtId="0" fontId="8" fillId="0" borderId="4" applyFill="0" applyBorder="0" applyProtection="0">
      <alignment horizontal="left" vertical="top"/>
    </xf>
    <xf numFmtId="0" fontId="58" fillId="0" borderId="0" applyFill="0" applyBorder="0" applyProtection="0">
      <alignment horizontal="left" vertical="top"/>
    </xf>
    <xf numFmtId="0" fontId="9" fillId="0" borderId="0"/>
    <xf numFmtId="0" fontId="5" fillId="0" borderId="0"/>
    <xf numFmtId="0" fontId="87" fillId="0" borderId="0">
      <alignment vertical="center"/>
    </xf>
    <xf numFmtId="0" fontId="88" fillId="0" borderId="0">
      <alignment vertical="center"/>
    </xf>
    <xf numFmtId="0" fontId="1" fillId="0" borderId="0" applyNumberFormat="0" applyFont="0" applyFill="0" applyBorder="0" applyAlignment="0" applyProtection="0"/>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applyNumberFormat="0" applyFont="0" applyFill="0" applyBorder="0" applyAlignment="0" applyProtection="0"/>
    <xf numFmtId="0" fontId="9"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5" fillId="0" borderId="0"/>
    <xf numFmtId="0" fontId="1" fillId="0" borderId="0" applyNumberFormat="0" applyFont="0" applyFill="0" applyBorder="0" applyAlignment="0" applyProtection="0"/>
    <xf numFmtId="0" fontId="5" fillId="0" borderId="0"/>
    <xf numFmtId="0" fontId="2" fillId="0" borderId="0">
      <alignment vertical="center"/>
    </xf>
    <xf numFmtId="0" fontId="1" fillId="0" borderId="0" applyNumberFormat="0" applyFont="0" applyFill="0" applyBorder="0" applyAlignment="0" applyProtection="0"/>
    <xf numFmtId="0" fontId="2" fillId="0" borderId="0">
      <alignment vertical="center"/>
    </xf>
    <xf numFmtId="0" fontId="5" fillId="0" borderId="0">
      <alignment vertical="center"/>
    </xf>
    <xf numFmtId="0" fontId="88" fillId="0" borderId="0">
      <alignment vertical="center"/>
    </xf>
    <xf numFmtId="0" fontId="87" fillId="0" borderId="0">
      <alignment vertical="center"/>
    </xf>
    <xf numFmtId="0" fontId="87" fillId="0" borderId="0">
      <alignment vertical="center"/>
    </xf>
    <xf numFmtId="0" fontId="1" fillId="0" borderId="0" applyNumberFormat="0" applyFont="0" applyFill="0" applyBorder="0" applyAlignment="0" applyProtection="0"/>
    <xf numFmtId="0" fontId="9"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0">
      <alignment vertical="center"/>
    </xf>
    <xf numFmtId="0" fontId="5" fillId="0" borderId="0"/>
    <xf numFmtId="0" fontId="1" fillId="0" borderId="0" applyNumberFormat="0" applyFont="0" applyFill="0" applyBorder="0" applyAlignment="0" applyProtection="0"/>
    <xf numFmtId="0" fontId="87" fillId="0" borderId="0">
      <alignment vertical="center"/>
    </xf>
    <xf numFmtId="0" fontId="2" fillId="0" borderId="0"/>
    <xf numFmtId="0" fontId="1" fillId="0" borderId="0" applyNumberFormat="0" applyFont="0" applyFill="0" applyBorder="0" applyAlignment="0" applyProtection="0"/>
    <xf numFmtId="0" fontId="87" fillId="0" borderId="0">
      <alignment vertical="center"/>
    </xf>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0">
      <alignment vertical="center"/>
    </xf>
    <xf numFmtId="0" fontId="5" fillId="0" borderId="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8"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9" fillId="0" borderId="0"/>
    <xf numFmtId="0" fontId="9" fillId="0" borderId="0"/>
    <xf numFmtId="0" fontId="9" fillId="0" borderId="0"/>
    <xf numFmtId="0" fontId="9" fillId="0" borderId="0"/>
    <xf numFmtId="0" fontId="9" fillId="0" borderId="0"/>
    <xf numFmtId="0" fontId="1" fillId="0" borderId="0" applyNumberFormat="0" applyFont="0" applyFill="0" applyBorder="0" applyAlignment="0" applyProtection="0"/>
    <xf numFmtId="0" fontId="5" fillId="0" borderId="0"/>
    <xf numFmtId="0" fontId="5"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9" fillId="0" borderId="0"/>
    <xf numFmtId="0" fontId="9" fillId="0" borderId="0"/>
    <xf numFmtId="0" fontId="9" fillId="0" borderId="0"/>
    <xf numFmtId="0" fontId="9" fillId="0" borderId="0"/>
    <xf numFmtId="0" fontId="5" fillId="0" borderId="0"/>
    <xf numFmtId="0" fontId="9" fillId="0" borderId="0"/>
    <xf numFmtId="0" fontId="9" fillId="0" borderId="0"/>
    <xf numFmtId="0" fontId="9" fillId="0" borderId="0"/>
    <xf numFmtId="0" fontId="9" fillId="0" borderId="0"/>
    <xf numFmtId="0" fontId="5" fillId="0" borderId="0"/>
    <xf numFmtId="0" fontId="5" fillId="0" borderId="0"/>
    <xf numFmtId="0" fontId="5" fillId="0" borderId="0"/>
    <xf numFmtId="0" fontId="5" fillId="0" borderId="0"/>
    <xf numFmtId="0" fontId="9" fillId="0" borderId="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alignment vertical="center"/>
    </xf>
    <xf numFmtId="43" fontId="1" fillId="0" borderId="0" applyNumberFormat="0" applyFont="0" applyFill="0" applyBorder="0" applyAlignment="0" applyProtection="0"/>
    <xf numFmtId="43" fontId="62" fillId="0" borderId="0" applyFont="0" applyFill="0" applyBorder="0" applyAlignment="0" applyProtection="0">
      <alignment vertical="center"/>
    </xf>
    <xf numFmtId="43" fontId="62" fillId="0" borderId="0" applyFont="0" applyFill="0" applyBorder="0" applyAlignment="0" applyProtection="0">
      <alignment vertical="center"/>
    </xf>
    <xf numFmtId="43" fontId="1" fillId="0" borderId="0" applyNumberFormat="0" applyFont="0" applyFill="0" applyBorder="0" applyAlignment="0" applyProtection="0"/>
    <xf numFmtId="43" fontId="62" fillId="0" borderId="0" applyFont="0" applyFill="0" applyBorder="0" applyAlignment="0" applyProtection="0">
      <alignment vertical="center"/>
    </xf>
    <xf numFmtId="43" fontId="62" fillId="0" borderId="0" applyFont="0" applyFill="0" applyBorder="0" applyAlignment="0" applyProtection="0">
      <alignment vertical="center"/>
    </xf>
    <xf numFmtId="43" fontId="1" fillId="0" borderId="0" applyNumberFormat="0" applyFont="0" applyFill="0" applyBorder="0" applyAlignment="0" applyProtection="0"/>
    <xf numFmtId="43" fontId="1" fillId="0" borderId="0" applyNumberFormat="0" applyFont="0" applyFill="0" applyBorder="0" applyAlignment="0" applyProtection="0"/>
    <xf numFmtId="43" fontId="1" fillId="0" borderId="0" applyNumberFormat="0" applyFont="0" applyFill="0" applyBorder="0" applyAlignment="0" applyProtection="0"/>
    <xf numFmtId="43" fontId="69" fillId="0" borderId="0" applyFont="0" applyFill="0" applyBorder="0" applyAlignment="0" applyProtection="0">
      <alignment vertical="center"/>
    </xf>
    <xf numFmtId="43" fontId="65" fillId="0" borderId="0" applyFont="0" applyFill="0" applyBorder="0" applyAlignment="0" applyProtection="0"/>
    <xf numFmtId="177" fontId="9" fillId="0" borderId="0" applyFont="0" applyFill="0" applyBorder="0" applyAlignment="0" applyProtection="0"/>
    <xf numFmtId="43" fontId="5" fillId="0" borderId="0" applyFont="0" applyFill="0" applyBorder="0" applyAlignment="0" applyProtection="0"/>
    <xf numFmtId="215" fontId="66" fillId="0" borderId="0" applyFont="0" applyFill="0" applyBorder="0" applyAlignment="0" applyProtection="0"/>
    <xf numFmtId="43" fontId="1" fillId="0" borderId="0" applyNumberFormat="0" applyFont="0" applyFill="0" applyBorder="0" applyAlignment="0" applyProtection="0"/>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1" fontId="5" fillId="0" borderId="0" applyFont="0" applyFill="0" applyBorder="0" applyAlignment="0" applyProtection="0">
      <alignment vertical="center"/>
    </xf>
    <xf numFmtId="41" fontId="5" fillId="0" borderId="0" applyFont="0" applyFill="0" applyBorder="0" applyAlignment="0" applyProtection="0">
      <alignment vertical="center"/>
    </xf>
    <xf numFmtId="176" fontId="9" fillId="0" borderId="0" applyFont="0" applyFill="0" applyBorder="0" applyAlignment="0" applyProtection="0"/>
    <xf numFmtId="41" fontId="5"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176" fontId="9" fillId="0" borderId="0" applyFont="0" applyFill="0" applyBorder="0" applyAlignment="0" applyProtection="0"/>
    <xf numFmtId="43" fontId="5" fillId="0" borderId="0" applyFont="0" applyFill="0" applyBorder="0" applyAlignment="0" applyProtection="0">
      <alignment vertical="center"/>
    </xf>
    <xf numFmtId="43" fontId="5" fillId="0" borderId="0" applyFont="0" applyFill="0" applyBorder="0" applyAlignment="0" applyProtection="0">
      <alignment vertical="center"/>
    </xf>
    <xf numFmtId="177" fontId="9" fillId="0" borderId="0" applyFont="0" applyFill="0" applyBorder="0" applyAlignment="0" applyProtection="0"/>
    <xf numFmtId="0" fontId="10" fillId="17" borderId="0" applyNumberFormat="0" applyBorder="0" applyAlignment="0" applyProtection="0">
      <alignment vertical="center"/>
    </xf>
    <xf numFmtId="0" fontId="11" fillId="0" borderId="5" applyNumberFormat="0" applyFill="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0" fontId="59" fillId="4" borderId="0" applyNumberFormat="0" applyBorder="0" applyAlignment="0" applyProtection="0">
      <alignment vertical="center"/>
    </xf>
    <xf numFmtId="0" fontId="12" fillId="4" borderId="0" applyNumberFormat="0" applyBorder="0" applyAlignment="0" applyProtection="0">
      <alignment vertical="center"/>
    </xf>
    <xf numFmtId="0" fontId="59" fillId="4" borderId="0" applyNumberFormat="0" applyBorder="0" applyAlignment="0" applyProtection="0">
      <alignment vertical="center"/>
    </xf>
    <xf numFmtId="0" fontId="12" fillId="4" borderId="0" applyNumberFormat="0" applyBorder="0" applyAlignment="0" applyProtection="0">
      <alignment vertical="center"/>
    </xf>
    <xf numFmtId="0" fontId="12" fillId="4" borderId="0" applyNumberFormat="0" applyBorder="0" applyAlignment="0" applyProtection="0">
      <alignment vertical="center"/>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alignment vertical="center"/>
    </xf>
    <xf numFmtId="9" fontId="9" fillId="0" borderId="0" applyFont="0" applyFill="0" applyBorder="0" applyAlignment="0" applyProtection="0"/>
    <xf numFmtId="9" fontId="5" fillId="0" borderId="0" applyFont="0" applyFill="0" applyBorder="0" applyAlignment="0" applyProtection="0">
      <alignment vertical="center"/>
    </xf>
    <xf numFmtId="9" fontId="28" fillId="0" borderId="0" applyFont="0" applyFill="0" applyBorder="0" applyAlignment="0" applyProtection="0">
      <alignment vertical="center"/>
    </xf>
    <xf numFmtId="9" fontId="1" fillId="0" borderId="0" applyFont="0" applyFill="0" applyBorder="0" applyAlignment="0" applyProtection="0"/>
    <xf numFmtId="9" fontId="66" fillId="0" borderId="0" applyFont="0" applyFill="0" applyBorder="0" applyAlignment="0" applyProtection="0"/>
    <xf numFmtId="9" fontId="1" fillId="0" borderId="0" applyNumberFormat="0" applyFont="0" applyFill="0" applyBorder="0" applyAlignment="0" applyProtection="0"/>
    <xf numFmtId="9" fontId="2" fillId="0" borderId="0" applyFont="0" applyFill="0" applyBorder="0" applyAlignment="0" applyProtection="0">
      <alignment vertical="center"/>
    </xf>
    <xf numFmtId="0" fontId="13" fillId="18" borderId="6" applyNumberFormat="0" applyAlignment="0" applyProtection="0">
      <alignment vertical="center"/>
    </xf>
    <xf numFmtId="38" fontId="64" fillId="0" borderId="0" applyFont="0" applyFill="0" applyBorder="0" applyAlignment="0" applyProtection="0"/>
    <xf numFmtId="181" fontId="14" fillId="0" borderId="0" applyFont="0" applyFill="0" applyBorder="0" applyAlignment="0" applyProtection="0"/>
    <xf numFmtId="0" fontId="15" fillId="0" borderId="7" applyNumberFormat="0" applyFill="0" applyAlignment="0" applyProtection="0">
      <alignment vertical="center"/>
    </xf>
    <xf numFmtId="0" fontId="5" fillId="19" borderId="8" applyNumberFormat="0" applyFont="0" applyAlignment="0" applyProtection="0">
      <alignment vertical="center"/>
    </xf>
    <xf numFmtId="0" fontId="89" fillId="0" borderId="0" applyNumberFormat="0" applyFill="0" applyBorder="0" applyAlignment="0" applyProtection="0">
      <alignment vertical="top"/>
      <protection locked="0"/>
    </xf>
    <xf numFmtId="0" fontId="16" fillId="0" borderId="0" applyNumberFormat="0" applyFill="0" applyBorder="0" applyAlignment="0" applyProtection="0">
      <alignment vertical="center"/>
    </xf>
    <xf numFmtId="0" fontId="3" fillId="20" borderId="0" applyNumberFormat="0" applyBorder="0" applyAlignment="0" applyProtection="0">
      <alignment vertical="center"/>
    </xf>
    <xf numFmtId="0" fontId="3" fillId="21" borderId="0" applyNumberFormat="0" applyBorder="0" applyAlignment="0" applyProtection="0">
      <alignment vertical="center"/>
    </xf>
    <xf numFmtId="0" fontId="3" fillId="22"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23" borderId="0" applyNumberFormat="0" applyBorder="0" applyAlignment="0" applyProtection="0">
      <alignment vertical="center"/>
    </xf>
    <xf numFmtId="0" fontId="67" fillId="0" borderId="0">
      <alignment vertical="center"/>
    </xf>
    <xf numFmtId="0" fontId="17" fillId="0" borderId="0" applyNumberFormat="0" applyFill="0" applyBorder="0" applyAlignment="0" applyProtection="0">
      <alignment vertical="center"/>
    </xf>
    <xf numFmtId="0" fontId="18" fillId="0" borderId="9" applyNumberFormat="0" applyFill="0" applyAlignment="0" applyProtection="0">
      <alignment vertical="center"/>
    </xf>
    <xf numFmtId="0" fontId="19" fillId="0" borderId="10" applyNumberFormat="0" applyFill="0" applyAlignment="0" applyProtection="0">
      <alignment vertical="center"/>
    </xf>
    <xf numFmtId="0" fontId="20" fillId="0" borderId="11" applyNumberFormat="0" applyFill="0" applyAlignment="0" applyProtection="0">
      <alignment vertical="center"/>
    </xf>
    <xf numFmtId="0" fontId="20" fillId="0" borderId="0" applyNumberFormat="0" applyFill="0" applyBorder="0" applyAlignment="0" applyProtection="0">
      <alignment vertical="center"/>
    </xf>
    <xf numFmtId="0" fontId="21" fillId="7" borderId="6" applyNumberFormat="0" applyAlignment="0" applyProtection="0">
      <alignment vertical="center"/>
    </xf>
    <xf numFmtId="0" fontId="22" fillId="18" borderId="12" applyNumberFormat="0" applyAlignment="0" applyProtection="0">
      <alignment vertical="center"/>
    </xf>
    <xf numFmtId="0" fontId="23" fillId="24" borderId="13" applyNumberFormat="0" applyAlignment="0" applyProtection="0">
      <alignment vertical="center"/>
    </xf>
    <xf numFmtId="0" fontId="24" fillId="3" borderId="0" applyNumberFormat="0" applyBorder="0" applyAlignment="0" applyProtection="0">
      <alignment vertical="center"/>
    </xf>
    <xf numFmtId="0" fontId="24" fillId="3" borderId="0" applyNumberFormat="0" applyBorder="0" applyAlignment="0" applyProtection="0">
      <alignment vertical="center"/>
    </xf>
    <xf numFmtId="0" fontId="24" fillId="3" borderId="0" applyNumberFormat="0" applyBorder="0" applyAlignment="0" applyProtection="0">
      <alignment vertical="center"/>
    </xf>
    <xf numFmtId="0" fontId="24" fillId="3" borderId="0" applyNumberFormat="0" applyBorder="0" applyAlignment="0" applyProtection="0">
      <alignment vertical="center"/>
    </xf>
    <xf numFmtId="0" fontId="24" fillId="3" borderId="0" applyNumberFormat="0" applyBorder="0" applyAlignment="0" applyProtection="0">
      <alignment vertical="center"/>
    </xf>
    <xf numFmtId="0" fontId="68" fillId="3" borderId="0" applyNumberFormat="0" applyBorder="0" applyAlignment="0" applyProtection="0">
      <alignment vertical="center"/>
    </xf>
    <xf numFmtId="0" fontId="68" fillId="3" borderId="0" applyNumberFormat="0" applyBorder="0" applyAlignment="0" applyProtection="0">
      <alignment vertical="center"/>
    </xf>
    <xf numFmtId="0" fontId="60" fillId="3" borderId="0" applyNumberFormat="0" applyBorder="0" applyAlignment="0" applyProtection="0">
      <alignment vertical="center"/>
    </xf>
    <xf numFmtId="0" fontId="24" fillId="3" borderId="0" applyNumberFormat="0" applyBorder="0" applyAlignment="0" applyProtection="0">
      <alignment vertical="center"/>
    </xf>
    <xf numFmtId="0" fontId="60" fillId="3" borderId="0" applyNumberFormat="0" applyBorder="0" applyAlignment="0" applyProtection="0">
      <alignment vertical="center"/>
    </xf>
    <xf numFmtId="0" fontId="24" fillId="3" borderId="0" applyNumberFormat="0" applyBorder="0" applyAlignment="0" applyProtection="0">
      <alignment vertical="center"/>
    </xf>
    <xf numFmtId="0" fontId="24" fillId="3" borderId="0" applyNumberFormat="0" applyBorder="0" applyAlignment="0" applyProtection="0">
      <alignment vertical="center"/>
    </xf>
    <xf numFmtId="0" fontId="24" fillId="3" borderId="0" applyNumberFormat="0" applyBorder="0" applyAlignment="0" applyProtection="0">
      <alignment vertical="center"/>
    </xf>
    <xf numFmtId="0" fontId="25" fillId="0" borderId="0" applyNumberFormat="0" applyFill="0" applyBorder="0" applyAlignment="0" applyProtection="0">
      <alignment vertical="center"/>
    </xf>
  </cellStyleXfs>
  <cellXfs count="3142">
    <xf numFmtId="0" fontId="0" fillId="0" borderId="0" xfId="0"/>
    <xf numFmtId="0" fontId="27" fillId="0" borderId="0" xfId="158" applyFont="1" applyFill="1" applyAlignment="1"/>
    <xf numFmtId="0" fontId="27" fillId="0" borderId="0" xfId="158" applyFont="1" applyFill="1"/>
    <xf numFmtId="0" fontId="27" fillId="0" borderId="0" xfId="158" applyFont="1" applyFill="1" applyAlignment="1">
      <alignment horizontal="centerContinuous"/>
    </xf>
    <xf numFmtId="0" fontId="27" fillId="0" borderId="0" xfId="120" applyFont="1" applyFill="1" applyAlignment="1">
      <alignment horizontal="right"/>
    </xf>
    <xf numFmtId="0" fontId="27" fillId="0" borderId="0" xfId="158" applyFont="1" applyFill="1" applyAlignment="1">
      <alignment horizontal="distributed" vertical="center"/>
    </xf>
    <xf numFmtId="0" fontId="27" fillId="0" borderId="14" xfId="158" applyFont="1" applyFill="1" applyBorder="1" applyAlignment="1">
      <alignment horizontal="distributed" vertical="center"/>
    </xf>
    <xf numFmtId="0" fontId="27" fillId="0" borderId="15" xfId="158" quotePrefix="1" applyFont="1" applyFill="1" applyBorder="1" applyAlignment="1">
      <alignment horizontal="center" vertical="center"/>
    </xf>
    <xf numFmtId="0" fontId="27" fillId="0" borderId="0" xfId="158" applyFont="1" applyFill="1" applyAlignment="1">
      <alignment horizontal="center" vertical="center"/>
    </xf>
    <xf numFmtId="0" fontId="27" fillId="0" borderId="0" xfId="158" applyFont="1" applyFill="1" applyBorder="1"/>
    <xf numFmtId="0" fontId="27" fillId="0" borderId="0" xfId="158" quotePrefix="1" applyFont="1" applyFill="1" applyBorder="1" applyAlignment="1">
      <alignment horizontal="left"/>
    </xf>
    <xf numFmtId="0" fontId="27" fillId="0" borderId="0" xfId="107" applyFont="1" applyFill="1" applyAlignment="1">
      <alignment vertical="center"/>
    </xf>
    <xf numFmtId="0" fontId="27" fillId="0" borderId="0" xfId="158" quotePrefix="1" applyFont="1" applyFill="1" applyAlignment="1">
      <alignment horizontal="left"/>
    </xf>
    <xf numFmtId="179" fontId="27" fillId="0" borderId="0" xfId="158" applyNumberFormat="1" applyFont="1" applyFill="1" applyAlignment="1"/>
    <xf numFmtId="179" fontId="27" fillId="0" borderId="0" xfId="158" quotePrefix="1" applyNumberFormat="1" applyFont="1" applyFill="1" applyAlignment="1">
      <alignment horizontal="left"/>
    </xf>
    <xf numFmtId="179" fontId="27" fillId="0" borderId="0" xfId="158" applyNumberFormat="1" applyFont="1" applyFill="1"/>
    <xf numFmtId="179" fontId="27" fillId="0" borderId="14" xfId="158" applyNumberFormat="1" applyFont="1" applyFill="1" applyBorder="1" applyAlignment="1">
      <alignment horizontal="distributed" vertical="center"/>
    </xf>
    <xf numFmtId="0" fontId="27" fillId="0" borderId="14" xfId="158" applyFont="1" applyFill="1" applyBorder="1" applyAlignment="1">
      <alignment horizontal="distributed" vertical="center" wrapText="1"/>
    </xf>
    <xf numFmtId="179" fontId="27" fillId="0" borderId="15" xfId="158" quotePrefix="1" applyNumberFormat="1" applyFont="1" applyFill="1" applyBorder="1" applyAlignment="1">
      <alignment horizontal="center" vertical="center"/>
    </xf>
    <xf numFmtId="179" fontId="27" fillId="0" borderId="15" xfId="158" applyNumberFormat="1" applyFont="1" applyFill="1" applyBorder="1" applyAlignment="1">
      <alignment horizontal="center" vertical="center"/>
    </xf>
    <xf numFmtId="0" fontId="27" fillId="0" borderId="19" xfId="158" applyFont="1" applyFill="1" applyBorder="1"/>
    <xf numFmtId="0" fontId="27" fillId="0" borderId="18" xfId="133" applyFont="1" applyFill="1" applyBorder="1" applyAlignment="1">
      <alignment horizontal="center" vertical="center" wrapText="1"/>
    </xf>
    <xf numFmtId="0" fontId="27" fillId="0" borderId="15" xfId="136" applyFont="1" applyFill="1" applyBorder="1" applyAlignment="1">
      <alignment vertical="center"/>
    </xf>
    <xf numFmtId="0" fontId="27" fillId="0" borderId="18" xfId="136" applyFont="1" applyFill="1" applyBorder="1" applyAlignment="1">
      <alignment vertical="center"/>
    </xf>
    <xf numFmtId="0" fontId="27" fillId="0" borderId="20" xfId="158" applyFont="1" applyFill="1" applyBorder="1"/>
    <xf numFmtId="0" fontId="27" fillId="0" borderId="1" xfId="158" applyFont="1" applyFill="1" applyBorder="1"/>
    <xf numFmtId="0" fontId="27" fillId="0" borderId="18" xfId="158" applyFont="1" applyFill="1" applyBorder="1"/>
    <xf numFmtId="179" fontId="27" fillId="0" borderId="0" xfId="158" applyNumberFormat="1" applyFont="1" applyFill="1" applyProtection="1">
      <protection locked="0"/>
    </xf>
    <xf numFmtId="0" fontId="27" fillId="0" borderId="0" xfId="158" applyFont="1" applyFill="1" applyProtection="1">
      <protection locked="0"/>
    </xf>
    <xf numFmtId="179" fontId="27" fillId="0" borderId="0" xfId="158" applyNumberFormat="1" applyFont="1" applyFill="1" applyAlignment="1" applyProtection="1">
      <alignment horizontal="left" vertical="center" wrapText="1"/>
      <protection locked="0"/>
    </xf>
    <xf numFmtId="0" fontId="27" fillId="0" borderId="0" xfId="158" applyFont="1" applyFill="1" applyAlignment="1" applyProtection="1">
      <alignment horizontal="left" vertical="center" wrapText="1"/>
      <protection locked="0"/>
    </xf>
    <xf numFmtId="179" fontId="27" fillId="0" borderId="0" xfId="158" applyNumberFormat="1" applyFont="1" applyFill="1" applyAlignment="1" applyProtection="1">
      <protection locked="0"/>
    </xf>
    <xf numFmtId="0" fontId="27" fillId="0" borderId="0" xfId="158" applyFont="1" applyFill="1" applyAlignment="1" applyProtection="1">
      <protection locked="0"/>
    </xf>
    <xf numFmtId="0" fontId="27" fillId="0" borderId="0" xfId="142" applyFont="1" applyFill="1" applyAlignment="1"/>
    <xf numFmtId="179" fontId="27" fillId="0" borderId="0" xfId="142" applyNumberFormat="1" applyFont="1" applyFill="1" applyAlignment="1"/>
    <xf numFmtId="0" fontId="35" fillId="0" borderId="0" xfId="142" applyFont="1" applyFill="1" applyAlignment="1">
      <alignment horizontal="left" vertical="center"/>
    </xf>
    <xf numFmtId="0" fontId="27" fillId="0" borderId="0" xfId="155" applyFont="1" applyFill="1"/>
    <xf numFmtId="0" fontId="33" fillId="0" borderId="0" xfId="142" applyFont="1" applyFill="1" applyAlignment="1">
      <alignment horizontal="left" vertical="center"/>
    </xf>
    <xf numFmtId="179" fontId="33" fillId="0" borderId="0" xfId="142" applyNumberFormat="1" applyFont="1" applyFill="1" applyAlignment="1">
      <alignment horizontal="left" vertical="center"/>
    </xf>
    <xf numFmtId="179" fontId="27" fillId="0" borderId="0" xfId="155" applyNumberFormat="1" applyFont="1" applyFill="1"/>
    <xf numFmtId="0" fontId="27" fillId="0" borderId="0" xfId="155" applyFont="1" applyFill="1" applyBorder="1" applyAlignment="1">
      <alignment horizontal="left" vertical="center"/>
    </xf>
    <xf numFmtId="0" fontId="27" fillId="0" borderId="0" xfId="155" applyFont="1" applyFill="1" applyBorder="1"/>
    <xf numFmtId="179" fontId="27" fillId="0" borderId="0" xfId="155" applyNumberFormat="1" applyFont="1" applyFill="1" applyBorder="1"/>
    <xf numFmtId="0" fontId="27" fillId="0" borderId="0" xfId="142" applyFont="1" applyFill="1" applyAlignment="1">
      <alignment horizontal="left" vertical="center"/>
    </xf>
    <xf numFmtId="0" fontId="27" fillId="0" borderId="15" xfId="158" applyFont="1" applyFill="1" applyBorder="1" applyAlignment="1">
      <alignment horizontal="center" vertical="center" wrapText="1"/>
    </xf>
    <xf numFmtId="0" fontId="27" fillId="0" borderId="0" xfId="155" applyFont="1" applyFill="1" applyAlignment="1">
      <alignment wrapText="1"/>
    </xf>
    <xf numFmtId="0" fontId="27" fillId="0" borderId="0" xfId="155" applyFont="1" applyFill="1" applyAlignment="1">
      <alignment horizontal="left"/>
    </xf>
    <xf numFmtId="0" fontId="27" fillId="0" borderId="0" xfId="158" applyFont="1" applyFill="1" applyAlignment="1">
      <alignment wrapText="1"/>
    </xf>
    <xf numFmtId="0" fontId="27" fillId="0" borderId="16" xfId="158" applyFont="1" applyFill="1" applyBorder="1" applyAlignment="1">
      <alignment horizontal="center" vertical="center"/>
    </xf>
    <xf numFmtId="0" fontId="27" fillId="0" borderId="18" xfId="138" applyFont="1" applyFill="1" applyBorder="1" applyAlignment="1">
      <alignment horizontal="left" vertical="center"/>
    </xf>
    <xf numFmtId="0" fontId="27" fillId="0" borderId="0" xfId="153" applyFont="1" applyFill="1" applyAlignment="1">
      <alignment vertical="center"/>
    </xf>
    <xf numFmtId="0" fontId="27" fillId="0" borderId="22" xfId="158" quotePrefix="1" applyFont="1" applyFill="1" applyBorder="1" applyAlignment="1">
      <alignment horizontal="center" vertical="center" wrapText="1"/>
    </xf>
    <xf numFmtId="0" fontId="27" fillId="0" borderId="0" xfId="153" applyFont="1" applyFill="1" applyAlignment="1">
      <alignment horizontal="distributed" vertical="center" wrapText="1"/>
    </xf>
    <xf numFmtId="0" fontId="27" fillId="0" borderId="0" xfId="153" applyFont="1" applyFill="1" applyAlignment="1">
      <alignment horizontal="distributed" vertical="center"/>
    </xf>
    <xf numFmtId="0" fontId="27" fillId="0" borderId="0" xfId="136" applyFont="1" applyFill="1" applyAlignment="1">
      <alignment vertical="center"/>
    </xf>
    <xf numFmtId="0" fontId="27" fillId="0" borderId="0" xfId="142" applyFont="1" applyFill="1" applyAlignment="1">
      <alignment horizontal="center"/>
    </xf>
    <xf numFmtId="0" fontId="27" fillId="0" borderId="0" xfId="120" applyFont="1" applyAlignment="1">
      <alignment horizontal="right"/>
    </xf>
    <xf numFmtId="0" fontId="27" fillId="0" borderId="22" xfId="158" quotePrefix="1" applyFont="1" applyFill="1" applyBorder="1" applyAlignment="1">
      <alignment horizontal="center" vertical="center"/>
    </xf>
    <xf numFmtId="0" fontId="27" fillId="0" borderId="23" xfId="158" quotePrefix="1" applyFont="1" applyFill="1" applyBorder="1" applyAlignment="1">
      <alignment horizontal="center" vertical="center"/>
    </xf>
    <xf numFmtId="0" fontId="27" fillId="0" borderId="15" xfId="153" quotePrefix="1" applyFont="1" applyFill="1" applyBorder="1" applyAlignment="1">
      <alignment horizontal="distributed" vertical="center"/>
    </xf>
    <xf numFmtId="0" fontId="27" fillId="0" borderId="1" xfId="142" applyFont="1" applyFill="1" applyBorder="1" applyAlignment="1">
      <alignment horizontal="left" vertical="center"/>
    </xf>
    <xf numFmtId="0" fontId="27" fillId="0" borderId="1" xfId="142" quotePrefix="1" applyFont="1" applyFill="1" applyBorder="1" applyAlignment="1">
      <alignment horizontal="left" vertical="center"/>
    </xf>
    <xf numFmtId="0" fontId="27" fillId="0" borderId="0" xfId="142" applyFont="1" applyFill="1"/>
    <xf numFmtId="0" fontId="27" fillId="0" borderId="0" xfId="158" applyFont="1" applyAlignment="1">
      <alignment vertical="center"/>
    </xf>
    <xf numFmtId="0" fontId="27" fillId="0" borderId="0" xfId="122" applyFont="1" applyAlignment="1">
      <alignment horizontal="right"/>
    </xf>
    <xf numFmtId="0" fontId="27" fillId="0" borderId="18" xfId="134" applyFont="1" applyFill="1" applyBorder="1" applyAlignment="1">
      <alignment horizontal="center" vertical="center" wrapText="1"/>
    </xf>
    <xf numFmtId="0" fontId="27" fillId="0" borderId="1" xfId="143" applyFont="1" applyFill="1" applyBorder="1" applyAlignment="1">
      <alignment horizontal="left" vertical="center"/>
    </xf>
    <xf numFmtId="0" fontId="27" fillId="0" borderId="1" xfId="143" quotePrefix="1" applyFont="1" applyFill="1" applyBorder="1" applyAlignment="1">
      <alignment horizontal="left" vertical="center"/>
    </xf>
    <xf numFmtId="0" fontId="27" fillId="0" borderId="0" xfId="143" applyFont="1" applyFill="1"/>
    <xf numFmtId="0" fontId="27" fillId="0" borderId="0" xfId="143" applyFont="1" applyFill="1" applyAlignment="1">
      <alignment horizontal="center"/>
    </xf>
    <xf numFmtId="0" fontId="27" fillId="0" borderId="0" xfId="123" applyFont="1" applyAlignment="1">
      <alignment horizontal="right"/>
    </xf>
    <xf numFmtId="0" fontId="27" fillId="0" borderId="0" xfId="158" applyFont="1" applyFill="1" applyAlignment="1">
      <alignment horizontal="distributed" vertical="center" wrapText="1"/>
    </xf>
    <xf numFmtId="0" fontId="27" fillId="0" borderId="0" xfId="158" applyFont="1" applyFill="1" applyBorder="1" applyAlignment="1">
      <alignment horizontal="center" vertical="center" wrapText="1"/>
    </xf>
    <xf numFmtId="0" fontId="27" fillId="0" borderId="0" xfId="158" applyFont="1" applyFill="1" applyAlignment="1">
      <alignment horizontal="center" vertical="center" wrapText="1"/>
    </xf>
    <xf numFmtId="49" fontId="27" fillId="0" borderId="19" xfId="158" quotePrefix="1" applyNumberFormat="1" applyFont="1" applyFill="1" applyBorder="1" applyAlignment="1">
      <alignment horizontal="center" vertical="center" wrapText="1"/>
    </xf>
    <xf numFmtId="49" fontId="27" fillId="0" borderId="15" xfId="158" quotePrefix="1" applyNumberFormat="1" applyFont="1" applyFill="1" applyBorder="1" applyAlignment="1">
      <alignment horizontal="center" vertical="center" wrapText="1"/>
    </xf>
    <xf numFmtId="49" fontId="27" fillId="0" borderId="15" xfId="158" applyNumberFormat="1" applyFont="1" applyFill="1" applyBorder="1" applyAlignment="1">
      <alignment horizontal="center" vertical="center" wrapText="1"/>
    </xf>
    <xf numFmtId="49" fontId="27" fillId="0" borderId="23" xfId="158" quotePrefix="1" applyNumberFormat="1" applyFont="1" applyFill="1" applyBorder="1" applyAlignment="1">
      <alignment horizontal="center" vertical="center" wrapText="1"/>
    </xf>
    <xf numFmtId="0" fontId="27" fillId="0" borderId="0" xfId="110" applyFont="1" applyFill="1" applyAlignment="1"/>
    <xf numFmtId="0" fontId="27" fillId="0" borderId="0" xfId="158" applyFont="1" applyFill="1" applyBorder="1" applyAlignment="1">
      <alignment horizontal="center"/>
    </xf>
    <xf numFmtId="0" fontId="27" fillId="0" borderId="0" xfId="109" applyFont="1" applyFill="1" applyAlignment="1"/>
    <xf numFmtId="0" fontId="27" fillId="0" borderId="0" xfId="109" applyFont="1" applyFill="1" applyBorder="1" applyAlignment="1"/>
    <xf numFmtId="0" fontId="27" fillId="0" borderId="0" xfId="158" applyFont="1" applyFill="1" applyBorder="1" applyAlignment="1">
      <alignment horizontal="distributed" vertical="center"/>
    </xf>
    <xf numFmtId="0" fontId="27" fillId="0" borderId="0" xfId="109" applyFont="1" applyFill="1" applyAlignment="1">
      <alignment horizontal="center"/>
    </xf>
    <xf numFmtId="176" fontId="27" fillId="0" borderId="0" xfId="194" applyFont="1" applyFill="1" applyBorder="1"/>
    <xf numFmtId="10" fontId="27" fillId="0" borderId="0" xfId="210" applyNumberFormat="1" applyFont="1" applyFill="1" applyBorder="1" applyAlignment="1"/>
    <xf numFmtId="0" fontId="27" fillId="0" borderId="0" xfId="110" applyFont="1" applyFill="1" applyBorder="1" applyAlignment="1"/>
    <xf numFmtId="0" fontId="27" fillId="0" borderId="0" xfId="123" applyFont="1" applyFill="1" applyAlignment="1">
      <alignment horizontal="right"/>
    </xf>
    <xf numFmtId="0" fontId="27" fillId="0" borderId="0" xfId="110" applyFont="1" applyFill="1" applyAlignment="1">
      <alignment horizontal="center"/>
    </xf>
    <xf numFmtId="0" fontId="27" fillId="0" borderId="0" xfId="136" applyFont="1" applyFill="1" applyBorder="1" applyAlignment="1">
      <alignment horizontal="center" vertical="center"/>
    </xf>
    <xf numFmtId="0" fontId="27" fillId="0" borderId="0" xfId="0" applyFont="1" applyFill="1"/>
    <xf numFmtId="0" fontId="27" fillId="0" borderId="0" xfId="96" applyFont="1" applyProtection="1"/>
    <xf numFmtId="0" fontId="27" fillId="0" borderId="0" xfId="124" applyFont="1" applyFill="1" applyProtection="1">
      <alignment vertical="center"/>
      <protection locked="0"/>
    </xf>
    <xf numFmtId="0" fontId="27" fillId="0" borderId="0" xfId="96" applyFont="1" applyFill="1" applyBorder="1" applyAlignment="1" applyProtection="1">
      <alignment vertical="center"/>
    </xf>
    <xf numFmtId="0" fontId="27" fillId="0" borderId="0" xfId="93" applyFont="1" applyFill="1" applyBorder="1" applyAlignment="1" applyProtection="1">
      <alignment horizontal="center" vertical="center"/>
    </xf>
    <xf numFmtId="0" fontId="39" fillId="0" borderId="24" xfId="96" applyNumberFormat="1" applyFont="1" applyFill="1" applyBorder="1" applyAlignment="1" applyProtection="1">
      <alignment horizontal="center" vertical="center"/>
    </xf>
    <xf numFmtId="0" fontId="39" fillId="0" borderId="25" xfId="96" applyNumberFormat="1" applyFont="1" applyFill="1" applyBorder="1" applyAlignment="1" applyProtection="1">
      <alignment horizontal="center" vertical="center"/>
    </xf>
    <xf numFmtId="0" fontId="28" fillId="0" borderId="0" xfId="124" applyFont="1">
      <alignment vertical="center"/>
    </xf>
    <xf numFmtId="191" fontId="27" fillId="0" borderId="0" xfId="96" applyNumberFormat="1" applyFont="1" applyFill="1" applyBorder="1" applyAlignment="1" applyProtection="1">
      <alignment horizontal="center" vertical="center"/>
    </xf>
    <xf numFmtId="192" fontId="27" fillId="0" borderId="0" xfId="96" applyNumberFormat="1" applyFont="1" applyFill="1" applyBorder="1" applyAlignment="1" applyProtection="1">
      <alignment horizontal="center" vertical="center"/>
    </xf>
    <xf numFmtId="183" fontId="39" fillId="0" borderId="26" xfId="195" applyNumberFormat="1" applyFont="1" applyFill="1" applyBorder="1" applyAlignment="1" applyProtection="1">
      <alignment horizontal="center" vertical="center"/>
    </xf>
    <xf numFmtId="0" fontId="27" fillId="0" borderId="18" xfId="124" applyFont="1" applyFill="1" applyBorder="1" applyAlignment="1">
      <alignment horizontal="center" vertical="center"/>
    </xf>
    <xf numFmtId="0" fontId="27" fillId="0" borderId="27" xfId="139" quotePrefix="1" applyFont="1" applyFill="1" applyBorder="1" applyAlignment="1">
      <alignment horizontal="center" vertical="center"/>
    </xf>
    <xf numFmtId="0" fontId="27" fillId="0" borderId="28" xfId="139" quotePrefix="1" applyFont="1" applyFill="1" applyBorder="1" applyAlignment="1">
      <alignment horizontal="center" vertical="center"/>
    </xf>
    <xf numFmtId="0" fontId="27" fillId="0" borderId="0" xfId="0" applyFont="1"/>
    <xf numFmtId="0" fontId="27" fillId="0" borderId="0" xfId="0" applyFont="1" applyFill="1" applyProtection="1"/>
    <xf numFmtId="0" fontId="27" fillId="0" borderId="0" xfId="93" applyNumberFormat="1" applyFont="1" applyFill="1" applyBorder="1" applyAlignment="1" applyProtection="1">
      <alignment horizontal="left" vertical="center"/>
    </xf>
    <xf numFmtId="0" fontId="27" fillId="0" borderId="0" xfId="93" applyNumberFormat="1" applyFont="1" applyFill="1" applyBorder="1" applyAlignment="1" applyProtection="1">
      <alignment horizontal="center" vertical="center"/>
    </xf>
    <xf numFmtId="0" fontId="27" fillId="0" borderId="0" xfId="93" applyFont="1" applyFill="1" applyBorder="1" applyAlignment="1" applyProtection="1">
      <alignment horizontal="left" vertical="center"/>
    </xf>
    <xf numFmtId="0" fontId="27" fillId="0" borderId="0" xfId="93" applyNumberFormat="1" applyFont="1" applyFill="1" applyBorder="1" applyAlignment="1" applyProtection="1">
      <alignment horizontal="right"/>
    </xf>
    <xf numFmtId="0" fontId="39" fillId="0" borderId="29" xfId="96" applyFont="1" applyFill="1" applyBorder="1" applyAlignment="1" applyProtection="1">
      <alignment horizontal="center" vertical="center"/>
    </xf>
    <xf numFmtId="0" fontId="39" fillId="0" borderId="30" xfId="96" applyNumberFormat="1" applyFont="1" applyFill="1" applyBorder="1" applyAlignment="1" applyProtection="1">
      <alignment horizontal="center" vertical="center"/>
    </xf>
    <xf numFmtId="0" fontId="27" fillId="0" borderId="31" xfId="96" applyFont="1" applyFill="1" applyBorder="1" applyAlignment="1" applyProtection="1">
      <alignment horizontal="left" vertical="center"/>
    </xf>
    <xf numFmtId="0" fontId="27" fillId="0" borderId="32" xfId="96" applyFont="1" applyFill="1" applyBorder="1" applyAlignment="1" applyProtection="1">
      <alignment horizontal="left" vertical="center"/>
    </xf>
    <xf numFmtId="0" fontId="27" fillId="0" borderId="31" xfId="96" applyFont="1" applyFill="1" applyBorder="1" applyAlignment="1" applyProtection="1">
      <alignment horizontal="left" vertical="center" indent="2"/>
    </xf>
    <xf numFmtId="0" fontId="27" fillId="0" borderId="31" xfId="96" applyFont="1" applyFill="1" applyBorder="1" applyAlignment="1" applyProtection="1">
      <alignment vertical="center"/>
    </xf>
    <xf numFmtId="0" fontId="27" fillId="0" borderId="32" xfId="96" applyFont="1" applyFill="1" applyBorder="1" applyAlignment="1" applyProtection="1">
      <alignment horizontal="left" vertical="center" wrapText="1"/>
    </xf>
    <xf numFmtId="0" fontId="39" fillId="0" borderId="33" xfId="96" applyFont="1" applyFill="1" applyBorder="1" applyAlignment="1" applyProtection="1">
      <alignment vertical="center"/>
    </xf>
    <xf numFmtId="0" fontId="27" fillId="0" borderId="34" xfId="96" applyFont="1" applyFill="1" applyBorder="1" applyAlignment="1" applyProtection="1">
      <alignment vertical="center"/>
    </xf>
    <xf numFmtId="0" fontId="27" fillId="0" borderId="31" xfId="105" applyFont="1" applyFill="1" applyBorder="1" applyAlignment="1">
      <alignment vertical="center"/>
    </xf>
    <xf numFmtId="0" fontId="27" fillId="0" borderId="31" xfId="105" applyFont="1" applyFill="1" applyBorder="1" applyAlignment="1">
      <alignment horizontal="left" vertical="center" indent="1"/>
    </xf>
    <xf numFmtId="0" fontId="27" fillId="0" borderId="35" xfId="105" applyFont="1" applyFill="1" applyBorder="1" applyAlignment="1">
      <alignment horizontal="left" vertical="center"/>
    </xf>
    <xf numFmtId="0" fontId="27" fillId="0" borderId="0" xfId="93" applyFont="1" applyAlignment="1">
      <alignment horizontal="center"/>
    </xf>
    <xf numFmtId="183" fontId="27" fillId="0" borderId="0" xfId="195" applyNumberFormat="1" applyFont="1" applyAlignment="1" applyProtection="1">
      <alignment horizontal="center"/>
      <protection locked="0"/>
    </xf>
    <xf numFmtId="191" fontId="27" fillId="0" borderId="0" xfId="93" applyNumberFormat="1" applyFont="1" applyAlignment="1">
      <alignment horizontal="center"/>
    </xf>
    <xf numFmtId="183" fontId="27" fillId="0" borderId="0" xfId="195" applyNumberFormat="1" applyFont="1" applyAlignment="1">
      <alignment horizontal="center"/>
    </xf>
    <xf numFmtId="0" fontId="27" fillId="0" borderId="0" xfId="93" applyFont="1"/>
    <xf numFmtId="0" fontId="27" fillId="0" borderId="0" xfId="96" applyNumberFormat="1" applyFont="1" applyFill="1" applyBorder="1" applyAlignment="1" applyProtection="1">
      <alignment horizontal="right" vertical="center"/>
    </xf>
    <xf numFmtId="0" fontId="27" fillId="0" borderId="0" xfId="96" applyFont="1" applyFill="1" applyBorder="1" applyAlignment="1" applyProtection="1">
      <alignment horizontal="center" vertical="center"/>
    </xf>
    <xf numFmtId="0" fontId="27" fillId="0" borderId="19" xfId="96" applyFont="1" applyFill="1" applyBorder="1" applyAlignment="1" applyProtection="1">
      <alignment horizontal="center" vertical="center"/>
    </xf>
    <xf numFmtId="0" fontId="27" fillId="0" borderId="0" xfId="93" applyFont="1" applyFill="1" applyAlignment="1" applyProtection="1">
      <alignment horizontal="center" vertical="center"/>
    </xf>
    <xf numFmtId="0" fontId="27" fillId="0" borderId="0" xfId="93" applyFont="1" applyProtection="1"/>
    <xf numFmtId="0" fontId="27" fillId="0" borderId="0" xfId="93" applyNumberFormat="1" applyFont="1" applyFill="1" applyBorder="1" applyAlignment="1" applyProtection="1">
      <alignment horizontal="right" vertical="center"/>
    </xf>
    <xf numFmtId="0" fontId="27" fillId="0" borderId="36" xfId="96" applyFont="1" applyFill="1" applyBorder="1" applyAlignment="1" applyProtection="1">
      <alignment vertical="center"/>
    </xf>
    <xf numFmtId="0" fontId="27" fillId="0" borderId="37" xfId="96" applyFont="1" applyFill="1" applyBorder="1" applyAlignment="1" applyProtection="1">
      <alignment horizontal="center" vertical="center"/>
    </xf>
    <xf numFmtId="0" fontId="27" fillId="0" borderId="38" xfId="96" applyFont="1" applyFill="1" applyBorder="1" applyAlignment="1" applyProtection="1">
      <alignment horizontal="center" vertical="center"/>
    </xf>
    <xf numFmtId="0" fontId="27" fillId="0" borderId="39" xfId="96" applyFont="1" applyFill="1" applyBorder="1" applyAlignment="1" applyProtection="1">
      <alignment horizontal="center" vertical="center"/>
    </xf>
    <xf numFmtId="0" fontId="27" fillId="0" borderId="40" xfId="96" applyFont="1" applyFill="1" applyBorder="1" applyAlignment="1" applyProtection="1">
      <alignment horizontal="center" vertical="center"/>
    </xf>
    <xf numFmtId="0" fontId="27" fillId="0" borderId="41" xfId="96" applyFont="1" applyFill="1" applyBorder="1" applyAlignment="1" applyProtection="1">
      <alignment vertical="center"/>
    </xf>
    <xf numFmtId="0" fontId="27" fillId="0" borderId="42" xfId="96" applyFont="1" applyFill="1" applyBorder="1" applyAlignment="1" applyProtection="1">
      <alignment horizontal="center" vertical="center"/>
    </xf>
    <xf numFmtId="0" fontId="27" fillId="0" borderId="43" xfId="96" applyFont="1" applyFill="1" applyBorder="1" applyAlignment="1" applyProtection="1">
      <alignment horizontal="center" vertical="center"/>
    </xf>
    <xf numFmtId="0" fontId="27" fillId="0" borderId="44" xfId="96" applyFont="1" applyFill="1" applyBorder="1" applyAlignment="1" applyProtection="1">
      <alignment horizontal="center" vertical="center"/>
    </xf>
    <xf numFmtId="0" fontId="27" fillId="0" borderId="45" xfId="130" applyFont="1" applyBorder="1" applyAlignment="1" applyProtection="1"/>
    <xf numFmtId="0" fontId="27" fillId="0" borderId="46" xfId="130" applyFont="1" applyBorder="1" applyAlignment="1" applyProtection="1"/>
    <xf numFmtId="0" fontId="27" fillId="0" borderId="47" xfId="130" applyFont="1" applyBorder="1" applyAlignment="1" applyProtection="1"/>
    <xf numFmtId="0" fontId="27" fillId="0" borderId="48" xfId="130" applyFont="1" applyBorder="1" applyAlignment="1" applyProtection="1"/>
    <xf numFmtId="0" fontId="27" fillId="0" borderId="49" xfId="130" applyFont="1" applyBorder="1" applyAlignment="1" applyProtection="1"/>
    <xf numFmtId="0" fontId="27" fillId="0" borderId="50" xfId="96" applyFont="1" applyFill="1" applyBorder="1" applyAlignment="1" applyProtection="1">
      <alignment vertical="center"/>
    </xf>
    <xf numFmtId="0" fontId="27" fillId="0" borderId="51" xfId="96" applyFont="1" applyFill="1" applyBorder="1" applyAlignment="1" applyProtection="1">
      <alignment horizontal="center" vertical="center"/>
    </xf>
    <xf numFmtId="0" fontId="27" fillId="0" borderId="52" xfId="96" applyFont="1" applyFill="1" applyBorder="1" applyAlignment="1" applyProtection="1">
      <alignment horizontal="center" vertical="center"/>
    </xf>
    <xf numFmtId="0" fontId="27" fillId="0" borderId="53" xfId="130" applyFont="1" applyBorder="1" applyAlignment="1" applyProtection="1"/>
    <xf numFmtId="0" fontId="27" fillId="0" borderId="54" xfId="130" applyFont="1" applyBorder="1" applyAlignment="1" applyProtection="1"/>
    <xf numFmtId="0" fontId="35" fillId="0" borderId="0" xfId="98" applyFont="1" applyFill="1" applyAlignment="1" applyProtection="1">
      <alignment horizontal="center" vertical="center"/>
    </xf>
    <xf numFmtId="0" fontId="27" fillId="0" borderId="0" xfId="98" applyFont="1" applyProtection="1"/>
    <xf numFmtId="0" fontId="27" fillId="0" borderId="0" xfId="98" applyFont="1" applyFill="1" applyAlignment="1" applyProtection="1">
      <alignment horizontal="left"/>
    </xf>
    <xf numFmtId="0" fontId="27" fillId="0" borderId="0" xfId="98" applyFont="1" applyFill="1" applyAlignment="1" applyProtection="1">
      <alignment horizontal="center"/>
    </xf>
    <xf numFmtId="0" fontId="27" fillId="0" borderId="0" xfId="98" applyFont="1" applyAlignment="1" applyProtection="1">
      <alignment horizontal="center"/>
    </xf>
    <xf numFmtId="179" fontId="27" fillId="0" borderId="0" xfId="98" applyNumberFormat="1" applyFont="1" applyAlignment="1" applyProtection="1">
      <alignment horizontal="right"/>
    </xf>
    <xf numFmtId="0" fontId="27" fillId="0" borderId="24" xfId="98" applyFont="1" applyFill="1" applyBorder="1" applyAlignment="1" applyProtection="1">
      <alignment horizontal="center"/>
    </xf>
    <xf numFmtId="0" fontId="27" fillId="0" borderId="24" xfId="98" applyFont="1" applyBorder="1" applyAlignment="1" applyProtection="1">
      <alignment horizontal="center"/>
    </xf>
    <xf numFmtId="179" fontId="27" fillId="0" borderId="55" xfId="98" applyNumberFormat="1" applyFont="1" applyBorder="1" applyAlignment="1" applyProtection="1">
      <alignment horizontal="center"/>
    </xf>
    <xf numFmtId="0" fontId="27" fillId="0" borderId="18" xfId="98" quotePrefix="1" applyFont="1" applyFill="1" applyBorder="1" applyAlignment="1" applyProtection="1">
      <alignment horizontal="center"/>
    </xf>
    <xf numFmtId="0" fontId="27" fillId="0" borderId="18" xfId="98" quotePrefix="1" applyFont="1" applyBorder="1" applyAlignment="1" applyProtection="1">
      <alignment horizontal="center"/>
    </xf>
    <xf numFmtId="179" fontId="27" fillId="0" borderId="56" xfId="98" quotePrefix="1" applyNumberFormat="1" applyFont="1" applyBorder="1" applyAlignment="1" applyProtection="1">
      <alignment horizontal="center"/>
    </xf>
    <xf numFmtId="0" fontId="27" fillId="25" borderId="18" xfId="98" applyFont="1" applyFill="1" applyBorder="1" applyAlignment="1" applyProtection="1"/>
    <xf numFmtId="0" fontId="27" fillId="25" borderId="27" xfId="98" applyFont="1" applyFill="1" applyBorder="1" applyAlignment="1" applyProtection="1">
      <alignment horizontal="center" wrapText="1"/>
    </xf>
    <xf numFmtId="0" fontId="27" fillId="0" borderId="0" xfId="98" applyFont="1" applyBorder="1" applyAlignment="1" applyProtection="1">
      <alignment horizontal="center"/>
    </xf>
    <xf numFmtId="0" fontId="27" fillId="0" borderId="0" xfId="98" applyFont="1" applyFill="1" applyBorder="1" applyAlignment="1" applyProtection="1">
      <alignment horizontal="center"/>
    </xf>
    <xf numFmtId="179" fontId="27" fillId="0" borderId="0" xfId="98" applyNumberFormat="1" applyFont="1" applyBorder="1" applyAlignment="1" applyProtection="1">
      <alignment horizontal="center"/>
    </xf>
    <xf numFmtId="0" fontId="27" fillId="0" borderId="0" xfId="98" applyFont="1" applyBorder="1" applyProtection="1"/>
    <xf numFmtId="0" fontId="27" fillId="0" borderId="0" xfId="98" applyFont="1" applyBorder="1" applyAlignment="1" applyProtection="1">
      <alignment horizontal="center" vertical="center"/>
    </xf>
    <xf numFmtId="0" fontId="27" fillId="0" borderId="0" xfId="98" applyFont="1" applyAlignment="1" applyProtection="1">
      <alignment vertical="center"/>
    </xf>
    <xf numFmtId="179" fontId="27" fillId="0" borderId="0" xfId="98" applyNumberFormat="1" applyFont="1" applyAlignment="1" applyProtection="1">
      <alignment horizontal="center"/>
    </xf>
    <xf numFmtId="0" fontId="27" fillId="0" borderId="0" xfId="104" applyFont="1" applyFill="1" applyProtection="1"/>
    <xf numFmtId="0" fontId="27" fillId="0" borderId="0" xfId="104" applyFont="1" applyProtection="1"/>
    <xf numFmtId="0" fontId="27" fillId="0" borderId="24" xfId="107" applyFont="1" applyFill="1" applyBorder="1" applyAlignment="1" applyProtection="1">
      <alignment horizontal="center" vertical="center" wrapText="1"/>
    </xf>
    <xf numFmtId="0" fontId="27" fillId="0" borderId="24" xfId="0" applyFont="1" applyBorder="1" applyAlignment="1" applyProtection="1">
      <alignment horizontal="center" vertical="center"/>
    </xf>
    <xf numFmtId="0" fontId="27" fillId="0" borderId="55" xfId="0" applyFont="1" applyBorder="1" applyAlignment="1" applyProtection="1">
      <alignment horizontal="center" vertical="center"/>
    </xf>
    <xf numFmtId="0" fontId="27" fillId="0" borderId="0" xfId="0" applyFont="1" applyProtection="1"/>
    <xf numFmtId="49" fontId="27" fillId="0" borderId="18" xfId="107" applyNumberFormat="1" applyFont="1" applyFill="1" applyBorder="1" applyAlignment="1" applyProtection="1">
      <alignment horizontal="center" vertical="center" wrapText="1"/>
    </xf>
    <xf numFmtId="49" fontId="27" fillId="0" borderId="56" xfId="107" applyNumberFormat="1" applyFont="1" applyFill="1" applyBorder="1" applyAlignment="1" applyProtection="1">
      <alignment horizontal="center" vertical="center" wrapText="1"/>
    </xf>
    <xf numFmtId="197" fontId="27" fillId="0" borderId="18" xfId="107" applyNumberFormat="1" applyFont="1" applyFill="1" applyBorder="1" applyAlignment="1" applyProtection="1">
      <alignment horizontal="center" vertical="center" wrapText="1"/>
      <protection locked="0"/>
    </xf>
    <xf numFmtId="197" fontId="27" fillId="0" borderId="18" xfId="107" applyNumberFormat="1" applyFont="1" applyFill="1" applyBorder="1" applyAlignment="1" applyProtection="1">
      <alignment horizontal="left" vertical="center" wrapText="1"/>
      <protection locked="0"/>
    </xf>
    <xf numFmtId="0" fontId="27" fillId="0" borderId="18" xfId="0" applyFont="1" applyBorder="1" applyProtection="1">
      <protection locked="0"/>
    </xf>
    <xf numFmtId="0" fontId="27" fillId="0" borderId="18" xfId="0" applyFont="1" applyFill="1" applyBorder="1" applyProtection="1">
      <protection locked="0"/>
    </xf>
    <xf numFmtId="0" fontId="27" fillId="26" borderId="56" xfId="0" applyFont="1" applyFill="1" applyBorder="1" applyProtection="1"/>
    <xf numFmtId="0" fontId="27" fillId="26" borderId="58" xfId="107" applyFont="1" applyFill="1" applyBorder="1" applyAlignment="1" applyProtection="1">
      <alignment horizontal="center" vertical="center" wrapText="1"/>
    </xf>
    <xf numFmtId="0" fontId="27" fillId="0" borderId="27" xfId="107" applyFont="1" applyFill="1" applyBorder="1" applyAlignment="1" applyProtection="1">
      <alignment vertical="center" wrapText="1"/>
    </xf>
    <xf numFmtId="0" fontId="27" fillId="0" borderId="27" xfId="107" applyFont="1" applyFill="1" applyBorder="1" applyAlignment="1" applyProtection="1">
      <alignment horizontal="center" vertical="center" wrapText="1"/>
    </xf>
    <xf numFmtId="0" fontId="27" fillId="0" borderId="0" xfId="107" applyFont="1" applyFill="1" applyBorder="1" applyAlignment="1" applyProtection="1">
      <alignment horizontal="center" vertical="center" wrapText="1"/>
    </xf>
    <xf numFmtId="0" fontId="27" fillId="0" borderId="0" xfId="0" applyFont="1" applyAlignment="1" applyProtection="1">
      <alignment horizontal="center" vertical="center"/>
    </xf>
    <xf numFmtId="0" fontId="31" fillId="0" borderId="0" xfId="104" applyFont="1" applyProtection="1"/>
    <xf numFmtId="0" fontId="27" fillId="0" borderId="0" xfId="92" applyFont="1">
      <alignment vertical="center"/>
    </xf>
    <xf numFmtId="0" fontId="27" fillId="0" borderId="0" xfId="92" applyFont="1" applyFill="1" applyAlignment="1" applyProtection="1">
      <alignment horizontal="left"/>
    </xf>
    <xf numFmtId="0" fontId="27" fillId="0" borderId="18" xfId="107" applyFont="1" applyFill="1" applyBorder="1" applyAlignment="1">
      <alignment horizontal="center" vertical="center" wrapText="1"/>
    </xf>
    <xf numFmtId="0" fontId="27" fillId="0" borderId="18" xfId="92" applyFont="1" applyBorder="1" applyProtection="1">
      <alignment vertical="center"/>
      <protection locked="0"/>
    </xf>
    <xf numFmtId="0" fontId="27" fillId="0" borderId="56" xfId="92" applyFont="1" applyBorder="1" applyProtection="1">
      <alignment vertical="center"/>
      <protection locked="0"/>
    </xf>
    <xf numFmtId="197" fontId="27" fillId="26" borderId="59" xfId="107" applyNumberFormat="1" applyFont="1" applyFill="1" applyBorder="1" applyAlignment="1" applyProtection="1">
      <alignment horizontal="center" vertical="center" wrapText="1"/>
    </xf>
    <xf numFmtId="197" fontId="27" fillId="0" borderId="28" xfId="107" applyNumberFormat="1" applyFont="1" applyFill="1" applyBorder="1" applyAlignment="1" applyProtection="1">
      <alignment vertical="center" wrapText="1"/>
    </xf>
    <xf numFmtId="0" fontId="27" fillId="0" borderId="0" xfId="92" applyFont="1" applyAlignment="1">
      <alignment horizontal="center" vertical="center"/>
    </xf>
    <xf numFmtId="0" fontId="27" fillId="0" borderId="0" xfId="107" applyFont="1" applyFill="1" applyAlignment="1">
      <alignment vertical="center" wrapText="1"/>
    </xf>
    <xf numFmtId="0" fontId="27" fillId="0" borderId="0" xfId="124" applyFont="1">
      <alignment vertical="center"/>
    </xf>
    <xf numFmtId="179" fontId="27" fillId="0" borderId="16" xfId="158" applyNumberFormat="1" applyFont="1" applyFill="1" applyBorder="1" applyAlignment="1">
      <alignment horizontal="distributed" vertical="center"/>
    </xf>
    <xf numFmtId="179" fontId="27" fillId="0" borderId="60" xfId="158" applyNumberFormat="1" applyFont="1" applyFill="1" applyBorder="1" applyAlignment="1">
      <alignment horizontal="distributed" vertical="center"/>
    </xf>
    <xf numFmtId="179" fontId="27" fillId="0" borderId="22" xfId="158" applyNumberFormat="1" applyFont="1" applyFill="1" applyBorder="1" applyAlignment="1">
      <alignment horizontal="center" vertical="center"/>
    </xf>
    <xf numFmtId="179" fontId="30" fillId="0" borderId="15" xfId="138" quotePrefix="1" applyNumberFormat="1" applyFont="1" applyFill="1" applyBorder="1" applyAlignment="1">
      <alignment horizontal="center" vertical="center"/>
    </xf>
    <xf numFmtId="0" fontId="27" fillId="0" borderId="0" xfId="109" applyFont="1" applyFill="1" applyAlignment="1">
      <alignment horizontal="center" wrapText="1"/>
    </xf>
    <xf numFmtId="0" fontId="27" fillId="0" borderId="0" xfId="106" applyFont="1" applyFill="1" applyBorder="1" applyAlignment="1" applyProtection="1">
      <alignment vertical="center"/>
    </xf>
    <xf numFmtId="0" fontId="27" fillId="0" borderId="0" xfId="106" applyFont="1" applyFill="1" applyBorder="1" applyAlignment="1" applyProtection="1">
      <alignment horizontal="right" vertical="center"/>
    </xf>
    <xf numFmtId="0" fontId="27" fillId="0" borderId="0" xfId="106" applyFont="1" applyFill="1" applyProtection="1"/>
    <xf numFmtId="0" fontId="27" fillId="0" borderId="0" xfId="106" applyFont="1" applyFill="1" applyBorder="1" applyAlignment="1" applyProtection="1">
      <alignment horizontal="left" vertical="center"/>
    </xf>
    <xf numFmtId="0" fontId="27" fillId="0" borderId="0" xfId="106" applyFont="1" applyFill="1" applyBorder="1" applyAlignment="1" applyProtection="1">
      <alignment horizontal="center" vertical="center"/>
    </xf>
    <xf numFmtId="0" fontId="27" fillId="0" borderId="61" xfId="106" applyFont="1" applyFill="1" applyBorder="1" applyAlignment="1" applyProtection="1">
      <alignment horizontal="center" vertical="center"/>
    </xf>
    <xf numFmtId="0" fontId="27" fillId="0" borderId="62" xfId="106" applyFont="1" applyFill="1" applyBorder="1" applyAlignment="1" applyProtection="1">
      <alignment horizontal="left" vertical="center" indent="1"/>
    </xf>
    <xf numFmtId="0" fontId="27" fillId="0" borderId="49" xfId="106" applyFont="1" applyFill="1" applyBorder="1" applyAlignment="1" applyProtection="1">
      <alignment horizontal="left" vertical="center" indent="1"/>
    </xf>
    <xf numFmtId="0" fontId="30" fillId="0" borderId="0" xfId="106" applyFont="1" applyFill="1" applyBorder="1" applyAlignment="1" applyProtection="1">
      <alignment vertical="center"/>
    </xf>
    <xf numFmtId="0" fontId="39" fillId="0" borderId="0" xfId="106" applyFont="1" applyFill="1" applyBorder="1" applyAlignment="1" applyProtection="1">
      <alignment vertical="center"/>
    </xf>
    <xf numFmtId="0" fontId="27" fillId="0" borderId="50" xfId="106" applyFont="1" applyFill="1" applyBorder="1" applyAlignment="1" applyProtection="1">
      <alignment horizontal="center" vertical="center"/>
    </xf>
    <xf numFmtId="0" fontId="27" fillId="0" borderId="63" xfId="106" applyFont="1" applyFill="1" applyBorder="1" applyAlignment="1" applyProtection="1">
      <alignment horizontal="left" vertical="center" indent="1"/>
    </xf>
    <xf numFmtId="0" fontId="27" fillId="0" borderId="64" xfId="106" applyFont="1" applyFill="1" applyBorder="1" applyAlignment="1" applyProtection="1">
      <alignment horizontal="left" vertical="center" indent="1"/>
    </xf>
    <xf numFmtId="0" fontId="39" fillId="0" borderId="18" xfId="106" applyFont="1" applyFill="1" applyBorder="1" applyAlignment="1" applyProtection="1">
      <alignment horizontal="right" vertical="center"/>
    </xf>
    <xf numFmtId="0" fontId="27" fillId="0" borderId="0" xfId="106" applyFont="1" applyFill="1" applyAlignment="1" applyProtection="1">
      <alignment horizontal="left" vertical="center"/>
    </xf>
    <xf numFmtId="0" fontId="27" fillId="0" borderId="0" xfId="106" applyFont="1" applyFill="1" applyAlignment="1" applyProtection="1">
      <alignment horizontal="center" vertical="center"/>
    </xf>
    <xf numFmtId="0" fontId="27" fillId="0" borderId="0" xfId="106" applyFont="1" applyFill="1" applyAlignment="1" applyProtection="1">
      <alignment horizontal="right" vertical="center"/>
    </xf>
    <xf numFmtId="0" fontId="27" fillId="0" borderId="0" xfId="93" applyFont="1" applyFill="1" applyAlignment="1">
      <alignment horizontal="center"/>
    </xf>
    <xf numFmtId="183" fontId="27" fillId="0" borderId="0" xfId="195" applyNumberFormat="1" applyFont="1" applyFill="1" applyAlignment="1" applyProtection="1">
      <alignment horizontal="center"/>
      <protection locked="0"/>
    </xf>
    <xf numFmtId="191" fontId="27" fillId="0" borderId="0" xfId="93" applyNumberFormat="1" applyFont="1" applyFill="1" applyAlignment="1">
      <alignment horizontal="center"/>
    </xf>
    <xf numFmtId="183" fontId="27" fillId="0" borderId="0" xfId="195" applyNumberFormat="1" applyFont="1" applyFill="1" applyAlignment="1">
      <alignment horizontal="center"/>
    </xf>
    <xf numFmtId="0" fontId="27" fillId="0" borderId="0" xfId="93" applyFont="1" applyFill="1"/>
    <xf numFmtId="0" fontId="27" fillId="0" borderId="65" xfId="93" applyFont="1" applyFill="1" applyBorder="1" applyAlignment="1">
      <alignment horizontal="center" vertical="center" wrapText="1"/>
    </xf>
    <xf numFmtId="0" fontId="27" fillId="0" borderId="24" xfId="93" applyFont="1" applyFill="1" applyBorder="1" applyAlignment="1">
      <alignment horizontal="center" vertical="center" wrapText="1"/>
    </xf>
    <xf numFmtId="183" fontId="27" fillId="0" borderId="24" xfId="195" applyNumberFormat="1" applyFont="1" applyFill="1" applyBorder="1" applyAlignment="1" applyProtection="1">
      <alignment horizontal="center" vertical="center" wrapText="1"/>
      <protection locked="0"/>
    </xf>
    <xf numFmtId="191" fontId="27" fillId="0" borderId="24" xfId="93" applyNumberFormat="1" applyFont="1" applyFill="1" applyBorder="1" applyAlignment="1">
      <alignment horizontal="center" vertical="center" wrapText="1"/>
    </xf>
    <xf numFmtId="183" fontId="27" fillId="0" borderId="55" xfId="195" applyNumberFormat="1" applyFont="1" applyFill="1" applyBorder="1" applyAlignment="1">
      <alignment horizontal="center" vertical="center" wrapText="1"/>
    </xf>
    <xf numFmtId="0" fontId="27" fillId="0" borderId="0" xfId="0" applyFont="1" applyFill="1" applyAlignment="1">
      <alignment vertical="center"/>
    </xf>
    <xf numFmtId="0" fontId="27" fillId="0" borderId="0" xfId="155" applyFont="1" applyFill="1" applyAlignment="1">
      <alignment horizontal="center"/>
    </xf>
    <xf numFmtId="0" fontId="27" fillId="0" borderId="0" xfId="133" applyFont="1" applyFill="1" applyBorder="1" applyAlignment="1">
      <alignment horizontal="center" vertical="center" wrapText="1"/>
    </xf>
    <xf numFmtId="179" fontId="26" fillId="0" borderId="0" xfId="107" applyNumberFormat="1" applyFont="1" applyFill="1" applyBorder="1" applyAlignment="1">
      <alignment vertical="center"/>
    </xf>
    <xf numFmtId="0" fontId="28" fillId="0" borderId="0" xfId="0" applyFont="1" applyAlignment="1"/>
    <xf numFmtId="0" fontId="27" fillId="0" borderId="0" xfId="0" applyFont="1" applyFill="1" applyAlignment="1"/>
    <xf numFmtId="0" fontId="27" fillId="0" borderId="0" xfId="107" applyFont="1" applyFill="1"/>
    <xf numFmtId="0" fontId="27" fillId="0" borderId="0" xfId="107" applyFont="1" applyFill="1" applyAlignment="1">
      <alignment horizontal="left"/>
    </xf>
    <xf numFmtId="0" fontId="33" fillId="0" borderId="0" xfId="107" applyFont="1" applyFill="1" applyAlignment="1">
      <alignment horizontal="right"/>
    </xf>
    <xf numFmtId="0" fontId="27" fillId="0" borderId="16" xfId="107" applyFont="1" applyFill="1" applyBorder="1" applyAlignment="1">
      <alignment horizontal="distributed" vertical="center"/>
    </xf>
    <xf numFmtId="0" fontId="27" fillId="0" borderId="21" xfId="107" applyFont="1" applyFill="1" applyBorder="1" applyAlignment="1">
      <alignment horizontal="center" vertical="center"/>
    </xf>
    <xf numFmtId="0" fontId="27" fillId="0" borderId="0" xfId="107" applyFont="1" applyFill="1" applyAlignment="1">
      <alignment horizontal="distributed" vertical="center"/>
    </xf>
    <xf numFmtId="0" fontId="27" fillId="0" borderId="15" xfId="107" quotePrefix="1" applyFont="1" applyFill="1" applyBorder="1" applyAlignment="1">
      <alignment horizontal="center"/>
    </xf>
    <xf numFmtId="41" fontId="27" fillId="0" borderId="15" xfId="191" applyFont="1" applyFill="1" applyBorder="1" applyAlignment="1">
      <alignment horizontal="center"/>
    </xf>
    <xf numFmtId="0" fontId="27" fillId="0" borderId="18" xfId="107" applyFont="1" applyFill="1" applyBorder="1" applyAlignment="1">
      <alignment horizontal="center"/>
    </xf>
    <xf numFmtId="0" fontId="27" fillId="0" borderId="18" xfId="107" applyFont="1" applyFill="1" applyBorder="1"/>
    <xf numFmtId="0" fontId="27" fillId="0" borderId="18" xfId="107" applyFont="1" applyFill="1" applyBorder="1" applyAlignment="1">
      <alignment horizontal="left"/>
    </xf>
    <xf numFmtId="0" fontId="27" fillId="0" borderId="18" xfId="107" applyFont="1" applyFill="1" applyBorder="1" applyAlignment="1">
      <alignment horizontal="left" vertical="center"/>
    </xf>
    <xf numFmtId="0" fontId="31" fillId="0" borderId="18" xfId="107" applyFont="1" applyFill="1" applyBorder="1" applyAlignment="1">
      <alignment horizontal="left"/>
    </xf>
    <xf numFmtId="0" fontId="27" fillId="0" borderId="0" xfId="107" applyFont="1" applyFill="1" applyBorder="1" applyAlignment="1">
      <alignment horizontal="center"/>
    </xf>
    <xf numFmtId="0" fontId="27" fillId="0" borderId="0" xfId="107" applyFont="1" applyFill="1" applyAlignment="1">
      <alignment horizontal="left" vertical="center"/>
    </xf>
    <xf numFmtId="0" fontId="27" fillId="0" borderId="0" xfId="107" applyFont="1" applyFill="1" applyAlignment="1">
      <alignment horizontal="center" vertical="center"/>
    </xf>
    <xf numFmtId="0" fontId="27" fillId="0" borderId="0" xfId="107" applyFont="1" applyFill="1" applyAlignment="1"/>
    <xf numFmtId="0" fontId="27" fillId="0" borderId="0" xfId="107" applyFont="1" applyFill="1" applyAlignment="1">
      <alignment horizontal="center"/>
    </xf>
    <xf numFmtId="0" fontId="27" fillId="0" borderId="0" xfId="0" applyFont="1" applyFill="1" applyAlignment="1">
      <alignment horizontal="left" vertical="center"/>
    </xf>
    <xf numFmtId="0" fontId="27" fillId="0" borderId="0" xfId="107" applyFont="1" applyAlignment="1">
      <alignment vertical="center"/>
    </xf>
    <xf numFmtId="0" fontId="27" fillId="0" borderId="16" xfId="107" applyFont="1" applyBorder="1" applyAlignment="1">
      <alignment horizontal="center" vertical="center" wrapText="1"/>
    </xf>
    <xf numFmtId="0" fontId="27" fillId="0" borderId="0" xfId="153" applyFont="1" applyFill="1" applyAlignment="1">
      <alignment horizontal="left" vertical="center"/>
    </xf>
    <xf numFmtId="0" fontId="27" fillId="0" borderId="0" xfId="127" applyFont="1" applyFill="1" applyAlignment="1">
      <alignment horizontal="right"/>
    </xf>
    <xf numFmtId="0" fontId="27" fillId="0" borderId="16" xfId="139" applyFont="1" applyFill="1" applyBorder="1" applyAlignment="1">
      <alignment horizontal="distributed" vertical="center"/>
    </xf>
    <xf numFmtId="0" fontId="27" fillId="0" borderId="14" xfId="139" applyFont="1" applyFill="1" applyBorder="1" applyAlignment="1">
      <alignment horizontal="distributed" vertical="center"/>
    </xf>
    <xf numFmtId="0" fontId="27" fillId="0" borderId="15" xfId="139" quotePrefix="1" applyFont="1" applyFill="1" applyBorder="1" applyAlignment="1">
      <alignment horizontal="center"/>
    </xf>
    <xf numFmtId="0" fontId="27" fillId="0" borderId="0" xfId="139" applyFont="1" applyFill="1" applyBorder="1" applyAlignment="1"/>
    <xf numFmtId="0" fontId="27" fillId="0" borderId="0" xfId="139" applyFont="1" applyFill="1" applyBorder="1"/>
    <xf numFmtId="0" fontId="27" fillId="0" borderId="0" xfId="139" applyFont="1" applyFill="1" applyBorder="1" applyAlignment="1">
      <alignment wrapText="1"/>
    </xf>
    <xf numFmtId="0" fontId="27" fillId="0" borderId="0" xfId="139" applyFont="1" applyFill="1" applyBorder="1" applyAlignment="1">
      <alignment horizontal="center"/>
    </xf>
    <xf numFmtId="0" fontId="27" fillId="0" borderId="0" xfId="118" applyFont="1" applyFill="1" applyBorder="1" applyAlignment="1">
      <alignment horizontal="left"/>
    </xf>
    <xf numFmtId="0" fontId="27" fillId="0" borderId="0" xfId="139" applyFont="1" applyFill="1" applyBorder="1" applyAlignment="1">
      <alignment horizontal="left"/>
    </xf>
    <xf numFmtId="0" fontId="27" fillId="0" borderId="0" xfId="113" applyFont="1" applyFill="1" applyAlignment="1">
      <alignment vertical="center"/>
    </xf>
    <xf numFmtId="0" fontId="27" fillId="0" borderId="26" xfId="124" applyFont="1" applyFill="1" applyBorder="1" applyAlignment="1" applyProtection="1">
      <alignment horizontal="center" vertical="center" wrapText="1"/>
    </xf>
    <xf numFmtId="0" fontId="27" fillId="0" borderId="0" xfId="98" applyFont="1" applyAlignment="1">
      <alignment horizontal="center"/>
    </xf>
    <xf numFmtId="0" fontId="47" fillId="0" borderId="0" xfId="128" applyFont="1" applyFill="1" applyAlignment="1">
      <alignment horizontal="centerContinuous"/>
    </xf>
    <xf numFmtId="0" fontId="28" fillId="0" borderId="0" xfId="128" applyFont="1" applyFill="1" applyAlignment="1">
      <alignment horizontal="centerContinuous"/>
    </xf>
    <xf numFmtId="0" fontId="28" fillId="0" borderId="0" xfId="128" applyFont="1" applyFill="1"/>
    <xf numFmtId="0" fontId="51" fillId="0" borderId="0" xfId="128" applyFont="1" applyFill="1" applyAlignment="1">
      <alignment horizontal="centerContinuous"/>
    </xf>
    <xf numFmtId="0" fontId="52" fillId="0" borderId="0" xfId="128" applyFont="1" applyFill="1" applyAlignment="1">
      <alignment horizontal="centerContinuous"/>
    </xf>
    <xf numFmtId="0" fontId="53" fillId="0" borderId="0" xfId="128" applyFont="1" applyFill="1"/>
    <xf numFmtId="0" fontId="1" fillId="0" borderId="18" xfId="158" applyFont="1" applyFill="1" applyBorder="1" applyAlignment="1">
      <alignment horizontal="left" vertical="center"/>
    </xf>
    <xf numFmtId="0" fontId="27" fillId="26" borderId="58" xfId="92" applyFont="1" applyFill="1" applyBorder="1" applyAlignment="1">
      <alignment horizontal="center" vertical="center"/>
    </xf>
    <xf numFmtId="0" fontId="27" fillId="0" borderId="0" xfId="136" applyFont="1" applyFill="1" applyAlignment="1">
      <alignment horizontal="center" vertical="center"/>
    </xf>
    <xf numFmtId="0" fontId="27" fillId="0" borderId="0" xfId="112" applyFont="1" applyFill="1" applyAlignment="1">
      <alignment vertical="center"/>
    </xf>
    <xf numFmtId="0" fontId="28" fillId="0" borderId="0" xfId="124" applyFont="1" applyAlignment="1">
      <alignment vertical="center"/>
    </xf>
    <xf numFmtId="0" fontId="27" fillId="0" borderId="66" xfId="93" applyFont="1" applyFill="1" applyBorder="1" applyAlignment="1">
      <alignment vertical="center"/>
    </xf>
    <xf numFmtId="0" fontId="27" fillId="0" borderId="57" xfId="93" applyFont="1" applyFill="1" applyBorder="1" applyAlignment="1">
      <alignment vertical="center"/>
    </xf>
    <xf numFmtId="0" fontId="27" fillId="0" borderId="58" xfId="93" applyFont="1" applyFill="1" applyBorder="1" applyAlignment="1">
      <alignment vertical="center"/>
    </xf>
    <xf numFmtId="0" fontId="27" fillId="0" borderId="0" xfId="93" applyFont="1" applyAlignment="1">
      <alignment vertical="center"/>
    </xf>
    <xf numFmtId="179" fontId="27" fillId="0" borderId="0" xfId="106" applyNumberFormat="1" applyFont="1" applyFill="1" applyBorder="1" applyAlignment="1" applyProtection="1">
      <alignment vertical="center"/>
    </xf>
    <xf numFmtId="179" fontId="27" fillId="0" borderId="0" xfId="106" applyNumberFormat="1" applyFont="1" applyFill="1" applyBorder="1" applyAlignment="1" applyProtection="1">
      <alignment horizontal="center" vertical="center"/>
    </xf>
    <xf numFmtId="179" fontId="30" fillId="0" borderId="0" xfId="106" applyNumberFormat="1" applyFont="1" applyFill="1" applyBorder="1" applyAlignment="1" applyProtection="1">
      <alignment vertical="center"/>
    </xf>
    <xf numFmtId="179" fontId="39" fillId="0" borderId="18" xfId="106" applyNumberFormat="1" applyFont="1" applyFill="1" applyBorder="1" applyAlignment="1" applyProtection="1">
      <alignment horizontal="center" vertical="center"/>
    </xf>
    <xf numFmtId="179" fontId="27" fillId="0" borderId="0" xfId="106" applyNumberFormat="1" applyFont="1" applyFill="1" applyAlignment="1" applyProtection="1">
      <alignment horizontal="center" vertical="center"/>
    </xf>
    <xf numFmtId="0" fontId="27" fillId="0" borderId="16" xfId="158" applyFont="1" applyFill="1" applyBorder="1" applyAlignment="1">
      <alignment horizontal="distributed" vertical="center" wrapText="1"/>
    </xf>
    <xf numFmtId="0" fontId="27" fillId="0" borderId="0" xfId="136" applyFont="1" applyFill="1" applyBorder="1" applyAlignment="1">
      <alignment horizontal="distributed" vertical="center"/>
    </xf>
    <xf numFmtId="0" fontId="27" fillId="0" borderId="4" xfId="139" applyFont="1" applyFill="1" applyBorder="1" applyAlignment="1">
      <alignment horizontal="distributed" vertical="center"/>
    </xf>
    <xf numFmtId="0" fontId="27" fillId="0" borderId="15" xfId="139" quotePrefix="1" applyFont="1" applyFill="1" applyBorder="1" applyAlignment="1">
      <alignment horizontal="center" vertical="center"/>
    </xf>
    <xf numFmtId="0" fontId="27" fillId="0" borderId="15" xfId="139" quotePrefix="1" applyFont="1" applyFill="1" applyBorder="1" applyAlignment="1">
      <alignment horizontal="center" vertical="center" wrapText="1"/>
    </xf>
    <xf numFmtId="0" fontId="27" fillId="0" borderId="0" xfId="0" applyFont="1" applyAlignment="1" applyProtection="1">
      <alignment horizontal="center"/>
    </xf>
    <xf numFmtId="0" fontId="39" fillId="0" borderId="24" xfId="96" applyNumberFormat="1" applyFont="1" applyFill="1" applyBorder="1" applyAlignment="1" applyProtection="1">
      <alignment horizontal="center" vertical="center" wrapText="1"/>
    </xf>
    <xf numFmtId="179" fontId="27" fillId="0" borderId="51" xfId="106" applyNumberFormat="1" applyFont="1" applyFill="1" applyBorder="1" applyAlignment="1" applyProtection="1">
      <alignment horizontal="center" vertical="center"/>
    </xf>
    <xf numFmtId="0" fontId="37" fillId="0" borderId="52" xfId="106" applyFont="1" applyFill="1" applyBorder="1" applyAlignment="1" applyProtection="1">
      <alignment horizontal="center" vertical="center"/>
    </xf>
    <xf numFmtId="0" fontId="27" fillId="0" borderId="67" xfId="106" applyFont="1" applyFill="1" applyBorder="1" applyAlignment="1" applyProtection="1">
      <alignment horizontal="right" vertical="center"/>
    </xf>
    <xf numFmtId="180" fontId="61" fillId="0" borderId="18" xfId="158" applyNumberFormat="1" applyFont="1" applyFill="1" applyBorder="1" applyAlignment="1"/>
    <xf numFmtId="180" fontId="1" fillId="0" borderId="0" xfId="158" applyNumberFormat="1" applyFont="1" applyFill="1" applyBorder="1" applyAlignment="1"/>
    <xf numFmtId="179" fontId="61" fillId="0" borderId="0" xfId="158" quotePrefix="1" applyNumberFormat="1" applyFont="1" applyFill="1" applyBorder="1" applyAlignment="1">
      <alignment horizontal="right"/>
    </xf>
    <xf numFmtId="180" fontId="27" fillId="0" borderId="0" xfId="139" applyNumberFormat="1" applyFont="1" applyFill="1" applyBorder="1" applyAlignment="1">
      <alignment horizontal="left" wrapText="1"/>
    </xf>
    <xf numFmtId="179" fontId="1" fillId="0" borderId="18" xfId="195" applyNumberFormat="1" applyFont="1" applyFill="1" applyBorder="1" applyAlignment="1" applyProtection="1">
      <alignment horizontal="right" vertical="center"/>
    </xf>
    <xf numFmtId="179" fontId="1" fillId="0" borderId="15" xfId="195" applyNumberFormat="1" applyFont="1" applyFill="1" applyBorder="1" applyAlignment="1" applyProtection="1">
      <alignment horizontal="right" vertical="center"/>
    </xf>
    <xf numFmtId="179" fontId="1" fillId="0" borderId="27" xfId="195" applyNumberFormat="1" applyFont="1" applyFill="1" applyBorder="1" applyAlignment="1" applyProtection="1">
      <alignment horizontal="right" vertical="center"/>
    </xf>
    <xf numFmtId="179" fontId="61" fillId="0" borderId="18" xfId="107" applyNumberFormat="1" applyFont="1" applyFill="1" applyBorder="1" applyAlignment="1">
      <alignment vertical="center"/>
    </xf>
    <xf numFmtId="0" fontId="1" fillId="0" borderId="15" xfId="139" quotePrefix="1" applyFont="1" applyFill="1" applyBorder="1" applyAlignment="1">
      <alignment horizontal="center"/>
    </xf>
    <xf numFmtId="180" fontId="1" fillId="0" borderId="18" xfId="193" applyNumberFormat="1" applyFont="1" applyFill="1" applyBorder="1" applyAlignment="1">
      <alignment vertical="center"/>
    </xf>
    <xf numFmtId="179" fontId="1" fillId="0" borderId="18" xfId="193" applyNumberFormat="1" applyFont="1" applyFill="1" applyBorder="1" applyAlignment="1">
      <alignment vertical="center"/>
    </xf>
    <xf numFmtId="179" fontId="1" fillId="0" borderId="18" xfId="210" applyNumberFormat="1" applyFont="1" applyFill="1" applyBorder="1" applyAlignment="1">
      <alignment vertical="center"/>
    </xf>
    <xf numFmtId="179" fontId="1" fillId="0" borderId="18" xfId="153" applyNumberFormat="1" applyFont="1" applyFill="1" applyBorder="1" applyAlignment="1">
      <alignment vertical="center"/>
    </xf>
    <xf numFmtId="0" fontId="1" fillId="0" borderId="18" xfId="136" applyFont="1" applyFill="1" applyBorder="1" applyAlignment="1">
      <alignment horizontal="left" vertical="center"/>
    </xf>
    <xf numFmtId="0" fontId="1" fillId="0" borderId="18" xfId="136" applyFont="1" applyFill="1" applyBorder="1" applyAlignment="1">
      <alignment horizontal="left" wrapText="1"/>
    </xf>
    <xf numFmtId="0" fontId="1" fillId="0" borderId="18" xfId="153" applyFont="1" applyFill="1" applyBorder="1" applyAlignment="1">
      <alignment vertical="center"/>
    </xf>
    <xf numFmtId="0" fontId="1" fillId="0" borderId="18" xfId="136" applyFont="1" applyFill="1" applyBorder="1" applyAlignment="1">
      <alignment horizontal="left" vertical="center" wrapText="1"/>
    </xf>
    <xf numFmtId="0" fontId="1" fillId="0" borderId="18" xfId="136" applyFont="1" applyFill="1" applyBorder="1" applyAlignment="1">
      <alignment horizontal="left"/>
    </xf>
    <xf numFmtId="0" fontId="1" fillId="0" borderId="18" xfId="136" applyFont="1" applyFill="1" applyBorder="1" applyAlignment="1">
      <alignment vertical="center"/>
    </xf>
    <xf numFmtId="187" fontId="1" fillId="0" borderId="18" xfId="193" applyNumberFormat="1" applyFont="1" applyFill="1" applyBorder="1" applyAlignment="1">
      <alignment vertical="center"/>
    </xf>
    <xf numFmtId="0" fontId="1" fillId="0" borderId="18" xfId="136" applyFont="1" applyFill="1" applyBorder="1" applyAlignment="1">
      <alignment horizontal="center"/>
    </xf>
    <xf numFmtId="179" fontId="1" fillId="0" borderId="18" xfId="210" applyNumberFormat="1" applyFont="1" applyFill="1" applyBorder="1" applyAlignment="1">
      <alignment horizontal="left" vertical="center"/>
    </xf>
    <xf numFmtId="180" fontId="1" fillId="0" borderId="18" xfId="153" applyNumberFormat="1" applyFont="1" applyFill="1" applyBorder="1" applyAlignment="1">
      <alignment vertical="center"/>
    </xf>
    <xf numFmtId="0" fontId="1" fillId="0" borderId="15" xfId="139" quotePrefix="1" applyFont="1" applyFill="1" applyBorder="1" applyAlignment="1">
      <alignment horizontal="center" vertical="center"/>
    </xf>
    <xf numFmtId="49" fontId="1" fillId="0" borderId="18" xfId="136" applyNumberFormat="1" applyFont="1" applyFill="1" applyBorder="1" applyAlignment="1">
      <alignment horizontal="center" vertical="center"/>
    </xf>
    <xf numFmtId="0" fontId="1" fillId="0" borderId="18" xfId="0" applyFont="1" applyFill="1" applyBorder="1"/>
    <xf numFmtId="0" fontId="1" fillId="0" borderId="0" xfId="132" applyNumberFormat="1" applyFont="1" applyFill="1" applyBorder="1" applyAlignment="1">
      <alignment horizontal="left"/>
    </xf>
    <xf numFmtId="179" fontId="1" fillId="0" borderId="18" xfId="158" applyNumberFormat="1" applyFont="1" applyFill="1" applyBorder="1"/>
    <xf numFmtId="49" fontId="1" fillId="0" borderId="18" xfId="136" applyNumberFormat="1" applyFont="1" applyFill="1" applyBorder="1" applyAlignment="1">
      <alignment horizontal="center"/>
    </xf>
    <xf numFmtId="0" fontId="1" fillId="0" borderId="18" xfId="133" applyFont="1" applyFill="1" applyBorder="1" applyAlignment="1">
      <alignment horizontal="center" vertical="center" wrapText="1"/>
    </xf>
    <xf numFmtId="179" fontId="1" fillId="0" borderId="15" xfId="138" quotePrefix="1" applyNumberFormat="1" applyFont="1" applyFill="1" applyBorder="1" applyAlignment="1" applyProtection="1">
      <alignment horizontal="right" vertical="center"/>
      <protection locked="0"/>
    </xf>
    <xf numFmtId="10" fontId="1" fillId="0" borderId="15" xfId="138" applyNumberFormat="1" applyFont="1" applyFill="1" applyBorder="1" applyAlignment="1" applyProtection="1">
      <alignment horizontal="right" vertical="center"/>
      <protection locked="0"/>
    </xf>
    <xf numFmtId="0" fontId="1" fillId="0" borderId="15" xfId="136" applyFont="1" applyFill="1" applyBorder="1" applyAlignment="1">
      <alignment vertical="center"/>
    </xf>
    <xf numFmtId="179" fontId="1" fillId="0" borderId="18" xfId="138" quotePrefix="1" applyNumberFormat="1" applyFont="1" applyFill="1" applyBorder="1" applyAlignment="1" applyProtection="1">
      <alignment horizontal="right" vertical="center"/>
      <protection locked="0"/>
    </xf>
    <xf numFmtId="179" fontId="1" fillId="0" borderId="15" xfId="138" applyNumberFormat="1" applyFont="1" applyFill="1" applyBorder="1" applyAlignment="1" applyProtection="1">
      <alignment horizontal="right" vertical="center"/>
      <protection locked="0"/>
    </xf>
    <xf numFmtId="179" fontId="1" fillId="0" borderId="22" xfId="192" applyNumberFormat="1" applyFont="1" applyFill="1" applyBorder="1" applyAlignment="1" applyProtection="1">
      <alignment horizontal="right"/>
      <protection locked="0"/>
    </xf>
    <xf numFmtId="179" fontId="1" fillId="0" borderId="15" xfId="192" applyNumberFormat="1" applyFont="1" applyFill="1" applyBorder="1" applyAlignment="1" applyProtection="1">
      <alignment horizontal="right"/>
      <protection locked="0"/>
    </xf>
    <xf numFmtId="179" fontId="1" fillId="0" borderId="68" xfId="192" applyNumberFormat="1" applyFont="1" applyFill="1" applyBorder="1" applyAlignment="1" applyProtection="1">
      <alignment horizontal="right"/>
      <protection locked="0"/>
    </xf>
    <xf numFmtId="179" fontId="1" fillId="0" borderId="18" xfId="192" applyNumberFormat="1" applyFont="1" applyFill="1" applyBorder="1" applyAlignment="1" applyProtection="1">
      <alignment horizontal="right"/>
      <protection locked="0"/>
    </xf>
    <xf numFmtId="179" fontId="1" fillId="27" borderId="21" xfId="192" applyNumberFormat="1" applyFont="1" applyFill="1" applyBorder="1" applyAlignment="1" applyProtection="1">
      <alignment horizontal="right"/>
      <protection locked="0"/>
    </xf>
    <xf numFmtId="179" fontId="1" fillId="0" borderId="16" xfId="192" applyNumberFormat="1" applyFont="1" applyFill="1" applyBorder="1" applyAlignment="1" applyProtection="1">
      <alignment horizontal="right"/>
      <protection locked="0"/>
    </xf>
    <xf numFmtId="179" fontId="1" fillId="0" borderId="21" xfId="192" applyNumberFormat="1" applyFont="1" applyFill="1" applyBorder="1" applyAlignment="1" applyProtection="1">
      <alignment horizontal="right"/>
      <protection locked="0"/>
    </xf>
    <xf numFmtId="179" fontId="1" fillId="27" borderId="18" xfId="192" applyNumberFormat="1" applyFont="1" applyFill="1" applyBorder="1" applyAlignment="1" applyProtection="1">
      <alignment horizontal="right"/>
      <protection locked="0"/>
    </xf>
    <xf numFmtId="179" fontId="1" fillId="27" borderId="18" xfId="138" quotePrefix="1" applyNumberFormat="1" applyFont="1" applyFill="1" applyBorder="1" applyAlignment="1" applyProtection="1">
      <alignment horizontal="right" vertical="center"/>
      <protection locked="0"/>
    </xf>
    <xf numFmtId="179" fontId="1" fillId="27" borderId="18" xfId="138" applyNumberFormat="1" applyFont="1" applyFill="1" applyBorder="1" applyAlignment="1" applyProtection="1">
      <alignment horizontal="right" vertical="center"/>
      <protection locked="0"/>
    </xf>
    <xf numFmtId="179" fontId="1" fillId="0" borderId="18" xfId="138" applyNumberFormat="1" applyFont="1" applyFill="1" applyBorder="1" applyAlignment="1" applyProtection="1">
      <alignment horizontal="right" vertical="center"/>
      <protection locked="0"/>
    </xf>
    <xf numFmtId="0" fontId="1" fillId="0" borderId="18" xfId="158" applyFont="1" applyFill="1" applyBorder="1"/>
    <xf numFmtId="179" fontId="1" fillId="0" borderId="68" xfId="138" quotePrefix="1" applyNumberFormat="1" applyFont="1" applyFill="1" applyBorder="1" applyAlignment="1" applyProtection="1">
      <alignment horizontal="right" vertical="center"/>
      <protection locked="0"/>
    </xf>
    <xf numFmtId="179" fontId="1" fillId="27" borderId="68" xfId="138" quotePrefix="1" applyNumberFormat="1" applyFont="1" applyFill="1" applyBorder="1" applyAlignment="1" applyProtection="1">
      <alignment horizontal="right" vertical="center"/>
      <protection locked="0"/>
    </xf>
    <xf numFmtId="0" fontId="1" fillId="0" borderId="0" xfId="158" applyFont="1" applyFill="1" applyBorder="1" applyAlignment="1">
      <alignment horizontal="left" vertical="center"/>
    </xf>
    <xf numFmtId="0" fontId="1" fillId="0" borderId="0" xfId="158" applyFont="1" applyFill="1" applyAlignment="1">
      <alignment horizontal="right"/>
    </xf>
    <xf numFmtId="179" fontId="1" fillId="0" borderId="0" xfId="158" applyNumberFormat="1" applyFont="1" applyFill="1" applyBorder="1" applyAlignment="1" applyProtection="1">
      <alignment horizontal="right" vertical="center"/>
      <protection locked="0"/>
    </xf>
    <xf numFmtId="0" fontId="1" fillId="0" borderId="0" xfId="158" applyFont="1" applyFill="1" applyBorder="1" applyProtection="1">
      <protection locked="0"/>
    </xf>
    <xf numFmtId="179" fontId="1" fillId="0" borderId="1" xfId="138" quotePrefix="1" applyNumberFormat="1" applyFont="1" applyFill="1" applyBorder="1" applyAlignment="1" applyProtection="1">
      <alignment horizontal="right" vertical="center"/>
      <protection locked="0"/>
    </xf>
    <xf numFmtId="0" fontId="1" fillId="0" borderId="0" xfId="158" applyFont="1" applyFill="1" applyProtection="1">
      <protection locked="0"/>
    </xf>
    <xf numFmtId="179" fontId="1" fillId="0" borderId="22" xfId="138" quotePrefix="1" applyNumberFormat="1" applyFont="1" applyFill="1" applyBorder="1" applyAlignment="1">
      <alignment horizontal="right" vertical="center"/>
    </xf>
    <xf numFmtId="10" fontId="1" fillId="0" borderId="15" xfId="138" applyNumberFormat="1" applyFont="1" applyFill="1" applyBorder="1" applyAlignment="1">
      <alignment horizontal="right" vertical="center"/>
    </xf>
    <xf numFmtId="179" fontId="1" fillId="0" borderId="22" xfId="155" quotePrefix="1" applyNumberFormat="1" applyFont="1" applyFill="1" applyBorder="1" applyAlignment="1">
      <alignment horizontal="right"/>
    </xf>
    <xf numFmtId="179" fontId="1" fillId="0" borderId="15" xfId="155" quotePrefix="1" applyNumberFormat="1" applyFont="1" applyFill="1" applyBorder="1" applyAlignment="1">
      <alignment horizontal="right"/>
    </xf>
    <xf numFmtId="10" fontId="1" fillId="0" borderId="15" xfId="138" quotePrefix="1" applyNumberFormat="1" applyFont="1" applyFill="1" applyBorder="1" applyAlignment="1">
      <alignment horizontal="right" vertical="center"/>
    </xf>
    <xf numFmtId="179" fontId="1" fillId="0" borderId="18" xfId="138" quotePrefix="1" applyNumberFormat="1" applyFont="1" applyFill="1" applyBorder="1" applyAlignment="1">
      <alignment horizontal="right" vertical="center"/>
    </xf>
    <xf numFmtId="179" fontId="1" fillId="0" borderId="18" xfId="0" applyNumberFormat="1" applyFont="1" applyFill="1" applyBorder="1" applyAlignment="1">
      <alignment vertical="center"/>
    </xf>
    <xf numFmtId="0" fontId="1" fillId="0" borderId="0" xfId="155" applyFont="1" applyFill="1" applyBorder="1" applyAlignment="1">
      <alignment horizontal="left" vertical="center"/>
    </xf>
    <xf numFmtId="0" fontId="1" fillId="0" borderId="0" xfId="155" applyFont="1" applyFill="1" applyBorder="1"/>
    <xf numFmtId="179" fontId="1" fillId="0" borderId="0" xfId="155" applyNumberFormat="1" applyFont="1" applyFill="1" applyBorder="1"/>
    <xf numFmtId="0" fontId="1" fillId="0" borderId="0" xfId="155" applyFont="1" applyFill="1"/>
    <xf numFmtId="10" fontId="1" fillId="0" borderId="18" xfId="138" quotePrefix="1" applyNumberFormat="1" applyFont="1" applyFill="1" applyBorder="1" applyAlignment="1">
      <alignment horizontal="right" vertical="center"/>
    </xf>
    <xf numFmtId="179" fontId="1" fillId="0" borderId="18" xfId="192" applyNumberFormat="1" applyFont="1" applyFill="1" applyBorder="1"/>
    <xf numFmtId="0" fontId="1" fillId="0" borderId="18" xfId="138" applyFont="1" applyFill="1" applyBorder="1" applyAlignment="1">
      <alignment horizontal="left" vertical="center"/>
    </xf>
    <xf numFmtId="0" fontId="1" fillId="0" borderId="18" xfId="134" applyFont="1" applyFill="1" applyBorder="1" applyAlignment="1">
      <alignment horizontal="center" vertical="center" wrapText="1"/>
    </xf>
    <xf numFmtId="0" fontId="1" fillId="0" borderId="18" xfId="135" applyFont="1" applyFill="1" applyBorder="1" applyAlignment="1">
      <alignment horizontal="center" vertical="center" wrapText="1"/>
    </xf>
    <xf numFmtId="179" fontId="61" fillId="0" borderId="18" xfId="193" applyNumberFormat="1" applyFont="1" applyFill="1" applyBorder="1" applyAlignment="1">
      <alignment horizontal="right" vertical="center"/>
    </xf>
    <xf numFmtId="179" fontId="61" fillId="0" borderId="18" xfId="158" applyNumberFormat="1" applyFont="1" applyFill="1" applyBorder="1" applyAlignment="1"/>
    <xf numFmtId="179" fontId="61" fillId="0" borderId="15" xfId="136" applyNumberFormat="1" applyFont="1" applyFill="1" applyBorder="1" applyAlignment="1">
      <alignment vertical="center"/>
    </xf>
    <xf numFmtId="179" fontId="61" fillId="0" borderId="18" xfId="136" applyNumberFormat="1" applyFont="1" applyFill="1" applyBorder="1" applyAlignment="1">
      <alignment vertical="center"/>
    </xf>
    <xf numFmtId="179" fontId="61" fillId="0" borderId="18" xfId="153" applyNumberFormat="1" applyFont="1" applyFill="1" applyBorder="1" applyAlignment="1">
      <alignment vertical="center"/>
    </xf>
    <xf numFmtId="179" fontId="61" fillId="0" borderId="18" xfId="158" applyNumberFormat="1" applyFont="1" applyFill="1" applyBorder="1" applyAlignment="1">
      <alignment horizontal="right"/>
    </xf>
    <xf numFmtId="191" fontId="1" fillId="0" borderId="32" xfId="96" applyNumberFormat="1" applyFont="1" applyFill="1" applyBorder="1" applyAlignment="1" applyProtection="1">
      <alignment horizontal="center" vertical="center"/>
    </xf>
    <xf numFmtId="179" fontId="1" fillId="0" borderId="32" xfId="195" applyNumberFormat="1" applyFont="1" applyFill="1" applyBorder="1" applyAlignment="1" applyProtection="1">
      <alignment horizontal="right" vertical="center"/>
    </xf>
    <xf numFmtId="179" fontId="1" fillId="0" borderId="69" xfId="96" applyNumberFormat="1" applyFont="1" applyFill="1" applyBorder="1" applyAlignment="1" applyProtection="1">
      <alignment horizontal="right" vertical="center"/>
    </xf>
    <xf numFmtId="179" fontId="1" fillId="0" borderId="70" xfId="96" applyNumberFormat="1" applyFont="1" applyFill="1" applyBorder="1" applyAlignment="1" applyProtection="1">
      <alignment horizontal="right" vertical="center"/>
    </xf>
    <xf numFmtId="179" fontId="1" fillId="0" borderId="3" xfId="96" applyNumberFormat="1" applyFont="1" applyFill="1" applyBorder="1" applyAlignment="1" applyProtection="1">
      <alignment horizontal="right" vertical="center"/>
    </xf>
    <xf numFmtId="191" fontId="1" fillId="0" borderId="34" xfId="96" applyNumberFormat="1" applyFont="1" applyFill="1" applyBorder="1" applyAlignment="1" applyProtection="1">
      <alignment horizontal="center" vertical="center"/>
    </xf>
    <xf numFmtId="179" fontId="1" fillId="0" borderId="71" xfId="96" applyNumberFormat="1" applyFont="1" applyFill="1" applyBorder="1" applyAlignment="1" applyProtection="1">
      <alignment horizontal="right" vertical="center"/>
    </xf>
    <xf numFmtId="0" fontId="1" fillId="0" borderId="16" xfId="93" applyFont="1" applyFill="1" applyBorder="1" applyAlignment="1">
      <alignment horizontal="center" vertical="center"/>
    </xf>
    <xf numFmtId="179" fontId="1" fillId="0" borderId="16" xfId="195" applyNumberFormat="1" applyFont="1" applyFill="1" applyBorder="1" applyAlignment="1" applyProtection="1">
      <alignment horizontal="right" vertical="center"/>
    </xf>
    <xf numFmtId="191" fontId="1" fillId="0" borderId="16" xfId="93" applyNumberFormat="1" applyFont="1" applyFill="1" applyBorder="1" applyAlignment="1" applyProtection="1">
      <alignment horizontal="center" vertical="center"/>
    </xf>
    <xf numFmtId="179" fontId="1" fillId="0" borderId="72" xfId="195" applyNumberFormat="1" applyFont="1" applyFill="1" applyBorder="1" applyAlignment="1" applyProtection="1">
      <alignment horizontal="right" vertical="center"/>
    </xf>
    <xf numFmtId="191" fontId="1" fillId="0" borderId="14" xfId="93" applyNumberFormat="1" applyFont="1" applyFill="1" applyBorder="1" applyAlignment="1" applyProtection="1">
      <alignment horizontal="center" vertical="center"/>
    </xf>
    <xf numFmtId="179" fontId="1" fillId="0" borderId="73" xfId="195" applyNumberFormat="1" applyFont="1" applyFill="1" applyBorder="1" applyAlignment="1" applyProtection="1">
      <alignment horizontal="right" vertical="center"/>
    </xf>
    <xf numFmtId="0" fontId="1" fillId="0" borderId="15" xfId="93" applyFont="1" applyFill="1" applyBorder="1" applyAlignment="1">
      <alignment horizontal="center" vertical="center"/>
    </xf>
    <xf numFmtId="191" fontId="1" fillId="0" borderId="15" xfId="93" applyNumberFormat="1" applyFont="1" applyFill="1" applyBorder="1" applyAlignment="1" applyProtection="1">
      <alignment horizontal="center" vertical="center"/>
    </xf>
    <xf numFmtId="179" fontId="1" fillId="0" borderId="74" xfId="195" applyNumberFormat="1" applyFont="1" applyFill="1" applyBorder="1" applyAlignment="1" applyProtection="1">
      <alignment horizontal="right" vertical="center"/>
    </xf>
    <xf numFmtId="179" fontId="1" fillId="0" borderId="17" xfId="195" applyNumberFormat="1" applyFont="1" applyFill="1" applyBorder="1" applyAlignment="1" applyProtection="1">
      <alignment horizontal="right" vertical="center"/>
    </xf>
    <xf numFmtId="191" fontId="1" fillId="0" borderId="60" xfId="93" applyNumberFormat="1" applyFont="1" applyFill="1" applyBorder="1" applyAlignment="1" applyProtection="1">
      <alignment horizontal="center" vertical="center"/>
    </xf>
    <xf numFmtId="179" fontId="1" fillId="0" borderId="4" xfId="195" applyNumberFormat="1" applyFont="1" applyFill="1" applyBorder="1" applyAlignment="1" applyProtection="1">
      <alignment horizontal="right" vertical="center"/>
    </xf>
    <xf numFmtId="191" fontId="1" fillId="0" borderId="22" xfId="93" applyNumberFormat="1" applyFont="1" applyFill="1" applyBorder="1" applyAlignment="1" applyProtection="1">
      <alignment horizontal="center" vertical="center"/>
    </xf>
    <xf numFmtId="179" fontId="1" fillId="0" borderId="23" xfId="195" applyNumberFormat="1" applyFont="1" applyFill="1" applyBorder="1" applyAlignment="1" applyProtection="1">
      <alignment horizontal="right" vertical="center"/>
    </xf>
    <xf numFmtId="0" fontId="1" fillId="0" borderId="18" xfId="93" applyFont="1" applyFill="1" applyBorder="1" applyAlignment="1">
      <alignment horizontal="center" vertical="center"/>
    </xf>
    <xf numFmtId="191" fontId="1" fillId="0" borderId="18" xfId="93" applyNumberFormat="1" applyFont="1" applyFill="1" applyBorder="1" applyAlignment="1" applyProtection="1">
      <alignment horizontal="center" vertical="center"/>
    </xf>
    <xf numFmtId="179" fontId="1" fillId="0" borderId="56" xfId="195" applyNumberFormat="1" applyFont="1" applyFill="1" applyBorder="1" applyAlignment="1" applyProtection="1">
      <alignment horizontal="right" vertical="center"/>
    </xf>
    <xf numFmtId="0" fontId="1" fillId="0" borderId="27" xfId="93" applyFont="1" applyFill="1" applyBorder="1" applyAlignment="1">
      <alignment horizontal="center" vertical="center"/>
    </xf>
    <xf numFmtId="191" fontId="1" fillId="0" borderId="27" xfId="93" applyNumberFormat="1" applyFont="1" applyFill="1" applyBorder="1" applyAlignment="1" applyProtection="1">
      <alignment horizontal="center" vertical="center"/>
    </xf>
    <xf numFmtId="179" fontId="1" fillId="0" borderId="28" xfId="195" applyNumberFormat="1" applyFont="1" applyFill="1" applyBorder="1" applyAlignment="1" applyProtection="1">
      <alignment horizontal="right" vertical="center"/>
    </xf>
    <xf numFmtId="179" fontId="1" fillId="0" borderId="75" xfId="106" applyNumberFormat="1" applyFont="1" applyFill="1" applyBorder="1" applyAlignment="1" applyProtection="1">
      <alignment horizontal="right" vertical="center"/>
    </xf>
    <xf numFmtId="208" fontId="1" fillId="0" borderId="76" xfId="106" applyNumberFormat="1" applyFont="1" applyFill="1" applyBorder="1" applyAlignment="1" applyProtection="1">
      <alignment horizontal="right" vertical="center"/>
    </xf>
    <xf numFmtId="195" fontId="1" fillId="0" borderId="77" xfId="106" applyNumberFormat="1" applyFont="1" applyFill="1" applyBorder="1" applyAlignment="1" applyProtection="1">
      <alignment horizontal="center" vertical="center"/>
    </xf>
    <xf numFmtId="208" fontId="1" fillId="0" borderId="32" xfId="106" applyNumberFormat="1" applyFont="1" applyFill="1" applyBorder="1" applyAlignment="1" applyProtection="1">
      <alignment horizontal="right" vertical="center"/>
    </xf>
    <xf numFmtId="195" fontId="1" fillId="0" borderId="78" xfId="106" applyNumberFormat="1" applyFont="1" applyFill="1" applyBorder="1" applyAlignment="1" applyProtection="1">
      <alignment horizontal="center" vertical="center"/>
    </xf>
    <xf numFmtId="179" fontId="1" fillId="0" borderId="79" xfId="106" applyNumberFormat="1" applyFont="1" applyFill="1" applyBorder="1" applyAlignment="1" applyProtection="1">
      <alignment horizontal="right" vertical="center"/>
    </xf>
    <xf numFmtId="208" fontId="1" fillId="0" borderId="80" xfId="106" applyNumberFormat="1" applyFont="1" applyFill="1" applyBorder="1" applyAlignment="1" applyProtection="1">
      <alignment horizontal="right" vertical="center"/>
    </xf>
    <xf numFmtId="195" fontId="1" fillId="0" borderId="81" xfId="106" applyNumberFormat="1" applyFont="1" applyFill="1" applyBorder="1" applyAlignment="1" applyProtection="1">
      <alignment horizontal="center" vertical="center"/>
    </xf>
    <xf numFmtId="179" fontId="1" fillId="0" borderId="82" xfId="106" applyNumberFormat="1" applyFont="1" applyFill="1" applyBorder="1" applyAlignment="1" applyProtection="1">
      <alignment horizontal="center" vertical="center"/>
    </xf>
    <xf numFmtId="0" fontId="1" fillId="0" borderId="83" xfId="106" applyFont="1" applyFill="1" applyBorder="1" applyAlignment="1" applyProtection="1">
      <alignment horizontal="right" vertical="center"/>
    </xf>
    <xf numFmtId="188" fontId="56" fillId="0" borderId="84" xfId="106" applyNumberFormat="1" applyFont="1" applyFill="1" applyBorder="1" applyAlignment="1" applyProtection="1">
      <alignment horizontal="center"/>
    </xf>
    <xf numFmtId="179" fontId="1" fillId="0" borderId="85" xfId="106" applyNumberFormat="1" applyFont="1" applyFill="1" applyBorder="1" applyAlignment="1" applyProtection="1">
      <alignment horizontal="right" vertical="center"/>
    </xf>
    <xf numFmtId="208" fontId="1" fillId="0" borderId="86" xfId="106" applyNumberFormat="1" applyFont="1" applyFill="1" applyBorder="1" applyAlignment="1" applyProtection="1">
      <alignment horizontal="right" vertical="center"/>
    </xf>
    <xf numFmtId="195" fontId="1" fillId="0" borderId="87" xfId="106" applyNumberFormat="1" applyFont="1" applyFill="1" applyBorder="1" applyAlignment="1" applyProtection="1">
      <alignment horizontal="center" vertical="center"/>
    </xf>
    <xf numFmtId="179" fontId="1" fillId="0" borderId="88" xfId="106" applyNumberFormat="1" applyFont="1" applyFill="1" applyBorder="1" applyAlignment="1" applyProtection="1">
      <alignment horizontal="center" vertical="center"/>
    </xf>
    <xf numFmtId="0" fontId="1" fillId="0" borderId="89" xfId="106" applyFont="1" applyFill="1" applyBorder="1" applyAlignment="1" applyProtection="1">
      <alignment horizontal="right" vertical="center"/>
    </xf>
    <xf numFmtId="188" fontId="56" fillId="0" borderId="90" xfId="106" applyNumberFormat="1" applyFont="1" applyFill="1" applyBorder="1" applyAlignment="1" applyProtection="1">
      <alignment horizontal="center"/>
    </xf>
    <xf numFmtId="179" fontId="1" fillId="0" borderId="32" xfId="106" applyNumberFormat="1" applyFont="1" applyFill="1" applyBorder="1" applyAlignment="1" applyProtection="1">
      <alignment horizontal="center" vertical="center"/>
    </xf>
    <xf numFmtId="188" fontId="1" fillId="0" borderId="32" xfId="106" applyNumberFormat="1" applyFont="1" applyFill="1" applyBorder="1" applyAlignment="1" applyProtection="1">
      <alignment horizontal="right" vertical="center"/>
    </xf>
    <xf numFmtId="179" fontId="1" fillId="0" borderId="91" xfId="106" applyNumberFormat="1" applyFont="1" applyFill="1" applyBorder="1" applyAlignment="1" applyProtection="1">
      <alignment horizontal="center" vertical="center"/>
    </xf>
    <xf numFmtId="188" fontId="1" fillId="0" borderId="91" xfId="106" applyNumberFormat="1" applyFont="1" applyFill="1" applyBorder="1" applyAlignment="1" applyProtection="1">
      <alignment horizontal="right" vertical="center"/>
    </xf>
    <xf numFmtId="192" fontId="1" fillId="0" borderId="92" xfId="96" applyNumberFormat="1" applyFont="1" applyFill="1" applyBorder="1" applyAlignment="1" applyProtection="1">
      <alignment horizontal="center" vertical="center"/>
      <protection locked="0"/>
    </xf>
    <xf numFmtId="192" fontId="1" fillId="0" borderId="93" xfId="96" applyNumberFormat="1" applyFont="1" applyFill="1" applyBorder="1" applyAlignment="1" applyProtection="1">
      <alignment horizontal="center" vertical="center"/>
      <protection locked="0"/>
    </xf>
    <xf numFmtId="192" fontId="1" fillId="0" borderId="93" xfId="96" applyNumberFormat="1" applyFont="1" applyFill="1" applyBorder="1" applyAlignment="1" applyProtection="1">
      <alignment horizontal="center" vertical="center"/>
    </xf>
    <xf numFmtId="190" fontId="1" fillId="0" borderId="94" xfId="96" applyNumberFormat="1" applyFont="1" applyFill="1" applyBorder="1" applyAlignment="1" applyProtection="1">
      <alignment horizontal="center" vertical="center"/>
    </xf>
    <xf numFmtId="0" fontId="1" fillId="25" borderId="95" xfId="96" applyFont="1" applyFill="1" applyBorder="1" applyAlignment="1" applyProtection="1">
      <alignment horizontal="center" vertical="center"/>
    </xf>
    <xf numFmtId="192" fontId="61" fillId="0" borderId="69" xfId="0" applyNumberFormat="1" applyFont="1" applyFill="1" applyBorder="1" applyAlignment="1" applyProtection="1">
      <alignment horizontal="center" vertical="center"/>
      <protection locked="0"/>
    </xf>
    <xf numFmtId="192" fontId="1" fillId="0" borderId="96" xfId="0" applyNumberFormat="1" applyFont="1" applyFill="1" applyBorder="1" applyAlignment="1" applyProtection="1">
      <alignment horizontal="center" vertical="center"/>
      <protection locked="0"/>
    </xf>
    <xf numFmtId="192" fontId="1" fillId="0" borderId="96" xfId="96" applyNumberFormat="1" applyFont="1" applyFill="1" applyBorder="1" applyAlignment="1" applyProtection="1">
      <alignment horizontal="center" vertical="center"/>
    </xf>
    <xf numFmtId="192" fontId="1" fillId="0" borderId="97" xfId="96" applyNumberFormat="1" applyFont="1" applyFill="1" applyBorder="1" applyAlignment="1" applyProtection="1">
      <alignment horizontal="center" vertical="center"/>
    </xf>
    <xf numFmtId="190" fontId="1" fillId="0" borderId="97" xfId="96" applyNumberFormat="1" applyFont="1" applyFill="1" applyBorder="1" applyAlignment="1" applyProtection="1">
      <alignment horizontal="center" vertical="center"/>
    </xf>
    <xf numFmtId="0" fontId="1" fillId="25" borderId="98" xfId="96" applyFont="1" applyFill="1" applyBorder="1" applyAlignment="1" applyProtection="1">
      <alignment horizontal="center" vertical="center"/>
    </xf>
    <xf numFmtId="192" fontId="61" fillId="0" borderId="99" xfId="0" applyNumberFormat="1" applyFont="1" applyFill="1" applyBorder="1" applyAlignment="1" applyProtection="1">
      <alignment horizontal="center" vertical="center"/>
      <protection locked="0"/>
    </xf>
    <xf numFmtId="192" fontId="1" fillId="0" borderId="100" xfId="0" applyNumberFormat="1" applyFont="1" applyFill="1" applyBorder="1" applyAlignment="1" applyProtection="1">
      <alignment horizontal="center" vertical="center"/>
      <protection locked="0"/>
    </xf>
    <xf numFmtId="192" fontId="1" fillId="0" borderId="101" xfId="96" applyNumberFormat="1" applyFont="1" applyFill="1" applyBorder="1" applyAlignment="1" applyProtection="1">
      <alignment horizontal="center" vertical="center"/>
    </xf>
    <xf numFmtId="10" fontId="1" fillId="25" borderId="102" xfId="96" applyNumberFormat="1" applyFont="1" applyFill="1" applyBorder="1" applyAlignment="1" applyProtection="1">
      <alignment horizontal="center" vertical="center"/>
    </xf>
    <xf numFmtId="0" fontId="1" fillId="25" borderId="103" xfId="96" applyFont="1" applyFill="1" applyBorder="1" applyAlignment="1" applyProtection="1">
      <alignment horizontal="center" vertical="center"/>
    </xf>
    <xf numFmtId="0" fontId="1" fillId="25" borderId="92" xfId="96" applyFont="1" applyFill="1" applyBorder="1" applyAlignment="1" applyProtection="1">
      <alignment horizontal="center" vertical="center"/>
    </xf>
    <xf numFmtId="0" fontId="1" fillId="25" borderId="93" xfId="96" applyFont="1" applyFill="1" applyBorder="1" applyAlignment="1" applyProtection="1">
      <alignment horizontal="center" vertical="center"/>
    </xf>
    <xf numFmtId="0" fontId="1" fillId="25" borderId="94" xfId="96" applyFont="1" applyFill="1" applyBorder="1" applyAlignment="1" applyProtection="1">
      <alignment horizontal="center" vertical="center"/>
    </xf>
    <xf numFmtId="0" fontId="1" fillId="25" borderId="104" xfId="96" applyFont="1" applyFill="1" applyBorder="1" applyAlignment="1" applyProtection="1">
      <alignment horizontal="center" vertical="center"/>
    </xf>
    <xf numFmtId="0" fontId="1" fillId="25" borderId="105" xfId="96" applyFont="1" applyFill="1" applyBorder="1" applyAlignment="1" applyProtection="1">
      <alignment horizontal="center" vertical="center"/>
    </xf>
    <xf numFmtId="0" fontId="1" fillId="25" borderId="106" xfId="96" applyFont="1" applyFill="1" applyBorder="1" applyAlignment="1" applyProtection="1">
      <alignment horizontal="center" vertical="center"/>
    </xf>
    <xf numFmtId="190" fontId="1" fillId="0" borderId="106" xfId="96" applyNumberFormat="1" applyFont="1" applyFill="1" applyBorder="1" applyAlignment="1" applyProtection="1">
      <alignment horizontal="center" vertical="center"/>
    </xf>
    <xf numFmtId="0" fontId="1" fillId="25" borderId="107" xfId="96" applyFont="1" applyFill="1" applyBorder="1" applyAlignment="1" applyProtection="1">
      <alignment horizontal="center" vertical="center"/>
    </xf>
    <xf numFmtId="0" fontId="1" fillId="25" borderId="108" xfId="96" applyFont="1" applyFill="1" applyBorder="1" applyAlignment="1" applyProtection="1">
      <alignment horizontal="center" vertical="center"/>
    </xf>
    <xf numFmtId="0" fontId="1" fillId="25" borderId="109" xfId="96" applyFont="1" applyFill="1" applyBorder="1" applyAlignment="1" applyProtection="1">
      <alignment horizontal="center" vertical="center"/>
    </xf>
    <xf numFmtId="0" fontId="1" fillId="25" borderId="110" xfId="96" applyFont="1" applyFill="1" applyBorder="1" applyAlignment="1" applyProtection="1">
      <alignment horizontal="center" vertical="center"/>
    </xf>
    <xf numFmtId="10" fontId="1" fillId="0" borderId="85" xfId="96" applyNumberFormat="1" applyFont="1" applyFill="1" applyBorder="1" applyAlignment="1" applyProtection="1">
      <alignment horizontal="center" vertical="center"/>
    </xf>
    <xf numFmtId="0" fontId="1" fillId="25" borderId="87" xfId="96" applyFont="1" applyFill="1" applyBorder="1" applyAlignment="1" applyProtection="1">
      <alignment horizontal="center" vertical="center"/>
    </xf>
    <xf numFmtId="0" fontId="1" fillId="25" borderId="82" xfId="96" applyFont="1" applyFill="1" applyBorder="1" applyAlignment="1" applyProtection="1">
      <alignment horizontal="center" vertical="center"/>
    </xf>
    <xf numFmtId="0" fontId="1" fillId="0" borderId="16" xfId="98" applyFont="1" applyBorder="1" applyAlignment="1" applyProtection="1">
      <alignment horizontal="center"/>
    </xf>
    <xf numFmtId="0" fontId="1" fillId="0" borderId="16" xfId="98" applyFont="1" applyBorder="1" applyAlignment="1" applyProtection="1">
      <alignment horizontal="center"/>
      <protection locked="0"/>
    </xf>
    <xf numFmtId="180" fontId="1" fillId="0" borderId="72" xfId="98" applyNumberFormat="1" applyFont="1" applyBorder="1" applyAlignment="1" applyProtection="1">
      <alignment horizontal="center"/>
      <protection locked="0"/>
    </xf>
    <xf numFmtId="0" fontId="1" fillId="0" borderId="32" xfId="98" applyFont="1" applyBorder="1" applyAlignment="1" applyProtection="1">
      <alignment horizontal="center"/>
    </xf>
    <xf numFmtId="0" fontId="1" fillId="0" borderId="32" xfId="98" applyFont="1" applyBorder="1" applyAlignment="1" applyProtection="1">
      <alignment horizontal="center"/>
      <protection locked="0"/>
    </xf>
    <xf numFmtId="180" fontId="1" fillId="0" borderId="111" xfId="98" applyNumberFormat="1" applyFont="1" applyBorder="1" applyAlignment="1" applyProtection="1">
      <alignment horizontal="center"/>
      <protection locked="0"/>
    </xf>
    <xf numFmtId="0" fontId="1" fillId="0" borderId="15" xfId="98" applyFont="1" applyBorder="1" applyAlignment="1" applyProtection="1">
      <alignment horizontal="center"/>
    </xf>
    <xf numFmtId="0" fontId="1" fillId="0" borderId="15" xfId="98" applyFont="1" applyBorder="1" applyAlignment="1" applyProtection="1">
      <alignment horizontal="center"/>
      <protection locked="0"/>
    </xf>
    <xf numFmtId="180" fontId="1" fillId="0" borderId="74" xfId="98" applyNumberFormat="1" applyFont="1" applyBorder="1" applyAlignment="1" applyProtection="1">
      <alignment horizontal="center"/>
      <protection locked="0"/>
    </xf>
    <xf numFmtId="0" fontId="1" fillId="25" borderId="18" xfId="98" applyFont="1" applyFill="1" applyBorder="1" applyAlignment="1" applyProtection="1">
      <alignment horizontal="center"/>
    </xf>
    <xf numFmtId="180" fontId="1" fillId="25" borderId="56" xfId="98" applyNumberFormat="1" applyFont="1" applyFill="1" applyBorder="1" applyAlignment="1" applyProtection="1">
      <alignment horizontal="center"/>
    </xf>
    <xf numFmtId="180" fontId="1" fillId="0" borderId="17" xfId="98" applyNumberFormat="1" applyFont="1" applyBorder="1" applyAlignment="1" applyProtection="1">
      <alignment horizontal="center"/>
      <protection locked="0"/>
    </xf>
    <xf numFmtId="0" fontId="1" fillId="0" borderId="16" xfId="98" applyFont="1" applyBorder="1" applyProtection="1"/>
    <xf numFmtId="0" fontId="1" fillId="0" borderId="112" xfId="98" applyFont="1" applyBorder="1" applyAlignment="1" applyProtection="1">
      <alignment horizontal="center"/>
    </xf>
    <xf numFmtId="180" fontId="1" fillId="0" borderId="113" xfId="98" applyNumberFormat="1" applyFont="1" applyBorder="1" applyAlignment="1" applyProtection="1">
      <alignment horizontal="center"/>
      <protection locked="0"/>
    </xf>
    <xf numFmtId="0" fontId="1" fillId="25" borderId="68" xfId="98" applyFont="1" applyFill="1" applyBorder="1" applyAlignment="1" applyProtection="1"/>
    <xf numFmtId="0" fontId="1" fillId="0" borderId="86" xfId="98" applyFont="1" applyFill="1" applyBorder="1" applyAlignment="1" applyProtection="1">
      <alignment horizontal="center"/>
    </xf>
    <xf numFmtId="0" fontId="1" fillId="0" borderId="86" xfId="98" applyFont="1" applyBorder="1" applyAlignment="1" applyProtection="1">
      <alignment horizontal="center"/>
      <protection locked="0"/>
    </xf>
    <xf numFmtId="180" fontId="1" fillId="0" borderId="112" xfId="98" applyNumberFormat="1" applyFont="1" applyBorder="1" applyAlignment="1" applyProtection="1">
      <alignment horizontal="center"/>
      <protection locked="0"/>
    </xf>
    <xf numFmtId="0" fontId="1" fillId="0" borderId="32" xfId="98" applyFont="1" applyFill="1" applyBorder="1" applyAlignment="1" applyProtection="1">
      <alignment horizontal="center"/>
    </xf>
    <xf numFmtId="0" fontId="1" fillId="25" borderId="27" xfId="98" applyFont="1" applyFill="1" applyBorder="1" applyAlignment="1" applyProtection="1">
      <alignment horizontal="center" wrapText="1"/>
    </xf>
    <xf numFmtId="0" fontId="1" fillId="25" borderId="27" xfId="98" applyFont="1" applyFill="1" applyBorder="1" applyAlignment="1" applyProtection="1">
      <alignment horizontal="center"/>
    </xf>
    <xf numFmtId="180" fontId="1" fillId="25" borderId="28" xfId="98" applyNumberFormat="1" applyFont="1" applyFill="1" applyBorder="1" applyAlignment="1" applyProtection="1">
      <alignment horizontal="center"/>
    </xf>
    <xf numFmtId="0" fontId="1" fillId="0" borderId="57" xfId="98" applyFont="1" applyBorder="1" applyAlignment="1" applyProtection="1">
      <alignment horizontal="center"/>
    </xf>
    <xf numFmtId="0" fontId="1" fillId="0" borderId="58" xfId="98" applyFont="1" applyBorder="1" applyAlignment="1" applyProtection="1">
      <alignment horizontal="center"/>
    </xf>
    <xf numFmtId="179" fontId="27" fillId="0" borderId="0" xfId="158" applyNumberFormat="1" applyFont="1" applyFill="1" applyBorder="1"/>
    <xf numFmtId="179" fontId="27" fillId="0" borderId="0" xfId="153" applyNumberFormat="1" applyFont="1" applyFill="1" applyAlignment="1">
      <alignment horizontal="distributed" vertical="center"/>
    </xf>
    <xf numFmtId="180" fontId="27" fillId="0" borderId="0" xfId="158" applyNumberFormat="1" applyFont="1" applyFill="1" applyAlignment="1"/>
    <xf numFmtId="179" fontId="1" fillId="0" borderId="0" xfId="155" applyNumberFormat="1" applyFont="1" applyFill="1"/>
    <xf numFmtId="0" fontId="1" fillId="0" borderId="32" xfId="93" applyFont="1" applyFill="1" applyBorder="1" applyAlignment="1">
      <alignment horizontal="center" vertical="center"/>
    </xf>
    <xf numFmtId="191" fontId="1" fillId="0" borderId="32" xfId="93" applyNumberFormat="1" applyFont="1" applyFill="1" applyBorder="1" applyAlignment="1" applyProtection="1">
      <alignment horizontal="center" vertical="center"/>
    </xf>
    <xf numFmtId="179" fontId="1" fillId="0" borderId="111" xfId="195" applyNumberFormat="1" applyFont="1" applyFill="1" applyBorder="1" applyAlignment="1" applyProtection="1">
      <alignment horizontal="right" vertical="center"/>
    </xf>
    <xf numFmtId="179" fontId="1" fillId="0" borderId="75" xfId="195" applyNumberFormat="1" applyFont="1" applyFill="1" applyBorder="1" applyAlignment="1" applyProtection="1">
      <alignment horizontal="right" vertical="center"/>
    </xf>
    <xf numFmtId="191" fontId="1" fillId="0" borderId="114" xfId="93" applyNumberFormat="1" applyFont="1" applyFill="1" applyBorder="1" applyAlignment="1" applyProtection="1">
      <alignment horizontal="center" vertical="center"/>
    </xf>
    <xf numFmtId="0" fontId="39" fillId="0" borderId="26" xfId="96" applyNumberFormat="1" applyFont="1" applyFill="1" applyBorder="1" applyAlignment="1" applyProtection="1">
      <alignment horizontal="center" vertical="center"/>
    </xf>
    <xf numFmtId="189" fontId="1" fillId="0" borderId="115" xfId="96" applyNumberFormat="1" applyFont="1" applyFill="1" applyBorder="1" applyAlignment="1" applyProtection="1">
      <alignment horizontal="center" vertical="center"/>
    </xf>
    <xf numFmtId="189" fontId="1" fillId="0" borderId="116" xfId="96" applyNumberFormat="1" applyFont="1" applyFill="1" applyBorder="1" applyAlignment="1" applyProtection="1">
      <alignment horizontal="center" vertical="center"/>
    </xf>
    <xf numFmtId="189" fontId="1" fillId="0" borderId="34" xfId="96" applyNumberFormat="1" applyFont="1" applyFill="1" applyBorder="1" applyAlignment="1" applyProtection="1">
      <alignment horizontal="center" vertical="center"/>
    </xf>
    <xf numFmtId="0" fontId="27" fillId="0" borderId="18" xfId="153" applyFont="1" applyFill="1" applyBorder="1" applyAlignment="1">
      <alignment vertical="center"/>
    </xf>
    <xf numFmtId="0" fontId="27" fillId="0" borderId="16" xfId="98" applyFont="1" applyBorder="1" applyAlignment="1" applyProtection="1">
      <alignment horizontal="center"/>
      <protection locked="0"/>
    </xf>
    <xf numFmtId="0" fontId="1" fillId="0" borderId="15" xfId="139" applyFont="1" applyFill="1" applyBorder="1" applyAlignment="1">
      <alignment horizontal="left" wrapText="1"/>
    </xf>
    <xf numFmtId="0" fontId="1" fillId="0" borderId="18" xfId="136" applyFont="1" applyFill="1" applyBorder="1" applyAlignment="1">
      <alignment wrapText="1"/>
    </xf>
    <xf numFmtId="0" fontId="1" fillId="0" borderId="18" xfId="136" applyFont="1" applyFill="1" applyBorder="1" applyAlignment="1">
      <alignment vertical="center" wrapText="1"/>
    </xf>
    <xf numFmtId="0" fontId="27" fillId="0" borderId="15" xfId="136" applyFont="1" applyBorder="1" applyAlignment="1">
      <alignment vertical="center"/>
    </xf>
    <xf numFmtId="0" fontId="27" fillId="0" borderId="18" xfId="136" applyFont="1" applyBorder="1" applyAlignment="1">
      <alignment vertical="center"/>
    </xf>
    <xf numFmtId="0" fontId="27" fillId="0" borderId="18" xfId="158" applyFont="1" applyBorder="1"/>
    <xf numFmtId="0" fontId="27" fillId="0" borderId="18" xfId="153" applyFont="1" applyBorder="1" applyAlignment="1">
      <alignment vertical="center"/>
    </xf>
    <xf numFmtId="179" fontId="30" fillId="0" borderId="18" xfId="0" applyNumberFormat="1" applyFont="1" applyBorder="1" applyAlignment="1">
      <alignment vertical="center"/>
    </xf>
    <xf numFmtId="180" fontId="1" fillId="0" borderId="69" xfId="96" applyNumberFormat="1" applyFont="1" applyFill="1" applyBorder="1" applyAlignment="1" applyProtection="1">
      <alignment horizontal="right" vertical="center"/>
    </xf>
    <xf numFmtId="0" fontId="27" fillId="0" borderId="0" xfId="158" applyFont="1" applyFill="1" applyAlignment="1">
      <alignment horizontal="center"/>
    </xf>
    <xf numFmtId="0" fontId="27" fillId="0" borderId="0" xfId="153" applyFont="1" applyAlignment="1">
      <alignment vertical="center"/>
    </xf>
    <xf numFmtId="179" fontId="30" fillId="0" borderId="23" xfId="158" quotePrefix="1" applyNumberFormat="1" applyFont="1" applyFill="1" applyBorder="1" applyAlignment="1">
      <alignment horizontal="right" vertical="center"/>
    </xf>
    <xf numFmtId="180" fontId="30" fillId="0" borderId="18" xfId="193" applyNumberFormat="1" applyFont="1" applyFill="1" applyBorder="1" applyAlignment="1">
      <alignment horizontal="right" vertical="center"/>
    </xf>
    <xf numFmtId="0" fontId="30" fillId="0" borderId="18" xfId="153" applyFont="1" applyFill="1" applyBorder="1" applyAlignment="1">
      <alignment horizontal="distributed" vertical="center"/>
    </xf>
    <xf numFmtId="179" fontId="30" fillId="0" borderId="18" xfId="193" applyNumberFormat="1" applyFont="1" applyFill="1" applyBorder="1" applyAlignment="1">
      <alignment horizontal="right" vertical="center"/>
    </xf>
    <xf numFmtId="0" fontId="30" fillId="0" borderId="18" xfId="153" applyFont="1" applyFill="1" applyBorder="1" applyAlignment="1">
      <alignment vertical="center"/>
    </xf>
    <xf numFmtId="9" fontId="30" fillId="0" borderId="18" xfId="210" applyFont="1" applyFill="1" applyBorder="1" applyAlignment="1">
      <alignment horizontal="right" vertical="center"/>
    </xf>
    <xf numFmtId="0" fontId="30" fillId="0" borderId="0" xfId="153" applyFont="1" applyFill="1" applyAlignment="1">
      <alignment vertical="center"/>
    </xf>
    <xf numFmtId="185" fontId="30" fillId="0" borderId="18" xfId="193" applyNumberFormat="1" applyFont="1" applyFill="1" applyBorder="1" applyAlignment="1">
      <alignment horizontal="right" vertical="center"/>
    </xf>
    <xf numFmtId="0" fontId="27" fillId="0" borderId="0" xfId="158" applyFont="1" applyFill="1" applyAlignment="1">
      <alignment vertical="center"/>
    </xf>
    <xf numFmtId="185" fontId="30" fillId="0" borderId="23" xfId="158" applyNumberFormat="1" applyFont="1" applyFill="1" applyBorder="1" applyAlignment="1">
      <alignment horizontal="center" vertical="center"/>
    </xf>
    <xf numFmtId="0" fontId="27" fillId="0" borderId="18" xfId="153" applyFont="1" applyFill="1" applyBorder="1" applyAlignment="1">
      <alignment horizontal="distributed" vertical="center"/>
    </xf>
    <xf numFmtId="185" fontId="27" fillId="0" borderId="18" xfId="193" applyNumberFormat="1" applyFont="1" applyFill="1" applyBorder="1" applyAlignment="1">
      <alignment horizontal="right" vertical="center"/>
    </xf>
    <xf numFmtId="185" fontId="31" fillId="0" borderId="23" xfId="158" applyNumberFormat="1" applyFont="1" applyFill="1" applyBorder="1" applyAlignment="1">
      <alignment horizontal="center" vertical="center"/>
    </xf>
    <xf numFmtId="0" fontId="27" fillId="0" borderId="0" xfId="158" applyFont="1" applyFill="1" applyBorder="1" applyAlignment="1">
      <alignment horizontal="left" vertical="center"/>
    </xf>
    <xf numFmtId="0" fontId="33" fillId="0" borderId="0" xfId="104" applyFont="1" applyFill="1" applyAlignment="1" applyProtection="1">
      <alignment horizontal="left"/>
    </xf>
    <xf numFmtId="0" fontId="27" fillId="0" borderId="31" xfId="105" applyFont="1" applyFill="1" applyBorder="1" applyAlignment="1">
      <alignment horizontal="left" vertical="center" indent="2"/>
    </xf>
    <xf numFmtId="0" fontId="27" fillId="0" borderId="31" xfId="105" applyFont="1" applyFill="1" applyBorder="1" applyAlignment="1">
      <alignment horizontal="left" vertical="center" indent="3"/>
    </xf>
    <xf numFmtId="0" fontId="27" fillId="0" borderId="0" xfId="140" applyFont="1" applyFill="1"/>
    <xf numFmtId="0" fontId="27" fillId="0" borderId="0" xfId="140" applyFont="1" applyFill="1" applyAlignment="1">
      <alignment horizontal="left" vertical="center"/>
    </xf>
    <xf numFmtId="0" fontId="5" fillId="0" borderId="0" xfId="140" applyFont="1" applyFill="1"/>
    <xf numFmtId="0" fontId="27" fillId="0" borderId="18" xfId="99" applyFont="1" applyFill="1" applyBorder="1" applyAlignment="1">
      <alignment horizontal="centerContinuous" vertical="center"/>
    </xf>
    <xf numFmtId="0" fontId="27" fillId="0" borderId="15" xfId="99" applyFont="1" applyFill="1" applyBorder="1" applyAlignment="1">
      <alignment horizontal="center" vertical="center" wrapText="1"/>
    </xf>
    <xf numFmtId="0" fontId="31" fillId="0" borderId="15" xfId="139" quotePrefix="1" applyFont="1" applyFill="1" applyBorder="1" applyAlignment="1">
      <alignment horizontal="center"/>
    </xf>
    <xf numFmtId="0" fontId="31" fillId="0" borderId="15" xfId="139" quotePrefix="1" applyFont="1" applyFill="1" applyBorder="1" applyAlignment="1">
      <alignment horizontal="center" wrapText="1"/>
    </xf>
    <xf numFmtId="0" fontId="27" fillId="0" borderId="18" xfId="136" applyFont="1" applyFill="1" applyBorder="1" applyAlignment="1" applyProtection="1">
      <alignment horizontal="center" vertical="center"/>
    </xf>
    <xf numFmtId="0" fontId="27" fillId="0" borderId="18" xfId="136" applyFont="1" applyFill="1" applyBorder="1" applyAlignment="1" applyProtection="1">
      <alignment horizontal="center" vertical="center" wrapText="1"/>
      <protection locked="0"/>
    </xf>
    <xf numFmtId="182" fontId="31" fillId="0" borderId="18" xfId="153" applyNumberFormat="1" applyFont="1" applyFill="1" applyBorder="1" applyAlignment="1" applyProtection="1">
      <alignment vertical="center"/>
      <protection locked="0"/>
    </xf>
    <xf numFmtId="182" fontId="31" fillId="0" borderId="18" xfId="216" applyNumberFormat="1" applyFont="1" applyFill="1" applyBorder="1" applyAlignment="1" applyProtection="1">
      <alignment vertical="center"/>
      <protection locked="0"/>
    </xf>
    <xf numFmtId="0" fontId="31" fillId="0" borderId="18" xfId="153" applyFont="1" applyFill="1" applyBorder="1" applyAlignment="1" applyProtection="1">
      <alignment vertical="center"/>
      <protection locked="0"/>
    </xf>
    <xf numFmtId="180" fontId="31" fillId="0" borderId="18" xfId="153" applyNumberFormat="1" applyFont="1" applyFill="1" applyBorder="1" applyAlignment="1">
      <alignment vertical="center"/>
    </xf>
    <xf numFmtId="0" fontId="27" fillId="0" borderId="18" xfId="100" applyFont="1" applyFill="1" applyBorder="1" applyAlignment="1">
      <alignment horizontal="centerContinuous" vertical="center"/>
    </xf>
    <xf numFmtId="0" fontId="27" fillId="0" borderId="18" xfId="139" applyFont="1" applyFill="1" applyBorder="1" applyAlignment="1">
      <alignment vertical="center" wrapText="1"/>
    </xf>
    <xf numFmtId="0" fontId="27" fillId="0" borderId="15" xfId="100" applyFont="1" applyFill="1" applyBorder="1" applyAlignment="1">
      <alignment horizontal="center" vertical="center" wrapText="1"/>
    </xf>
    <xf numFmtId="0" fontId="27" fillId="0" borderId="18" xfId="100" applyFont="1" applyFill="1" applyBorder="1" applyAlignment="1">
      <alignment horizontal="center" vertical="center" wrapText="1"/>
    </xf>
    <xf numFmtId="182" fontId="31" fillId="0" borderId="18" xfId="153" quotePrefix="1" applyNumberFormat="1" applyFont="1" applyFill="1" applyBorder="1" applyAlignment="1" applyProtection="1">
      <alignment vertical="center"/>
      <protection locked="0"/>
    </xf>
    <xf numFmtId="182" fontId="31" fillId="0" borderId="18" xfId="153" quotePrefix="1" applyNumberFormat="1" applyFont="1" applyFill="1" applyBorder="1" applyAlignment="1" applyProtection="1">
      <alignment vertical="center" wrapText="1"/>
      <protection locked="0"/>
    </xf>
    <xf numFmtId="179" fontId="61" fillId="0" borderId="15" xfId="153" applyNumberFormat="1" applyFont="1" applyFill="1" applyBorder="1" applyAlignment="1">
      <alignment horizontal="right" vertical="center"/>
    </xf>
    <xf numFmtId="0" fontId="27" fillId="0" borderId="0" xfId="111" applyFont="1" applyAlignment="1">
      <alignment vertical="center"/>
    </xf>
    <xf numFmtId="0" fontId="27" fillId="0" borderId="0" xfId="131" applyFont="1"/>
    <xf numFmtId="0" fontId="27" fillId="0" borderId="0" xfId="131" applyFont="1" applyFill="1" applyBorder="1" applyAlignment="1"/>
    <xf numFmtId="0" fontId="27" fillId="0" borderId="0" xfId="111" applyFont="1" applyFill="1" applyBorder="1" applyAlignment="1">
      <alignment horizontal="center" vertical="center" wrapText="1"/>
    </xf>
    <xf numFmtId="0" fontId="27" fillId="0" borderId="0" xfId="131" applyFont="1" applyFill="1" applyBorder="1" applyAlignment="1">
      <alignment horizontal="center"/>
    </xf>
    <xf numFmtId="0" fontId="27" fillId="0" borderId="0" xfId="131" applyFont="1" applyFill="1" applyBorder="1"/>
    <xf numFmtId="0" fontId="27" fillId="0" borderId="0" xfId="111" quotePrefix="1" applyFont="1" applyFill="1" applyAlignment="1">
      <alignment vertical="center"/>
    </xf>
    <xf numFmtId="9" fontId="27" fillId="0" borderId="0" xfId="131" applyNumberFormat="1" applyFont="1" applyFill="1" applyBorder="1"/>
    <xf numFmtId="0" fontId="27" fillId="0" borderId="0" xfId="111" applyFont="1" applyFill="1" applyAlignment="1">
      <alignment vertical="center"/>
    </xf>
    <xf numFmtId="0" fontId="27" fillId="0" borderId="16" xfId="111" applyFont="1" applyBorder="1" applyAlignment="1">
      <alignment horizontal="center" vertical="center" wrapText="1"/>
    </xf>
    <xf numFmtId="0" fontId="27" fillId="0" borderId="21" xfId="111" applyFont="1" applyBorder="1" applyAlignment="1">
      <alignment horizontal="center" vertical="center" wrapText="1"/>
    </xf>
    <xf numFmtId="0" fontId="27" fillId="0" borderId="19" xfId="131" applyFont="1" applyBorder="1" applyAlignment="1"/>
    <xf numFmtId="49" fontId="27" fillId="0" borderId="15" xfId="111" applyNumberFormat="1" applyFont="1" applyBorder="1" applyAlignment="1">
      <alignment horizontal="center" vertical="center" wrapText="1"/>
    </xf>
    <xf numFmtId="49" fontId="27" fillId="0" borderId="22" xfId="111" applyNumberFormat="1" applyFont="1" applyBorder="1" applyAlignment="1">
      <alignment horizontal="center" vertical="center" wrapText="1"/>
    </xf>
    <xf numFmtId="0" fontId="27" fillId="0" borderId="18" xfId="111" applyFont="1" applyBorder="1" applyAlignment="1">
      <alignment horizontal="center" vertical="center" wrapText="1"/>
    </xf>
    <xf numFmtId="0" fontId="27" fillId="0" borderId="18" xfId="149" applyFont="1" applyBorder="1" applyAlignment="1">
      <alignment horizontal="center" vertical="center"/>
    </xf>
    <xf numFmtId="0" fontId="27" fillId="0" borderId="16" xfId="111" applyFont="1" applyBorder="1" applyAlignment="1">
      <alignment vertical="center" wrapText="1"/>
    </xf>
    <xf numFmtId="180" fontId="27" fillId="28" borderId="86" xfId="131" applyNumberFormat="1" applyFont="1" applyFill="1" applyBorder="1"/>
    <xf numFmtId="0" fontId="27" fillId="0" borderId="0" xfId="131" applyFont="1" applyFill="1"/>
    <xf numFmtId="0" fontId="27" fillId="0" borderId="18" xfId="131" applyFont="1" applyFill="1" applyBorder="1" applyAlignment="1">
      <alignment horizontal="center"/>
    </xf>
    <xf numFmtId="0" fontId="27" fillId="0" borderId="16" xfId="149" applyFont="1" applyBorder="1" applyAlignment="1">
      <alignment vertical="center" wrapText="1"/>
    </xf>
    <xf numFmtId="180" fontId="27" fillId="29" borderId="18" xfId="131" applyNumberFormat="1" applyFont="1" applyFill="1" applyBorder="1"/>
    <xf numFmtId="0" fontId="27" fillId="0" borderId="1" xfId="131" applyFont="1" applyFill="1" applyBorder="1" applyAlignment="1">
      <alignment horizontal="center"/>
    </xf>
    <xf numFmtId="9" fontId="27" fillId="0" borderId="1" xfId="131" applyNumberFormat="1" applyFont="1" applyBorder="1"/>
    <xf numFmtId="0" fontId="27" fillId="0" borderId="16" xfId="111" applyFont="1" applyFill="1" applyBorder="1" applyAlignment="1">
      <alignment horizontal="center" vertical="center" wrapText="1"/>
    </xf>
    <xf numFmtId="49" fontId="27" fillId="0" borderId="15" xfId="131" applyNumberFormat="1" applyFont="1" applyFill="1" applyBorder="1" applyAlignment="1">
      <alignment horizontal="center"/>
    </xf>
    <xf numFmtId="49" fontId="27" fillId="0" borderId="15" xfId="0" applyNumberFormat="1" applyFont="1" applyFill="1" applyBorder="1" applyAlignment="1">
      <alignment horizontal="center"/>
    </xf>
    <xf numFmtId="49" fontId="27" fillId="0" borderId="15" xfId="131" applyNumberFormat="1" applyFont="1" applyBorder="1" applyAlignment="1">
      <alignment horizontal="center"/>
    </xf>
    <xf numFmtId="49" fontId="27" fillId="0" borderId="18" xfId="131" applyNumberFormat="1" applyFont="1" applyFill="1" applyBorder="1" applyAlignment="1">
      <alignment horizontal="center"/>
    </xf>
    <xf numFmtId="216" fontId="27" fillId="0" borderId="18" xfId="131" applyNumberFormat="1" applyFont="1" applyFill="1" applyBorder="1" applyAlignment="1">
      <alignment horizontal="center"/>
    </xf>
    <xf numFmtId="191" fontId="27" fillId="28" borderId="18" xfId="131" applyNumberFormat="1" applyFont="1" applyFill="1" applyBorder="1"/>
    <xf numFmtId="180" fontId="27" fillId="0" borderId="18" xfId="131" applyNumberFormat="1" applyFont="1" applyFill="1" applyBorder="1" applyAlignment="1">
      <alignment horizontal="center"/>
    </xf>
    <xf numFmtId="180" fontId="27" fillId="28" borderId="18" xfId="131" applyNumberFormat="1" applyFont="1" applyFill="1" applyBorder="1" applyAlignment="1">
      <alignment horizontal="right"/>
    </xf>
    <xf numFmtId="0" fontId="27" fillId="0" borderId="0" xfId="149" applyFont="1" applyBorder="1" applyAlignment="1">
      <alignment horizontal="center" vertical="center" wrapText="1"/>
    </xf>
    <xf numFmtId="49" fontId="27" fillId="0" borderId="0" xfId="131" applyNumberFormat="1" applyFont="1" applyFill="1" applyBorder="1" applyAlignment="1">
      <alignment horizontal="center"/>
    </xf>
    <xf numFmtId="216" fontId="27" fillId="0" borderId="0" xfId="131" applyNumberFormat="1" applyFont="1" applyFill="1" applyBorder="1" applyAlignment="1">
      <alignment horizontal="center"/>
    </xf>
    <xf numFmtId="191" fontId="27" fillId="0" borderId="0" xfId="131" applyNumberFormat="1" applyFont="1" applyBorder="1"/>
    <xf numFmtId="180" fontId="27" fillId="0" borderId="0" xfId="131" applyNumberFormat="1" applyFont="1" applyFill="1" applyBorder="1" applyAlignment="1">
      <alignment horizontal="center"/>
    </xf>
    <xf numFmtId="9" fontId="27" fillId="0" borderId="0" xfId="131" applyNumberFormat="1" applyFont="1" applyFill="1" applyBorder="1" applyAlignment="1">
      <alignment horizontal="center"/>
    </xf>
    <xf numFmtId="180" fontId="27" fillId="0" borderId="0" xfId="131" applyNumberFormat="1" applyFont="1" applyBorder="1" applyAlignment="1">
      <alignment horizontal="right"/>
    </xf>
    <xf numFmtId="0" fontId="1" fillId="0" borderId="117" xfId="96" applyFont="1" applyFill="1" applyBorder="1" applyAlignment="1" applyProtection="1">
      <alignment horizontal="center" vertical="center"/>
    </xf>
    <xf numFmtId="191" fontId="1" fillId="0" borderId="118" xfId="96" applyNumberFormat="1" applyFont="1" applyFill="1" applyBorder="1" applyAlignment="1" applyProtection="1">
      <alignment horizontal="center" vertical="center"/>
    </xf>
    <xf numFmtId="0" fontId="9" fillId="0" borderId="0" xfId="61" applyFont="1"/>
    <xf numFmtId="0" fontId="31" fillId="0" borderId="0" xfId="52" applyFont="1" applyAlignment="1">
      <alignment vertical="center"/>
    </xf>
    <xf numFmtId="0" fontId="31" fillId="0" borderId="0" xfId="52" applyFont="1" applyFill="1" applyAlignment="1" applyProtection="1">
      <alignment vertical="center"/>
    </xf>
    <xf numFmtId="0" fontId="31" fillId="0" borderId="0" xfId="52" applyFont="1" applyFill="1" applyAlignment="1" applyProtection="1">
      <alignment horizontal="left" vertical="center"/>
    </xf>
    <xf numFmtId="0" fontId="31" fillId="0" borderId="0" xfId="93" applyNumberFormat="1" applyFont="1" applyFill="1" applyBorder="1" applyAlignment="1" applyProtection="1">
      <alignment horizontal="right" vertical="center"/>
    </xf>
    <xf numFmtId="0" fontId="31" fillId="0" borderId="0" xfId="52" applyFont="1" applyAlignment="1">
      <alignment horizontal="center" vertical="center" wrapText="1"/>
    </xf>
    <xf numFmtId="0" fontId="31" fillId="0" borderId="16" xfId="52" applyFont="1" applyBorder="1" applyAlignment="1">
      <alignment horizontal="center" vertical="center" wrapText="1"/>
    </xf>
    <xf numFmtId="0" fontId="31" fillId="0" borderId="72" xfId="52" applyFont="1" applyBorder="1" applyAlignment="1">
      <alignment horizontal="center" vertical="center" wrapText="1"/>
    </xf>
    <xf numFmtId="49" fontId="31" fillId="0" borderId="15" xfId="52" applyNumberFormat="1" applyFont="1" applyBorder="1" applyAlignment="1">
      <alignment horizontal="center" vertical="center" wrapText="1"/>
    </xf>
    <xf numFmtId="49" fontId="31" fillId="0" borderId="74" xfId="52" applyNumberFormat="1" applyFont="1" applyBorder="1" applyAlignment="1">
      <alignment horizontal="center" vertical="center" wrapText="1"/>
    </xf>
    <xf numFmtId="0" fontId="31" fillId="0" borderId="57" xfId="52" applyFont="1" applyBorder="1" applyAlignment="1">
      <alignment horizontal="center" vertical="center"/>
    </xf>
    <xf numFmtId="0" fontId="31" fillId="0" borderId="18" xfId="52" applyFont="1" applyBorder="1" applyAlignment="1">
      <alignment vertical="center"/>
    </xf>
    <xf numFmtId="180" fontId="31" fillId="0" borderId="18" xfId="52" applyNumberFormat="1" applyFont="1" applyBorder="1" applyAlignment="1">
      <alignment vertical="center"/>
    </xf>
    <xf numFmtId="180" fontId="31" fillId="0" borderId="56" xfId="52" applyNumberFormat="1" applyFont="1" applyBorder="1" applyAlignment="1">
      <alignment vertical="center"/>
    </xf>
    <xf numFmtId="0" fontId="31" fillId="0" borderId="58" xfId="52" applyFont="1" applyBorder="1" applyAlignment="1">
      <alignment horizontal="center" vertical="center"/>
    </xf>
    <xf numFmtId="0" fontId="31" fillId="0" borderId="27" xfId="52" applyFont="1" applyBorder="1" applyAlignment="1">
      <alignment horizontal="center" vertical="center"/>
    </xf>
    <xf numFmtId="180" fontId="31" fillId="0" borderId="27" xfId="52" applyNumberFormat="1" applyFont="1" applyBorder="1" applyAlignment="1">
      <alignment vertical="center"/>
    </xf>
    <xf numFmtId="180" fontId="31" fillId="0" borderId="28" xfId="52" applyNumberFormat="1" applyFont="1" applyBorder="1" applyAlignment="1">
      <alignment vertical="center"/>
    </xf>
    <xf numFmtId="0" fontId="31" fillId="0" borderId="0" xfId="52" applyFont="1" applyAlignment="1">
      <alignment horizontal="center" vertical="center"/>
    </xf>
    <xf numFmtId="0" fontId="31" fillId="0" borderId="0" xfId="52" applyFont="1" applyAlignment="1">
      <alignment horizontal="left" vertical="center" wrapText="1"/>
    </xf>
    <xf numFmtId="0" fontId="31" fillId="0" borderId="0" xfId="52" applyFont="1" applyAlignment="1">
      <alignment vertical="center" wrapText="1"/>
    </xf>
    <xf numFmtId="0" fontId="70" fillId="0" borderId="0" xfId="153" applyFont="1" applyFill="1" applyAlignment="1">
      <alignment horizontal="left" vertical="center"/>
    </xf>
    <xf numFmtId="0" fontId="70" fillId="0" borderId="0" xfId="140" applyFont="1" applyFill="1" applyAlignment="1">
      <alignment horizontal="left" vertical="center"/>
    </xf>
    <xf numFmtId="0" fontId="70" fillId="0" borderId="0" xfId="153" applyFont="1" applyFill="1" applyAlignment="1">
      <alignment vertical="center"/>
    </xf>
    <xf numFmtId="0" fontId="71" fillId="0" borderId="0" xfId="140" applyFont="1" applyFill="1"/>
    <xf numFmtId="0" fontId="70" fillId="0" borderId="0" xfId="127" applyFont="1" applyFill="1" applyAlignment="1">
      <alignment horizontal="right"/>
    </xf>
    <xf numFmtId="0" fontId="70" fillId="0" borderId="15" xfId="139" quotePrefix="1" applyFont="1" applyFill="1" applyBorder="1" applyAlignment="1">
      <alignment horizontal="center"/>
    </xf>
    <xf numFmtId="0" fontId="70" fillId="0" borderId="18" xfId="136" applyFont="1" applyFill="1" applyBorder="1" applyAlignment="1" applyProtection="1">
      <alignment horizontal="center" vertical="center"/>
    </xf>
    <xf numFmtId="0" fontId="70" fillId="0" borderId="18" xfId="136" applyFont="1" applyFill="1" applyBorder="1" applyAlignment="1" applyProtection="1">
      <alignment horizontal="center" vertical="center" wrapText="1"/>
      <protection locked="0"/>
    </xf>
    <xf numFmtId="182" fontId="70" fillId="0" borderId="18" xfId="153" applyNumberFormat="1" applyFont="1" applyFill="1" applyBorder="1" applyAlignment="1" applyProtection="1">
      <alignment vertical="center"/>
      <protection locked="0"/>
    </xf>
    <xf numFmtId="182" fontId="70" fillId="0" borderId="18" xfId="216" applyNumberFormat="1" applyFont="1" applyFill="1" applyBorder="1" applyAlignment="1" applyProtection="1">
      <alignment vertical="center"/>
      <protection locked="0"/>
    </xf>
    <xf numFmtId="0" fontId="70" fillId="0" borderId="18" xfId="153" applyFont="1" applyFill="1" applyBorder="1" applyAlignment="1" applyProtection="1">
      <alignment vertical="center"/>
      <protection locked="0"/>
    </xf>
    <xf numFmtId="0" fontId="71" fillId="29" borderId="0" xfId="140" applyFont="1" applyFill="1"/>
    <xf numFmtId="180" fontId="70" fillId="0" borderId="18" xfId="153" applyNumberFormat="1" applyFont="1" applyFill="1" applyBorder="1" applyAlignment="1">
      <alignment vertical="center"/>
    </xf>
    <xf numFmtId="0" fontId="70" fillId="0" borderId="0" xfId="139" applyFont="1" applyFill="1" applyBorder="1" applyAlignment="1"/>
    <xf numFmtId="0" fontId="70" fillId="0" borderId="0" xfId="139" applyFont="1" applyFill="1" applyBorder="1"/>
    <xf numFmtId="0" fontId="70" fillId="0" borderId="0" xfId="139" applyFont="1" applyFill="1" applyBorder="1" applyAlignment="1">
      <alignment wrapText="1"/>
    </xf>
    <xf numFmtId="0" fontId="71" fillId="0" borderId="0" xfId="140" applyFont="1" applyFill="1" applyAlignment="1"/>
    <xf numFmtId="0" fontId="71" fillId="0" borderId="0" xfId="139" applyFont="1" applyFill="1" applyBorder="1" applyAlignment="1">
      <alignment horizontal="left" wrapText="1"/>
    </xf>
    <xf numFmtId="0" fontId="70" fillId="0" borderId="0" xfId="140" applyFont="1" applyFill="1" applyAlignment="1">
      <alignment horizontal="left" wrapText="1"/>
    </xf>
    <xf numFmtId="0" fontId="70" fillId="0" borderId="0" xfId="140" applyFont="1" applyFill="1" applyAlignment="1"/>
    <xf numFmtId="191" fontId="27" fillId="0" borderId="18" xfId="0" applyNumberFormat="1" applyFont="1" applyBorder="1"/>
    <xf numFmtId="0" fontId="27" fillId="0" borderId="18" xfId="107" applyFont="1" applyFill="1" applyBorder="1" applyAlignment="1">
      <alignment horizontal="left" vertical="center" wrapText="1"/>
    </xf>
    <xf numFmtId="0" fontId="28" fillId="0" borderId="0" xfId="61" applyFont="1"/>
    <xf numFmtId="0" fontId="27" fillId="0" borderId="0" xfId="124" applyFont="1" applyFill="1" applyBorder="1" applyAlignment="1">
      <alignment horizontal="right"/>
    </xf>
    <xf numFmtId="205" fontId="27" fillId="0" borderId="119" xfId="195" applyNumberFormat="1" applyFont="1" applyFill="1" applyBorder="1" applyAlignment="1" applyProtection="1">
      <alignment horizontal="center" vertical="center"/>
    </xf>
    <xf numFmtId="0" fontId="27" fillId="0" borderId="120" xfId="124" applyFont="1" applyFill="1" applyBorder="1" applyAlignment="1">
      <alignment vertical="center"/>
    </xf>
    <xf numFmtId="200" fontId="27" fillId="0" borderId="120" xfId="195" applyNumberFormat="1" applyFont="1" applyFill="1" applyBorder="1" applyAlignment="1" applyProtection="1">
      <alignment horizontal="left" vertical="center"/>
      <protection locked="0"/>
    </xf>
    <xf numFmtId="203" fontId="27" fillId="16" borderId="120" xfId="195" applyNumberFormat="1" applyFont="1" applyFill="1" applyBorder="1" applyAlignment="1" applyProtection="1">
      <alignment horizontal="right" vertical="center"/>
    </xf>
    <xf numFmtId="183" fontId="27" fillId="0" borderId="121" xfId="195" applyNumberFormat="1" applyFont="1" applyFill="1" applyBorder="1" applyAlignment="1" applyProtection="1">
      <alignment horizontal="center" vertical="center"/>
    </xf>
    <xf numFmtId="205" fontId="27" fillId="0" borderId="122" xfId="195" applyNumberFormat="1" applyFont="1" applyFill="1" applyBorder="1" applyAlignment="1" applyProtection="1">
      <alignment horizontal="center" vertical="center"/>
    </xf>
    <xf numFmtId="0" fontId="27" fillId="0" borderId="96" xfId="124" applyFont="1" applyFill="1" applyBorder="1" applyAlignment="1">
      <alignment vertical="center"/>
    </xf>
    <xf numFmtId="200" fontId="27" fillId="0" borderId="96" xfId="195" applyNumberFormat="1" applyFont="1" applyFill="1" applyBorder="1" applyAlignment="1" applyProtection="1">
      <alignment vertical="center"/>
      <protection locked="0"/>
    </xf>
    <xf numFmtId="203" fontId="27" fillId="16" borderId="96" xfId="195" applyNumberFormat="1" applyFont="1" applyFill="1" applyBorder="1" applyAlignment="1" applyProtection="1">
      <alignment horizontal="right" vertical="center"/>
    </xf>
    <xf numFmtId="200" fontId="27" fillId="0" borderId="123" xfId="195" applyNumberFormat="1" applyFont="1" applyFill="1" applyBorder="1" applyAlignment="1" applyProtection="1">
      <alignment vertical="center"/>
      <protection locked="0"/>
    </xf>
    <xf numFmtId="191" fontId="27" fillId="16" borderId="96" xfId="124" applyNumberFormat="1" applyFont="1" applyFill="1" applyBorder="1" applyAlignment="1">
      <alignment vertical="center"/>
    </xf>
    <xf numFmtId="205" fontId="27" fillId="26" borderId="124" xfId="195" applyNumberFormat="1" applyFont="1" applyFill="1" applyBorder="1" applyAlignment="1" applyProtection="1">
      <alignment horizontal="center" vertical="center"/>
    </xf>
    <xf numFmtId="183" fontId="27" fillId="26" borderId="125" xfId="181" applyNumberFormat="1" applyFont="1" applyFill="1" applyBorder="1" applyAlignment="1" applyProtection="1">
      <alignment horizontal="left" vertical="center"/>
    </xf>
    <xf numFmtId="177" fontId="27" fillId="26" borderId="125" xfId="181" applyFont="1" applyFill="1" applyBorder="1" applyAlignment="1" applyProtection="1">
      <alignment vertical="center"/>
      <protection locked="0"/>
    </xf>
    <xf numFmtId="191" fontId="27" fillId="26" borderId="125" xfId="124" applyNumberFormat="1" applyFont="1" applyFill="1" applyBorder="1" applyAlignment="1">
      <alignment vertical="center"/>
    </xf>
    <xf numFmtId="177" fontId="27" fillId="26" borderId="126" xfId="181" applyFont="1" applyFill="1" applyBorder="1" applyAlignment="1" applyProtection="1">
      <alignment vertical="center"/>
      <protection locked="0"/>
    </xf>
    <xf numFmtId="0" fontId="27" fillId="0" borderId="0" xfId="61" applyFont="1"/>
    <xf numFmtId="0" fontId="27" fillId="0" borderId="0" xfId="61" applyFont="1" applyAlignment="1">
      <alignment horizontal="center"/>
    </xf>
    <xf numFmtId="0" fontId="27" fillId="0" borderId="18" xfId="61" applyFont="1" applyBorder="1" applyAlignment="1">
      <alignment horizontal="center" vertical="center" wrapText="1"/>
    </xf>
    <xf numFmtId="0" fontId="27" fillId="0" borderId="18" xfId="61" applyFont="1" applyBorder="1" applyAlignment="1">
      <alignment vertical="center" wrapText="1"/>
    </xf>
    <xf numFmtId="203" fontId="27" fillId="16" borderId="18" xfId="61" applyNumberFormat="1" applyFont="1" applyFill="1" applyBorder="1" applyAlignment="1">
      <alignment horizontal="center" vertical="center" wrapText="1"/>
    </xf>
    <xf numFmtId="191" fontId="27" fillId="16" borderId="18" xfId="61" applyNumberFormat="1" applyFont="1" applyFill="1" applyBorder="1" applyAlignment="1">
      <alignment horizontal="center" vertical="center" wrapText="1"/>
    </xf>
    <xf numFmtId="0" fontId="27" fillId="0" borderId="18" xfId="107" applyFont="1" applyFill="1" applyBorder="1" applyAlignment="1">
      <alignment wrapText="1"/>
    </xf>
    <xf numFmtId="179" fontId="32" fillId="0" borderId="18" xfId="193" applyNumberFormat="1" applyFont="1" applyFill="1" applyBorder="1" applyAlignment="1">
      <alignment horizontal="right" vertical="center"/>
    </xf>
    <xf numFmtId="10" fontId="32" fillId="0" borderId="15" xfId="158" quotePrefix="1" applyNumberFormat="1" applyFont="1" applyFill="1" applyBorder="1" applyAlignment="1">
      <alignment horizontal="right" vertical="center"/>
    </xf>
    <xf numFmtId="179" fontId="32" fillId="0" borderId="15" xfId="193" applyNumberFormat="1" applyFont="1" applyFill="1" applyBorder="1" applyAlignment="1">
      <alignment horizontal="right" vertical="center"/>
    </xf>
    <xf numFmtId="179" fontId="32" fillId="27" borderId="18" xfId="193" applyNumberFormat="1" applyFont="1" applyFill="1" applyBorder="1" applyAlignment="1">
      <alignment horizontal="right" vertical="center"/>
    </xf>
    <xf numFmtId="10" fontId="32" fillId="0" borderId="127" xfId="158" quotePrefix="1" applyNumberFormat="1" applyFont="1" applyFill="1" applyBorder="1" applyAlignment="1">
      <alignment horizontal="right" vertical="center"/>
    </xf>
    <xf numFmtId="179" fontId="32" fillId="0" borderId="127" xfId="193" applyNumberFormat="1" applyFont="1" applyFill="1" applyBorder="1" applyAlignment="1">
      <alignment horizontal="right" vertical="center"/>
    </xf>
    <xf numFmtId="10" fontId="32" fillId="0" borderId="128" xfId="158" quotePrefix="1" applyNumberFormat="1" applyFont="1" applyFill="1" applyBorder="1" applyAlignment="1">
      <alignment horizontal="right" vertical="center"/>
    </xf>
    <xf numFmtId="179" fontId="32" fillId="30" borderId="127" xfId="193" applyNumberFormat="1" applyFont="1" applyFill="1" applyBorder="1" applyAlignment="1">
      <alignment horizontal="right" vertical="center"/>
    </xf>
    <xf numFmtId="10" fontId="32" fillId="0" borderId="18" xfId="158" quotePrefix="1" applyNumberFormat="1" applyFont="1" applyFill="1" applyBorder="1" applyAlignment="1">
      <alignment horizontal="right" vertical="center"/>
    </xf>
    <xf numFmtId="10" fontId="27" fillId="0" borderId="0" xfId="158" quotePrefix="1" applyNumberFormat="1" applyFont="1" applyFill="1" applyBorder="1" applyAlignment="1">
      <alignment horizontal="right" vertical="center"/>
    </xf>
    <xf numFmtId="10" fontId="27" fillId="0" borderId="14" xfId="158" quotePrefix="1" applyNumberFormat="1" applyFont="1" applyFill="1" applyBorder="1" applyAlignment="1">
      <alignment horizontal="right" vertical="center"/>
    </xf>
    <xf numFmtId="0" fontId="27" fillId="0" borderId="1" xfId="158" applyFont="1" applyFill="1" applyBorder="1" applyAlignment="1">
      <alignment horizontal="distributed" vertical="center"/>
    </xf>
    <xf numFmtId="0" fontId="27" fillId="0" borderId="0" xfId="158" applyFont="1" applyFill="1" applyBorder="1" applyAlignment="1">
      <alignment horizontal="distributed" vertical="center" wrapText="1"/>
    </xf>
    <xf numFmtId="0" fontId="27" fillId="0" borderId="4" xfId="158" applyFont="1" applyFill="1" applyBorder="1" applyAlignment="1">
      <alignment horizontal="distributed" vertical="center" wrapText="1"/>
    </xf>
    <xf numFmtId="0" fontId="27" fillId="0" borderId="4" xfId="158" applyFont="1" applyFill="1" applyBorder="1" applyAlignment="1">
      <alignment horizontal="distributed" vertical="center"/>
    </xf>
    <xf numFmtId="0" fontId="27" fillId="0" borderId="60" xfId="158" applyFont="1" applyFill="1" applyBorder="1" applyAlignment="1">
      <alignment horizontal="distributed" vertical="center" wrapText="1"/>
    </xf>
    <xf numFmtId="0" fontId="27" fillId="0" borderId="23" xfId="158" quotePrefix="1" applyFont="1" applyFill="1" applyBorder="1" applyAlignment="1">
      <alignment horizontal="center" vertical="center" wrapText="1"/>
    </xf>
    <xf numFmtId="0" fontId="27" fillId="0" borderId="19" xfId="158" quotePrefix="1" applyFont="1" applyFill="1" applyBorder="1" applyAlignment="1">
      <alignment horizontal="center" vertical="center" wrapText="1"/>
    </xf>
    <xf numFmtId="186" fontId="32" fillId="0" borderId="15" xfId="158" quotePrefix="1" applyNumberFormat="1" applyFont="1" applyFill="1" applyBorder="1" applyAlignment="1">
      <alignment horizontal="right" vertical="center"/>
    </xf>
    <xf numFmtId="10" fontId="32" fillId="0" borderId="18" xfId="110" quotePrefix="1" applyNumberFormat="1" applyFont="1" applyFill="1" applyBorder="1" applyAlignment="1">
      <alignment horizontal="right" vertical="center"/>
    </xf>
    <xf numFmtId="179" fontId="32" fillId="0" borderId="18" xfId="110" quotePrefix="1" applyNumberFormat="1" applyFont="1" applyFill="1" applyBorder="1" applyAlignment="1">
      <alignment horizontal="center" vertical="center"/>
    </xf>
    <xf numFmtId="179" fontId="32" fillId="0" borderId="18" xfId="110" applyNumberFormat="1" applyFont="1" applyFill="1" applyBorder="1" applyAlignment="1">
      <alignment horizontal="center" vertical="center"/>
    </xf>
    <xf numFmtId="10" fontId="32" fillId="0" borderId="18" xfId="110" applyNumberFormat="1" applyFont="1" applyFill="1" applyBorder="1" applyAlignment="1">
      <alignment horizontal="right" vertical="center"/>
    </xf>
    <xf numFmtId="0" fontId="70" fillId="0" borderId="0" xfId="93" applyFont="1" applyFill="1" applyBorder="1" applyAlignment="1" applyProtection="1">
      <alignment vertical="center"/>
    </xf>
    <xf numFmtId="191" fontId="70" fillId="0" borderId="0" xfId="93" applyNumberFormat="1" applyFont="1" applyFill="1" applyBorder="1" applyAlignment="1" applyProtection="1">
      <alignment horizontal="center" vertical="center"/>
    </xf>
    <xf numFmtId="192" fontId="70" fillId="0" borderId="0" xfId="93" applyNumberFormat="1" applyFont="1" applyFill="1" applyBorder="1" applyAlignment="1" applyProtection="1">
      <alignment horizontal="center" vertical="center"/>
    </xf>
    <xf numFmtId="0" fontId="71" fillId="0" borderId="0" xfId="0" applyFont="1" applyFill="1"/>
    <xf numFmtId="0" fontId="70" fillId="0" borderId="0" xfId="93" applyFont="1" applyFill="1" applyBorder="1" applyAlignment="1" applyProtection="1">
      <alignment horizontal="left" vertical="center"/>
    </xf>
    <xf numFmtId="0" fontId="70" fillId="0" borderId="0" xfId="93" applyFont="1" applyFill="1" applyAlignment="1" applyProtection="1">
      <alignment vertical="center"/>
    </xf>
    <xf numFmtId="0" fontId="70" fillId="0" borderId="0" xfId="93" applyNumberFormat="1" applyFont="1" applyFill="1" applyBorder="1" applyAlignment="1" applyProtection="1">
      <alignment horizontal="right"/>
    </xf>
    <xf numFmtId="0" fontId="70" fillId="0" borderId="0" xfId="0" applyFont="1" applyAlignment="1">
      <alignment vertical="center"/>
    </xf>
    <xf numFmtId="0" fontId="70" fillId="0" borderId="16" xfId="124" applyFont="1" applyBorder="1" applyAlignment="1">
      <alignment horizontal="center" vertical="center" wrapText="1"/>
    </xf>
    <xf numFmtId="0" fontId="70" fillId="0" borderId="21" xfId="107" applyFont="1" applyFill="1" applyBorder="1" applyAlignment="1">
      <alignment horizontal="center" vertical="center" wrapText="1"/>
    </xf>
    <xf numFmtId="0" fontId="70" fillId="0" borderId="0" xfId="124" applyFont="1" applyAlignment="1">
      <alignment vertical="center"/>
    </xf>
    <xf numFmtId="0" fontId="70" fillId="0" borderId="0" xfId="0" applyFont="1" applyFill="1" applyAlignment="1">
      <alignment horizontal="center" vertical="center"/>
    </xf>
    <xf numFmtId="0" fontId="70" fillId="0" borderId="0" xfId="0" applyFont="1" applyFill="1"/>
    <xf numFmtId="0" fontId="71" fillId="0" borderId="0" xfId="0" applyFont="1"/>
    <xf numFmtId="0" fontId="71" fillId="0" borderId="0" xfId="124" applyFont="1">
      <alignment vertical="center"/>
    </xf>
    <xf numFmtId="0" fontId="70" fillId="0" borderId="0" xfId="0" applyFont="1" applyAlignment="1">
      <alignment horizontal="left" vertical="center"/>
    </xf>
    <xf numFmtId="0" fontId="70" fillId="0" borderId="16" xfId="0" applyFont="1" applyBorder="1" applyAlignment="1">
      <alignment horizontal="center" vertical="center"/>
    </xf>
    <xf numFmtId="0" fontId="70" fillId="0" borderId="0" xfId="124" applyFont="1" applyAlignment="1">
      <alignment horizontal="center" vertical="center"/>
    </xf>
    <xf numFmtId="0" fontId="70" fillId="0" borderId="15" xfId="0" applyFont="1" applyBorder="1" applyAlignment="1">
      <alignment horizontal="center" vertical="center"/>
    </xf>
    <xf numFmtId="0" fontId="70" fillId="0" borderId="15" xfId="0" applyFont="1" applyBorder="1" applyAlignment="1">
      <alignment horizontal="center"/>
    </xf>
    <xf numFmtId="0" fontId="70" fillId="0" borderId="0" xfId="124" applyFont="1">
      <alignment vertical="center"/>
    </xf>
    <xf numFmtId="179" fontId="70" fillId="0" borderId="18" xfId="0" applyNumberFormat="1" applyFont="1" applyBorder="1"/>
    <xf numFmtId="0" fontId="70" fillId="0" borderId="18" xfId="107" quotePrefix="1" applyFont="1" applyBorder="1" applyAlignment="1">
      <alignment vertical="center"/>
    </xf>
    <xf numFmtId="0" fontId="70" fillId="0" borderId="0" xfId="0" applyFont="1" applyBorder="1" applyAlignment="1">
      <alignment horizontal="center" vertical="center"/>
    </xf>
    <xf numFmtId="0" fontId="70" fillId="0" borderId="0" xfId="0" applyFont="1" applyBorder="1"/>
    <xf numFmtId="0" fontId="70" fillId="0" borderId="19" xfId="0" applyFont="1" applyBorder="1" applyAlignment="1">
      <alignment horizontal="center" vertical="center"/>
    </xf>
    <xf numFmtId="0" fontId="70" fillId="0" borderId="19" xfId="0" applyFont="1" applyBorder="1"/>
    <xf numFmtId="0" fontId="70" fillId="0" borderId="18" xfId="107" applyFont="1" applyBorder="1" applyAlignment="1">
      <alignment vertical="center" wrapText="1"/>
    </xf>
    <xf numFmtId="0" fontId="70" fillId="0" borderId="18" xfId="0" applyFont="1" applyBorder="1" applyAlignment="1">
      <alignment horizontal="right"/>
    </xf>
    <xf numFmtId="0" fontId="71" fillId="0" borderId="0" xfId="61" applyFont="1"/>
    <xf numFmtId="0" fontId="70" fillId="0" borderId="0" xfId="148" applyFont="1" applyFill="1" applyBorder="1" applyAlignment="1" applyProtection="1">
      <alignment horizontal="left" vertical="center"/>
    </xf>
    <xf numFmtId="0" fontId="70" fillId="0" borderId="0" xfId="107" quotePrefix="1" applyFont="1" applyFill="1" applyBorder="1" applyAlignment="1">
      <alignment horizontal="center" vertical="center" wrapText="1"/>
    </xf>
    <xf numFmtId="182" fontId="70" fillId="0" borderId="0" xfId="107" applyNumberFormat="1" applyFont="1" applyFill="1" applyBorder="1" applyAlignment="1" applyProtection="1">
      <alignment horizontal="right" vertical="center" wrapText="1"/>
      <protection locked="0"/>
    </xf>
    <xf numFmtId="0" fontId="70" fillId="0" borderId="15" xfId="148" quotePrefix="1" applyFont="1" applyFill="1" applyBorder="1" applyAlignment="1" applyProtection="1">
      <alignment horizontal="center" vertical="center" wrapText="1"/>
    </xf>
    <xf numFmtId="0" fontId="70" fillId="0" borderId="18" xfId="148" applyFont="1" applyFill="1" applyBorder="1" applyAlignment="1" applyProtection="1">
      <alignment vertical="center" wrapText="1"/>
    </xf>
    <xf numFmtId="10" fontId="70" fillId="26" borderId="18" xfId="148" applyNumberFormat="1" applyFont="1" applyFill="1" applyBorder="1" applyAlignment="1" applyProtection="1">
      <alignment vertical="center" wrapText="1"/>
    </xf>
    <xf numFmtId="0" fontId="70" fillId="0" borderId="0" xfId="107" applyFont="1" applyFill="1" applyAlignment="1">
      <alignment horizontal="left" vertical="center" wrapText="1"/>
    </xf>
    <xf numFmtId="0" fontId="70" fillId="0" borderId="0" xfId="148" applyFont="1" applyFill="1" applyBorder="1" applyAlignment="1">
      <alignment horizontal="center" vertical="top"/>
    </xf>
    <xf numFmtId="0" fontId="70" fillId="0" borderId="0" xfId="107" applyFont="1" applyFill="1" applyAlignment="1">
      <alignment horizontal="left" vertical="top"/>
    </xf>
    <xf numFmtId="0" fontId="71" fillId="0" borderId="0" xfId="61" applyFont="1" applyFill="1"/>
    <xf numFmtId="0" fontId="70" fillId="0" borderId="0" xfId="107" applyFont="1" applyAlignment="1">
      <alignment vertical="center"/>
    </xf>
    <xf numFmtId="0" fontId="71" fillId="0" borderId="0" xfId="137" applyFont="1" applyAlignment="1">
      <alignment vertical="center"/>
    </xf>
    <xf numFmtId="0" fontId="70" fillId="0" borderId="0" xfId="124" applyFont="1" applyFill="1" applyBorder="1" applyAlignment="1" applyProtection="1">
      <alignment horizontal="left" vertical="center"/>
    </xf>
    <xf numFmtId="0" fontId="71" fillId="0" borderId="18" xfId="61" quotePrefix="1" applyFont="1" applyBorder="1" applyAlignment="1">
      <alignment horizontal="center"/>
    </xf>
    <xf numFmtId="0" fontId="71" fillId="0" borderId="18" xfId="61" applyFont="1" applyBorder="1" applyAlignment="1">
      <alignment horizontal="center" vertical="center"/>
    </xf>
    <xf numFmtId="0" fontId="70" fillId="26" borderId="18" xfId="107" applyFont="1" applyFill="1" applyBorder="1" applyAlignment="1">
      <alignment horizontal="center" vertical="center" wrapText="1"/>
    </xf>
    <xf numFmtId="0" fontId="71" fillId="26" borderId="18" xfId="61" applyFont="1" applyFill="1" applyBorder="1" applyAlignment="1">
      <alignment vertical="center"/>
    </xf>
    <xf numFmtId="49" fontId="71" fillId="26" borderId="18" xfId="61" applyNumberFormat="1" applyFont="1" applyFill="1" applyBorder="1" applyAlignment="1">
      <alignment horizontal="right" vertical="center"/>
    </xf>
    <xf numFmtId="0" fontId="71" fillId="26" borderId="18" xfId="61" applyFont="1" applyFill="1" applyBorder="1" applyAlignment="1">
      <alignment horizontal="right" vertical="center"/>
    </xf>
    <xf numFmtId="0" fontId="71" fillId="0" borderId="129" xfId="61" applyFont="1" applyBorder="1"/>
    <xf numFmtId="0" fontId="70" fillId="0" borderId="0" xfId="107" applyNumberFormat="1" applyFont="1" applyFill="1" applyBorder="1" applyAlignment="1" applyProtection="1">
      <alignment horizontal="center" vertical="center"/>
    </xf>
    <xf numFmtId="0" fontId="70" fillId="0" borderId="0" xfId="107" applyNumberFormat="1" applyFont="1" applyFill="1" applyBorder="1" applyAlignment="1" applyProtection="1">
      <alignment horizontal="left" vertical="center"/>
    </xf>
    <xf numFmtId="0" fontId="27" fillId="0" borderId="17" xfId="158" applyFont="1" applyFill="1" applyBorder="1" applyAlignment="1">
      <alignment horizontal="distributed" vertical="center" wrapText="1"/>
    </xf>
    <xf numFmtId="0" fontId="27" fillId="0" borderId="18" xfId="107" applyFont="1" applyFill="1" applyBorder="1" applyAlignment="1">
      <alignment horizontal="left" wrapText="1"/>
    </xf>
    <xf numFmtId="0" fontId="27" fillId="0" borderId="0" xfId="141" applyFont="1" applyFill="1"/>
    <xf numFmtId="0" fontId="27" fillId="0" borderId="0" xfId="144" applyFont="1" applyFill="1"/>
    <xf numFmtId="0" fontId="73" fillId="0" borderId="0" xfId="144" applyFont="1" applyFill="1"/>
    <xf numFmtId="0" fontId="27" fillId="0" borderId="0" xfId="144" quotePrefix="1" applyFont="1" applyFill="1" applyAlignment="1">
      <alignment horizontal="left"/>
    </xf>
    <xf numFmtId="0" fontId="27" fillId="0" borderId="0" xfId="144" applyFont="1" applyFill="1" applyAlignment="1">
      <alignment horizontal="right"/>
    </xf>
    <xf numFmtId="0" fontId="27" fillId="0" borderId="16" xfId="144" applyFont="1" applyFill="1" applyBorder="1" applyAlignment="1">
      <alignment horizontal="distributed" vertical="center"/>
    </xf>
    <xf numFmtId="0" fontId="27" fillId="0" borderId="0" xfId="144" applyFont="1" applyFill="1" applyAlignment="1">
      <alignment horizontal="distributed" vertical="center"/>
    </xf>
    <xf numFmtId="0" fontId="27" fillId="0" borderId="15" xfId="144" quotePrefix="1" applyFont="1" applyFill="1" applyBorder="1" applyAlignment="1">
      <alignment horizontal="center" vertical="center"/>
    </xf>
    <xf numFmtId="0" fontId="27" fillId="0" borderId="18" xfId="162" applyFont="1" applyFill="1" applyBorder="1" applyAlignment="1">
      <alignment horizontal="center"/>
    </xf>
    <xf numFmtId="182" fontId="27" fillId="0" borderId="18" xfId="141" applyNumberFormat="1" applyFont="1" applyFill="1" applyBorder="1" applyAlignment="1" applyProtection="1">
      <alignment horizontal="right" vertical="center" wrapText="1"/>
      <protection locked="0"/>
    </xf>
    <xf numFmtId="49" fontId="27" fillId="0" borderId="18" xfId="141" applyNumberFormat="1" applyFont="1" applyFill="1" applyBorder="1" applyAlignment="1" applyProtection="1">
      <alignment horizontal="center" vertical="center" wrapText="1"/>
      <protection locked="0"/>
    </xf>
    <xf numFmtId="0" fontId="27" fillId="0" borderId="0" xfId="141" applyFont="1" applyFill="1" applyAlignment="1">
      <alignment horizontal="left"/>
    </xf>
    <xf numFmtId="191" fontId="27" fillId="29" borderId="130" xfId="96" applyNumberFormat="1" applyFont="1" applyFill="1" applyBorder="1" applyAlignment="1" applyProtection="1">
      <alignment horizontal="center" vertical="center"/>
    </xf>
    <xf numFmtId="0" fontId="70" fillId="0" borderId="16" xfId="124" applyFont="1" applyFill="1" applyBorder="1" applyAlignment="1">
      <alignment horizontal="center" vertical="center" wrapText="1"/>
    </xf>
    <xf numFmtId="0" fontId="70" fillId="0" borderId="0" xfId="124" applyFont="1" applyFill="1" applyAlignment="1">
      <alignment horizontal="center" vertical="center"/>
    </xf>
    <xf numFmtId="0" fontId="70" fillId="0" borderId="0" xfId="124" applyFont="1" applyFill="1" applyAlignment="1">
      <alignment vertical="center"/>
    </xf>
    <xf numFmtId="0" fontId="70" fillId="26" borderId="18" xfId="148" applyFont="1" applyFill="1" applyBorder="1" applyAlignment="1" applyProtection="1">
      <alignment vertical="center" wrapText="1"/>
    </xf>
    <xf numFmtId="9" fontId="27" fillId="28" borderId="18" xfId="131" applyNumberFormat="1" applyFont="1" applyFill="1" applyBorder="1" applyAlignment="1">
      <alignment horizontal="center"/>
    </xf>
    <xf numFmtId="0" fontId="27" fillId="0" borderId="0" xfId="139" applyFont="1" applyFill="1" applyBorder="1" applyAlignment="1">
      <alignment horizontal="center" vertical="center"/>
    </xf>
    <xf numFmtId="0" fontId="70" fillId="0" borderId="0" xfId="98" applyFont="1" applyFill="1" applyBorder="1" applyAlignment="1">
      <alignment vertical="center"/>
    </xf>
    <xf numFmtId="0" fontId="70" fillId="0" borderId="14" xfId="107" applyFont="1" applyFill="1" applyBorder="1" applyAlignment="1" applyProtection="1">
      <alignment horizontal="center" vertical="center"/>
    </xf>
    <xf numFmtId="0" fontId="70" fillId="0" borderId="0" xfId="107" applyFont="1" applyFill="1" applyAlignment="1">
      <alignment vertical="center"/>
    </xf>
    <xf numFmtId="0" fontId="70" fillId="0" borderId="0" xfId="159" applyFont="1" applyFill="1" applyAlignment="1">
      <alignment vertical="center"/>
    </xf>
    <xf numFmtId="0" fontId="70" fillId="0" borderId="0" xfId="0" applyFont="1" applyFill="1" applyAlignment="1">
      <alignment vertical="center"/>
    </xf>
    <xf numFmtId="0" fontId="70" fillId="0" borderId="0" xfId="159" applyFont="1" applyFill="1" applyBorder="1" applyAlignment="1">
      <alignment vertical="center"/>
    </xf>
    <xf numFmtId="0" fontId="70" fillId="0" borderId="0" xfId="107" applyFont="1" applyFill="1" applyBorder="1" applyAlignment="1" applyProtection="1">
      <alignment horizontal="center" vertical="center"/>
    </xf>
    <xf numFmtId="49" fontId="70" fillId="0" borderId="15" xfId="107" applyNumberFormat="1" applyFont="1" applyFill="1" applyBorder="1" applyAlignment="1" applyProtection="1">
      <alignment horizontal="center" vertical="center" wrapText="1"/>
    </xf>
    <xf numFmtId="49" fontId="70" fillId="0" borderId="0" xfId="107" applyNumberFormat="1" applyFont="1" applyFill="1" applyBorder="1" applyAlignment="1" applyProtection="1">
      <alignment horizontal="center" vertical="center" wrapText="1"/>
    </xf>
    <xf numFmtId="197" fontId="70" fillId="0" borderId="18" xfId="107" applyNumberFormat="1" applyFont="1" applyFill="1" applyBorder="1" applyAlignment="1" applyProtection="1">
      <alignment horizontal="center" vertical="center" wrapText="1"/>
    </xf>
    <xf numFmtId="197" fontId="70" fillId="0" borderId="18" xfId="107" applyNumberFormat="1" applyFont="1" applyFill="1" applyBorder="1" applyAlignment="1" applyProtection="1">
      <alignment horizontal="left" vertical="center" wrapText="1"/>
    </xf>
    <xf numFmtId="198" fontId="70" fillId="0" borderId="18" xfId="107" applyNumberFormat="1" applyFont="1" applyFill="1" applyBorder="1" applyAlignment="1" applyProtection="1">
      <alignment horizontal="right" vertical="center" wrapText="1"/>
    </xf>
    <xf numFmtId="197" fontId="70" fillId="0" borderId="18" xfId="107" applyNumberFormat="1" applyFont="1" applyFill="1" applyBorder="1" applyAlignment="1" applyProtection="1">
      <alignment horizontal="center" vertical="center" wrapText="1"/>
      <protection locked="0"/>
    </xf>
    <xf numFmtId="197" fontId="70" fillId="0" borderId="18" xfId="107" applyNumberFormat="1" applyFont="1" applyFill="1" applyBorder="1" applyAlignment="1" applyProtection="1">
      <alignment horizontal="left" vertical="center" wrapText="1"/>
      <protection locked="0"/>
    </xf>
    <xf numFmtId="198" fontId="70" fillId="0" borderId="18" xfId="107" applyNumberFormat="1" applyFont="1" applyFill="1" applyBorder="1" applyAlignment="1" applyProtection="1">
      <alignment horizontal="right" vertical="center" wrapText="1"/>
      <protection locked="0"/>
    </xf>
    <xf numFmtId="197" fontId="70" fillId="0" borderId="18" xfId="0" applyNumberFormat="1" applyFont="1" applyFill="1" applyBorder="1" applyAlignment="1">
      <alignment horizontal="center" vertical="center" wrapText="1"/>
    </xf>
    <xf numFmtId="197" fontId="70" fillId="0" borderId="18" xfId="0" applyNumberFormat="1" applyFont="1" applyFill="1" applyBorder="1" applyAlignment="1">
      <alignment horizontal="left" vertical="center" wrapText="1"/>
    </xf>
    <xf numFmtId="198" fontId="70" fillId="0" borderId="18" xfId="0" applyNumberFormat="1" applyFont="1" applyFill="1" applyBorder="1" applyAlignment="1">
      <alignment horizontal="right" vertical="center" wrapText="1"/>
    </xf>
    <xf numFmtId="0" fontId="70" fillId="0" borderId="0" xfId="107" applyFont="1" applyFill="1" applyBorder="1" applyAlignment="1" applyProtection="1">
      <alignment vertical="center"/>
      <protection locked="0"/>
    </xf>
    <xf numFmtId="49" fontId="70" fillId="0" borderId="0" xfId="107" applyNumberFormat="1" applyFont="1" applyFill="1" applyBorder="1" applyAlignment="1" applyProtection="1">
      <alignment horizontal="center" vertical="top"/>
    </xf>
    <xf numFmtId="0" fontId="70" fillId="0" borderId="0" xfId="107" applyFont="1" applyFill="1" applyBorder="1" applyAlignment="1" applyProtection="1">
      <alignment horizontal="left" vertical="center"/>
      <protection locked="0"/>
    </xf>
    <xf numFmtId="0" fontId="70" fillId="0" borderId="0" xfId="107" applyFont="1" applyFill="1" applyAlignment="1">
      <alignment horizontal="left" vertical="center"/>
    </xf>
    <xf numFmtId="0" fontId="70" fillId="0" borderId="0" xfId="107" quotePrefix="1" applyFont="1" applyAlignment="1">
      <alignment vertical="center"/>
    </xf>
    <xf numFmtId="0" fontId="70" fillId="0" borderId="15" xfId="107" quotePrefix="1" applyFont="1" applyBorder="1" applyAlignment="1">
      <alignment horizontal="center" vertical="center" wrapText="1"/>
    </xf>
    <xf numFmtId="0" fontId="70" fillId="0" borderId="18" xfId="148" applyFont="1" applyBorder="1" applyAlignment="1">
      <alignment horizontal="center" vertical="center"/>
    </xf>
    <xf numFmtId="198" fontId="70" fillId="0" borderId="18" xfId="107" applyNumberFormat="1" applyFont="1" applyFill="1" applyBorder="1" applyAlignment="1">
      <alignment horizontal="right" vertical="center"/>
    </xf>
    <xf numFmtId="183" fontId="70" fillId="0" borderId="18" xfId="107" applyNumberFormat="1" applyFont="1" applyFill="1" applyBorder="1" applyAlignment="1">
      <alignment horizontal="right" vertical="center" wrapText="1"/>
    </xf>
    <xf numFmtId="198" fontId="70" fillId="29" borderId="129" xfId="107" applyNumberFormat="1" applyFont="1" applyFill="1" applyBorder="1" applyAlignment="1">
      <alignment horizontal="right" vertical="center"/>
    </xf>
    <xf numFmtId="0" fontId="70" fillId="0" borderId="18" xfId="107" applyNumberFormat="1" applyFont="1" applyFill="1" applyBorder="1" applyAlignment="1">
      <alignment horizontal="right" vertical="center"/>
    </xf>
    <xf numFmtId="197" fontId="70" fillId="0" borderId="18" xfId="107" applyNumberFormat="1" applyFont="1" applyFill="1" applyBorder="1" applyAlignment="1">
      <alignment horizontal="left" vertical="center" wrapText="1"/>
    </xf>
    <xf numFmtId="0" fontId="70" fillId="0" borderId="18" xfId="107" applyFont="1" applyBorder="1" applyAlignment="1">
      <alignment horizontal="left" vertical="center" wrapText="1"/>
    </xf>
    <xf numFmtId="201" fontId="70" fillId="26" borderId="18" xfId="107" applyNumberFormat="1" applyFont="1" applyFill="1" applyBorder="1" applyAlignment="1">
      <alignment horizontal="right" vertical="center"/>
    </xf>
    <xf numFmtId="197" fontId="70" fillId="31" borderId="18" xfId="107" applyNumberFormat="1" applyFont="1" applyFill="1" applyBorder="1" applyAlignment="1">
      <alignment horizontal="left" vertical="center" wrapText="1"/>
    </xf>
    <xf numFmtId="183" fontId="70" fillId="0" borderId="18" xfId="107" applyNumberFormat="1" applyFont="1" applyFill="1" applyBorder="1" applyAlignment="1">
      <alignment horizontal="right"/>
    </xf>
    <xf numFmtId="201" fontId="70" fillId="31" borderId="18" xfId="107" applyNumberFormat="1" applyFont="1" applyFill="1" applyBorder="1" applyAlignment="1">
      <alignment horizontal="right" vertical="center"/>
    </xf>
    <xf numFmtId="0" fontId="70" fillId="0" borderId="0" xfId="107" applyFont="1" applyFill="1" applyBorder="1" applyAlignment="1">
      <alignment horizontal="center" vertical="center" wrapText="1"/>
    </xf>
    <xf numFmtId="0" fontId="70" fillId="0" borderId="0" xfId="0" applyFont="1" applyBorder="1" applyAlignment="1">
      <alignment horizontal="right"/>
    </xf>
    <xf numFmtId="179" fontId="70" fillId="0" borderId="18" xfId="107" applyNumberFormat="1" applyFont="1" applyBorder="1" applyAlignment="1">
      <alignment vertical="center"/>
    </xf>
    <xf numFmtId="49" fontId="70" fillId="0" borderId="18" xfId="107" applyNumberFormat="1" applyFont="1" applyFill="1" applyBorder="1" applyAlignment="1" applyProtection="1">
      <alignment horizontal="center" vertical="center"/>
    </xf>
    <xf numFmtId="197" fontId="70" fillId="0" borderId="131" xfId="107" applyNumberFormat="1" applyFont="1" applyFill="1" applyBorder="1" applyAlignment="1" applyProtection="1">
      <alignment horizontal="left" vertical="center" wrapText="1"/>
    </xf>
    <xf numFmtId="197" fontId="70" fillId="0" borderId="0" xfId="107" applyNumberFormat="1" applyFont="1" applyFill="1" applyBorder="1" applyAlignment="1" applyProtection="1">
      <alignment horizontal="left" vertical="center" wrapText="1"/>
    </xf>
    <xf numFmtId="183" fontId="70" fillId="0" borderId="18" xfId="181" applyNumberFormat="1" applyFont="1" applyFill="1" applyBorder="1" applyAlignment="1" applyProtection="1">
      <alignment horizontal="right" vertical="center" wrapText="1"/>
    </xf>
    <xf numFmtId="197" fontId="70" fillId="0" borderId="16" xfId="107" applyNumberFormat="1" applyFont="1" applyFill="1" applyBorder="1" applyAlignment="1" applyProtection="1">
      <alignment horizontal="left" vertical="center" wrapText="1"/>
      <protection locked="0"/>
    </xf>
    <xf numFmtId="197" fontId="70" fillId="0" borderId="17" xfId="107" applyNumberFormat="1" applyFont="1" applyFill="1" applyBorder="1" applyAlignment="1" applyProtection="1">
      <alignment horizontal="left" vertical="center" wrapText="1"/>
      <protection locked="0"/>
    </xf>
    <xf numFmtId="197" fontId="70" fillId="0" borderId="131" xfId="107" applyNumberFormat="1" applyFont="1" applyFill="1" applyBorder="1" applyAlignment="1" applyProtection="1">
      <alignment horizontal="left" vertical="center" wrapText="1"/>
      <protection locked="0"/>
    </xf>
    <xf numFmtId="197" fontId="70" fillId="0" borderId="18" xfId="0" quotePrefix="1" applyNumberFormat="1" applyFont="1" applyFill="1" applyBorder="1" applyAlignment="1">
      <alignment horizontal="left" vertical="center" wrapText="1"/>
    </xf>
    <xf numFmtId="0" fontId="70" fillId="0" borderId="132" xfId="97" applyFont="1" applyFill="1" applyBorder="1" applyAlignment="1" applyProtection="1">
      <alignment horizontal="left" vertical="center" wrapText="1"/>
    </xf>
    <xf numFmtId="0" fontId="70" fillId="0" borderId="0" xfId="107" applyFont="1" applyBorder="1" applyAlignment="1">
      <alignment vertical="center" wrapText="1"/>
    </xf>
    <xf numFmtId="0" fontId="70" fillId="0" borderId="18" xfId="124" applyFont="1" applyBorder="1" applyAlignment="1">
      <alignment vertical="center"/>
    </xf>
    <xf numFmtId="0" fontId="75" fillId="0" borderId="0" xfId="93" applyFont="1" applyFill="1" applyBorder="1" applyAlignment="1" applyProtection="1">
      <alignment horizontal="left" vertical="center"/>
    </xf>
    <xf numFmtId="0" fontId="75" fillId="0" borderId="0" xfId="93" applyFont="1" applyFill="1" applyBorder="1" applyAlignment="1" applyProtection="1">
      <alignment horizontal="center" vertical="center"/>
    </xf>
    <xf numFmtId="0" fontId="75" fillId="0" borderId="133" xfId="96" applyFont="1" applyFill="1" applyBorder="1" applyAlignment="1" applyProtection="1">
      <alignment horizontal="center" vertical="center"/>
    </xf>
    <xf numFmtId="0" fontId="75" fillId="0" borderId="30" xfId="96" applyNumberFormat="1" applyFont="1" applyFill="1" applyBorder="1" applyAlignment="1" applyProtection="1">
      <alignment horizontal="center" vertical="center"/>
    </xf>
    <xf numFmtId="0" fontId="75" fillId="0" borderId="134" xfId="96" applyNumberFormat="1" applyFont="1" applyFill="1" applyBorder="1" applyAlignment="1" applyProtection="1">
      <alignment horizontal="center" vertical="center"/>
    </xf>
    <xf numFmtId="0" fontId="75" fillId="0" borderId="135" xfId="96" applyNumberFormat="1" applyFont="1" applyFill="1" applyBorder="1" applyAlignment="1" applyProtection="1">
      <alignment horizontal="center" vertical="center" wrapText="1"/>
    </xf>
    <xf numFmtId="0" fontId="75" fillId="0" borderId="135" xfId="96" applyNumberFormat="1" applyFont="1" applyFill="1" applyBorder="1" applyAlignment="1" applyProtection="1">
      <alignment horizontal="center" vertical="center"/>
    </xf>
    <xf numFmtId="0" fontId="75" fillId="0" borderId="136" xfId="96" applyNumberFormat="1" applyFont="1" applyFill="1" applyBorder="1" applyAlignment="1" applyProtection="1">
      <alignment horizontal="center" vertical="center"/>
    </xf>
    <xf numFmtId="0" fontId="70" fillId="0" borderId="137" xfId="96" applyFont="1" applyFill="1" applyBorder="1" applyAlignment="1" applyProtection="1">
      <alignment vertical="center"/>
    </xf>
    <xf numFmtId="0" fontId="70" fillId="0" borderId="86" xfId="96" applyFont="1" applyFill="1" applyBorder="1" applyAlignment="1" applyProtection="1">
      <alignment horizontal="left" vertical="center" wrapText="1"/>
    </xf>
    <xf numFmtId="189" fontId="70" fillId="25" borderId="92" xfId="96" applyNumberFormat="1" applyFont="1" applyFill="1" applyBorder="1" applyAlignment="1" applyProtection="1">
      <alignment horizontal="right" vertical="center"/>
    </xf>
    <xf numFmtId="189" fontId="70" fillId="25" borderId="86" xfId="96" applyNumberFormat="1" applyFont="1" applyFill="1" applyBorder="1" applyAlignment="1" applyProtection="1">
      <alignment horizontal="right" vertical="center"/>
    </xf>
    <xf numFmtId="195" fontId="70" fillId="25" borderId="86" xfId="96" applyNumberFormat="1" applyFont="1" applyFill="1" applyBorder="1" applyAlignment="1" applyProtection="1">
      <alignment horizontal="center" vertical="center"/>
    </xf>
    <xf numFmtId="189" fontId="70" fillId="25" borderId="138" xfId="96" applyNumberFormat="1" applyFont="1" applyFill="1" applyBorder="1" applyAlignment="1" applyProtection="1">
      <alignment horizontal="right" vertical="center"/>
    </xf>
    <xf numFmtId="0" fontId="70" fillId="0" borderId="139" xfId="105" applyFont="1" applyFill="1" applyBorder="1" applyAlignment="1">
      <alignment horizontal="left" vertical="center" indent="1"/>
    </xf>
    <xf numFmtId="0" fontId="70" fillId="0" borderId="32" xfId="105" applyFont="1" applyFill="1" applyBorder="1" applyAlignment="1" applyProtection="1">
      <alignment horizontal="left" vertical="center" wrapText="1"/>
      <protection locked="0"/>
    </xf>
    <xf numFmtId="189" fontId="70" fillId="0" borderId="69" xfId="96" applyNumberFormat="1" applyFont="1" applyFill="1" applyBorder="1" applyAlignment="1" applyProtection="1">
      <alignment horizontal="right" vertical="center"/>
    </xf>
    <xf numFmtId="189" fontId="70" fillId="0" borderId="32" xfId="96" applyNumberFormat="1" applyFont="1" applyFill="1" applyBorder="1" applyAlignment="1" applyProtection="1">
      <alignment horizontal="right" vertical="center"/>
    </xf>
    <xf numFmtId="195" fontId="70" fillId="0" borderId="32" xfId="96" applyNumberFormat="1" applyFont="1" applyFill="1" applyBorder="1" applyAlignment="1" applyProtection="1">
      <alignment horizontal="center" vertical="center"/>
    </xf>
    <xf numFmtId="189" fontId="70" fillId="0" borderId="70" xfId="96" applyNumberFormat="1" applyFont="1" applyFill="1" applyBorder="1" applyAlignment="1" applyProtection="1">
      <alignment horizontal="right" vertical="center"/>
    </xf>
    <xf numFmtId="0" fontId="70" fillId="0" borderId="140" xfId="96" applyFont="1" applyFill="1" applyBorder="1" applyAlignment="1" applyProtection="1">
      <alignment horizontal="left" vertical="center"/>
    </xf>
    <xf numFmtId="189" fontId="70" fillId="0" borderId="141" xfId="96" applyNumberFormat="1" applyFont="1" applyFill="1" applyBorder="1" applyAlignment="1" applyProtection="1">
      <alignment horizontal="right" vertical="center"/>
    </xf>
    <xf numFmtId="195" fontId="70" fillId="0" borderId="132" xfId="96" applyNumberFormat="1" applyFont="1" applyFill="1" applyBorder="1" applyAlignment="1" applyProtection="1">
      <alignment horizontal="center" vertical="center"/>
    </xf>
    <xf numFmtId="0" fontId="75" fillId="0" borderId="33" xfId="96" applyFont="1" applyFill="1" applyBorder="1" applyAlignment="1" applyProtection="1">
      <alignment vertical="center"/>
    </xf>
    <xf numFmtId="0" fontId="70" fillId="0" borderId="34" xfId="96" applyFont="1" applyFill="1" applyBorder="1" applyAlignment="1" applyProtection="1">
      <alignment vertical="center"/>
    </xf>
    <xf numFmtId="189" fontId="70" fillId="0" borderId="3" xfId="96" applyNumberFormat="1" applyFont="1" applyFill="1" applyBorder="1" applyAlignment="1" applyProtection="1">
      <alignment horizontal="right" vertical="center"/>
    </xf>
    <xf numFmtId="189" fontId="70" fillId="0" borderId="34" xfId="96" applyNumberFormat="1" applyFont="1" applyFill="1" applyBorder="1" applyAlignment="1" applyProtection="1">
      <alignment horizontal="right" vertical="center"/>
    </xf>
    <xf numFmtId="195" fontId="70" fillId="0" borderId="34" xfId="96" applyNumberFormat="1" applyFont="1" applyFill="1" applyBorder="1" applyAlignment="1" applyProtection="1">
      <alignment horizontal="center" vertical="center"/>
    </xf>
    <xf numFmtId="189" fontId="70" fillId="0" borderId="71" xfId="96" applyNumberFormat="1" applyFont="1" applyFill="1" applyBorder="1" applyAlignment="1" applyProtection="1">
      <alignment horizontal="right" vertical="center"/>
    </xf>
    <xf numFmtId="0" fontId="70" fillId="0" borderId="0" xfId="96" applyFont="1" applyFill="1" applyBorder="1" applyAlignment="1" applyProtection="1">
      <alignment vertical="center"/>
    </xf>
    <xf numFmtId="192" fontId="70" fillId="0" borderId="0" xfId="96" applyNumberFormat="1" applyFont="1" applyFill="1" applyBorder="1" applyAlignment="1" applyProtection="1">
      <alignment horizontal="center" vertical="center"/>
    </xf>
    <xf numFmtId="195" fontId="70" fillId="0" borderId="0" xfId="96" applyNumberFormat="1" applyFont="1" applyFill="1" applyBorder="1" applyAlignment="1" applyProtection="1">
      <alignment horizontal="center" vertical="center"/>
    </xf>
    <xf numFmtId="0" fontId="70" fillId="0" borderId="0" xfId="124" applyFont="1" applyFill="1" applyBorder="1" applyAlignment="1" applyProtection="1">
      <alignment vertical="center"/>
      <protection locked="0"/>
    </xf>
    <xf numFmtId="197" fontId="70" fillId="0" borderId="129" xfId="0" quotePrefix="1" applyNumberFormat="1" applyFont="1" applyFill="1" applyBorder="1" applyAlignment="1">
      <alignment horizontal="left" vertical="center" wrapText="1"/>
    </xf>
    <xf numFmtId="197" fontId="70" fillId="0" borderId="129" xfId="0" applyNumberFormat="1" applyFont="1" applyFill="1" applyBorder="1" applyAlignment="1">
      <alignment horizontal="center" vertical="center" wrapText="1"/>
    </xf>
    <xf numFmtId="197" fontId="70" fillId="0" borderId="129" xfId="0" applyNumberFormat="1" applyFont="1" applyFill="1" applyBorder="1" applyAlignment="1">
      <alignment horizontal="left" vertical="center" wrapText="1"/>
    </xf>
    <xf numFmtId="189" fontId="70" fillId="0" borderId="142" xfId="96" applyNumberFormat="1" applyFont="1" applyFill="1" applyBorder="1" applyAlignment="1" applyProtection="1">
      <alignment horizontal="right" vertical="center"/>
    </xf>
    <xf numFmtId="0" fontId="70" fillId="0" borderId="18" xfId="124" applyFont="1" applyBorder="1" applyAlignment="1">
      <alignment horizontal="center" vertical="center" wrapText="1"/>
    </xf>
    <xf numFmtId="0" fontId="70" fillId="0" borderId="18" xfId="124" applyFont="1" applyBorder="1" applyAlignment="1">
      <alignment horizontal="left" vertical="center"/>
    </xf>
    <xf numFmtId="0" fontId="74" fillId="0" borderId="0" xfId="107" applyFont="1" applyFill="1" applyAlignment="1">
      <alignment horizontal="left" vertical="top"/>
    </xf>
    <xf numFmtId="0" fontId="70" fillId="0" borderId="18" xfId="107" applyFont="1" applyBorder="1" applyAlignment="1">
      <alignment vertical="center"/>
    </xf>
    <xf numFmtId="0" fontId="70" fillId="0" borderId="0" xfId="162" applyFont="1" applyFill="1" applyAlignment="1">
      <alignment horizontal="left"/>
    </xf>
    <xf numFmtId="0" fontId="70" fillId="0" borderId="0" xfId="107" applyFont="1" applyFill="1"/>
    <xf numFmtId="0" fontId="70" fillId="0" borderId="0" xfId="107" applyFont="1" applyFill="1" applyAlignment="1">
      <alignment horizontal="left"/>
    </xf>
    <xf numFmtId="0" fontId="70" fillId="0" borderId="0" xfId="119" applyFont="1" applyFill="1"/>
    <xf numFmtId="0" fontId="70" fillId="0" borderId="0" xfId="126" applyFont="1" applyFill="1">
      <alignment vertical="center"/>
    </xf>
    <xf numFmtId="0" fontId="70" fillId="0" borderId="0" xfId="107" applyFont="1" applyFill="1" applyBorder="1"/>
    <xf numFmtId="49" fontId="70" fillId="0" borderId="72" xfId="119" applyNumberFormat="1" applyFont="1" applyFill="1" applyBorder="1" applyAlignment="1" applyProtection="1">
      <alignment horizontal="center" vertical="center" wrapText="1"/>
    </xf>
    <xf numFmtId="0" fontId="70" fillId="0" borderId="65" xfId="107" applyNumberFormat="1" applyFont="1" applyFill="1" applyBorder="1" applyAlignment="1" applyProtection="1">
      <alignment horizontal="center" vertical="center"/>
    </xf>
    <xf numFmtId="205" fontId="70" fillId="0" borderId="24" xfId="126" applyNumberFormat="1" applyFont="1" applyFill="1" applyBorder="1" applyAlignment="1">
      <alignment horizontal="center"/>
    </xf>
    <xf numFmtId="205" fontId="70" fillId="0" borderId="24" xfId="126" applyNumberFormat="1" applyFont="1" applyFill="1" applyBorder="1" applyAlignment="1"/>
    <xf numFmtId="205" fontId="70" fillId="0" borderId="24" xfId="107" applyNumberFormat="1" applyFont="1" applyFill="1" applyBorder="1" applyAlignment="1">
      <alignment vertical="center" wrapText="1"/>
    </xf>
    <xf numFmtId="205" fontId="70" fillId="0" borderId="24" xfId="119" applyNumberFormat="1" applyFont="1" applyFill="1" applyBorder="1" applyAlignment="1">
      <alignment vertical="center" wrapText="1"/>
    </xf>
    <xf numFmtId="205" fontId="70" fillId="0" borderId="24" xfId="196" applyNumberFormat="1" applyFont="1" applyFill="1" applyBorder="1" applyAlignment="1">
      <alignment vertical="center" wrapText="1"/>
    </xf>
    <xf numFmtId="205" fontId="70" fillId="0" borderId="55" xfId="119" applyNumberFormat="1" applyFont="1" applyFill="1" applyBorder="1" applyAlignment="1" applyProtection="1">
      <alignment vertical="center" wrapText="1"/>
    </xf>
    <xf numFmtId="0" fontId="70" fillId="0" borderId="57" xfId="107" applyNumberFormat="1" applyFont="1" applyFill="1" applyBorder="1" applyAlignment="1" applyProtection="1">
      <alignment horizontal="center" vertical="center"/>
    </xf>
    <xf numFmtId="205" fontId="70" fillId="0" borderId="18" xfId="126" applyNumberFormat="1" applyFont="1" applyFill="1" applyBorder="1" applyAlignment="1"/>
    <xf numFmtId="205" fontId="70" fillId="0" borderId="18" xfId="107" applyNumberFormat="1" applyFont="1" applyFill="1" applyBorder="1" applyAlignment="1">
      <alignment vertical="center" wrapText="1"/>
    </xf>
    <xf numFmtId="205" fontId="70" fillId="0" borderId="18" xfId="119" applyNumberFormat="1" applyFont="1" applyFill="1" applyBorder="1" applyAlignment="1">
      <alignment vertical="center" wrapText="1"/>
    </xf>
    <xf numFmtId="205" fontId="70" fillId="0" borderId="18" xfId="196" applyNumberFormat="1" applyFont="1" applyFill="1" applyBorder="1" applyAlignment="1">
      <alignment vertical="center" wrapText="1"/>
    </xf>
    <xf numFmtId="205" fontId="70" fillId="0" borderId="56" xfId="119" applyNumberFormat="1" applyFont="1" applyFill="1" applyBorder="1" applyAlignment="1" applyProtection="1">
      <alignment vertical="center" wrapText="1"/>
    </xf>
    <xf numFmtId="205" fontId="70" fillId="0" borderId="129" xfId="126" applyNumberFormat="1" applyFont="1" applyFill="1" applyBorder="1" applyAlignment="1"/>
    <xf numFmtId="205" fontId="70" fillId="0" borderId="129" xfId="107" applyNumberFormat="1" applyFont="1" applyFill="1" applyBorder="1" applyAlignment="1">
      <alignment vertical="center" wrapText="1"/>
    </xf>
    <xf numFmtId="205" fontId="70" fillId="0" borderId="129" xfId="119" applyNumberFormat="1" applyFont="1" applyFill="1" applyBorder="1" applyAlignment="1">
      <alignment vertical="center" wrapText="1"/>
    </xf>
    <xf numFmtId="205" fontId="70" fillId="0" borderId="129" xfId="196" applyNumberFormat="1" applyFont="1" applyFill="1" applyBorder="1" applyAlignment="1">
      <alignment vertical="center" wrapText="1"/>
    </xf>
    <xf numFmtId="205" fontId="70" fillId="0" borderId="143" xfId="119" applyNumberFormat="1" applyFont="1" applyFill="1" applyBorder="1" applyAlignment="1" applyProtection="1">
      <alignment vertical="center" wrapText="1"/>
    </xf>
    <xf numFmtId="0" fontId="70" fillId="0" borderId="27" xfId="126" applyFont="1" applyFill="1" applyBorder="1" applyAlignment="1">
      <alignment horizontal="center" vertical="center" wrapText="1"/>
    </xf>
    <xf numFmtId="205" fontId="70" fillId="0" borderId="144" xfId="126" applyNumberFormat="1" applyFont="1" applyFill="1" applyBorder="1" applyAlignment="1"/>
    <xf numFmtId="205" fontId="70" fillId="0" borderId="27" xfId="119" applyNumberFormat="1" applyFont="1" applyFill="1" applyBorder="1" applyAlignment="1">
      <alignment vertical="center" wrapText="1"/>
    </xf>
    <xf numFmtId="205" fontId="70" fillId="0" borderId="144" xfId="119" applyNumberFormat="1" applyFont="1" applyFill="1" applyBorder="1" applyAlignment="1">
      <alignment vertical="center" wrapText="1"/>
    </xf>
    <xf numFmtId="205" fontId="70" fillId="0" borderId="145" xfId="119" applyNumberFormat="1" applyFont="1" applyFill="1" applyBorder="1" applyAlignment="1">
      <alignment vertical="center" wrapText="1"/>
    </xf>
    <xf numFmtId="205" fontId="70" fillId="0" borderId="143" xfId="119" applyNumberFormat="1" applyFont="1" applyFill="1" applyBorder="1" applyAlignment="1">
      <alignment vertical="center" wrapText="1"/>
    </xf>
    <xf numFmtId="205" fontId="70" fillId="0" borderId="18" xfId="126" applyNumberFormat="1" applyFont="1" applyFill="1" applyBorder="1" applyAlignment="1">
      <alignment vertical="center"/>
    </xf>
    <xf numFmtId="205" fontId="70" fillId="0" borderId="24" xfId="126" applyNumberFormat="1" applyFont="1" applyFill="1" applyBorder="1" applyAlignment="1">
      <alignment vertical="center"/>
    </xf>
    <xf numFmtId="0" fontId="70" fillId="0" borderId="146" xfId="107" applyNumberFormat="1" applyFont="1" applyFill="1" applyBorder="1" applyAlignment="1" applyProtection="1">
      <alignment horizontal="center" vertical="center"/>
    </xf>
    <xf numFmtId="205" fontId="70" fillId="0" borderId="147" xfId="126" applyNumberFormat="1" applyFont="1" applyFill="1" applyBorder="1" applyAlignment="1"/>
    <xf numFmtId="205" fontId="70" fillId="0" borderId="147" xfId="107" applyNumberFormat="1" applyFont="1" applyFill="1" applyBorder="1" applyAlignment="1">
      <alignment vertical="center" wrapText="1"/>
    </xf>
    <xf numFmtId="205" fontId="70" fillId="0" borderId="147" xfId="119" applyNumberFormat="1" applyFont="1" applyFill="1" applyBorder="1" applyAlignment="1">
      <alignment vertical="center" wrapText="1"/>
    </xf>
    <xf numFmtId="205" fontId="70" fillId="0" borderId="16" xfId="119" applyNumberFormat="1" applyFont="1" applyFill="1" applyBorder="1" applyAlignment="1">
      <alignment vertical="center" wrapText="1"/>
    </xf>
    <xf numFmtId="205" fontId="70" fillId="0" borderId="148" xfId="119" applyNumberFormat="1" applyFont="1" applyFill="1" applyBorder="1" applyAlignment="1">
      <alignment vertical="center" wrapText="1"/>
    </xf>
    <xf numFmtId="205" fontId="70" fillId="0" borderId="151" xfId="126" applyNumberFormat="1" applyFont="1" applyFill="1" applyBorder="1" applyAlignment="1"/>
    <xf numFmtId="205" fontId="70" fillId="0" borderId="151" xfId="107" applyNumberFormat="1" applyFont="1" applyFill="1" applyBorder="1" applyAlignment="1">
      <alignment vertical="center" wrapText="1"/>
    </xf>
    <xf numFmtId="205" fontId="70" fillId="0" borderId="151" xfId="119" applyNumberFormat="1" applyFont="1" applyFill="1" applyBorder="1" applyAlignment="1">
      <alignment vertical="center" wrapText="1"/>
    </xf>
    <xf numFmtId="205" fontId="70" fillId="0" borderId="150" xfId="119" applyNumberFormat="1" applyFont="1" applyFill="1" applyBorder="1" applyAlignment="1">
      <alignment vertical="center" wrapText="1"/>
    </xf>
    <xf numFmtId="205" fontId="70" fillId="0" borderId="151" xfId="196" applyNumberFormat="1" applyFont="1" applyFill="1" applyBorder="1" applyAlignment="1">
      <alignment vertical="center" wrapText="1"/>
    </xf>
    <xf numFmtId="205" fontId="70" fillId="0" borderId="152" xfId="119" applyNumberFormat="1" applyFont="1" applyFill="1" applyBorder="1" applyAlignment="1">
      <alignment vertical="center" wrapText="1"/>
    </xf>
    <xf numFmtId="205" fontId="70" fillId="0" borderId="153" xfId="126" applyNumberFormat="1" applyFont="1" applyFill="1" applyBorder="1" applyAlignment="1">
      <alignment vertical="center"/>
    </xf>
    <xf numFmtId="205" fontId="70" fillId="0" borderId="153" xfId="196" applyNumberFormat="1" applyFont="1" applyFill="1" applyBorder="1" applyAlignment="1">
      <alignment vertical="center" wrapText="1"/>
    </xf>
    <xf numFmtId="0" fontId="70" fillId="0" borderId="27" xfId="126" applyFont="1" applyFill="1" applyBorder="1" applyAlignment="1">
      <alignment vertical="center" wrapText="1"/>
    </xf>
    <xf numFmtId="205" fontId="70" fillId="0" borderId="144" xfId="196" applyNumberFormat="1" applyFont="1" applyFill="1" applyBorder="1" applyAlignment="1">
      <alignment vertical="center" wrapText="1"/>
    </xf>
    <xf numFmtId="205" fontId="70" fillId="0" borderId="153" xfId="119" applyNumberFormat="1" applyFont="1" applyFill="1" applyBorder="1" applyAlignment="1">
      <alignment vertical="center" wrapText="1"/>
    </xf>
    <xf numFmtId="205" fontId="70" fillId="0" borderId="129" xfId="126" applyNumberFormat="1" applyFont="1" applyFill="1" applyBorder="1" applyAlignment="1">
      <alignment vertical="center"/>
    </xf>
    <xf numFmtId="205" fontId="70" fillId="0" borderId="147" xfId="126" applyNumberFormat="1" applyFont="1" applyFill="1" applyBorder="1" applyAlignment="1">
      <alignment vertical="center"/>
    </xf>
    <xf numFmtId="205" fontId="70" fillId="0" borderId="147" xfId="196" applyNumberFormat="1" applyFont="1" applyFill="1" applyBorder="1" applyAlignment="1">
      <alignment vertical="center" wrapText="1"/>
    </xf>
    <xf numFmtId="205" fontId="70" fillId="0" borderId="150" xfId="196" applyNumberFormat="1" applyFont="1" applyFill="1" applyBorder="1" applyAlignment="1">
      <alignment vertical="center" wrapText="1"/>
    </xf>
    <xf numFmtId="205" fontId="70" fillId="0" borderId="151" xfId="126" applyNumberFormat="1" applyFont="1" applyFill="1" applyBorder="1" applyAlignment="1">
      <alignment vertical="center"/>
    </xf>
    <xf numFmtId="0" fontId="70" fillId="0" borderId="33" xfId="107" applyNumberFormat="1" applyFont="1" applyFill="1" applyBorder="1" applyAlignment="1" applyProtection="1">
      <alignment horizontal="center" vertical="center"/>
    </xf>
    <xf numFmtId="205" fontId="70" fillId="0" borderId="154" xfId="126" applyNumberFormat="1" applyFont="1" applyFill="1" applyBorder="1" applyAlignment="1"/>
    <xf numFmtId="205" fontId="70" fillId="0" borderId="154" xfId="107" applyNumberFormat="1" applyFont="1" applyFill="1" applyBorder="1" applyAlignment="1">
      <alignment vertical="center" wrapText="1"/>
    </xf>
    <xf numFmtId="205" fontId="70" fillId="0" borderId="154" xfId="119" applyNumberFormat="1" applyFont="1" applyFill="1" applyBorder="1" applyAlignment="1">
      <alignment vertical="center" wrapText="1"/>
    </xf>
    <xf numFmtId="205" fontId="70" fillId="0" borderId="34" xfId="196" applyNumberFormat="1" applyFont="1" applyFill="1" applyBorder="1" applyAlignment="1">
      <alignment vertical="center" wrapText="1"/>
    </xf>
    <xf numFmtId="205" fontId="70" fillId="0" borderId="154" xfId="126" applyNumberFormat="1" applyFont="1" applyFill="1" applyBorder="1" applyAlignment="1">
      <alignment vertical="center"/>
    </xf>
    <xf numFmtId="205" fontId="70" fillId="0" borderId="154" xfId="196" applyNumberFormat="1" applyFont="1" applyFill="1" applyBorder="1" applyAlignment="1">
      <alignment vertical="center" wrapText="1"/>
    </xf>
    <xf numFmtId="205" fontId="70" fillId="0" borderId="155" xfId="119" applyNumberFormat="1" applyFont="1" applyFill="1" applyBorder="1" applyAlignment="1">
      <alignment vertical="center" wrapText="1"/>
    </xf>
    <xf numFmtId="49" fontId="70" fillId="0" borderId="0" xfId="107" applyNumberFormat="1" applyFont="1" applyFill="1" applyBorder="1" applyAlignment="1" applyProtection="1">
      <alignment horizontal="center" vertical="center"/>
    </xf>
    <xf numFmtId="0" fontId="70" fillId="0" borderId="0" xfId="119" applyFont="1" applyFill="1" applyAlignment="1" applyProtection="1">
      <alignment horizontal="left" vertical="center"/>
      <protection locked="0"/>
    </xf>
    <xf numFmtId="0" fontId="70" fillId="0" borderId="0" xfId="119" applyFont="1" applyFill="1" applyAlignment="1" applyProtection="1">
      <alignment horizontal="center" vertical="center" wrapText="1"/>
      <protection locked="0"/>
    </xf>
    <xf numFmtId="0" fontId="70" fillId="0" borderId="0" xfId="119" applyFont="1" applyFill="1" applyAlignment="1">
      <alignment horizontal="center" vertical="center" wrapText="1"/>
    </xf>
    <xf numFmtId="0" fontId="70" fillId="0" borderId="0" xfId="119" applyFont="1" applyFill="1" applyAlignment="1" applyProtection="1">
      <alignment horizontal="left" vertical="center"/>
    </xf>
    <xf numFmtId="0" fontId="70" fillId="0" borderId="0" xfId="119" applyFont="1" applyFill="1" applyAlignment="1">
      <alignment horizontal="left" vertical="center" wrapText="1"/>
    </xf>
    <xf numFmtId="0" fontId="70" fillId="0" borderId="0" xfId="124" applyFont="1" applyFill="1" applyAlignment="1">
      <alignment horizontal="left" vertical="center"/>
    </xf>
    <xf numFmtId="0" fontId="70" fillId="0" borderId="0" xfId="126" applyFont="1" applyFill="1" applyAlignment="1">
      <alignment horizontal="left"/>
    </xf>
    <xf numFmtId="43" fontId="70" fillId="0" borderId="0" xfId="196" applyFont="1" applyFill="1" applyAlignment="1"/>
    <xf numFmtId="205" fontId="70" fillId="0" borderId="24" xfId="107" applyNumberFormat="1" applyFont="1" applyFill="1" applyBorder="1" applyAlignment="1">
      <alignment horizontal="center" vertical="center" wrapText="1"/>
    </xf>
    <xf numFmtId="205" fontId="70" fillId="0" borderId="24" xfId="119" applyNumberFormat="1" applyFont="1" applyFill="1" applyBorder="1" applyAlignment="1">
      <alignment horizontal="center" vertical="center" wrapText="1"/>
    </xf>
    <xf numFmtId="180" fontId="70" fillId="0" borderId="24" xfId="119" applyNumberFormat="1" applyFont="1" applyFill="1" applyBorder="1" applyAlignment="1">
      <alignment vertical="center" wrapText="1"/>
    </xf>
    <xf numFmtId="179" fontId="70" fillId="0" borderId="24" xfId="119" applyNumberFormat="1" applyFont="1" applyFill="1" applyBorder="1" applyAlignment="1">
      <alignment vertical="center" wrapText="1"/>
    </xf>
    <xf numFmtId="205" fontId="70" fillId="0" borderId="24" xfId="196" applyNumberFormat="1" applyFont="1" applyFill="1" applyBorder="1" applyAlignment="1">
      <alignment horizontal="center" vertical="center" wrapText="1"/>
    </xf>
    <xf numFmtId="205" fontId="70" fillId="0" borderId="18" xfId="107" applyNumberFormat="1" applyFont="1" applyFill="1" applyBorder="1" applyAlignment="1">
      <alignment horizontal="center" vertical="center" wrapText="1"/>
    </xf>
    <xf numFmtId="205" fontId="70" fillId="0" borderId="18" xfId="119" applyNumberFormat="1" applyFont="1" applyFill="1" applyBorder="1" applyAlignment="1">
      <alignment horizontal="center" vertical="center" wrapText="1"/>
    </xf>
    <xf numFmtId="180" fontId="70" fillId="0" borderId="18" xfId="119" applyNumberFormat="1" applyFont="1" applyFill="1" applyBorder="1" applyAlignment="1">
      <alignment vertical="center" wrapText="1"/>
    </xf>
    <xf numFmtId="179" fontId="70" fillId="0" borderId="18" xfId="119" applyNumberFormat="1" applyFont="1" applyFill="1" applyBorder="1" applyAlignment="1">
      <alignment vertical="center" wrapText="1"/>
    </xf>
    <xf numFmtId="205" fontId="70" fillId="0" borderId="18" xfId="196" applyNumberFormat="1" applyFont="1" applyFill="1" applyBorder="1" applyAlignment="1">
      <alignment horizontal="center" vertical="center" wrapText="1"/>
    </xf>
    <xf numFmtId="205" fontId="70" fillId="0" borderId="129" xfId="107" applyNumberFormat="1" applyFont="1" applyFill="1" applyBorder="1" applyAlignment="1">
      <alignment horizontal="center" vertical="center" wrapText="1"/>
    </xf>
    <xf numFmtId="205" fontId="70" fillId="0" borderId="129" xfId="119" applyNumberFormat="1" applyFont="1" applyFill="1" applyBorder="1" applyAlignment="1">
      <alignment horizontal="center" vertical="center" wrapText="1"/>
    </xf>
    <xf numFmtId="205" fontId="70" fillId="0" borderId="129" xfId="196" applyNumberFormat="1" applyFont="1" applyFill="1" applyBorder="1" applyAlignment="1">
      <alignment horizontal="center" vertical="center" wrapText="1"/>
    </xf>
    <xf numFmtId="180" fontId="70" fillId="0" borderId="27" xfId="119" applyNumberFormat="1" applyFont="1" applyFill="1" applyBorder="1" applyAlignment="1">
      <alignment vertical="center" wrapText="1"/>
    </xf>
    <xf numFmtId="179" fontId="70" fillId="0" borderId="27" xfId="119" applyNumberFormat="1" applyFont="1" applyFill="1" applyBorder="1" applyAlignment="1">
      <alignment vertical="center" wrapText="1"/>
    </xf>
    <xf numFmtId="205" fontId="70" fillId="0" borderId="144" xfId="107" applyNumberFormat="1" applyFont="1" applyFill="1" applyBorder="1" applyAlignment="1">
      <alignment vertical="center" wrapText="1"/>
    </xf>
    <xf numFmtId="179" fontId="70" fillId="0" borderId="34" xfId="119" applyNumberFormat="1" applyFont="1" applyFill="1" applyBorder="1" applyAlignment="1">
      <alignment vertical="center" wrapText="1"/>
    </xf>
    <xf numFmtId="205" fontId="70" fillId="0" borderId="144" xfId="126" applyNumberFormat="1" applyFont="1" applyFill="1" applyBorder="1" applyAlignment="1">
      <alignment vertical="center"/>
    </xf>
    <xf numFmtId="179" fontId="70" fillId="0" borderId="34" xfId="196" applyNumberFormat="1" applyFont="1" applyFill="1" applyBorder="1" applyAlignment="1">
      <alignment vertical="center" wrapText="1"/>
    </xf>
    <xf numFmtId="43" fontId="70" fillId="0" borderId="0" xfId="196" applyFont="1" applyFill="1" applyAlignment="1" applyProtection="1">
      <alignment horizontal="left" vertical="center"/>
      <protection locked="0"/>
    </xf>
    <xf numFmtId="43" fontId="70" fillId="0" borderId="0" xfId="196" applyFont="1" applyFill="1" applyAlignment="1">
      <alignment horizontal="center" vertical="center" wrapText="1"/>
    </xf>
    <xf numFmtId="43" fontId="70" fillId="0" borderId="0" xfId="196" applyFont="1" applyFill="1" applyAlignment="1" applyProtection="1">
      <alignment horizontal="left" vertical="center"/>
    </xf>
    <xf numFmtId="43" fontId="70" fillId="0" borderId="0" xfId="196" applyFont="1" applyFill="1" applyAlignment="1" applyProtection="1">
      <alignment horizontal="center" vertical="center" wrapText="1"/>
      <protection locked="0"/>
    </xf>
    <xf numFmtId="43" fontId="70" fillId="0" borderId="0" xfId="196" applyFont="1" applyFill="1" applyBorder="1" applyAlignment="1" applyProtection="1">
      <alignment horizontal="left" vertical="center"/>
    </xf>
    <xf numFmtId="205" fontId="70" fillId="0" borderId="24" xfId="107" applyNumberFormat="1" applyFont="1" applyFill="1" applyBorder="1" applyAlignment="1">
      <alignment horizontal="right" vertical="center" wrapText="1"/>
    </xf>
    <xf numFmtId="205" fontId="70" fillId="0" borderId="24" xfId="119" applyNumberFormat="1" applyFont="1" applyFill="1" applyBorder="1" applyAlignment="1">
      <alignment horizontal="right" vertical="center" wrapText="1"/>
    </xf>
    <xf numFmtId="205" fontId="70" fillId="0" borderId="24" xfId="196" applyNumberFormat="1" applyFont="1" applyFill="1" applyBorder="1" applyAlignment="1">
      <alignment horizontal="right" vertical="center" wrapText="1"/>
    </xf>
    <xf numFmtId="205" fontId="70" fillId="0" borderId="24" xfId="119" applyNumberFormat="1" applyFont="1" applyFill="1" applyBorder="1" applyAlignment="1" applyProtection="1">
      <alignment horizontal="right" vertical="center" wrapText="1"/>
    </xf>
    <xf numFmtId="0" fontId="70" fillId="0" borderId="24" xfId="126" applyFont="1" applyFill="1" applyBorder="1" applyAlignment="1">
      <alignment horizontal="right" vertical="center"/>
    </xf>
    <xf numFmtId="0" fontId="70" fillId="0" borderId="55" xfId="126" applyFont="1" applyFill="1" applyBorder="1" applyAlignment="1">
      <alignment horizontal="right" vertical="center"/>
    </xf>
    <xf numFmtId="205" fontId="70" fillId="0" borderId="18" xfId="126" applyNumberFormat="1" applyFont="1" applyFill="1" applyBorder="1" applyAlignment="1">
      <alignment horizontal="right"/>
    </xf>
    <xf numFmtId="205" fontId="70" fillId="0" borderId="18" xfId="107" applyNumberFormat="1" applyFont="1" applyFill="1" applyBorder="1" applyAlignment="1">
      <alignment horizontal="right" vertical="center" wrapText="1"/>
    </xf>
    <xf numFmtId="205" fontId="70" fillId="0" borderId="18" xfId="119" applyNumberFormat="1" applyFont="1" applyFill="1" applyBorder="1" applyAlignment="1">
      <alignment horizontal="right" vertical="center" wrapText="1"/>
    </xf>
    <xf numFmtId="205" fontId="70" fillId="0" borderId="18" xfId="196" applyNumberFormat="1" applyFont="1" applyFill="1" applyBorder="1" applyAlignment="1">
      <alignment horizontal="right" vertical="center" wrapText="1"/>
    </xf>
    <xf numFmtId="205" fontId="70" fillId="0" borderId="18" xfId="119" applyNumberFormat="1" applyFont="1" applyFill="1" applyBorder="1" applyAlignment="1" applyProtection="1">
      <alignment horizontal="right" vertical="center" wrapText="1"/>
    </xf>
    <xf numFmtId="0" fontId="70" fillId="0" borderId="18" xfId="126" applyFont="1" applyFill="1" applyBorder="1" applyAlignment="1">
      <alignment horizontal="right" vertical="center"/>
    </xf>
    <xf numFmtId="0" fontId="70" fillId="0" borderId="56" xfId="126" applyFont="1" applyFill="1" applyBorder="1" applyAlignment="1">
      <alignment horizontal="right" vertical="center"/>
    </xf>
    <xf numFmtId="205" fontId="70" fillId="0" borderId="129" xfId="126" applyNumberFormat="1" applyFont="1" applyFill="1" applyBorder="1" applyAlignment="1">
      <alignment horizontal="right"/>
    </xf>
    <xf numFmtId="205" fontId="70" fillId="0" borderId="129" xfId="107" applyNumberFormat="1" applyFont="1" applyFill="1" applyBorder="1" applyAlignment="1">
      <alignment horizontal="right" vertical="center" wrapText="1"/>
    </xf>
    <xf numFmtId="205" fontId="70" fillId="0" borderId="129" xfId="119" applyNumberFormat="1" applyFont="1" applyFill="1" applyBorder="1" applyAlignment="1">
      <alignment horizontal="right" vertical="center" wrapText="1"/>
    </xf>
    <xf numFmtId="205" fontId="70" fillId="0" borderId="129" xfId="119" applyNumberFormat="1" applyFont="1" applyFill="1" applyBorder="1" applyAlignment="1" applyProtection="1">
      <alignment horizontal="right" vertical="center" wrapText="1"/>
    </xf>
    <xf numFmtId="205" fontId="70" fillId="0" borderId="143" xfId="119" applyNumberFormat="1" applyFont="1" applyFill="1" applyBorder="1" applyAlignment="1" applyProtection="1">
      <alignment horizontal="right" vertical="center" wrapText="1"/>
    </xf>
    <xf numFmtId="205" fontId="70" fillId="0" borderId="144" xfId="126" applyNumberFormat="1" applyFont="1" applyFill="1" applyBorder="1" applyAlignment="1">
      <alignment horizontal="right"/>
    </xf>
    <xf numFmtId="205" fontId="70" fillId="0" borderId="144" xfId="119" applyNumberFormat="1" applyFont="1" applyFill="1" applyBorder="1" applyAlignment="1">
      <alignment horizontal="right" vertical="center" wrapText="1"/>
    </xf>
    <xf numFmtId="205" fontId="70" fillId="0" borderId="27" xfId="119" applyNumberFormat="1" applyFont="1" applyFill="1" applyBorder="1" applyAlignment="1">
      <alignment horizontal="right" vertical="center" wrapText="1"/>
    </xf>
    <xf numFmtId="205" fontId="70" fillId="0" borderId="143" xfId="119" applyNumberFormat="1" applyFont="1" applyFill="1" applyBorder="1" applyAlignment="1">
      <alignment horizontal="right" vertical="center" wrapText="1"/>
    </xf>
    <xf numFmtId="205" fontId="70" fillId="0" borderId="24" xfId="126" applyNumberFormat="1" applyFont="1" applyFill="1" applyBorder="1" applyAlignment="1">
      <alignment horizontal="right"/>
    </xf>
    <xf numFmtId="0" fontId="70" fillId="0" borderId="74" xfId="126" applyFont="1" applyFill="1" applyBorder="1" applyAlignment="1">
      <alignment horizontal="right" vertical="center"/>
    </xf>
    <xf numFmtId="205" fontId="70" fillId="0" borderId="18" xfId="126" applyNumberFormat="1" applyFont="1" applyFill="1" applyBorder="1" applyAlignment="1">
      <alignment horizontal="right" vertical="center"/>
    </xf>
    <xf numFmtId="205" fontId="70" fillId="0" borderId="24" xfId="126" applyNumberFormat="1" applyFont="1" applyFill="1" applyBorder="1" applyAlignment="1">
      <alignment horizontal="right" vertical="center"/>
    </xf>
    <xf numFmtId="205" fontId="70" fillId="0" borderId="147" xfId="126" applyNumberFormat="1" applyFont="1" applyFill="1" applyBorder="1" applyAlignment="1">
      <alignment horizontal="right"/>
    </xf>
    <xf numFmtId="205" fontId="70" fillId="0" borderId="147" xfId="107" applyNumberFormat="1" applyFont="1" applyFill="1" applyBorder="1" applyAlignment="1">
      <alignment horizontal="right" vertical="center" wrapText="1"/>
    </xf>
    <xf numFmtId="205" fontId="70" fillId="0" borderId="147" xfId="119" applyNumberFormat="1" applyFont="1" applyFill="1" applyBorder="1" applyAlignment="1">
      <alignment horizontal="right" vertical="center" wrapText="1"/>
    </xf>
    <xf numFmtId="205" fontId="70" fillId="0" borderId="16" xfId="119" applyNumberFormat="1" applyFont="1" applyFill="1" applyBorder="1" applyAlignment="1">
      <alignment horizontal="right" vertical="center" wrapText="1"/>
    </xf>
    <xf numFmtId="205" fontId="70" fillId="0" borderId="148" xfId="119" applyNumberFormat="1" applyFont="1" applyFill="1" applyBorder="1" applyAlignment="1">
      <alignment horizontal="right" vertical="center" wrapText="1"/>
    </xf>
    <xf numFmtId="205" fontId="70" fillId="0" borderId="151" xfId="126" applyNumberFormat="1" applyFont="1" applyFill="1" applyBorder="1" applyAlignment="1">
      <alignment horizontal="right"/>
    </xf>
    <xf numFmtId="205" fontId="70" fillId="0" borderId="151" xfId="107" applyNumberFormat="1" applyFont="1" applyFill="1" applyBorder="1" applyAlignment="1">
      <alignment horizontal="right" vertical="center" wrapText="1"/>
    </xf>
    <xf numFmtId="205" fontId="70" fillId="0" borderId="151" xfId="119" applyNumberFormat="1" applyFont="1" applyFill="1" applyBorder="1" applyAlignment="1">
      <alignment horizontal="right" vertical="center" wrapText="1"/>
    </xf>
    <xf numFmtId="0" fontId="70" fillId="0" borderId="150" xfId="126" applyFont="1" applyFill="1" applyBorder="1" applyAlignment="1">
      <alignment horizontal="right" vertical="center"/>
    </xf>
    <xf numFmtId="0" fontId="70" fillId="0" borderId="156" xfId="126" applyFont="1" applyFill="1" applyBorder="1" applyAlignment="1">
      <alignment horizontal="right" vertical="center"/>
    </xf>
    <xf numFmtId="0" fontId="70" fillId="0" borderId="157" xfId="107" applyNumberFormat="1" applyFont="1" applyFill="1" applyBorder="1" applyAlignment="1" applyProtection="1">
      <alignment horizontal="center" vertical="center"/>
    </xf>
    <xf numFmtId="205" fontId="70" fillId="0" borderId="153" xfId="126" applyNumberFormat="1" applyFont="1" applyFill="1" applyBorder="1" applyAlignment="1">
      <alignment horizontal="right" vertical="center"/>
    </xf>
    <xf numFmtId="205" fontId="70" fillId="0" borderId="153" xfId="196" applyNumberFormat="1" applyFont="1" applyFill="1" applyBorder="1" applyAlignment="1">
      <alignment horizontal="right" vertical="center" wrapText="1"/>
    </xf>
    <xf numFmtId="0" fontId="70" fillId="0" borderId="158" xfId="107" applyNumberFormat="1" applyFont="1" applyFill="1" applyBorder="1" applyAlignment="1" applyProtection="1">
      <alignment horizontal="center" vertical="center"/>
    </xf>
    <xf numFmtId="205" fontId="70" fillId="0" borderId="129" xfId="196" applyNumberFormat="1" applyFont="1" applyFill="1" applyBorder="1" applyAlignment="1">
      <alignment horizontal="right" vertical="center" wrapText="1"/>
    </xf>
    <xf numFmtId="205" fontId="70" fillId="0" borderId="143" xfId="196" applyNumberFormat="1" applyFont="1" applyFill="1" applyBorder="1" applyAlignment="1">
      <alignment horizontal="right" vertical="center" wrapText="1"/>
    </xf>
    <xf numFmtId="205" fontId="70" fillId="0" borderId="144" xfId="196" applyNumberFormat="1" applyFont="1" applyFill="1" applyBorder="1" applyAlignment="1">
      <alignment horizontal="right" vertical="center" wrapText="1"/>
    </xf>
    <xf numFmtId="205" fontId="70" fillId="0" borderId="153" xfId="119" applyNumberFormat="1" applyFont="1" applyFill="1" applyBorder="1" applyAlignment="1">
      <alignment horizontal="right" vertical="center" wrapText="1"/>
    </xf>
    <xf numFmtId="205" fontId="70" fillId="0" borderId="129" xfId="126" applyNumberFormat="1" applyFont="1" applyFill="1" applyBorder="1" applyAlignment="1">
      <alignment horizontal="right" vertical="center"/>
    </xf>
    <xf numFmtId="205" fontId="70" fillId="0" borderId="143" xfId="126" applyNumberFormat="1" applyFont="1" applyFill="1" applyBorder="1" applyAlignment="1">
      <alignment horizontal="right" vertical="center"/>
    </xf>
    <xf numFmtId="205" fontId="70" fillId="0" borderId="147" xfId="126" applyNumberFormat="1" applyFont="1" applyFill="1" applyBorder="1" applyAlignment="1">
      <alignment horizontal="right" vertical="center"/>
    </xf>
    <xf numFmtId="205" fontId="70" fillId="0" borderId="147" xfId="196" applyNumberFormat="1" applyFont="1" applyFill="1" applyBorder="1" applyAlignment="1">
      <alignment horizontal="right" vertical="center" wrapText="1"/>
    </xf>
    <xf numFmtId="205" fontId="70" fillId="0" borderId="148" xfId="196" applyNumberFormat="1" applyFont="1" applyFill="1" applyBorder="1" applyAlignment="1">
      <alignment horizontal="right" vertical="center" wrapText="1"/>
    </xf>
    <xf numFmtId="205" fontId="70" fillId="0" borderId="150" xfId="196" applyNumberFormat="1" applyFont="1" applyFill="1" applyBorder="1" applyAlignment="1">
      <alignment horizontal="right" vertical="center" wrapText="1"/>
    </xf>
    <xf numFmtId="205" fontId="70" fillId="0" borderId="151" xfId="126" applyNumberFormat="1" applyFont="1" applyFill="1" applyBorder="1" applyAlignment="1">
      <alignment horizontal="right" vertical="center"/>
    </xf>
    <xf numFmtId="205" fontId="70" fillId="0" borderId="151" xfId="196" applyNumberFormat="1" applyFont="1" applyFill="1" applyBorder="1" applyAlignment="1">
      <alignment horizontal="right" vertical="center" wrapText="1"/>
    </xf>
    <xf numFmtId="205" fontId="70" fillId="0" borderId="152" xfId="196" applyNumberFormat="1" applyFont="1" applyFill="1" applyBorder="1" applyAlignment="1">
      <alignment horizontal="right" vertical="center" wrapText="1"/>
    </xf>
    <xf numFmtId="205" fontId="70" fillId="0" borderId="154" xfId="126" applyNumberFormat="1" applyFont="1" applyFill="1" applyBorder="1" applyAlignment="1">
      <alignment horizontal="right"/>
    </xf>
    <xf numFmtId="205" fontId="70" fillId="0" borderId="154" xfId="107" applyNumberFormat="1" applyFont="1" applyFill="1" applyBorder="1" applyAlignment="1">
      <alignment horizontal="right" vertical="center" wrapText="1"/>
    </xf>
    <xf numFmtId="205" fontId="70" fillId="0" borderId="154" xfId="119" applyNumberFormat="1" applyFont="1" applyFill="1" applyBorder="1" applyAlignment="1">
      <alignment horizontal="right" vertical="center" wrapText="1"/>
    </xf>
    <xf numFmtId="205" fontId="70" fillId="0" borderId="34" xfId="196" applyNumberFormat="1" applyFont="1" applyFill="1" applyBorder="1" applyAlignment="1">
      <alignment horizontal="right" vertical="center" wrapText="1"/>
    </xf>
    <xf numFmtId="205" fontId="70" fillId="0" borderId="159" xfId="119" applyNumberFormat="1" applyFont="1" applyFill="1" applyBorder="1" applyAlignment="1">
      <alignment horizontal="right" vertical="center" wrapText="1"/>
    </xf>
    <xf numFmtId="205" fontId="70" fillId="0" borderId="154" xfId="126" applyNumberFormat="1" applyFont="1" applyFill="1" applyBorder="1" applyAlignment="1">
      <alignment horizontal="right" vertical="center"/>
    </xf>
    <xf numFmtId="205" fontId="70" fillId="0" borderId="154" xfId="196" applyNumberFormat="1" applyFont="1" applyFill="1" applyBorder="1" applyAlignment="1">
      <alignment horizontal="right" vertical="center" wrapText="1"/>
    </xf>
    <xf numFmtId="205" fontId="70" fillId="0" borderId="160" xfId="196" applyNumberFormat="1" applyFont="1" applyFill="1" applyBorder="1" applyAlignment="1">
      <alignment horizontal="right" vertical="center" wrapText="1"/>
    </xf>
    <xf numFmtId="0" fontId="70" fillId="0" borderId="143" xfId="126" applyFont="1" applyFill="1" applyBorder="1" applyAlignment="1">
      <alignment horizontal="right" vertical="center"/>
    </xf>
    <xf numFmtId="205" fontId="70" fillId="0" borderId="144" xfId="107" applyNumberFormat="1" applyFont="1" applyFill="1" applyBorder="1" applyAlignment="1">
      <alignment horizontal="right" vertical="center" wrapText="1"/>
    </xf>
    <xf numFmtId="205" fontId="70" fillId="0" borderId="34" xfId="119" applyNumberFormat="1" applyFont="1" applyFill="1" applyBorder="1" applyAlignment="1">
      <alignment horizontal="right" vertical="center" wrapText="1"/>
    </xf>
    <xf numFmtId="0" fontId="70" fillId="0" borderId="34" xfId="126" applyFont="1" applyFill="1" applyBorder="1" applyAlignment="1">
      <alignment horizontal="right" vertical="center"/>
    </xf>
    <xf numFmtId="0" fontId="70" fillId="0" borderId="161" xfId="126" applyFont="1" applyFill="1" applyBorder="1" applyAlignment="1">
      <alignment horizontal="right" vertical="center"/>
    </xf>
    <xf numFmtId="205" fontId="70" fillId="0" borderId="144" xfId="126" applyNumberFormat="1" applyFont="1" applyFill="1" applyBorder="1" applyAlignment="1">
      <alignment horizontal="right" vertical="center"/>
    </xf>
    <xf numFmtId="0" fontId="70" fillId="0" borderId="162" xfId="107" applyNumberFormat="1" applyFont="1" applyFill="1" applyBorder="1" applyAlignment="1" applyProtection="1">
      <alignment horizontal="center" vertical="center"/>
    </xf>
    <xf numFmtId="205" fontId="70" fillId="0" borderId="163" xfId="119" applyNumberFormat="1" applyFont="1" applyFill="1" applyBorder="1" applyAlignment="1">
      <alignment vertical="center" wrapText="1"/>
    </xf>
    <xf numFmtId="205" fontId="70" fillId="0" borderId="68" xfId="119" applyNumberFormat="1" applyFont="1" applyFill="1" applyBorder="1" applyAlignment="1">
      <alignment vertical="center" wrapText="1"/>
    </xf>
    <xf numFmtId="205" fontId="70" fillId="0" borderId="164" xfId="119" applyNumberFormat="1" applyFont="1" applyFill="1" applyBorder="1" applyAlignment="1">
      <alignment vertical="center" wrapText="1"/>
    </xf>
    <xf numFmtId="205" fontId="70" fillId="0" borderId="28" xfId="119" applyNumberFormat="1" applyFont="1" applyFill="1" applyBorder="1" applyAlignment="1">
      <alignment vertical="center" wrapText="1"/>
    </xf>
    <xf numFmtId="205" fontId="70" fillId="0" borderId="56" xfId="119" applyNumberFormat="1" applyFont="1" applyFill="1" applyBorder="1" applyAlignment="1">
      <alignment vertical="center" wrapText="1"/>
    </xf>
    <xf numFmtId="205" fontId="70" fillId="0" borderId="72" xfId="119" applyNumberFormat="1" applyFont="1" applyFill="1" applyBorder="1" applyAlignment="1">
      <alignment vertical="center" wrapText="1"/>
    </xf>
    <xf numFmtId="205" fontId="70" fillId="0" borderId="156" xfId="119" applyNumberFormat="1" applyFont="1" applyFill="1" applyBorder="1" applyAlignment="1">
      <alignment vertical="center" wrapText="1"/>
    </xf>
    <xf numFmtId="205" fontId="70" fillId="0" borderId="15" xfId="119" applyNumberFormat="1" applyFont="1" applyFill="1" applyBorder="1" applyAlignment="1">
      <alignment vertical="center" wrapText="1"/>
    </xf>
    <xf numFmtId="205" fontId="70" fillId="0" borderId="161" xfId="119" applyNumberFormat="1" applyFont="1" applyFill="1" applyBorder="1" applyAlignment="1">
      <alignment vertical="center" wrapText="1"/>
    </xf>
    <xf numFmtId="0" fontId="71" fillId="0" borderId="0" xfId="126" applyFont="1">
      <alignment vertical="center"/>
    </xf>
    <xf numFmtId="0" fontId="70" fillId="0" borderId="0" xfId="119" applyFont="1" applyAlignment="1">
      <alignment vertical="center"/>
    </xf>
    <xf numFmtId="0" fontId="70" fillId="0" borderId="21" xfId="119" applyFont="1" applyBorder="1" applyAlignment="1">
      <alignment horizontal="center" vertical="center" wrapText="1"/>
    </xf>
    <xf numFmtId="0" fontId="70" fillId="0" borderId="72" xfId="119" applyFont="1" applyBorder="1" applyAlignment="1">
      <alignment horizontal="center" vertical="center" wrapText="1"/>
    </xf>
    <xf numFmtId="49" fontId="70" fillId="0" borderId="165" xfId="119" applyNumberFormat="1" applyFont="1" applyFill="1" applyBorder="1" applyAlignment="1" applyProtection="1">
      <alignment horizontal="center" vertical="center" wrapText="1"/>
    </xf>
    <xf numFmtId="49" fontId="70" fillId="0" borderId="14" xfId="119" applyNumberFormat="1" applyFont="1" applyFill="1" applyBorder="1" applyAlignment="1" applyProtection="1">
      <alignment horizontal="center" vertical="center" wrapText="1"/>
    </xf>
    <xf numFmtId="49" fontId="70" fillId="0" borderId="73" xfId="119" applyNumberFormat="1" applyFont="1" applyFill="1" applyBorder="1" applyAlignment="1" applyProtection="1">
      <alignment horizontal="center" vertical="center" wrapText="1"/>
    </xf>
    <xf numFmtId="0" fontId="70" fillId="0" borderId="65" xfId="148" applyFont="1" applyBorder="1" applyAlignment="1">
      <alignment horizontal="center" vertical="center"/>
    </xf>
    <xf numFmtId="0" fontId="70" fillId="0" borderId="166" xfId="124" applyFont="1" applyBorder="1" applyAlignment="1">
      <alignment vertical="center"/>
    </xf>
    <xf numFmtId="0" fontId="70" fillId="0" borderId="57" xfId="148" applyFont="1" applyBorder="1" applyAlignment="1">
      <alignment horizontal="center" vertical="center"/>
    </xf>
    <xf numFmtId="0" fontId="70" fillId="0" borderId="18" xfId="119" applyFont="1" applyBorder="1" applyAlignment="1">
      <alignment horizontal="left" vertical="center" wrapText="1"/>
    </xf>
    <xf numFmtId="0" fontId="70" fillId="0" borderId="58" xfId="148" applyFont="1" applyBorder="1" applyAlignment="1">
      <alignment horizontal="center" vertical="center"/>
    </xf>
    <xf numFmtId="0" fontId="70" fillId="0" borderId="27" xfId="124" applyFont="1" applyFill="1" applyBorder="1" applyAlignment="1">
      <alignment vertical="center"/>
    </xf>
    <xf numFmtId="0" fontId="70" fillId="0" borderId="66" xfId="148" applyFont="1" applyBorder="1" applyAlignment="1">
      <alignment horizontal="center" vertical="center"/>
    </xf>
    <xf numFmtId="0" fontId="70" fillId="0" borderId="33" xfId="148" applyFont="1" applyBorder="1" applyAlignment="1">
      <alignment horizontal="center" vertical="center"/>
    </xf>
    <xf numFmtId="0" fontId="71" fillId="0" borderId="0" xfId="124" applyFont="1" applyFill="1" applyAlignment="1">
      <alignment horizontal="center" vertical="center"/>
    </xf>
    <xf numFmtId="0" fontId="71" fillId="0" borderId="0" xfId="124" applyFont="1" applyFill="1" applyAlignment="1">
      <alignment vertical="center"/>
    </xf>
    <xf numFmtId="0" fontId="70" fillId="0" borderId="18" xfId="119" applyFont="1" applyBorder="1" applyAlignment="1">
      <alignment horizontal="center" vertical="center" wrapText="1"/>
    </xf>
    <xf numFmtId="0" fontId="70" fillId="0" borderId="68" xfId="119" applyFont="1" applyBorder="1" applyAlignment="1">
      <alignment horizontal="center" vertical="center" wrapText="1"/>
    </xf>
    <xf numFmtId="0" fontId="70" fillId="0" borderId="56" xfId="119" applyFont="1" applyBorder="1" applyAlignment="1">
      <alignment horizontal="center" vertical="center" wrapText="1"/>
    </xf>
    <xf numFmtId="49" fontId="70" fillId="0" borderId="27" xfId="119" applyNumberFormat="1" applyFont="1" applyFill="1" applyBorder="1" applyAlignment="1" applyProtection="1">
      <alignment horizontal="center" vertical="center" wrapText="1"/>
    </xf>
    <xf numFmtId="49" fontId="70" fillId="0" borderId="21" xfId="119" applyNumberFormat="1" applyFont="1" applyFill="1" applyBorder="1" applyAlignment="1" applyProtection="1">
      <alignment horizontal="center" vertical="center" wrapText="1"/>
    </xf>
    <xf numFmtId="0" fontId="70" fillId="0" borderId="24" xfId="124" applyFont="1" applyBorder="1" applyAlignment="1">
      <alignment vertical="center"/>
    </xf>
    <xf numFmtId="0" fontId="71" fillId="0" borderId="153" xfId="126" applyFont="1" applyBorder="1">
      <alignment vertical="center"/>
    </xf>
    <xf numFmtId="0" fontId="70" fillId="0" borderId="24" xfId="124" applyNumberFormat="1" applyFont="1" applyFill="1" applyBorder="1" applyAlignment="1">
      <alignment horizontal="right" vertical="center"/>
    </xf>
    <xf numFmtId="0" fontId="70" fillId="0" borderId="24" xfId="119" applyNumberFormat="1" applyFont="1" applyFill="1" applyBorder="1" applyAlignment="1">
      <alignment horizontal="right" vertical="center" wrapText="1"/>
    </xf>
    <xf numFmtId="0" fontId="70" fillId="0" borderId="55" xfId="119" applyNumberFormat="1" applyFont="1" applyFill="1" applyBorder="1" applyAlignment="1">
      <alignment horizontal="right" vertical="center" wrapText="1"/>
    </xf>
    <xf numFmtId="0" fontId="70" fillId="0" borderId="129" xfId="119" applyNumberFormat="1" applyFont="1" applyFill="1" applyBorder="1" applyAlignment="1">
      <alignment horizontal="right" vertical="center" wrapText="1"/>
    </xf>
    <xf numFmtId="0" fontId="70" fillId="0" borderId="18" xfId="119" applyNumberFormat="1" applyFont="1" applyFill="1" applyBorder="1" applyAlignment="1">
      <alignment horizontal="right" vertical="center" wrapText="1"/>
    </xf>
    <xf numFmtId="0" fontId="71" fillId="0" borderId="159" xfId="126" applyFont="1" applyBorder="1">
      <alignment vertical="center"/>
    </xf>
    <xf numFmtId="0" fontId="70" fillId="0" borderId="15" xfId="119" applyNumberFormat="1" applyFont="1" applyFill="1" applyBorder="1" applyAlignment="1">
      <alignment horizontal="right" vertical="center" wrapText="1"/>
    </xf>
    <xf numFmtId="0" fontId="70" fillId="0" borderId="56" xfId="119" applyNumberFormat="1" applyFont="1" applyFill="1" applyBorder="1" applyAlignment="1">
      <alignment horizontal="right" vertical="center" wrapText="1"/>
    </xf>
    <xf numFmtId="0" fontId="70" fillId="0" borderId="144" xfId="124" applyNumberFormat="1" applyFont="1" applyFill="1" applyBorder="1" applyAlignment="1">
      <alignment horizontal="right" vertical="center"/>
    </xf>
    <xf numFmtId="0" fontId="70" fillId="0" borderId="27" xfId="124" applyNumberFormat="1" applyFont="1" applyFill="1" applyBorder="1" applyAlignment="1">
      <alignment horizontal="right" vertical="center"/>
    </xf>
    <xf numFmtId="0" fontId="70" fillId="0" borderId="28" xfId="124" applyNumberFormat="1" applyFont="1" applyFill="1" applyBorder="1" applyAlignment="1">
      <alignment horizontal="right" vertical="center"/>
    </xf>
    <xf numFmtId="0" fontId="70" fillId="0" borderId="18" xfId="124" applyNumberFormat="1" applyFont="1" applyFill="1" applyBorder="1" applyAlignment="1">
      <alignment horizontal="right" vertical="center"/>
    </xf>
    <xf numFmtId="0" fontId="70" fillId="0" borderId="15" xfId="124" applyNumberFormat="1" applyFont="1" applyFill="1" applyBorder="1" applyAlignment="1">
      <alignment horizontal="right" vertical="center"/>
    </xf>
    <xf numFmtId="0" fontId="70" fillId="26" borderId="150" xfId="107" applyNumberFormat="1" applyFont="1" applyFill="1" applyBorder="1" applyAlignment="1">
      <alignment horizontal="right" vertical="center" wrapText="1"/>
    </xf>
    <xf numFmtId="0" fontId="70" fillId="0" borderId="150" xfId="107" applyNumberFormat="1" applyFont="1" applyFill="1" applyBorder="1" applyAlignment="1">
      <alignment horizontal="right" vertical="center" wrapText="1"/>
    </xf>
    <xf numFmtId="0" fontId="70" fillId="0" borderId="167" xfId="107" applyNumberFormat="1" applyFont="1" applyFill="1" applyBorder="1" applyAlignment="1">
      <alignment horizontal="right" vertical="center" wrapText="1"/>
    </xf>
    <xf numFmtId="0" fontId="70" fillId="0" borderId="34" xfId="107" applyNumberFormat="1" applyFont="1" applyFill="1" applyBorder="1" applyAlignment="1">
      <alignment horizontal="right" vertical="center" wrapText="1"/>
    </xf>
    <xf numFmtId="0" fontId="70" fillId="26" borderId="34" xfId="107" applyNumberFormat="1" applyFont="1" applyFill="1" applyBorder="1" applyAlignment="1">
      <alignment horizontal="right" vertical="center" wrapText="1"/>
    </xf>
    <xf numFmtId="0" fontId="70" fillId="0" borderId="161" xfId="107" applyNumberFormat="1" applyFont="1" applyFill="1" applyBorder="1" applyAlignment="1">
      <alignment horizontal="right" vertical="center" wrapText="1"/>
    </xf>
    <xf numFmtId="0" fontId="70" fillId="0" borderId="26" xfId="124" applyFont="1" applyBorder="1" applyAlignment="1">
      <alignment vertical="center"/>
    </xf>
    <xf numFmtId="0" fontId="70" fillId="0" borderId="163" xfId="119" applyNumberFormat="1" applyFont="1" applyFill="1" applyBorder="1" applyAlignment="1">
      <alignment horizontal="right" vertical="center" wrapText="1"/>
    </xf>
    <xf numFmtId="0" fontId="70" fillId="0" borderId="131" xfId="119" applyFont="1" applyBorder="1" applyAlignment="1">
      <alignment horizontal="left" vertical="center" wrapText="1"/>
    </xf>
    <xf numFmtId="0" fontId="70" fillId="0" borderId="68" xfId="119" applyNumberFormat="1" applyFont="1" applyFill="1" applyBorder="1" applyAlignment="1">
      <alignment horizontal="right" vertical="center" wrapText="1"/>
    </xf>
    <xf numFmtId="0" fontId="70" fillId="0" borderId="164" xfId="124" applyNumberFormat="1" applyFont="1" applyFill="1" applyBorder="1" applyAlignment="1">
      <alignment horizontal="right" vertical="center"/>
    </xf>
    <xf numFmtId="0" fontId="70" fillId="0" borderId="149" xfId="148" applyFont="1" applyBorder="1" applyAlignment="1">
      <alignment horizontal="center" vertical="center"/>
    </xf>
    <xf numFmtId="0" fontId="70" fillId="26" borderId="165" xfId="107" applyNumberFormat="1" applyFont="1" applyFill="1" applyBorder="1" applyAlignment="1">
      <alignment horizontal="right" vertical="center" wrapText="1"/>
    </xf>
    <xf numFmtId="0" fontId="75" fillId="0" borderId="24" xfId="96" applyNumberFormat="1" applyFont="1" applyFill="1" applyBorder="1" applyAlignment="1" applyProtection="1">
      <alignment horizontal="center" vertical="center"/>
    </xf>
    <xf numFmtId="191" fontId="70" fillId="0" borderId="32" xfId="96" applyNumberFormat="1" applyFont="1" applyFill="1" applyBorder="1" applyAlignment="1" applyProtection="1">
      <alignment horizontal="center" vertical="center"/>
    </xf>
    <xf numFmtId="0" fontId="70" fillId="0" borderId="168" xfId="96" applyFont="1" applyFill="1" applyBorder="1" applyAlignment="1" applyProtection="1">
      <alignment vertical="center"/>
    </xf>
    <xf numFmtId="191" fontId="70" fillId="0" borderId="0" xfId="96" applyNumberFormat="1" applyFont="1" applyFill="1" applyBorder="1" applyAlignment="1" applyProtection="1">
      <alignment horizontal="center" vertical="center"/>
    </xf>
    <xf numFmtId="0" fontId="70" fillId="0" borderId="16" xfId="107" applyFont="1" applyFill="1" applyBorder="1" applyAlignment="1">
      <alignment horizontal="center" vertical="center"/>
    </xf>
    <xf numFmtId="0" fontId="70" fillId="0" borderId="131" xfId="107" applyFont="1" applyBorder="1" applyAlignment="1">
      <alignment vertical="center" wrapText="1"/>
    </xf>
    <xf numFmtId="0" fontId="70" fillId="0" borderId="16" xfId="107" applyFont="1" applyBorder="1" applyAlignment="1">
      <alignment vertical="center" wrapText="1"/>
    </xf>
    <xf numFmtId="0" fontId="27" fillId="0" borderId="18" xfId="158" applyFont="1" applyFill="1" applyBorder="1" applyAlignment="1">
      <alignment horizontal="left" vertical="center"/>
    </xf>
    <xf numFmtId="10" fontId="1" fillId="0" borderId="129" xfId="138" applyNumberFormat="1" applyFont="1" applyFill="1" applyBorder="1" applyAlignment="1">
      <alignment horizontal="right" vertical="center"/>
    </xf>
    <xf numFmtId="185" fontId="30" fillId="0" borderId="23" xfId="193" applyNumberFormat="1" applyFont="1" applyFill="1" applyBorder="1" applyAlignment="1">
      <alignment horizontal="right" vertical="center"/>
    </xf>
    <xf numFmtId="0" fontId="27" fillId="0" borderId="0" xfId="122" applyFont="1" applyFill="1" applyAlignment="1">
      <alignment horizontal="right"/>
    </xf>
    <xf numFmtId="0" fontId="27" fillId="0" borderId="0" xfId="155" applyFont="1" applyFill="1" applyAlignment="1">
      <alignment vertical="center"/>
    </xf>
    <xf numFmtId="0" fontId="30" fillId="0" borderId="0" xfId="0" applyFont="1"/>
    <xf numFmtId="0" fontId="30" fillId="0" borderId="18" xfId="0" applyFont="1" applyBorder="1" applyAlignment="1">
      <alignment vertical="center"/>
    </xf>
    <xf numFmtId="0" fontId="70" fillId="0" borderId="0" xfId="105" applyNumberFormat="1" applyFont="1" applyFill="1" applyBorder="1" applyAlignment="1">
      <alignment vertical="center"/>
    </xf>
    <xf numFmtId="0" fontId="70" fillId="0" borderId="0" xfId="105" applyFont="1" applyFill="1" applyAlignment="1">
      <alignment vertical="center"/>
    </xf>
    <xf numFmtId="0" fontId="70" fillId="0" borderId="0" xfId="105" applyFont="1" applyFill="1" applyBorder="1" applyAlignment="1">
      <alignment vertical="center"/>
    </xf>
    <xf numFmtId="0" fontId="70" fillId="0" borderId="0" xfId="93" applyFont="1" applyFill="1" applyBorder="1" applyAlignment="1">
      <alignment horizontal="left" vertical="center"/>
    </xf>
    <xf numFmtId="0" fontId="70" fillId="0" borderId="0" xfId="93" applyNumberFormat="1" applyFont="1" applyFill="1" applyBorder="1" applyAlignment="1">
      <alignment horizontal="left" vertical="center"/>
    </xf>
    <xf numFmtId="0" fontId="70" fillId="0" borderId="0" xfId="93" applyNumberFormat="1" applyFont="1" applyFill="1" applyBorder="1" applyAlignment="1">
      <alignment horizontal="center" vertical="center"/>
    </xf>
    <xf numFmtId="0" fontId="70" fillId="0" borderId="0" xfId="121" applyFont="1" applyFill="1" applyAlignment="1">
      <alignment horizontal="right"/>
    </xf>
    <xf numFmtId="0" fontId="70" fillId="0" borderId="0" xfId="93" applyFont="1" applyFill="1" applyBorder="1" applyAlignment="1">
      <alignment vertical="center"/>
    </xf>
    <xf numFmtId="0" fontId="75" fillId="0" borderId="65" xfId="96" applyFont="1" applyFill="1" applyBorder="1" applyAlignment="1">
      <alignment horizontal="center" vertical="center"/>
    </xf>
    <xf numFmtId="0" fontId="75" fillId="0" borderId="24" xfId="96" applyNumberFormat="1" applyFont="1" applyFill="1" applyBorder="1" applyAlignment="1">
      <alignment horizontal="center" vertical="center"/>
    </xf>
    <xf numFmtId="0" fontId="75" fillId="0" borderId="169" xfId="96" applyNumberFormat="1" applyFont="1" applyFill="1" applyBorder="1" applyAlignment="1">
      <alignment horizontal="center" vertical="center"/>
    </xf>
    <xf numFmtId="0" fontId="75" fillId="0" borderId="25" xfId="96" applyNumberFormat="1" applyFont="1" applyFill="1" applyBorder="1" applyAlignment="1">
      <alignment horizontal="center" vertical="center"/>
    </xf>
    <xf numFmtId="0" fontId="70" fillId="0" borderId="0" xfId="96" applyFont="1" applyFill="1" applyBorder="1" applyAlignment="1">
      <alignment vertical="center"/>
    </xf>
    <xf numFmtId="0" fontId="70" fillId="0" borderId="35" xfId="105" applyFont="1" applyFill="1" applyBorder="1" applyAlignment="1">
      <alignment vertical="center"/>
    </xf>
    <xf numFmtId="0" fontId="70" fillId="0" borderId="86" xfId="105" applyFont="1" applyFill="1" applyBorder="1" applyAlignment="1" applyProtection="1">
      <alignment horizontal="left" vertical="center"/>
      <protection locked="0"/>
    </xf>
    <xf numFmtId="207" fontId="70" fillId="0" borderId="85" xfId="197" applyNumberFormat="1" applyFont="1" applyFill="1" applyBorder="1" applyAlignment="1" applyProtection="1">
      <alignment horizontal="right" vertical="center"/>
    </xf>
    <xf numFmtId="180" fontId="70" fillId="0" borderId="86" xfId="96" applyNumberFormat="1" applyFont="1" applyFill="1" applyBorder="1" applyAlignment="1" applyProtection="1">
      <alignment vertical="center"/>
    </xf>
    <xf numFmtId="194" fontId="70" fillId="0" borderId="86" xfId="105" applyNumberFormat="1" applyFont="1" applyFill="1" applyBorder="1" applyAlignment="1">
      <alignment horizontal="center" vertical="center"/>
    </xf>
    <xf numFmtId="207" fontId="70" fillId="0" borderId="138" xfId="197" applyNumberFormat="1" applyFont="1" applyFill="1" applyBorder="1" applyAlignment="1" applyProtection="1">
      <alignment horizontal="right" vertical="center"/>
    </xf>
    <xf numFmtId="0" fontId="70" fillId="0" borderId="31" xfId="105" applyFont="1" applyFill="1" applyBorder="1" applyAlignment="1">
      <alignment vertical="center"/>
    </xf>
    <xf numFmtId="0" fontId="70" fillId="0" borderId="32" xfId="105" applyFont="1" applyFill="1" applyBorder="1" applyAlignment="1" applyProtection="1">
      <alignment horizontal="left" vertical="center"/>
      <protection locked="0"/>
    </xf>
    <xf numFmtId="207" fontId="70" fillId="0" borderId="75" xfId="197" applyNumberFormat="1" applyFont="1" applyFill="1" applyBorder="1" applyAlignment="1" applyProtection="1">
      <alignment horizontal="right" vertical="center"/>
    </xf>
    <xf numFmtId="180" fontId="70" fillId="0" borderId="32" xfId="96" applyNumberFormat="1" applyFont="1" applyFill="1" applyBorder="1" applyAlignment="1" applyProtection="1">
      <alignment vertical="center"/>
    </xf>
    <xf numFmtId="194" fontId="70" fillId="0" borderId="32" xfId="105" applyNumberFormat="1" applyFont="1" applyFill="1" applyBorder="1" applyAlignment="1">
      <alignment horizontal="center" vertical="center"/>
    </xf>
    <xf numFmtId="207" fontId="70" fillId="0" borderId="70" xfId="197" applyNumberFormat="1" applyFont="1" applyFill="1" applyBorder="1" applyAlignment="1" applyProtection="1">
      <alignment horizontal="right" vertical="center"/>
    </xf>
    <xf numFmtId="0" fontId="70" fillId="0" borderId="31" xfId="105" applyFont="1" applyFill="1" applyBorder="1" applyAlignment="1">
      <alignment horizontal="left" vertical="center" indent="1"/>
    </xf>
    <xf numFmtId="180" fontId="70" fillId="0" borderId="170" xfId="96" applyNumberFormat="1" applyFont="1" applyFill="1" applyBorder="1" applyAlignment="1" applyProtection="1">
      <alignment vertical="center"/>
    </xf>
    <xf numFmtId="189" fontId="70" fillId="0" borderId="32" xfId="105" applyNumberFormat="1" applyFont="1" applyFill="1" applyBorder="1" applyAlignment="1" applyProtection="1">
      <alignment horizontal="center" vertical="center"/>
      <protection locked="0"/>
    </xf>
    <xf numFmtId="0" fontId="70" fillId="0" borderId="31" xfId="105" applyFont="1" applyFill="1" applyBorder="1" applyAlignment="1">
      <alignment horizontal="left" vertical="center" indent="2"/>
    </xf>
    <xf numFmtId="0" fontId="70" fillId="0" borderId="31" xfId="105" applyFont="1" applyFill="1" applyBorder="1" applyAlignment="1">
      <alignment horizontal="left" vertical="center" indent="3"/>
    </xf>
    <xf numFmtId="206" fontId="70" fillId="0" borderId="32" xfId="105" applyNumberFormat="1" applyFont="1" applyFill="1" applyBorder="1" applyAlignment="1">
      <alignment horizontal="center" vertical="center"/>
    </xf>
    <xf numFmtId="0" fontId="70" fillId="0" borderId="31" xfId="105" applyFont="1" applyFill="1" applyBorder="1" applyAlignment="1">
      <alignment horizontal="left" vertical="center"/>
    </xf>
    <xf numFmtId="0" fontId="70" fillId="0" borderId="171" xfId="105" applyFont="1" applyFill="1" applyBorder="1" applyAlignment="1">
      <alignment horizontal="left" vertical="center"/>
    </xf>
    <xf numFmtId="0" fontId="70" fillId="0" borderId="132" xfId="105" applyFont="1" applyFill="1" applyBorder="1" applyAlignment="1" applyProtection="1">
      <alignment horizontal="left" vertical="center"/>
      <protection locked="0"/>
    </xf>
    <xf numFmtId="207" fontId="70" fillId="0" borderId="172" xfId="197" applyNumberFormat="1" applyFont="1" applyFill="1" applyBorder="1" applyAlignment="1" applyProtection="1">
      <alignment horizontal="right" vertical="center"/>
    </xf>
    <xf numFmtId="194" fontId="70" fillId="0" borderId="132" xfId="105" applyNumberFormat="1" applyFont="1" applyFill="1" applyBorder="1" applyAlignment="1">
      <alignment horizontal="center" vertical="center"/>
    </xf>
    <xf numFmtId="207" fontId="70" fillId="0" borderId="142" xfId="197" applyNumberFormat="1" applyFont="1" applyFill="1" applyBorder="1" applyAlignment="1" applyProtection="1">
      <alignment horizontal="right" vertical="center"/>
    </xf>
    <xf numFmtId="0" fontId="70" fillId="0" borderId="173" xfId="105" applyFont="1" applyFill="1" applyBorder="1" applyAlignment="1">
      <alignment horizontal="left" vertical="center"/>
    </xf>
    <xf numFmtId="0" fontId="70" fillId="0" borderId="14" xfId="105" applyFont="1" applyFill="1" applyBorder="1" applyAlignment="1" applyProtection="1">
      <alignment horizontal="left" vertical="center"/>
      <protection locked="0"/>
    </xf>
    <xf numFmtId="207" fontId="70" fillId="0" borderId="174" xfId="197" applyNumberFormat="1" applyFont="1" applyFill="1" applyBorder="1" applyAlignment="1" applyProtection="1">
      <alignment horizontal="right" vertical="center"/>
    </xf>
    <xf numFmtId="194" fontId="70" fillId="0" borderId="14" xfId="105" applyNumberFormat="1" applyFont="1" applyFill="1" applyBorder="1" applyAlignment="1">
      <alignment horizontal="center" vertical="center"/>
    </xf>
    <xf numFmtId="207" fontId="70" fillId="0" borderId="175" xfId="197" applyNumberFormat="1" applyFont="1" applyFill="1" applyBorder="1" applyAlignment="1" applyProtection="1">
      <alignment horizontal="right" vertical="center"/>
    </xf>
    <xf numFmtId="0" fontId="70" fillId="0" borderId="157" xfId="105" applyFont="1" applyFill="1" applyBorder="1" applyAlignment="1">
      <alignment horizontal="justify" vertical="center"/>
    </xf>
    <xf numFmtId="0" fontId="70" fillId="0" borderId="24" xfId="105" applyFont="1" applyFill="1" applyBorder="1" applyAlignment="1" applyProtection="1">
      <alignment horizontal="left" vertical="center"/>
      <protection locked="0"/>
    </xf>
    <xf numFmtId="207" fontId="70" fillId="0" borderId="26" xfId="197" applyNumberFormat="1" applyFont="1" applyFill="1" applyBorder="1" applyAlignment="1" applyProtection="1">
      <alignment horizontal="right" vertical="center"/>
    </xf>
    <xf numFmtId="207" fontId="70" fillId="0" borderId="24" xfId="197" applyNumberFormat="1" applyFont="1" applyFill="1" applyBorder="1" applyAlignment="1" applyProtection="1">
      <alignment horizontal="right" vertical="center"/>
    </xf>
    <xf numFmtId="194" fontId="70" fillId="0" borderId="24" xfId="105" applyNumberFormat="1" applyFont="1" applyFill="1" applyBorder="1" applyAlignment="1">
      <alignment horizontal="center" vertical="center"/>
    </xf>
    <xf numFmtId="207" fontId="70" fillId="0" borderId="25" xfId="197" applyNumberFormat="1" applyFont="1" applyFill="1" applyBorder="1" applyAlignment="1" applyProtection="1">
      <alignment horizontal="right" vertical="center"/>
    </xf>
    <xf numFmtId="0" fontId="70" fillId="0" borderId="0" xfId="105" applyFont="1" applyFill="1" applyBorder="1"/>
    <xf numFmtId="0" fontId="70" fillId="0" borderId="35" xfId="105" applyFont="1" applyFill="1" applyBorder="1" applyAlignment="1">
      <alignment horizontal="left" vertical="center"/>
    </xf>
    <xf numFmtId="0" fontId="71" fillId="0" borderId="65" xfId="0" applyFont="1" applyBorder="1"/>
    <xf numFmtId="0" fontId="71" fillId="0" borderId="24" xfId="0" applyFont="1" applyBorder="1"/>
    <xf numFmtId="0" fontId="71" fillId="0" borderId="55" xfId="0" applyFont="1" applyBorder="1"/>
    <xf numFmtId="0" fontId="71" fillId="0" borderId="86" xfId="0" applyFont="1" applyBorder="1"/>
    <xf numFmtId="0" fontId="71" fillId="0" borderId="112" xfId="0" applyFont="1" applyBorder="1"/>
    <xf numFmtId="0" fontId="71" fillId="0" borderId="111" xfId="0" applyFont="1" applyBorder="1"/>
    <xf numFmtId="0" fontId="71" fillId="0" borderId="176" xfId="0" applyFont="1" applyBorder="1"/>
    <xf numFmtId="0" fontId="71" fillId="0" borderId="177" xfId="0" applyFont="1" applyBorder="1"/>
    <xf numFmtId="0" fontId="71" fillId="0" borderId="168" xfId="0" applyFont="1" applyBorder="1"/>
    <xf numFmtId="0" fontId="30" fillId="0" borderId="0" xfId="0" applyFont="1" applyAlignment="1">
      <alignment horizontal="center" vertical="center"/>
    </xf>
    <xf numFmtId="0" fontId="70" fillId="0" borderId="0" xfId="51" applyFont="1">
      <alignment vertical="center"/>
    </xf>
    <xf numFmtId="0" fontId="70" fillId="27" borderId="0" xfId="51" applyFont="1" applyFill="1" applyBorder="1" applyAlignment="1" applyProtection="1">
      <alignment horizontal="left" vertical="center"/>
      <protection locked="0"/>
    </xf>
    <xf numFmtId="0" fontId="27" fillId="0" borderId="18" xfId="107" applyFont="1" applyFill="1" applyBorder="1" applyAlignment="1" applyProtection="1">
      <alignment horizontal="center" vertical="center"/>
    </xf>
    <xf numFmtId="197" fontId="27" fillId="0" borderId="131" xfId="107" applyNumberFormat="1" applyFont="1" applyFill="1" applyBorder="1" applyAlignment="1" applyProtection="1">
      <alignment horizontal="left" vertical="center" wrapText="1"/>
      <protection locked="0"/>
    </xf>
    <xf numFmtId="182" fontId="31" fillId="0" borderId="18" xfId="107" applyNumberFormat="1" applyFont="1" applyFill="1" applyBorder="1" applyAlignment="1" applyProtection="1">
      <alignment horizontal="right" vertical="center" wrapText="1"/>
      <protection locked="0"/>
    </xf>
    <xf numFmtId="197" fontId="27" fillId="0" borderId="0" xfId="107" applyNumberFormat="1" applyFont="1" applyFill="1" applyBorder="1" applyAlignment="1" applyProtection="1">
      <alignment horizontal="left" vertical="center" wrapText="1"/>
      <protection locked="0"/>
    </xf>
    <xf numFmtId="218" fontId="31" fillId="0" borderId="18" xfId="107" applyNumberFormat="1" applyFont="1" applyFill="1" applyBorder="1" applyAlignment="1" applyProtection="1">
      <alignment horizontal="left" vertical="center" wrapText="1"/>
      <protection locked="0"/>
    </xf>
    <xf numFmtId="198" fontId="31" fillId="0" borderId="18" xfId="107" applyNumberFormat="1" applyFont="1" applyFill="1" applyBorder="1" applyAlignment="1" applyProtection="1">
      <alignment horizontal="right" vertical="center" wrapText="1"/>
      <protection locked="0"/>
    </xf>
    <xf numFmtId="201" fontId="31" fillId="0" borderId="18" xfId="107" applyNumberFormat="1" applyFont="1" applyFill="1" applyBorder="1" applyAlignment="1" applyProtection="1">
      <alignment horizontal="right" vertical="center"/>
      <protection locked="0"/>
    </xf>
    <xf numFmtId="197" fontId="27" fillId="0" borderId="16" xfId="107" applyNumberFormat="1" applyFont="1" applyFill="1" applyBorder="1" applyAlignment="1" applyProtection="1">
      <alignment horizontal="left" vertical="center" wrapText="1"/>
      <protection locked="0"/>
    </xf>
    <xf numFmtId="197" fontId="27" fillId="0" borderId="17" xfId="107" applyNumberFormat="1" applyFont="1" applyFill="1" applyBorder="1" applyAlignment="1" applyProtection="1">
      <alignment horizontal="left" vertical="center" wrapText="1"/>
      <protection locked="0"/>
    </xf>
    <xf numFmtId="197" fontId="27" fillId="0" borderId="18" xfId="51" quotePrefix="1" applyNumberFormat="1" applyFont="1" applyFill="1" applyBorder="1" applyAlignment="1" applyProtection="1">
      <alignment horizontal="left" vertical="center" wrapText="1"/>
      <protection locked="0"/>
    </xf>
    <xf numFmtId="182" fontId="31" fillId="0" borderId="18" xfId="51" quotePrefix="1" applyNumberFormat="1" applyFont="1" applyFill="1" applyBorder="1" applyAlignment="1" applyProtection="1">
      <alignment horizontal="right" vertical="center" wrapText="1"/>
      <protection locked="0"/>
    </xf>
    <xf numFmtId="218" fontId="31" fillId="0" borderId="18" xfId="51" quotePrefix="1" applyNumberFormat="1" applyFont="1" applyFill="1" applyBorder="1" applyAlignment="1" applyProtection="1">
      <alignment horizontal="left" vertical="center" wrapText="1"/>
      <protection locked="0"/>
    </xf>
    <xf numFmtId="197" fontId="27" fillId="0" borderId="18" xfId="51" applyNumberFormat="1" applyFont="1" applyFill="1" applyBorder="1" applyAlignment="1" applyProtection="1">
      <alignment horizontal="left" vertical="center" wrapText="1"/>
      <protection locked="0"/>
    </xf>
    <xf numFmtId="198" fontId="31" fillId="0" borderId="18" xfId="51" applyNumberFormat="1" applyFont="1" applyFill="1" applyBorder="1" applyAlignment="1" applyProtection="1">
      <alignment horizontal="right" vertical="center" wrapText="1"/>
      <protection locked="0"/>
    </xf>
    <xf numFmtId="0" fontId="27" fillId="0" borderId="0" xfId="107" applyFont="1" applyFill="1" applyBorder="1" applyAlignment="1" applyProtection="1">
      <alignment vertical="center"/>
      <protection locked="0"/>
    </xf>
    <xf numFmtId="49" fontId="27" fillId="0" borderId="0" xfId="107" applyNumberFormat="1" applyFont="1" applyFill="1" applyBorder="1" applyAlignment="1" applyProtection="1">
      <alignment horizontal="center" vertical="top"/>
    </xf>
    <xf numFmtId="0" fontId="70" fillId="0" borderId="0" xfId="107" applyFont="1" applyFill="1" applyBorder="1" applyAlignment="1" applyProtection="1">
      <alignment vertical="center"/>
    </xf>
    <xf numFmtId="0" fontId="70" fillId="0" borderId="0" xfId="51" applyFont="1" applyFill="1" applyAlignment="1" applyProtection="1">
      <alignment vertical="center"/>
      <protection locked="0"/>
    </xf>
    <xf numFmtId="0" fontId="70" fillId="0" borderId="0" xfId="51" applyFont="1" applyFill="1" applyAlignment="1">
      <alignment vertical="center"/>
    </xf>
    <xf numFmtId="0" fontId="5" fillId="0" borderId="0" xfId="0" applyFont="1"/>
    <xf numFmtId="0" fontId="5" fillId="0" borderId="18" xfId="0" applyFont="1" applyBorder="1"/>
    <xf numFmtId="10" fontId="1" fillId="0" borderId="129" xfId="138" quotePrefix="1" applyNumberFormat="1" applyFont="1" applyFill="1" applyBorder="1" applyAlignment="1">
      <alignment horizontal="right" vertical="center"/>
    </xf>
    <xf numFmtId="179" fontId="30" fillId="0" borderId="18" xfId="0" applyNumberFormat="1" applyFont="1" applyFill="1" applyBorder="1" applyAlignment="1">
      <alignment vertical="center"/>
    </xf>
    <xf numFmtId="0" fontId="1" fillId="0" borderId="0" xfId="155" applyFont="1" applyFill="1" applyAlignment="1">
      <alignment horizontal="center" vertical="center"/>
    </xf>
    <xf numFmtId="183" fontId="27" fillId="0" borderId="70" xfId="195" applyNumberFormat="1" applyFont="1" applyFill="1" applyBorder="1" applyAlignment="1" applyProtection="1">
      <alignment horizontal="center" vertical="center"/>
    </xf>
    <xf numFmtId="0" fontId="28" fillId="0" borderId="0" xfId="0" applyFont="1"/>
    <xf numFmtId="183" fontId="27" fillId="25" borderId="70" xfId="195" applyNumberFormat="1" applyFont="1" applyFill="1" applyBorder="1" applyAlignment="1" applyProtection="1">
      <alignment horizontal="center" vertical="center"/>
    </xf>
    <xf numFmtId="183" fontId="27" fillId="0" borderId="69" xfId="195" applyNumberFormat="1" applyFont="1" applyFill="1" applyBorder="1" applyAlignment="1" applyProtection="1">
      <alignment horizontal="center" vertical="center"/>
    </xf>
    <xf numFmtId="0" fontId="27" fillId="0" borderId="0" xfId="0" applyFont="1" applyAlignment="1">
      <alignment horizontal="right"/>
    </xf>
    <xf numFmtId="0" fontId="39" fillId="0" borderId="65" xfId="93" applyFont="1" applyFill="1" applyBorder="1" applyAlignment="1" applyProtection="1">
      <alignment horizontal="center" vertical="center"/>
    </xf>
    <xf numFmtId="0" fontId="39" fillId="0" borderId="24" xfId="93" applyNumberFormat="1" applyFont="1" applyFill="1" applyBorder="1" applyAlignment="1" applyProtection="1">
      <alignment horizontal="center" vertical="center"/>
    </xf>
    <xf numFmtId="191" fontId="39" fillId="0" borderId="178" xfId="93" applyNumberFormat="1" applyFont="1" applyFill="1" applyBorder="1" applyAlignment="1" applyProtection="1">
      <alignment horizontal="center" vertical="center"/>
    </xf>
    <xf numFmtId="183" fontId="39" fillId="0" borderId="179" xfId="195" applyNumberFormat="1" applyFont="1" applyFill="1" applyBorder="1" applyAlignment="1" applyProtection="1">
      <alignment horizontal="center" vertical="center"/>
    </xf>
    <xf numFmtId="0" fontId="27" fillId="0" borderId="180" xfId="93" applyFont="1" applyFill="1" applyBorder="1" applyAlignment="1" applyProtection="1">
      <alignment vertical="center" wrapText="1"/>
    </xf>
    <xf numFmtId="0" fontId="1" fillId="0" borderId="14" xfId="93" applyFont="1" applyFill="1" applyBorder="1" applyAlignment="1" applyProtection="1">
      <alignment horizontal="left" vertical="center" wrapText="1"/>
      <protection locked="0"/>
    </xf>
    <xf numFmtId="183" fontId="27" fillId="25" borderId="181" xfId="195" applyNumberFormat="1" applyFont="1" applyFill="1" applyBorder="1" applyAlignment="1" applyProtection="1">
      <alignment horizontal="center" vertical="center"/>
    </xf>
    <xf numFmtId="217" fontId="27" fillId="25" borderId="182" xfId="93" applyNumberFormat="1" applyFont="1" applyFill="1" applyBorder="1" applyAlignment="1" applyProtection="1">
      <alignment horizontal="center" vertical="center" wrapText="1"/>
    </xf>
    <xf numFmtId="183" fontId="27" fillId="25" borderId="138" xfId="195" applyNumberFormat="1" applyFont="1" applyFill="1" applyBorder="1" applyAlignment="1" applyProtection="1">
      <alignment horizontal="center" vertical="center"/>
    </xf>
    <xf numFmtId="0" fontId="27" fillId="0" borderId="31" xfId="93" applyFont="1" applyFill="1" applyBorder="1" applyAlignment="1" applyProtection="1">
      <alignment horizontal="left" vertical="center" wrapText="1" indent="2"/>
    </xf>
    <xf numFmtId="0" fontId="27" fillId="0" borderId="32" xfId="93" applyFont="1" applyFill="1" applyBorder="1" applyAlignment="1" applyProtection="1">
      <alignment horizontal="left" vertical="center" wrapText="1"/>
      <protection locked="0"/>
    </xf>
    <xf numFmtId="183" fontId="27" fillId="25" borderId="69" xfId="195" applyNumberFormat="1" applyFont="1" applyFill="1" applyBorder="1" applyAlignment="1" applyProtection="1">
      <alignment horizontal="center" vertical="center"/>
    </xf>
    <xf numFmtId="217" fontId="27" fillId="25" borderId="96" xfId="93" applyNumberFormat="1" applyFont="1" applyFill="1" applyBorder="1" applyAlignment="1" applyProtection="1">
      <alignment horizontal="center" vertical="center" wrapText="1"/>
    </xf>
    <xf numFmtId="0" fontId="27" fillId="0" borderId="31" xfId="93" applyFont="1" applyFill="1" applyBorder="1" applyAlignment="1" applyProtection="1">
      <alignment horizontal="left" vertical="center" wrapText="1" indent="4"/>
    </xf>
    <xf numFmtId="217" fontId="27" fillId="25" borderId="96" xfId="93" applyNumberFormat="1" applyFont="1" applyFill="1" applyBorder="1" applyAlignment="1" applyProtection="1">
      <alignment horizontal="center" vertical="center"/>
    </xf>
    <xf numFmtId="0" fontId="27" fillId="0" borderId="31" xfId="93" applyFont="1" applyFill="1" applyBorder="1" applyAlignment="1" applyProtection="1">
      <alignment horizontal="left" vertical="center" wrapText="1" indent="6"/>
    </xf>
    <xf numFmtId="217" fontId="27" fillId="0" borderId="96" xfId="93" applyNumberFormat="1" applyFont="1" applyFill="1" applyBorder="1" applyAlignment="1" applyProtection="1">
      <alignment horizontal="center" vertical="center"/>
    </xf>
    <xf numFmtId="0" fontId="27" fillId="0" borderId="31" xfId="93" applyFont="1" applyFill="1" applyBorder="1" applyAlignment="1" applyProtection="1">
      <alignment horizontal="left" vertical="center" wrapText="1" indent="8"/>
    </xf>
    <xf numFmtId="179" fontId="27" fillId="0" borderId="96" xfId="93" applyNumberFormat="1" applyFont="1" applyFill="1" applyBorder="1" applyAlignment="1" applyProtection="1">
      <alignment horizontal="center" vertical="center"/>
    </xf>
    <xf numFmtId="0" fontId="27" fillId="0" borderId="31" xfId="93" applyFont="1" applyFill="1" applyBorder="1" applyAlignment="1" applyProtection="1">
      <alignment vertical="center" wrapText="1"/>
    </xf>
    <xf numFmtId="0" fontId="27" fillId="0" borderId="183" xfId="93" applyFont="1" applyFill="1" applyBorder="1" applyAlignment="1" applyProtection="1">
      <alignment horizontal="left" vertical="center" wrapText="1"/>
      <protection locked="0"/>
    </xf>
    <xf numFmtId="217" fontId="27" fillId="0" borderId="184" xfId="93" applyNumberFormat="1" applyFont="1" applyFill="1" applyBorder="1" applyAlignment="1" applyProtection="1">
      <alignment horizontal="center" vertical="center"/>
    </xf>
    <xf numFmtId="0" fontId="39" fillId="0" borderId="177" xfId="93" applyFont="1" applyFill="1" applyBorder="1" applyAlignment="1" applyProtection="1">
      <alignment vertical="center"/>
    </xf>
    <xf numFmtId="0" fontId="1" fillId="0" borderId="168" xfId="93" applyFont="1" applyFill="1" applyBorder="1" applyAlignment="1" applyProtection="1">
      <alignment horizontal="left" vertical="center" wrapText="1"/>
    </xf>
    <xf numFmtId="180" fontId="1" fillId="0" borderId="174" xfId="195" applyNumberFormat="1" applyFont="1" applyFill="1" applyBorder="1" applyAlignment="1" applyProtection="1">
      <alignment horizontal="right" vertical="center"/>
    </xf>
    <xf numFmtId="191" fontId="1" fillId="0" borderId="185" xfId="93" applyNumberFormat="1" applyFont="1" applyFill="1" applyBorder="1" applyAlignment="1" applyProtection="1">
      <alignment horizontal="center" vertical="center"/>
    </xf>
    <xf numFmtId="180" fontId="1" fillId="0" borderId="186" xfId="195" applyNumberFormat="1" applyFont="1" applyFill="1" applyBorder="1" applyAlignment="1" applyProtection="1">
      <alignment horizontal="right" vertical="center"/>
    </xf>
    <xf numFmtId="0" fontId="27" fillId="0" borderId="0" xfId="98" applyFont="1" applyFill="1" applyAlignment="1">
      <alignment vertical="center"/>
    </xf>
    <xf numFmtId="0" fontId="27" fillId="0" borderId="16" xfId="98" applyFont="1" applyFill="1" applyBorder="1" applyAlignment="1">
      <alignment horizontal="center" vertical="center"/>
    </xf>
    <xf numFmtId="183" fontId="27" fillId="0" borderId="16" xfId="181" applyNumberFormat="1" applyFont="1" applyFill="1" applyBorder="1" applyAlignment="1">
      <alignment horizontal="center" vertical="center" wrapText="1"/>
    </xf>
    <xf numFmtId="0" fontId="27" fillId="0" borderId="15" xfId="98" quotePrefix="1" applyFont="1" applyFill="1" applyBorder="1" applyAlignment="1">
      <alignment horizontal="center"/>
    </xf>
    <xf numFmtId="0" fontId="27" fillId="0" borderId="18" xfId="98" applyFont="1" applyFill="1" applyBorder="1" applyAlignment="1">
      <alignment horizontal="center" vertical="center"/>
    </xf>
    <xf numFmtId="0" fontId="27" fillId="0" borderId="18" xfId="98" applyFont="1" applyFill="1" applyBorder="1" applyAlignment="1">
      <alignment vertical="center" wrapText="1"/>
    </xf>
    <xf numFmtId="180" fontId="27" fillId="0" borderId="18" xfId="181" applyNumberFormat="1" applyFont="1" applyFill="1" applyBorder="1" applyAlignment="1">
      <alignment horizontal="right" vertical="center"/>
    </xf>
    <xf numFmtId="0" fontId="27" fillId="0" borderId="18" xfId="98" applyFont="1" applyFill="1" applyBorder="1" applyAlignment="1">
      <alignment horizontal="left" vertical="center" wrapText="1" indent="1"/>
    </xf>
    <xf numFmtId="0" fontId="27" fillId="0" borderId="18" xfId="98" applyFont="1" applyFill="1" applyBorder="1" applyAlignment="1">
      <alignment horizontal="left" vertical="center" wrapText="1" indent="2"/>
    </xf>
    <xf numFmtId="0" fontId="27" fillId="0" borderId="18" xfId="98" applyFont="1" applyFill="1" applyBorder="1" applyAlignment="1">
      <alignment horizontal="left" vertical="center" wrapText="1" indent="4"/>
    </xf>
    <xf numFmtId="180" fontId="27" fillId="25" borderId="18" xfId="98" applyNumberFormat="1" applyFont="1" applyFill="1" applyBorder="1" applyAlignment="1">
      <alignment horizontal="right" vertical="center"/>
    </xf>
    <xf numFmtId="180" fontId="27" fillId="0" borderId="18" xfId="167" applyNumberFormat="1" applyFont="1" applyFill="1" applyBorder="1" applyAlignment="1">
      <alignment horizontal="right" vertical="center"/>
    </xf>
    <xf numFmtId="180" fontId="27" fillId="25" borderId="18" xfId="181" applyNumberFormat="1" applyFont="1" applyFill="1" applyBorder="1" applyAlignment="1" applyProtection="1">
      <alignment horizontal="right" vertical="center"/>
      <protection locked="0"/>
    </xf>
    <xf numFmtId="0" fontId="27" fillId="0" borderId="18" xfId="98" applyFont="1" applyFill="1" applyBorder="1" applyAlignment="1">
      <alignment horizontal="center" vertical="center" wrapText="1"/>
    </xf>
    <xf numFmtId="0" fontId="27" fillId="0" borderId="0" xfId="98" applyFont="1" applyFill="1" applyBorder="1" applyAlignment="1">
      <alignment horizontal="left" vertical="center"/>
    </xf>
    <xf numFmtId="0" fontId="27" fillId="0" borderId="0" xfId="98" applyFont="1" applyFill="1" applyBorder="1" applyAlignment="1">
      <alignment horizontal="left" vertical="center" wrapText="1"/>
    </xf>
    <xf numFmtId="183" fontId="27" fillId="0" borderId="0" xfId="181" applyNumberFormat="1" applyFont="1" applyFill="1" applyAlignment="1">
      <alignment vertical="center"/>
    </xf>
    <xf numFmtId="0" fontId="70" fillId="0" borderId="0" xfId="98" applyFont="1" applyFill="1" applyAlignment="1">
      <alignment vertical="center"/>
    </xf>
    <xf numFmtId="0" fontId="70" fillId="0" borderId="16" xfId="98" applyFont="1" applyFill="1" applyBorder="1" applyAlignment="1">
      <alignment horizontal="center" vertical="center" wrapText="1"/>
    </xf>
    <xf numFmtId="0" fontId="70" fillId="0" borderId="16" xfId="98" applyFont="1" applyFill="1" applyBorder="1" applyAlignment="1">
      <alignment horizontal="center" vertical="center"/>
    </xf>
    <xf numFmtId="0" fontId="70" fillId="0" borderId="18" xfId="98" applyFont="1" applyFill="1" applyBorder="1" applyAlignment="1">
      <alignment vertical="center" wrapText="1"/>
    </xf>
    <xf numFmtId="0" fontId="70" fillId="0" borderId="18" xfId="98" applyFont="1" applyFill="1" applyBorder="1" applyAlignment="1">
      <alignment horizontal="left" vertical="center" wrapText="1" indent="1"/>
    </xf>
    <xf numFmtId="0" fontId="70" fillId="0" borderId="18" xfId="98" applyFont="1" applyFill="1" applyBorder="1" applyAlignment="1">
      <alignment horizontal="left" vertical="center" wrapText="1" indent="2"/>
    </xf>
    <xf numFmtId="0" fontId="70" fillId="0" borderId="18" xfId="98" applyFont="1" applyFill="1" applyBorder="1" applyAlignment="1">
      <alignment horizontal="left" vertical="center" wrapText="1" indent="4"/>
    </xf>
    <xf numFmtId="0" fontId="70" fillId="0" borderId="18" xfId="98" applyFont="1" applyFill="1" applyBorder="1" applyAlignment="1">
      <alignment horizontal="center" vertical="center"/>
    </xf>
    <xf numFmtId="0" fontId="70" fillId="0" borderId="0" xfId="98" applyFont="1" applyFill="1" applyBorder="1" applyAlignment="1">
      <alignment horizontal="left" vertical="center" wrapText="1"/>
    </xf>
    <xf numFmtId="183" fontId="70" fillId="0" borderId="0" xfId="181" applyNumberFormat="1" applyFont="1" applyFill="1" applyAlignment="1">
      <alignment vertical="center"/>
    </xf>
    <xf numFmtId="0" fontId="74" fillId="0" borderId="16" xfId="107" applyFont="1" applyBorder="1" applyAlignment="1">
      <alignment horizontal="center" vertical="center" wrapText="1"/>
    </xf>
    <xf numFmtId="49" fontId="70" fillId="0" borderId="15" xfId="107" applyNumberFormat="1" applyFont="1" applyBorder="1" applyAlignment="1">
      <alignment horizontal="center" vertical="center"/>
    </xf>
    <xf numFmtId="49" fontId="27" fillId="0" borderId="18" xfId="107" applyNumberFormat="1" applyFont="1" applyFill="1" applyBorder="1" applyAlignment="1" applyProtection="1">
      <alignment horizontal="center" vertical="center"/>
    </xf>
    <xf numFmtId="0" fontId="70" fillId="26" borderId="187" xfId="107" applyFont="1" applyFill="1" applyBorder="1" applyAlignment="1">
      <alignment horizontal="center" vertical="center" wrapText="1"/>
    </xf>
    <xf numFmtId="0" fontId="70" fillId="26" borderId="188" xfId="107" applyFont="1" applyFill="1" applyBorder="1" applyAlignment="1">
      <alignment horizontal="center" vertical="center" wrapText="1"/>
    </xf>
    <xf numFmtId="0" fontId="27" fillId="0" borderId="0" xfId="107" applyFont="1" applyFill="1" applyBorder="1" applyAlignment="1" applyProtection="1">
      <alignment vertical="center"/>
    </xf>
    <xf numFmtId="0" fontId="70" fillId="0" borderId="0" xfId="107" applyFont="1" applyFill="1" applyBorder="1" applyAlignment="1" applyProtection="1">
      <alignment horizontal="left" vertical="center"/>
    </xf>
    <xf numFmtId="0" fontId="70" fillId="0" borderId="189" xfId="0" applyFont="1" applyBorder="1"/>
    <xf numFmtId="0" fontId="70" fillId="0" borderId="190" xfId="0" applyFont="1" applyBorder="1"/>
    <xf numFmtId="0" fontId="70" fillId="0" borderId="191" xfId="0" applyFont="1" applyBorder="1"/>
    <xf numFmtId="0" fontId="70" fillId="0" borderId="192" xfId="0" applyFont="1" applyBorder="1"/>
    <xf numFmtId="0" fontId="70" fillId="0" borderId="192" xfId="0" applyFont="1" applyBorder="1" applyAlignment="1"/>
    <xf numFmtId="0" fontId="70" fillId="0" borderId="193" xfId="105" applyFont="1" applyFill="1" applyBorder="1" applyAlignment="1">
      <alignment horizontal="left" vertical="center"/>
    </xf>
    <xf numFmtId="0" fontId="70" fillId="0" borderId="91" xfId="105" applyFont="1" applyFill="1" applyBorder="1" applyAlignment="1" applyProtection="1">
      <alignment horizontal="left" vertical="center"/>
      <protection locked="0"/>
    </xf>
    <xf numFmtId="0" fontId="70" fillId="0" borderId="194" xfId="0" applyFont="1" applyBorder="1"/>
    <xf numFmtId="0" fontId="70" fillId="0" borderId="195" xfId="0" applyFont="1" applyBorder="1"/>
    <xf numFmtId="194" fontId="70" fillId="0" borderId="91" xfId="105" applyNumberFormat="1" applyFont="1" applyFill="1" applyBorder="1" applyAlignment="1">
      <alignment horizontal="center" vertical="center"/>
    </xf>
    <xf numFmtId="207" fontId="70" fillId="0" borderId="196" xfId="197" applyNumberFormat="1" applyFont="1" applyFill="1" applyBorder="1" applyAlignment="1" applyProtection="1">
      <alignment horizontal="right" vertical="center"/>
    </xf>
    <xf numFmtId="0" fontId="70" fillId="0" borderId="197" xfId="0" applyFont="1" applyBorder="1"/>
    <xf numFmtId="0" fontId="70" fillId="0" borderId="198" xfId="0" applyFont="1" applyBorder="1"/>
    <xf numFmtId="207" fontId="70" fillId="0" borderId="199" xfId="197" applyNumberFormat="1" applyFont="1" applyFill="1" applyBorder="1" applyAlignment="1" applyProtection="1">
      <alignment horizontal="right" vertical="center"/>
    </xf>
    <xf numFmtId="0" fontId="70" fillId="0" borderId="200" xfId="0" applyFont="1" applyBorder="1"/>
    <xf numFmtId="0" fontId="70" fillId="0" borderId="201" xfId="0" applyFont="1" applyBorder="1"/>
    <xf numFmtId="0" fontId="70" fillId="0" borderId="131" xfId="124" applyFont="1" applyFill="1" applyBorder="1" applyAlignment="1">
      <alignment vertical="center"/>
    </xf>
    <xf numFmtId="205" fontId="76" fillId="0" borderId="14" xfId="119" applyNumberFormat="1" applyFont="1" applyFill="1" applyBorder="1" applyAlignment="1">
      <alignment vertical="center" wrapText="1"/>
    </xf>
    <xf numFmtId="205" fontId="76" fillId="0" borderId="18" xfId="119" applyNumberFormat="1" applyFont="1" applyFill="1" applyBorder="1" applyAlignment="1">
      <alignment vertical="center" wrapText="1"/>
    </xf>
    <xf numFmtId="205" fontId="76" fillId="0" borderId="129" xfId="119" applyNumberFormat="1" applyFont="1" applyFill="1" applyBorder="1" applyAlignment="1">
      <alignment vertical="center" wrapText="1"/>
    </xf>
    <xf numFmtId="205" fontId="76" fillId="0" borderId="15" xfId="126" applyNumberFormat="1" applyFont="1" applyFill="1" applyBorder="1" applyAlignment="1"/>
    <xf numFmtId="205" fontId="76" fillId="0" borderId="15" xfId="107" applyNumberFormat="1" applyFont="1" applyFill="1" applyBorder="1" applyAlignment="1">
      <alignment vertical="center" wrapText="1"/>
    </xf>
    <xf numFmtId="205" fontId="76" fillId="0" borderId="15" xfId="119" applyNumberFormat="1" applyFont="1" applyFill="1" applyBorder="1" applyAlignment="1">
      <alignment vertical="center" wrapText="1"/>
    </xf>
    <xf numFmtId="205" fontId="76" fillId="0" borderId="15" xfId="196" applyNumberFormat="1" applyFont="1" applyFill="1" applyBorder="1" applyAlignment="1">
      <alignment vertical="center" wrapText="1"/>
    </xf>
    <xf numFmtId="205" fontId="71" fillId="0" borderId="15" xfId="119" applyNumberFormat="1" applyFont="1" applyFill="1" applyBorder="1" applyAlignment="1">
      <alignment vertical="center" wrapText="1"/>
    </xf>
    <xf numFmtId="205" fontId="76" fillId="0" borderId="18" xfId="126" applyNumberFormat="1" applyFont="1" applyFill="1" applyBorder="1" applyAlignment="1"/>
    <xf numFmtId="205" fontId="76" fillId="0" borderId="18" xfId="107" applyNumberFormat="1" applyFont="1" applyFill="1" applyBorder="1" applyAlignment="1">
      <alignment vertical="center" wrapText="1"/>
    </xf>
    <xf numFmtId="205" fontId="76" fillId="0" borderId="18" xfId="196" applyNumberFormat="1" applyFont="1" applyFill="1" applyBorder="1" applyAlignment="1">
      <alignment vertical="center" wrapText="1"/>
    </xf>
    <xf numFmtId="205" fontId="71" fillId="0" borderId="18" xfId="119" applyNumberFormat="1" applyFont="1" applyFill="1" applyBorder="1" applyAlignment="1">
      <alignment vertical="center" wrapText="1"/>
    </xf>
    <xf numFmtId="205" fontId="76" fillId="0" borderId="144" xfId="119" applyNumberFormat="1" applyFont="1" applyFill="1" applyBorder="1" applyAlignment="1">
      <alignment vertical="center" wrapText="1"/>
    </xf>
    <xf numFmtId="0" fontId="70" fillId="0" borderId="166" xfId="126" applyFont="1" applyFill="1" applyBorder="1">
      <alignment vertical="center"/>
    </xf>
    <xf numFmtId="0" fontId="76" fillId="0" borderId="0" xfId="107" applyFont="1" applyFill="1"/>
    <xf numFmtId="205" fontId="76" fillId="0" borderId="159" xfId="196" applyNumberFormat="1" applyFont="1" applyFill="1" applyBorder="1" applyAlignment="1">
      <alignment vertical="center" wrapText="1"/>
    </xf>
    <xf numFmtId="205" fontId="76" fillId="0" borderId="129" xfId="196" applyNumberFormat="1" applyFont="1" applyFill="1" applyBorder="1" applyAlignment="1">
      <alignment vertical="center" wrapText="1"/>
    </xf>
    <xf numFmtId="205" fontId="76" fillId="0" borderId="153" xfId="126" applyNumberFormat="1" applyFont="1" applyFill="1" applyBorder="1" applyAlignment="1">
      <alignment vertical="center"/>
    </xf>
    <xf numFmtId="205" fontId="76" fillId="0" borderId="153" xfId="196" applyNumberFormat="1" applyFont="1" applyFill="1" applyBorder="1" applyAlignment="1">
      <alignment vertical="center" wrapText="1"/>
    </xf>
    <xf numFmtId="205" fontId="76" fillId="0" borderId="151" xfId="196" applyNumberFormat="1" applyFont="1" applyFill="1" applyBorder="1" applyAlignment="1">
      <alignment vertical="center" wrapText="1"/>
    </xf>
    <xf numFmtId="205" fontId="76" fillId="0" borderId="144" xfId="196" applyNumberFormat="1" applyFont="1" applyFill="1" applyBorder="1" applyAlignment="1">
      <alignment vertical="center" wrapText="1"/>
    </xf>
    <xf numFmtId="205" fontId="76" fillId="0" borderId="153" xfId="119" applyNumberFormat="1" applyFont="1" applyFill="1" applyBorder="1" applyAlignment="1">
      <alignment vertical="center" wrapText="1"/>
    </xf>
    <xf numFmtId="205" fontId="76" fillId="0" borderId="129" xfId="126" applyNumberFormat="1" applyFont="1" applyFill="1" applyBorder="1" applyAlignment="1">
      <alignment vertical="center"/>
    </xf>
    <xf numFmtId="205" fontId="76" fillId="0" borderId="147" xfId="126" applyNumberFormat="1" applyFont="1" applyFill="1" applyBorder="1" applyAlignment="1">
      <alignment vertical="center"/>
    </xf>
    <xf numFmtId="205" fontId="76" fillId="0" borderId="147" xfId="196" applyNumberFormat="1" applyFont="1" applyFill="1" applyBorder="1" applyAlignment="1">
      <alignment vertical="center" wrapText="1"/>
    </xf>
    <xf numFmtId="205" fontId="76" fillId="0" borderId="151" xfId="126" applyNumberFormat="1" applyFont="1" applyFill="1" applyBorder="1" applyAlignment="1">
      <alignment vertical="center"/>
    </xf>
    <xf numFmtId="205" fontId="76" fillId="0" borderId="24" xfId="126" applyNumberFormat="1" applyFont="1" applyFill="1" applyBorder="1" applyAlignment="1">
      <alignment horizontal="right"/>
    </xf>
    <xf numFmtId="205" fontId="76" fillId="0" borderId="24" xfId="107" applyNumberFormat="1" applyFont="1" applyFill="1" applyBorder="1" applyAlignment="1">
      <alignment horizontal="right" vertical="center" wrapText="1"/>
    </xf>
    <xf numFmtId="205" fontId="76" fillId="0" borderId="24" xfId="119" applyNumberFormat="1" applyFont="1" applyFill="1" applyBorder="1" applyAlignment="1">
      <alignment horizontal="right" vertical="center" wrapText="1"/>
    </xf>
    <xf numFmtId="205" fontId="76" fillId="0" borderId="24" xfId="196" applyNumberFormat="1" applyFont="1" applyFill="1" applyBorder="1" applyAlignment="1">
      <alignment horizontal="right" vertical="center" wrapText="1"/>
    </xf>
    <xf numFmtId="205" fontId="76" fillId="0" borderId="24" xfId="119" applyNumberFormat="1" applyFont="1" applyFill="1" applyBorder="1" applyAlignment="1" applyProtection="1">
      <alignment horizontal="right" vertical="center" wrapText="1"/>
    </xf>
    <xf numFmtId="0" fontId="71" fillId="0" borderId="24" xfId="126" applyFont="1" applyFill="1" applyBorder="1" applyAlignment="1">
      <alignment horizontal="right" vertical="center"/>
    </xf>
    <xf numFmtId="0" fontId="71" fillId="0" borderId="55" xfId="126" applyFont="1" applyFill="1" applyBorder="1" applyAlignment="1">
      <alignment horizontal="right" vertical="center"/>
    </xf>
    <xf numFmtId="205" fontId="76" fillId="0" borderId="18" xfId="126" applyNumberFormat="1" applyFont="1" applyFill="1" applyBorder="1" applyAlignment="1">
      <alignment horizontal="right"/>
    </xf>
    <xf numFmtId="205" fontId="76" fillId="0" borderId="18" xfId="107" applyNumberFormat="1" applyFont="1" applyFill="1" applyBorder="1" applyAlignment="1">
      <alignment horizontal="right" vertical="center" wrapText="1"/>
    </xf>
    <xf numFmtId="205" fontId="76" fillId="0" borderId="18" xfId="119" applyNumberFormat="1" applyFont="1" applyFill="1" applyBorder="1" applyAlignment="1">
      <alignment horizontal="right" vertical="center" wrapText="1"/>
    </xf>
    <xf numFmtId="205" fontId="76" fillId="0" borderId="18" xfId="196" applyNumberFormat="1" applyFont="1" applyFill="1" applyBorder="1" applyAlignment="1">
      <alignment horizontal="right" vertical="center" wrapText="1"/>
    </xf>
    <xf numFmtId="205" fontId="76" fillId="0" borderId="18" xfId="119" applyNumberFormat="1" applyFont="1" applyFill="1" applyBorder="1" applyAlignment="1" applyProtection="1">
      <alignment horizontal="right" vertical="center" wrapText="1"/>
    </xf>
    <xf numFmtId="0" fontId="71" fillId="0" borderId="18" xfId="126" applyFont="1" applyFill="1" applyBorder="1" applyAlignment="1">
      <alignment horizontal="right" vertical="center"/>
    </xf>
    <xf numFmtId="0" fontId="71" fillId="0" borderId="56" xfId="126" applyFont="1" applyFill="1" applyBorder="1" applyAlignment="1">
      <alignment horizontal="right" vertical="center"/>
    </xf>
    <xf numFmtId="205" fontId="76" fillId="0" borderId="129" xfId="119" applyNumberFormat="1" applyFont="1" applyFill="1" applyBorder="1" applyAlignment="1">
      <alignment horizontal="right" vertical="center" wrapText="1"/>
    </xf>
    <xf numFmtId="205" fontId="76" fillId="0" borderId="143" xfId="119" applyNumberFormat="1" applyFont="1" applyFill="1" applyBorder="1" applyAlignment="1">
      <alignment horizontal="right" vertical="center" wrapText="1"/>
    </xf>
    <xf numFmtId="205" fontId="76" fillId="0" borderId="15" xfId="126" applyNumberFormat="1" applyFont="1" applyFill="1" applyBorder="1" applyAlignment="1">
      <alignment horizontal="right"/>
    </xf>
    <xf numFmtId="205" fontId="76" fillId="0" borderId="15" xfId="107" applyNumberFormat="1" applyFont="1" applyFill="1" applyBorder="1" applyAlignment="1">
      <alignment horizontal="right" vertical="center" wrapText="1"/>
    </xf>
    <xf numFmtId="205" fontId="76" fillId="0" borderId="15" xfId="119" applyNumberFormat="1" applyFont="1" applyFill="1" applyBorder="1" applyAlignment="1">
      <alignment horizontal="right" vertical="center" wrapText="1"/>
    </xf>
    <xf numFmtId="205" fontId="76" fillId="0" borderId="15" xfId="196" applyNumberFormat="1" applyFont="1" applyFill="1" applyBorder="1" applyAlignment="1">
      <alignment horizontal="right" vertical="center" wrapText="1"/>
    </xf>
    <xf numFmtId="205" fontId="76" fillId="0" borderId="15" xfId="119" applyNumberFormat="1" applyFont="1" applyFill="1" applyBorder="1" applyAlignment="1" applyProtection="1">
      <alignment horizontal="right" vertical="center" wrapText="1"/>
    </xf>
    <xf numFmtId="0" fontId="71" fillId="0" borderId="15" xfId="126" applyFont="1" applyFill="1" applyBorder="1" applyAlignment="1">
      <alignment horizontal="right" vertical="center"/>
    </xf>
    <xf numFmtId="0" fontId="71" fillId="0" borderId="74" xfId="126" applyFont="1" applyFill="1" applyBorder="1" applyAlignment="1">
      <alignment horizontal="right" vertical="center"/>
    </xf>
    <xf numFmtId="205" fontId="76" fillId="0" borderId="144" xfId="119" applyNumberFormat="1" applyFont="1" applyFill="1" applyBorder="1" applyAlignment="1">
      <alignment horizontal="right" vertical="center" wrapText="1"/>
    </xf>
    <xf numFmtId="205" fontId="76" fillId="0" borderId="145" xfId="119" applyNumberFormat="1" applyFont="1" applyFill="1" applyBorder="1" applyAlignment="1">
      <alignment horizontal="right" vertical="center" wrapText="1"/>
    </xf>
    <xf numFmtId="0" fontId="70" fillId="0" borderId="68" xfId="119" applyFont="1" applyFill="1" applyBorder="1" applyAlignment="1">
      <alignment horizontal="center" vertical="center" wrapText="1"/>
    </xf>
    <xf numFmtId="0" fontId="70" fillId="0" borderId="72" xfId="119" applyFont="1" applyFill="1" applyBorder="1" applyAlignment="1">
      <alignment horizontal="center" vertical="center" wrapText="1"/>
    </xf>
    <xf numFmtId="49" fontId="70" fillId="0" borderId="0" xfId="119" applyNumberFormat="1" applyFont="1" applyFill="1" applyBorder="1" applyAlignment="1" applyProtection="1">
      <alignment horizontal="center" vertical="center" wrapText="1"/>
    </xf>
    <xf numFmtId="0" fontId="70" fillId="0" borderId="166" xfId="124" applyFont="1" applyFill="1" applyBorder="1" applyAlignment="1">
      <alignment vertical="center"/>
    </xf>
    <xf numFmtId="0" fontId="70" fillId="0" borderId="202" xfId="124" applyNumberFormat="1" applyFont="1" applyFill="1" applyBorder="1" applyAlignment="1">
      <alignment vertical="center"/>
    </xf>
    <xf numFmtId="0" fontId="70" fillId="0" borderId="153" xfId="119" applyNumberFormat="1" applyFont="1" applyFill="1" applyBorder="1" applyAlignment="1">
      <alignment vertical="center" wrapText="1"/>
    </xf>
    <xf numFmtId="0" fontId="70" fillId="0" borderId="203" xfId="119" applyNumberFormat="1" applyFont="1" applyFill="1" applyBorder="1" applyAlignment="1">
      <alignment vertical="center" wrapText="1"/>
    </xf>
    <xf numFmtId="180" fontId="70" fillId="0" borderId="163" xfId="119" applyNumberFormat="1" applyFont="1" applyFill="1" applyBorder="1" applyAlignment="1">
      <alignment vertical="center" wrapText="1"/>
    </xf>
    <xf numFmtId="180" fontId="70" fillId="0" borderId="55" xfId="119" applyNumberFormat="1" applyFont="1" applyFill="1" applyBorder="1" applyAlignment="1">
      <alignment vertical="center" wrapText="1"/>
    </xf>
    <xf numFmtId="0" fontId="70" fillId="0" borderId="204" xfId="119" applyNumberFormat="1" applyFont="1" applyFill="1" applyBorder="1" applyAlignment="1">
      <alignment vertical="center" wrapText="1"/>
    </xf>
    <xf numFmtId="0" fontId="70" fillId="0" borderId="129" xfId="119" applyNumberFormat="1" applyFont="1" applyFill="1" applyBorder="1" applyAlignment="1">
      <alignment vertical="center" wrapText="1"/>
    </xf>
    <xf numFmtId="0" fontId="70" fillId="0" borderId="143" xfId="119" applyNumberFormat="1" applyFont="1" applyFill="1" applyBorder="1" applyAlignment="1">
      <alignment vertical="center" wrapText="1"/>
    </xf>
    <xf numFmtId="180" fontId="70" fillId="0" borderId="68" xfId="119" applyNumberFormat="1" applyFont="1" applyFill="1" applyBorder="1" applyAlignment="1">
      <alignment vertical="center" wrapText="1"/>
    </xf>
    <xf numFmtId="180" fontId="70" fillId="0" borderId="129" xfId="119" applyNumberFormat="1" applyFont="1" applyFill="1" applyBorder="1" applyAlignment="1">
      <alignment vertical="center" wrapText="1"/>
    </xf>
    <xf numFmtId="180" fontId="70" fillId="0" borderId="56" xfId="119" applyNumberFormat="1" applyFont="1" applyFill="1" applyBorder="1" applyAlignment="1">
      <alignment vertical="center" wrapText="1"/>
    </xf>
    <xf numFmtId="0" fontId="70" fillId="0" borderId="205" xfId="124" applyNumberFormat="1" applyFont="1" applyFill="1" applyBorder="1" applyAlignment="1">
      <alignment vertical="center"/>
    </xf>
    <xf numFmtId="0" fontId="70" fillId="0" borderId="206" xfId="124" applyNumberFormat="1" applyFont="1" applyFill="1" applyBorder="1" applyAlignment="1">
      <alignment vertical="center"/>
    </xf>
    <xf numFmtId="0" fontId="70" fillId="0" borderId="145" xfId="124" applyNumberFormat="1" applyFont="1" applyFill="1" applyBorder="1" applyAlignment="1">
      <alignment vertical="center"/>
    </xf>
    <xf numFmtId="180" fontId="70" fillId="26" borderId="164" xfId="124" applyNumberFormat="1" applyFont="1" applyFill="1" applyBorder="1" applyAlignment="1">
      <alignment vertical="center"/>
    </xf>
    <xf numFmtId="180" fontId="70" fillId="0" borderId="27" xfId="124" applyNumberFormat="1" applyFont="1" applyFill="1" applyBorder="1" applyAlignment="1">
      <alignment vertical="center"/>
    </xf>
    <xf numFmtId="180" fontId="70" fillId="0" borderId="28" xfId="124" applyNumberFormat="1" applyFont="1" applyFill="1" applyBorder="1" applyAlignment="1">
      <alignment vertical="center"/>
    </xf>
    <xf numFmtId="0" fontId="70" fillId="0" borderId="187" xfId="124" applyNumberFormat="1" applyFont="1" applyFill="1" applyBorder="1" applyAlignment="1">
      <alignment vertical="center"/>
    </xf>
    <xf numFmtId="0" fontId="70" fillId="0" borderId="207" xfId="119" applyNumberFormat="1" applyFont="1" applyFill="1" applyBorder="1" applyAlignment="1">
      <alignment vertical="center" wrapText="1"/>
    </xf>
    <xf numFmtId="0" fontId="70" fillId="0" borderId="208" xfId="119" applyNumberFormat="1" applyFont="1" applyFill="1" applyBorder="1" applyAlignment="1">
      <alignment vertical="center" wrapText="1"/>
    </xf>
    <xf numFmtId="0" fontId="70" fillId="0" borderId="148" xfId="119" applyNumberFormat="1" applyFont="1" applyFill="1" applyBorder="1" applyAlignment="1">
      <alignment vertical="center" wrapText="1"/>
    </xf>
    <xf numFmtId="180" fontId="70" fillId="0" borderId="21" xfId="119" applyNumberFormat="1" applyFont="1" applyFill="1" applyBorder="1" applyAlignment="1">
      <alignment vertical="center" wrapText="1"/>
    </xf>
    <xf numFmtId="180" fontId="70" fillId="0" borderId="16" xfId="119" applyNumberFormat="1" applyFont="1" applyFill="1" applyBorder="1" applyAlignment="1">
      <alignment vertical="center" wrapText="1"/>
    </xf>
    <xf numFmtId="180" fontId="70" fillId="0" borderId="72" xfId="119" applyNumberFormat="1" applyFont="1" applyFill="1" applyBorder="1" applyAlignment="1">
      <alignment vertical="center" wrapText="1"/>
    </xf>
    <xf numFmtId="0" fontId="70" fillId="0" borderId="144" xfId="124" applyNumberFormat="1" applyFont="1" applyFill="1" applyBorder="1" applyAlignment="1">
      <alignment vertical="center"/>
    </xf>
    <xf numFmtId="180" fontId="70" fillId="0" borderId="164" xfId="124" applyNumberFormat="1" applyFont="1" applyFill="1" applyBorder="1" applyAlignment="1">
      <alignment vertical="center"/>
    </xf>
    <xf numFmtId="0" fontId="70" fillId="0" borderId="0" xfId="0" applyFont="1" applyAlignment="1"/>
    <xf numFmtId="180" fontId="70" fillId="0" borderId="15" xfId="124" applyNumberFormat="1" applyFont="1" applyFill="1" applyBorder="1" applyAlignment="1">
      <alignment vertical="center"/>
    </xf>
    <xf numFmtId="180" fontId="70" fillId="0" borderId="65" xfId="119" applyNumberFormat="1" applyFont="1" applyFill="1" applyBorder="1" applyAlignment="1">
      <alignment vertical="center" wrapText="1"/>
    </xf>
    <xf numFmtId="180" fontId="70" fillId="0" borderId="15" xfId="119" applyNumberFormat="1" applyFont="1" applyFill="1" applyBorder="1" applyAlignment="1">
      <alignment vertical="center" wrapText="1"/>
    </xf>
    <xf numFmtId="180" fontId="70" fillId="0" borderId="74" xfId="119" applyNumberFormat="1" applyFont="1" applyFill="1" applyBorder="1" applyAlignment="1">
      <alignment vertical="center" wrapText="1"/>
    </xf>
    <xf numFmtId="180" fontId="70" fillId="0" borderId="22" xfId="119" applyNumberFormat="1" applyFont="1" applyFill="1" applyBorder="1" applyAlignment="1">
      <alignment vertical="center" wrapText="1"/>
    </xf>
    <xf numFmtId="0" fontId="70" fillId="0" borderId="68" xfId="0" applyFont="1" applyBorder="1" applyAlignment="1"/>
    <xf numFmtId="180" fontId="70" fillId="0" borderId="56" xfId="124" applyNumberFormat="1" applyFont="1" applyFill="1" applyBorder="1" applyAlignment="1">
      <alignment vertical="center"/>
    </xf>
    <xf numFmtId="0" fontId="70" fillId="0" borderId="21" xfId="0" applyFont="1" applyBorder="1" applyAlignment="1"/>
    <xf numFmtId="0" fontId="70" fillId="0" borderId="164" xfId="0" applyFont="1" applyBorder="1" applyAlignment="1"/>
    <xf numFmtId="180" fontId="70" fillId="0" borderId="34" xfId="107" applyNumberFormat="1" applyFont="1" applyFill="1" applyBorder="1" applyAlignment="1">
      <alignment vertical="center" wrapText="1"/>
    </xf>
    <xf numFmtId="180" fontId="70" fillId="0" borderId="161" xfId="107" applyNumberFormat="1" applyFont="1" applyFill="1" applyBorder="1" applyAlignment="1">
      <alignment vertical="center" wrapText="1"/>
    </xf>
    <xf numFmtId="180" fontId="70" fillId="26" borderId="165" xfId="107" applyNumberFormat="1" applyFont="1" applyFill="1" applyBorder="1" applyAlignment="1">
      <alignment vertical="center" wrapText="1"/>
    </xf>
    <xf numFmtId="0" fontId="71" fillId="0" borderId="32" xfId="0" applyFont="1" applyBorder="1" applyAlignment="1">
      <alignment wrapText="1"/>
    </xf>
    <xf numFmtId="0" fontId="71" fillId="0" borderId="183" xfId="0" applyFont="1" applyBorder="1" applyAlignment="1">
      <alignment wrapText="1"/>
    </xf>
    <xf numFmtId="0" fontId="28" fillId="0" borderId="28" xfId="124" applyFont="1" applyFill="1" applyBorder="1" applyAlignment="1">
      <alignment vertical="center" wrapText="1"/>
    </xf>
    <xf numFmtId="0" fontId="9" fillId="0" borderId="0" xfId="0" applyFont="1" applyAlignment="1">
      <alignment wrapText="1"/>
    </xf>
    <xf numFmtId="0" fontId="28" fillId="0" borderId="56" xfId="124" applyFont="1" applyFill="1" applyBorder="1" applyAlignment="1">
      <alignment vertical="center" wrapText="1"/>
    </xf>
    <xf numFmtId="0" fontId="28" fillId="0" borderId="57" xfId="124" applyFont="1" applyFill="1" applyBorder="1" applyAlignment="1">
      <alignment vertical="center" wrapText="1"/>
    </xf>
    <xf numFmtId="180" fontId="70" fillId="0" borderId="0" xfId="0" applyNumberFormat="1" applyFont="1" applyAlignment="1"/>
    <xf numFmtId="49" fontId="76" fillId="0" borderId="27" xfId="119" applyNumberFormat="1" applyFont="1" applyFill="1" applyBorder="1" applyAlignment="1" applyProtection="1">
      <alignment horizontal="center" vertical="center" wrapText="1"/>
    </xf>
    <xf numFmtId="0" fontId="76" fillId="0" borderId="57" xfId="107" applyNumberFormat="1" applyFont="1" applyFill="1" applyBorder="1" applyAlignment="1" applyProtection="1">
      <alignment horizontal="center" vertical="center"/>
    </xf>
    <xf numFmtId="205" fontId="70" fillId="0" borderId="68" xfId="107" applyNumberFormat="1" applyFont="1" applyFill="1" applyBorder="1" applyAlignment="1">
      <alignment vertical="center" wrapText="1"/>
    </xf>
    <xf numFmtId="205" fontId="70" fillId="0" borderId="15" xfId="107" applyNumberFormat="1" applyFont="1" applyFill="1" applyBorder="1" applyAlignment="1">
      <alignment vertical="center" wrapText="1"/>
    </xf>
    <xf numFmtId="0" fontId="76" fillId="0" borderId="146" xfId="107" applyNumberFormat="1" applyFont="1" applyFill="1" applyBorder="1" applyAlignment="1" applyProtection="1">
      <alignment horizontal="center" vertical="center"/>
    </xf>
    <xf numFmtId="0" fontId="76" fillId="0" borderId="133" xfId="107" applyNumberFormat="1" applyFont="1" applyFill="1" applyBorder="1" applyAlignment="1" applyProtection="1">
      <alignment horizontal="center" vertical="center"/>
    </xf>
    <xf numFmtId="0" fontId="76" fillId="0" borderId="65" xfId="107" applyNumberFormat="1" applyFont="1" applyFill="1" applyBorder="1" applyAlignment="1" applyProtection="1">
      <alignment horizontal="center" vertical="center"/>
    </xf>
    <xf numFmtId="0" fontId="76" fillId="0" borderId="58" xfId="107" applyNumberFormat="1" applyFont="1" applyFill="1" applyBorder="1" applyAlignment="1" applyProtection="1">
      <alignment horizontal="center" vertical="center"/>
    </xf>
    <xf numFmtId="0" fontId="76" fillId="0" borderId="209" xfId="107" applyNumberFormat="1" applyFont="1" applyFill="1" applyBorder="1" applyAlignment="1" applyProtection="1">
      <alignment horizontal="center" vertical="center"/>
    </xf>
    <xf numFmtId="205" fontId="76" fillId="0" borderId="24" xfId="119" applyNumberFormat="1" applyFont="1" applyFill="1" applyBorder="1" applyAlignment="1">
      <alignment horizontal="left" vertical="center" wrapText="1"/>
    </xf>
    <xf numFmtId="205" fontId="76" fillId="0" borderId="18" xfId="119" applyNumberFormat="1" applyFont="1" applyFill="1" applyBorder="1" applyAlignment="1">
      <alignment horizontal="left" vertical="center" wrapText="1"/>
    </xf>
    <xf numFmtId="205" fontId="76" fillId="0" borderId="15" xfId="119" applyNumberFormat="1" applyFont="1" applyFill="1" applyBorder="1" applyAlignment="1">
      <alignment horizontal="left" vertical="center" wrapText="1"/>
    </xf>
    <xf numFmtId="0" fontId="30" fillId="0" borderId="0" xfId="0" applyFont="1" applyAlignment="1"/>
    <xf numFmtId="0" fontId="71" fillId="0" borderId="0" xfId="0" applyFont="1" applyAlignment="1">
      <alignment horizontal="center"/>
    </xf>
    <xf numFmtId="0" fontId="76" fillId="0" borderId="56" xfId="126" applyFont="1" applyFill="1" applyBorder="1" applyAlignment="1">
      <alignment horizontal="center" vertical="center"/>
    </xf>
    <xf numFmtId="0" fontId="70" fillId="0" borderId="66" xfId="148" applyFont="1" applyFill="1" applyBorder="1" applyAlignment="1">
      <alignment horizontal="center" vertical="center"/>
    </xf>
    <xf numFmtId="0" fontId="70" fillId="0" borderId="55" xfId="124" applyFont="1" applyFill="1" applyBorder="1" applyAlignment="1">
      <alignment vertical="center"/>
    </xf>
    <xf numFmtId="0" fontId="70" fillId="0" borderId="65" xfId="124" applyNumberFormat="1" applyFont="1" applyFill="1" applyBorder="1" applyAlignment="1">
      <alignment vertical="center"/>
    </xf>
    <xf numFmtId="0" fontId="70" fillId="0" borderId="4" xfId="124" applyNumberFormat="1" applyFont="1" applyFill="1" applyBorder="1" applyAlignment="1">
      <alignment vertical="center"/>
    </xf>
    <xf numFmtId="0" fontId="70" fillId="0" borderId="55" xfId="124" applyNumberFormat="1" applyFont="1" applyFill="1" applyBorder="1" applyAlignment="1">
      <alignment vertical="center"/>
    </xf>
    <xf numFmtId="0" fontId="70" fillId="0" borderId="210" xfId="124" applyNumberFormat="1" applyFont="1" applyFill="1" applyBorder="1" applyAlignment="1">
      <alignment vertical="center"/>
    </xf>
    <xf numFmtId="0" fontId="70" fillId="0" borderId="211" xfId="119" applyNumberFormat="1" applyFont="1" applyFill="1" applyBorder="1" applyAlignment="1">
      <alignment vertical="center" wrapText="1"/>
    </xf>
    <xf numFmtId="0" fontId="70" fillId="0" borderId="57" xfId="148" applyFont="1" applyFill="1" applyBorder="1" applyAlignment="1">
      <alignment horizontal="center" vertical="center"/>
    </xf>
    <xf numFmtId="0" fontId="70" fillId="0" borderId="56" xfId="126" applyFont="1" applyFill="1" applyBorder="1" applyAlignment="1">
      <alignment vertical="center"/>
    </xf>
    <xf numFmtId="0" fontId="70" fillId="0" borderId="68" xfId="124" applyNumberFormat="1" applyFont="1" applyFill="1" applyBorder="1" applyAlignment="1">
      <alignment vertical="center"/>
    </xf>
    <xf numFmtId="0" fontId="70" fillId="0" borderId="18" xfId="124" applyNumberFormat="1" applyFont="1" applyFill="1" applyBorder="1" applyAlignment="1">
      <alignment vertical="center"/>
    </xf>
    <xf numFmtId="0" fontId="70" fillId="0" borderId="56" xfId="124" applyNumberFormat="1" applyFont="1" applyFill="1" applyBorder="1" applyAlignment="1">
      <alignment vertical="center"/>
    </xf>
    <xf numFmtId="0" fontId="70" fillId="0" borderId="212" xfId="119" applyNumberFormat="1" applyFont="1" applyFill="1" applyBorder="1" applyAlignment="1">
      <alignment vertical="center" wrapText="1"/>
    </xf>
    <xf numFmtId="0" fontId="70" fillId="0" borderId="213" xfId="119" applyNumberFormat="1" applyFont="1" applyFill="1" applyBorder="1" applyAlignment="1">
      <alignment vertical="center" wrapText="1"/>
    </xf>
    <xf numFmtId="0" fontId="70" fillId="0" borderId="214" xfId="124" applyNumberFormat="1" applyFont="1" applyFill="1" applyBorder="1" applyAlignment="1">
      <alignment vertical="center"/>
    </xf>
    <xf numFmtId="0" fontId="70" fillId="0" borderId="56" xfId="124" applyFont="1" applyFill="1" applyBorder="1" applyAlignment="1">
      <alignment vertical="center"/>
    </xf>
    <xf numFmtId="0" fontId="70" fillId="0" borderId="72" xfId="126" applyFont="1" applyFill="1" applyBorder="1" applyAlignment="1">
      <alignment vertical="center"/>
    </xf>
    <xf numFmtId="0" fontId="70" fillId="0" borderId="20" xfId="124" applyNumberFormat="1" applyFont="1" applyFill="1" applyBorder="1" applyAlignment="1">
      <alignment vertical="center"/>
    </xf>
    <xf numFmtId="0" fontId="70" fillId="0" borderId="215" xfId="119" applyNumberFormat="1" applyFont="1" applyFill="1" applyBorder="1" applyAlignment="1">
      <alignment vertical="center" wrapText="1"/>
    </xf>
    <xf numFmtId="0" fontId="70" fillId="0" borderId="147" xfId="119" applyNumberFormat="1" applyFont="1" applyFill="1" applyBorder="1" applyAlignment="1">
      <alignment vertical="center" wrapText="1"/>
    </xf>
    <xf numFmtId="0" fontId="70" fillId="0" borderId="216" xfId="119" applyNumberFormat="1" applyFont="1" applyFill="1" applyBorder="1" applyAlignment="1">
      <alignment vertical="center" wrapText="1"/>
    </xf>
    <xf numFmtId="0" fontId="70" fillId="0" borderId="28" xfId="126" applyFont="1" applyFill="1" applyBorder="1" applyAlignment="1">
      <alignment vertical="center"/>
    </xf>
    <xf numFmtId="0" fontId="70" fillId="0" borderId="164" xfId="124" applyNumberFormat="1" applyFont="1" applyFill="1" applyBorder="1" applyAlignment="1">
      <alignment vertical="center"/>
    </xf>
    <xf numFmtId="0" fontId="70" fillId="0" borderId="27" xfId="124" applyNumberFormat="1" applyFont="1" applyFill="1" applyBorder="1" applyAlignment="1">
      <alignment vertical="center"/>
    </xf>
    <xf numFmtId="0" fontId="70" fillId="0" borderId="161" xfId="124" applyNumberFormat="1" applyFont="1" applyFill="1" applyBorder="1" applyAlignment="1">
      <alignment vertical="center"/>
    </xf>
    <xf numFmtId="0" fontId="70" fillId="0" borderId="217" xfId="124" applyNumberFormat="1" applyFont="1" applyFill="1" applyBorder="1" applyAlignment="1">
      <alignment vertical="center"/>
    </xf>
    <xf numFmtId="0" fontId="70" fillId="0" borderId="218" xfId="124" applyNumberFormat="1" applyFont="1" applyFill="1" applyBorder="1" applyAlignment="1">
      <alignment vertical="center"/>
    </xf>
    <xf numFmtId="0" fontId="70" fillId="0" borderId="58" xfId="148" applyFont="1" applyFill="1" applyBorder="1" applyAlignment="1">
      <alignment horizontal="center" vertical="center"/>
    </xf>
    <xf numFmtId="180" fontId="70" fillId="0" borderId="71" xfId="124" applyNumberFormat="1" applyFont="1" applyFill="1" applyBorder="1" applyAlignment="1">
      <alignment vertical="center"/>
    </xf>
    <xf numFmtId="0" fontId="70" fillId="0" borderId="165" xfId="124" applyNumberFormat="1" applyFont="1" applyFill="1" applyBorder="1" applyAlignment="1">
      <alignment vertical="center"/>
    </xf>
    <xf numFmtId="0" fontId="70" fillId="0" borderId="71" xfId="124" applyNumberFormat="1" applyFont="1" applyFill="1" applyBorder="1" applyAlignment="1">
      <alignment vertical="center"/>
    </xf>
    <xf numFmtId="0" fontId="70" fillId="0" borderId="34" xfId="124" applyNumberFormat="1" applyFont="1" applyFill="1" applyBorder="1" applyAlignment="1">
      <alignment vertical="center"/>
    </xf>
    <xf numFmtId="0" fontId="70" fillId="0" borderId="33" xfId="124" applyNumberFormat="1" applyFont="1" applyFill="1" applyBorder="1" applyAlignment="1">
      <alignment vertical="center"/>
    </xf>
    <xf numFmtId="0" fontId="70" fillId="0" borderId="219" xfId="124" applyNumberFormat="1" applyFont="1" applyFill="1" applyBorder="1" applyAlignment="1">
      <alignment vertical="center"/>
    </xf>
    <xf numFmtId="0" fontId="70" fillId="0" borderId="33" xfId="148" applyFont="1" applyFill="1" applyBorder="1" applyAlignment="1">
      <alignment horizontal="center" vertical="center"/>
    </xf>
    <xf numFmtId="0" fontId="74" fillId="0" borderId="0" xfId="107" applyFont="1" applyFill="1" applyAlignment="1">
      <alignment vertical="center"/>
    </xf>
    <xf numFmtId="0" fontId="74" fillId="0" borderId="16" xfId="107" applyFont="1" applyFill="1" applyBorder="1" applyAlignment="1">
      <alignment horizontal="center" vertical="center"/>
    </xf>
    <xf numFmtId="0" fontId="74" fillId="0" borderId="16" xfId="107" applyFont="1" applyFill="1" applyBorder="1" applyAlignment="1">
      <alignment horizontal="center" vertical="center" wrapText="1"/>
    </xf>
    <xf numFmtId="49" fontId="70" fillId="0" borderId="15" xfId="107" applyNumberFormat="1" applyFont="1" applyBorder="1" applyAlignment="1">
      <alignment horizontal="center" vertical="center" wrapText="1"/>
    </xf>
    <xf numFmtId="49" fontId="70" fillId="0" borderId="15" xfId="107" applyNumberFormat="1" applyFont="1" applyFill="1" applyBorder="1" applyAlignment="1">
      <alignment horizontal="center" vertical="center"/>
    </xf>
    <xf numFmtId="0" fontId="70" fillId="0" borderId="18" xfId="107" quotePrefix="1" applyFont="1" applyBorder="1" applyAlignment="1">
      <alignment horizontal="center" vertical="center"/>
    </xf>
    <xf numFmtId="0" fontId="70" fillId="0" borderId="18" xfId="107" quotePrefix="1" applyNumberFormat="1" applyFont="1" applyBorder="1" applyAlignment="1">
      <alignment vertical="center"/>
    </xf>
    <xf numFmtId="0" fontId="70" fillId="0" borderId="18" xfId="107" quotePrefix="1" applyFont="1" applyBorder="1" applyAlignment="1">
      <alignment horizontal="right" vertical="center"/>
    </xf>
    <xf numFmtId="0" fontId="70" fillId="0" borderId="18" xfId="107" quotePrefix="1" applyFont="1" applyFill="1" applyBorder="1" applyAlignment="1">
      <alignment vertical="center"/>
    </xf>
    <xf numFmtId="0" fontId="71" fillId="0" borderId="0" xfId="126" applyFont="1" applyFill="1">
      <alignment vertical="center"/>
    </xf>
    <xf numFmtId="0" fontId="5" fillId="0" borderId="86" xfId="0" applyFont="1" applyBorder="1"/>
    <xf numFmtId="0" fontId="5" fillId="0" borderId="32" xfId="0" applyFont="1" applyBorder="1"/>
    <xf numFmtId="0" fontId="5" fillId="0" borderId="2" xfId="0" applyFont="1" applyBorder="1"/>
    <xf numFmtId="0" fontId="5" fillId="0" borderId="80" xfId="0" applyFont="1" applyBorder="1"/>
    <xf numFmtId="0" fontId="5" fillId="0" borderId="165" xfId="0" applyFont="1" applyBorder="1"/>
    <xf numFmtId="0" fontId="5" fillId="0" borderId="168" xfId="0" applyFont="1" applyBorder="1"/>
    <xf numFmtId="0" fontId="5" fillId="0" borderId="3" xfId="0" applyFont="1" applyBorder="1"/>
    <xf numFmtId="0" fontId="70" fillId="0" borderId="16" xfId="0" applyFont="1" applyBorder="1" applyAlignment="1">
      <alignment horizontal="center" wrapText="1"/>
    </xf>
    <xf numFmtId="0" fontId="9" fillId="0" borderId="0" xfId="0" applyFont="1"/>
    <xf numFmtId="189" fontId="70" fillId="0" borderId="104" xfId="96" applyNumberFormat="1" applyFont="1" applyFill="1" applyBorder="1" applyAlignment="1" applyProtection="1">
      <alignment horizontal="right" vertical="center"/>
    </xf>
    <xf numFmtId="0" fontId="28" fillId="0" borderId="0" xfId="0" applyFont="1" applyAlignment="1">
      <alignment horizontal="left"/>
    </xf>
    <xf numFmtId="49" fontId="70" fillId="0" borderId="146" xfId="119" applyNumberFormat="1" applyFont="1" applyFill="1" applyBorder="1" applyAlignment="1" applyProtection="1">
      <alignment horizontal="center" vertical="center" wrapText="1"/>
    </xf>
    <xf numFmtId="0" fontId="70" fillId="0" borderId="139" xfId="0" applyFont="1" applyBorder="1"/>
    <xf numFmtId="0" fontId="70" fillId="0" borderId="220" xfId="0" applyFont="1" applyBorder="1"/>
    <xf numFmtId="0" fontId="70" fillId="0" borderId="139" xfId="0" applyFont="1" applyBorder="1" applyAlignment="1">
      <alignment horizontal="left" indent="1"/>
    </xf>
    <xf numFmtId="49" fontId="70" fillId="0" borderId="15" xfId="107" applyNumberFormat="1" applyFont="1" applyFill="1" applyBorder="1" applyAlignment="1">
      <alignment horizontal="center" vertical="center" wrapText="1"/>
    </xf>
    <xf numFmtId="0" fontId="70" fillId="0" borderId="15" xfId="107" quotePrefix="1" applyFont="1" applyFill="1" applyBorder="1" applyAlignment="1">
      <alignment horizontal="center" vertical="center" wrapText="1"/>
    </xf>
    <xf numFmtId="202" fontId="27" fillId="0" borderId="18" xfId="191" applyNumberFormat="1" applyFont="1" applyFill="1" applyBorder="1"/>
    <xf numFmtId="219" fontId="27" fillId="0" borderId="18" xfId="191" applyNumberFormat="1" applyFont="1" applyFill="1" applyBorder="1"/>
    <xf numFmtId="219" fontId="27" fillId="28" borderId="18" xfId="191" applyNumberFormat="1" applyFont="1" applyFill="1" applyBorder="1"/>
    <xf numFmtId="10" fontId="27" fillId="28" borderId="18" xfId="214" applyNumberFormat="1" applyFont="1" applyFill="1" applyBorder="1"/>
    <xf numFmtId="10" fontId="27" fillId="0" borderId="18" xfId="214" applyNumberFormat="1" applyFont="1" applyFill="1" applyBorder="1"/>
    <xf numFmtId="0" fontId="30" fillId="0" borderId="18" xfId="0" applyFont="1" applyBorder="1"/>
    <xf numFmtId="216" fontId="70" fillId="26" borderId="18" xfId="0" applyNumberFormat="1" applyFont="1" applyFill="1" applyBorder="1" applyAlignment="1">
      <alignment vertical="center"/>
    </xf>
    <xf numFmtId="0" fontId="70" fillId="26" borderId="18" xfId="61" applyFont="1" applyFill="1" applyBorder="1" applyAlignment="1">
      <alignment vertical="center"/>
    </xf>
    <xf numFmtId="0" fontId="27" fillId="0" borderId="16" xfId="61" applyFont="1" applyBorder="1" applyAlignment="1">
      <alignment horizontal="center" wrapText="1"/>
    </xf>
    <xf numFmtId="0" fontId="71" fillId="0" borderId="15" xfId="61" quotePrefix="1" applyFont="1" applyBorder="1" applyAlignment="1">
      <alignment horizontal="center"/>
    </xf>
    <xf numFmtId="0" fontId="71" fillId="0" borderId="14" xfId="61" quotePrefix="1" applyFont="1" applyBorder="1" applyAlignment="1">
      <alignment horizontal="center"/>
    </xf>
    <xf numFmtId="0" fontId="70" fillId="0" borderId="129" xfId="61" applyFont="1" applyBorder="1"/>
    <xf numFmtId="0" fontId="27" fillId="0" borderId="0" xfId="0" applyFont="1" applyAlignment="1">
      <alignment vertical="top"/>
    </xf>
    <xf numFmtId="0" fontId="31" fillId="0" borderId="0" xfId="161" applyFont="1" applyFill="1" applyAlignment="1">
      <alignment horizontal="left" vertical="center"/>
    </xf>
    <xf numFmtId="0" fontId="31" fillId="0" borderId="0" xfId="114" applyFont="1" applyFill="1" applyAlignment="1">
      <alignment horizontal="right"/>
    </xf>
    <xf numFmtId="0" fontId="31" fillId="0" borderId="18" xfId="107" applyFont="1" applyFill="1" applyBorder="1" applyAlignment="1">
      <alignment horizontal="centerContinuous" vertical="center" wrapText="1"/>
    </xf>
    <xf numFmtId="0" fontId="31" fillId="0" borderId="18" xfId="61" applyFont="1" applyFill="1" applyBorder="1" applyAlignment="1">
      <alignment horizontal="center" vertical="center" wrapText="1"/>
    </xf>
    <xf numFmtId="0" fontId="31" fillId="0" borderId="17" xfId="114" applyFont="1" applyFill="1" applyBorder="1" applyAlignment="1">
      <alignment horizontal="center" vertical="center" wrapText="1"/>
    </xf>
    <xf numFmtId="0" fontId="31" fillId="0" borderId="0" xfId="161" applyFont="1" applyFill="1" applyAlignment="1">
      <alignment horizontal="center" vertical="center" wrapText="1"/>
    </xf>
    <xf numFmtId="0" fontId="31" fillId="0" borderId="15" xfId="61" quotePrefix="1" applyFont="1" applyFill="1" applyBorder="1" applyAlignment="1">
      <alignment horizontal="center" vertical="center" wrapText="1"/>
    </xf>
    <xf numFmtId="0" fontId="31" fillId="0" borderId="18" xfId="150" applyFont="1" applyFill="1" applyBorder="1" applyAlignment="1">
      <alignment horizontal="center" vertical="center" wrapText="1"/>
    </xf>
    <xf numFmtId="0" fontId="31" fillId="0" borderId="16" xfId="150" applyFont="1" applyFill="1" applyBorder="1" applyAlignment="1">
      <alignment horizontal="center" vertical="center" wrapText="1"/>
    </xf>
    <xf numFmtId="0" fontId="31" fillId="0" borderId="16" xfId="161" applyFont="1" applyFill="1" applyBorder="1" applyAlignment="1">
      <alignment horizontal="center" vertical="center" wrapText="1"/>
    </xf>
    <xf numFmtId="0" fontId="31" fillId="0" borderId="131" xfId="161" applyFont="1" applyFill="1" applyBorder="1" applyAlignment="1">
      <alignment horizontal="distributed" vertical="center"/>
    </xf>
    <xf numFmtId="219" fontId="31" fillId="0" borderId="18" xfId="191" applyNumberFormat="1" applyFont="1" applyFill="1" applyBorder="1"/>
    <xf numFmtId="219" fontId="31" fillId="28" borderId="18" xfId="191" applyNumberFormat="1" applyFont="1" applyFill="1" applyBorder="1"/>
    <xf numFmtId="10" fontId="31" fillId="0" borderId="18" xfId="214" applyNumberFormat="1" applyFont="1" applyFill="1" applyBorder="1"/>
    <xf numFmtId="0" fontId="31" fillId="0" borderId="14" xfId="150" applyFont="1" applyFill="1" applyBorder="1" applyAlignment="1">
      <alignment horizontal="center" vertical="center" wrapText="1"/>
    </xf>
    <xf numFmtId="0" fontId="31" fillId="0" borderId="14" xfId="161" applyFont="1" applyFill="1" applyBorder="1" applyAlignment="1">
      <alignment horizontal="center" vertical="center" wrapText="1"/>
    </xf>
    <xf numFmtId="0" fontId="31" fillId="0" borderId="131" xfId="161" applyFont="1" applyFill="1" applyBorder="1" applyAlignment="1">
      <alignment horizontal="distributed" vertical="center" wrapText="1"/>
    </xf>
    <xf numFmtId="0" fontId="31" fillId="0" borderId="15" xfId="161" applyFont="1" applyFill="1" applyBorder="1" applyAlignment="1">
      <alignment horizontal="center" vertical="center" wrapText="1"/>
    </xf>
    <xf numFmtId="0" fontId="31" fillId="0" borderId="18" xfId="161" quotePrefix="1" applyFont="1" applyFill="1" applyBorder="1" applyAlignment="1">
      <alignment horizontal="center" vertical="center" wrapText="1"/>
    </xf>
    <xf numFmtId="0" fontId="31" fillId="0" borderId="18" xfId="114" applyFont="1" applyFill="1" applyBorder="1" applyAlignment="1">
      <alignment horizontal="center" vertical="center" wrapText="1"/>
    </xf>
    <xf numFmtId="0" fontId="31" fillId="0" borderId="18" xfId="161" applyFont="1" applyFill="1" applyBorder="1" applyAlignment="1">
      <alignment horizontal="center" vertical="center" wrapText="1"/>
    </xf>
    <xf numFmtId="0" fontId="31" fillId="0" borderId="131" xfId="161" quotePrefix="1" applyFont="1" applyFill="1" applyBorder="1" applyAlignment="1">
      <alignment horizontal="distributed" vertical="distributed"/>
    </xf>
    <xf numFmtId="0" fontId="31" fillId="0" borderId="18" xfId="161" quotePrefix="1" applyFont="1" applyFill="1" applyBorder="1" applyAlignment="1">
      <alignment horizontal="distributed" vertical="distributed"/>
    </xf>
    <xf numFmtId="0" fontId="31" fillId="0" borderId="18" xfId="161" applyFont="1" applyFill="1" applyBorder="1" applyAlignment="1">
      <alignment horizontal="distributed" vertical="center"/>
    </xf>
    <xf numFmtId="0" fontId="31" fillId="0" borderId="17" xfId="150" applyFont="1" applyFill="1" applyBorder="1" applyAlignment="1">
      <alignment horizontal="center" vertical="center" wrapText="1"/>
    </xf>
    <xf numFmtId="0" fontId="31" fillId="0" borderId="15" xfId="150" applyFont="1" applyFill="1" applyBorder="1" applyAlignment="1">
      <alignment horizontal="center" vertical="center" wrapText="1"/>
    </xf>
    <xf numFmtId="0" fontId="31" fillId="0" borderId="0" xfId="161" applyFont="1" applyFill="1" applyAlignment="1">
      <alignment horizontal="center" vertical="center"/>
    </xf>
    <xf numFmtId="0" fontId="31" fillId="0" borderId="0" xfId="61" applyFont="1" applyFill="1" applyAlignment="1">
      <alignment horizontal="center" vertical="center"/>
    </xf>
    <xf numFmtId="0" fontId="31" fillId="0" borderId="0" xfId="61" applyFont="1" applyFill="1" applyAlignment="1">
      <alignment vertical="center"/>
    </xf>
    <xf numFmtId="0" fontId="31" fillId="0" borderId="0" xfId="61" applyFont="1" applyFill="1" applyBorder="1" applyAlignment="1">
      <alignment horizontal="left" vertical="center"/>
    </xf>
    <xf numFmtId="0" fontId="31" fillId="0" borderId="0" xfId="61" applyFont="1" applyFill="1" applyAlignment="1">
      <alignment horizontal="left" vertical="center"/>
    </xf>
    <xf numFmtId="0" fontId="31" fillId="0" borderId="0" xfId="98" applyFont="1" applyFill="1" applyBorder="1" applyAlignment="1">
      <alignment vertical="center"/>
    </xf>
    <xf numFmtId="0" fontId="31" fillId="0" borderId="0" xfId="98" applyFont="1" applyFill="1" applyBorder="1" applyAlignment="1">
      <alignment horizontal="left" vertical="center"/>
    </xf>
    <xf numFmtId="0" fontId="31" fillId="0" borderId="0" xfId="0" applyFont="1" applyFill="1" applyAlignment="1">
      <alignment horizontal="center" vertical="center"/>
    </xf>
    <xf numFmtId="0" fontId="31" fillId="0" borderId="0" xfId="107" applyFont="1" applyFill="1" applyAlignment="1">
      <alignment horizontal="left" vertical="top"/>
    </xf>
    <xf numFmtId="0" fontId="31" fillId="0" borderId="0" xfId="161" applyFont="1" applyFill="1" applyAlignment="1"/>
    <xf numFmtId="0" fontId="31" fillId="0" borderId="0" xfId="61" applyFont="1" applyAlignment="1">
      <alignment vertical="center"/>
    </xf>
    <xf numFmtId="0" fontId="31" fillId="0" borderId="0" xfId="61" applyFont="1" applyAlignment="1">
      <alignment horizontal="left" vertical="center"/>
    </xf>
    <xf numFmtId="0" fontId="31" fillId="0" borderId="0" xfId="0" applyFont="1" applyFill="1" applyAlignment="1">
      <alignment vertical="center"/>
    </xf>
    <xf numFmtId="0" fontId="31" fillId="0" borderId="0" xfId="0" applyFont="1" applyAlignment="1">
      <alignment vertical="center" wrapText="1"/>
    </xf>
    <xf numFmtId="0" fontId="9" fillId="0" borderId="0" xfId="124" applyFont="1" applyFill="1" applyAlignment="1">
      <alignment vertical="center" wrapText="1"/>
    </xf>
    <xf numFmtId="0" fontId="9" fillId="0" borderId="0" xfId="124" applyFont="1" applyFill="1" applyAlignment="1" applyProtection="1">
      <alignment vertical="center"/>
      <protection locked="0"/>
    </xf>
    <xf numFmtId="0" fontId="9" fillId="0" borderId="0" xfId="93" applyFont="1" applyFill="1" applyBorder="1" applyAlignment="1" applyProtection="1">
      <alignment horizontal="center" vertical="center" wrapText="1"/>
      <protection locked="0"/>
    </xf>
    <xf numFmtId="0" fontId="9" fillId="0" borderId="3" xfId="124" applyFont="1" applyFill="1" applyBorder="1" applyAlignment="1" applyProtection="1">
      <alignment horizontal="left"/>
    </xf>
    <xf numFmtId="0" fontId="9" fillId="0" borderId="3" xfId="93" applyFont="1" applyFill="1" applyBorder="1" applyAlignment="1" applyProtection="1">
      <alignment vertical="center" wrapText="1"/>
    </xf>
    <xf numFmtId="0" fontId="9" fillId="0" borderId="3" xfId="124" applyFont="1" applyFill="1" applyBorder="1" applyAlignment="1">
      <alignment vertical="center" wrapText="1"/>
    </xf>
    <xf numFmtId="0" fontId="40" fillId="0" borderId="15" xfId="124" applyFont="1" applyFill="1" applyBorder="1" applyAlignment="1">
      <alignment horizontal="center" vertical="center" wrapText="1"/>
    </xf>
    <xf numFmtId="0" fontId="40" fillId="0" borderId="55" xfId="124" applyFont="1" applyFill="1" applyBorder="1" applyAlignment="1">
      <alignment horizontal="center" vertical="center" wrapText="1"/>
    </xf>
    <xf numFmtId="0" fontId="40" fillId="0" borderId="18" xfId="139" quotePrefix="1" applyFont="1" applyFill="1" applyBorder="1" applyAlignment="1">
      <alignment horizontal="center" vertical="center" wrapText="1"/>
    </xf>
    <xf numFmtId="0" fontId="9" fillId="0" borderId="18" xfId="124" applyFont="1" applyFill="1" applyBorder="1" applyAlignment="1">
      <alignment vertical="center" wrapText="1"/>
    </xf>
    <xf numFmtId="200" fontId="9" fillId="25" borderId="18" xfId="181" applyNumberFormat="1" applyFont="1" applyFill="1" applyBorder="1" applyAlignment="1">
      <alignment vertical="center" wrapText="1"/>
    </xf>
    <xf numFmtId="183" fontId="9" fillId="25" borderId="18" xfId="181" applyNumberFormat="1" applyFont="1" applyFill="1" applyBorder="1" applyAlignment="1">
      <alignment vertical="center" wrapText="1"/>
    </xf>
    <xf numFmtId="200" fontId="9" fillId="25" borderId="56" xfId="181" applyNumberFormat="1" applyFont="1" applyFill="1" applyBorder="1" applyAlignment="1">
      <alignment vertical="center" wrapText="1"/>
    </xf>
    <xf numFmtId="0" fontId="9" fillId="0" borderId="18" xfId="124" applyFont="1" applyFill="1" applyBorder="1" applyAlignment="1">
      <alignment horizontal="left" vertical="center" wrapText="1" indent="2"/>
    </xf>
    <xf numFmtId="0" fontId="9" fillId="0" borderId="18" xfId="124" applyFont="1" applyFill="1" applyBorder="1" applyAlignment="1">
      <alignment horizontal="left" vertical="center" wrapText="1" indent="4"/>
    </xf>
    <xf numFmtId="200" fontId="9" fillId="0" borderId="18" xfId="181" applyNumberFormat="1" applyFont="1" applyFill="1" applyBorder="1" applyAlignment="1">
      <alignment vertical="center" wrapText="1"/>
    </xf>
    <xf numFmtId="183" fontId="9" fillId="0" borderId="18" xfId="181" applyNumberFormat="1" applyFont="1" applyFill="1" applyBorder="1" applyAlignment="1">
      <alignment vertical="center" wrapText="1"/>
    </xf>
    <xf numFmtId="200" fontId="9" fillId="0" borderId="56" xfId="181" applyNumberFormat="1" applyFont="1" applyFill="1" applyBorder="1" applyAlignment="1">
      <alignment vertical="center" wrapText="1"/>
    </xf>
    <xf numFmtId="0" fontId="40" fillId="0" borderId="58" xfId="124" applyFont="1" applyFill="1" applyBorder="1" applyAlignment="1">
      <alignment horizontal="center" vertical="center" wrapText="1"/>
    </xf>
    <xf numFmtId="200" fontId="9" fillId="0" borderId="27" xfId="181" applyNumberFormat="1" applyFont="1" applyFill="1" applyBorder="1" applyAlignment="1">
      <alignment vertical="center" wrapText="1"/>
    </xf>
    <xf numFmtId="183" fontId="9" fillId="0" borderId="27" xfId="181" applyNumberFormat="1" applyFont="1" applyFill="1" applyBorder="1" applyAlignment="1">
      <alignment vertical="center" wrapText="1"/>
    </xf>
    <xf numFmtId="200" fontId="9" fillId="0" borderId="28" xfId="181" applyNumberFormat="1" applyFont="1" applyFill="1" applyBorder="1" applyAlignment="1">
      <alignment vertical="center" wrapText="1"/>
    </xf>
    <xf numFmtId="0" fontId="9" fillId="0" borderId="0" xfId="107" applyFont="1" applyFill="1" applyAlignment="1">
      <alignment vertical="center"/>
    </xf>
    <xf numFmtId="0" fontId="9" fillId="0" borderId="0" xfId="166" applyFont="1" applyAlignment="1">
      <alignment vertical="center"/>
    </xf>
    <xf numFmtId="0" fontId="9" fillId="0" borderId="0" xfId="0" applyFont="1" applyAlignment="1">
      <alignment vertical="center"/>
    </xf>
    <xf numFmtId="0" fontId="9" fillId="0" borderId="18" xfId="166" applyFont="1" applyBorder="1" applyAlignment="1">
      <alignment horizontal="center" vertical="center" wrapText="1"/>
    </xf>
    <xf numFmtId="0" fontId="9" fillId="0" borderId="18" xfId="166" applyFont="1" applyBorder="1" applyAlignment="1">
      <alignment horizontal="justify" vertical="center" wrapText="1"/>
    </xf>
    <xf numFmtId="0" fontId="9" fillId="0" borderId="18" xfId="0" applyFont="1" applyBorder="1" applyAlignment="1">
      <alignment horizontal="justify" vertical="center" wrapText="1"/>
    </xf>
    <xf numFmtId="0" fontId="40" fillId="0" borderId="18" xfId="166" applyFont="1" applyFill="1" applyBorder="1" applyAlignment="1">
      <alignment horizontal="center" vertical="center" wrapText="1"/>
    </xf>
    <xf numFmtId="0" fontId="9" fillId="0" borderId="18" xfId="166" applyFont="1" applyFill="1" applyBorder="1" applyAlignment="1">
      <alignment horizontal="center" vertical="center" wrapText="1"/>
    </xf>
    <xf numFmtId="0" fontId="9" fillId="0" borderId="18" xfId="166" applyFont="1" applyFill="1" applyBorder="1" applyAlignment="1">
      <alignment horizontal="justify" vertical="center" wrapText="1"/>
    </xf>
    <xf numFmtId="0" fontId="40" fillId="0" borderId="15" xfId="166" applyFont="1" applyFill="1" applyBorder="1" applyAlignment="1">
      <alignment horizontal="center" vertical="center" wrapText="1"/>
    </xf>
    <xf numFmtId="0" fontId="9" fillId="25" borderId="18" xfId="166" applyFont="1" applyFill="1" applyBorder="1" applyAlignment="1">
      <alignment horizontal="center" vertical="center" wrapText="1"/>
    </xf>
    <xf numFmtId="0" fontId="9" fillId="26" borderId="18" xfId="166" applyFont="1" applyFill="1" applyBorder="1" applyAlignment="1">
      <alignment horizontal="justify" vertical="center" wrapText="1"/>
    </xf>
    <xf numFmtId="0" fontId="9" fillId="0" borderId="0" xfId="0" applyFont="1" applyFill="1" applyAlignment="1">
      <alignment vertical="center"/>
    </xf>
    <xf numFmtId="0" fontId="9" fillId="0" borderId="0" xfId="0" applyFont="1" applyAlignment="1">
      <alignment horizontal="right" vertical="center"/>
    </xf>
    <xf numFmtId="0" fontId="9" fillId="0" borderId="0" xfId="166" applyFont="1" applyFill="1" applyAlignment="1">
      <alignment vertical="center"/>
    </xf>
    <xf numFmtId="0" fontId="9" fillId="0" borderId="0" xfId="0" applyFont="1" applyFill="1" applyAlignment="1">
      <alignment horizontal="left" vertical="center"/>
    </xf>
    <xf numFmtId="0" fontId="40" fillId="0" borderId="18" xfId="166" applyFont="1" applyBorder="1" applyAlignment="1">
      <alignment horizontal="center" vertical="center" wrapText="1"/>
    </xf>
    <xf numFmtId="0" fontId="40" fillId="0" borderId="18" xfId="166" applyNumberFormat="1" applyFont="1" applyBorder="1" applyAlignment="1">
      <alignment horizontal="center" vertical="center" wrapText="1"/>
    </xf>
    <xf numFmtId="0" fontId="40" fillId="0" borderId="16" xfId="166" applyFont="1" applyBorder="1" applyAlignment="1">
      <alignment horizontal="center" vertical="center" wrapText="1"/>
    </xf>
    <xf numFmtId="0" fontId="40" fillId="0" borderId="18" xfId="0" applyFont="1" applyBorder="1" applyAlignment="1">
      <alignment horizontal="center" vertical="center" wrapText="1"/>
    </xf>
    <xf numFmtId="0" fontId="40" fillId="0" borderId="0" xfId="166" applyFont="1" applyAlignment="1">
      <alignment vertical="center"/>
    </xf>
    <xf numFmtId="0" fontId="40" fillId="0" borderId="131" xfId="166" applyFont="1" applyBorder="1" applyAlignment="1">
      <alignment horizontal="center" vertical="center" wrapText="1"/>
    </xf>
    <xf numFmtId="0" fontId="40" fillId="25" borderId="18" xfId="166" applyFont="1" applyFill="1" applyBorder="1" applyAlignment="1">
      <alignment horizontal="center" vertical="center" wrapText="1"/>
    </xf>
    <xf numFmtId="0" fontId="40" fillId="0" borderId="18" xfId="166" applyFont="1" applyBorder="1" applyAlignment="1">
      <alignment horizontal="justify" vertical="center" wrapText="1"/>
    </xf>
    <xf numFmtId="0" fontId="40" fillId="0" borderId="18" xfId="0" applyFont="1" applyBorder="1" applyAlignment="1">
      <alignment horizontal="justify" vertical="center" wrapText="1"/>
    </xf>
    <xf numFmtId="188" fontId="9" fillId="0" borderId="0" xfId="0" applyNumberFormat="1" applyFont="1" applyAlignment="1">
      <alignment wrapText="1"/>
    </xf>
    <xf numFmtId="0" fontId="9" fillId="0" borderId="19" xfId="161" applyFont="1" applyFill="1" applyBorder="1" applyAlignment="1">
      <alignment vertical="center"/>
    </xf>
    <xf numFmtId="0" fontId="27" fillId="0" borderId="18" xfId="107" quotePrefix="1" applyFont="1" applyFill="1" applyBorder="1" applyAlignment="1">
      <alignment horizontal="center"/>
    </xf>
    <xf numFmtId="183" fontId="70" fillId="27" borderId="18" xfId="181" applyNumberFormat="1" applyFont="1" applyFill="1" applyBorder="1" applyAlignment="1" applyProtection="1">
      <alignment horizontal="right" vertical="center" wrapText="1"/>
    </xf>
    <xf numFmtId="0" fontId="9" fillId="0" borderId="18" xfId="0" applyFont="1" applyBorder="1" applyAlignment="1">
      <alignment horizontal="left" vertical="center" wrapText="1"/>
    </xf>
    <xf numFmtId="0" fontId="9" fillId="0" borderId="0" xfId="0" applyFont="1" applyFill="1" applyAlignment="1">
      <alignment horizontal="left" vertical="center" indent="2"/>
    </xf>
    <xf numFmtId="0" fontId="9" fillId="0" borderId="18" xfId="0" applyFont="1" applyFill="1" applyBorder="1" applyAlignment="1">
      <alignment horizontal="justify" vertical="center" wrapText="1"/>
    </xf>
    <xf numFmtId="0" fontId="40" fillId="0" borderId="56" xfId="139" quotePrefix="1" applyFont="1" applyFill="1" applyBorder="1" applyAlignment="1">
      <alignment horizontal="center" vertical="center" wrapText="1"/>
    </xf>
    <xf numFmtId="200" fontId="9" fillId="25" borderId="15" xfId="181" applyNumberFormat="1" applyFont="1" applyFill="1" applyBorder="1" applyAlignment="1">
      <alignment vertical="center" wrapText="1"/>
    </xf>
    <xf numFmtId="200" fontId="9" fillId="25" borderId="74" xfId="181" applyNumberFormat="1" applyFont="1" applyFill="1" applyBorder="1" applyAlignment="1">
      <alignment vertical="center" wrapText="1"/>
    </xf>
    <xf numFmtId="0" fontId="9" fillId="0" borderId="0" xfId="0" applyFont="1" applyAlignment="1">
      <alignment horizontal="center" vertical="center"/>
    </xf>
    <xf numFmtId="177" fontId="9" fillId="0" borderId="0" xfId="181" applyFont="1"/>
    <xf numFmtId="188" fontId="40" fillId="0" borderId="18" xfId="0" applyNumberFormat="1" applyFont="1" applyBorder="1" applyAlignment="1">
      <alignment horizontal="center" vertical="center" wrapText="1"/>
    </xf>
    <xf numFmtId="184" fontId="9" fillId="0" borderId="18" xfId="0" applyNumberFormat="1" applyFont="1" applyBorder="1" applyAlignment="1">
      <alignment horizontal="center" vertical="center"/>
    </xf>
    <xf numFmtId="177" fontId="9" fillId="0" borderId="18" xfId="181" applyNumberFormat="1" applyFont="1" applyBorder="1" applyAlignment="1">
      <alignment horizontal="center" vertical="center"/>
    </xf>
    <xf numFmtId="0" fontId="82" fillId="0" borderId="0" xfId="0" applyFont="1" applyAlignment="1">
      <alignment horizontal="left" vertical="center"/>
    </xf>
    <xf numFmtId="177" fontId="9" fillId="0" borderId="0" xfId="181" applyNumberFormat="1" applyFont="1"/>
    <xf numFmtId="49" fontId="9" fillId="0" borderId="0" xfId="124" applyNumberFormat="1" applyFont="1" applyFill="1" applyAlignment="1" applyProtection="1">
      <alignment horizontal="left" vertical="center"/>
      <protection locked="0"/>
    </xf>
    <xf numFmtId="0" fontId="9" fillId="0" borderId="0" xfId="124" applyFont="1" applyFill="1" applyBorder="1" applyAlignment="1">
      <alignment vertical="center"/>
    </xf>
    <xf numFmtId="49" fontId="9" fillId="0" borderId="0" xfId="124" applyNumberFormat="1" applyFont="1" applyFill="1" applyAlignment="1" applyProtection="1">
      <alignment horizontal="left" vertical="center"/>
    </xf>
    <xf numFmtId="0" fontId="9" fillId="0" borderId="0" xfId="93" applyFont="1" applyFill="1" applyAlignment="1" applyProtection="1">
      <alignment vertical="center"/>
    </xf>
    <xf numFmtId="199" fontId="9" fillId="0" borderId="0" xfId="52" applyNumberFormat="1" applyFont="1" applyFill="1" applyAlignment="1">
      <alignment horizontal="right" vertical="center" wrapText="1"/>
    </xf>
    <xf numFmtId="0" fontId="9" fillId="0" borderId="0" xfId="124" applyFont="1" applyFill="1" applyBorder="1" applyAlignment="1">
      <alignment vertical="center" wrapText="1"/>
    </xf>
    <xf numFmtId="0" fontId="9" fillId="0" borderId="236" xfId="124" applyFont="1" applyFill="1" applyBorder="1" applyAlignment="1">
      <alignment vertical="center" wrapText="1"/>
    </xf>
    <xf numFmtId="0" fontId="9" fillId="0" borderId="0" xfId="124" quotePrefix="1" applyFont="1" applyFill="1" applyBorder="1" applyAlignment="1">
      <alignment vertical="center" wrapText="1"/>
    </xf>
    <xf numFmtId="0" fontId="9" fillId="0" borderId="0" xfId="93" applyFont="1" applyFill="1" applyAlignment="1" applyProtection="1">
      <alignment vertical="center" wrapText="1"/>
    </xf>
    <xf numFmtId="49" fontId="40" fillId="0" borderId="237" xfId="124" applyNumberFormat="1" applyFont="1" applyFill="1" applyBorder="1" applyAlignment="1">
      <alignment horizontal="center" vertical="center" wrapText="1"/>
    </xf>
    <xf numFmtId="0" fontId="40" fillId="0" borderId="135" xfId="124" applyFont="1" applyFill="1" applyBorder="1" applyAlignment="1">
      <alignment horizontal="center" vertical="center" wrapText="1"/>
    </xf>
    <xf numFmtId="0" fontId="40" fillId="0" borderId="238" xfId="124" applyFont="1" applyFill="1" applyBorder="1" applyAlignment="1">
      <alignment horizontal="center" vertical="center" wrapText="1"/>
    </xf>
    <xf numFmtId="0" fontId="9" fillId="0" borderId="0" xfId="124" applyFont="1" applyFill="1" applyBorder="1" applyAlignment="1">
      <alignment horizontal="center" wrapText="1"/>
    </xf>
    <xf numFmtId="177" fontId="9" fillId="0" borderId="32" xfId="181" applyFont="1" applyFill="1" applyBorder="1" applyAlignment="1" applyProtection="1">
      <alignment vertical="center" wrapText="1"/>
      <protection locked="0"/>
    </xf>
    <xf numFmtId="177" fontId="9" fillId="0" borderId="32" xfId="181" applyFont="1" applyFill="1" applyBorder="1" applyAlignment="1">
      <alignment vertical="center" wrapText="1"/>
    </xf>
    <xf numFmtId="9" fontId="9" fillId="0" borderId="32" xfId="214" applyFont="1" applyFill="1" applyBorder="1" applyAlignment="1">
      <alignment vertical="center" wrapText="1"/>
    </xf>
    <xf numFmtId="0" fontId="40" fillId="0" borderId="239" xfId="124" applyFont="1" applyFill="1" applyBorder="1" applyAlignment="1">
      <alignment horizontal="center" vertical="center" wrapText="1"/>
    </xf>
    <xf numFmtId="177" fontId="9" fillId="0" borderId="132" xfId="181" applyFont="1" applyFill="1" applyBorder="1" applyAlignment="1" applyProtection="1">
      <alignment vertical="center" wrapText="1"/>
      <protection locked="0"/>
    </xf>
    <xf numFmtId="177" fontId="9" fillId="0" borderId="132" xfId="181" applyFont="1" applyFill="1" applyBorder="1" applyAlignment="1">
      <alignment vertical="center" wrapText="1"/>
    </xf>
    <xf numFmtId="9" fontId="9" fillId="0" borderId="132" xfId="214" applyFont="1" applyFill="1" applyBorder="1" applyAlignment="1">
      <alignment vertical="center" wrapText="1"/>
    </xf>
    <xf numFmtId="200" fontId="9" fillId="0" borderId="132" xfId="181" applyNumberFormat="1" applyFont="1" applyFill="1" applyBorder="1" applyAlignment="1">
      <alignment horizontal="center" vertical="center" wrapText="1"/>
    </xf>
    <xf numFmtId="191" fontId="9" fillId="0" borderId="240" xfId="52" applyNumberFormat="1" applyFont="1" applyFill="1" applyBorder="1" applyAlignment="1">
      <alignment horizontal="left" vertical="center" wrapText="1"/>
    </xf>
    <xf numFmtId="177" fontId="9" fillId="0" borderId="34" xfId="181" applyFont="1" applyFill="1" applyBorder="1" applyAlignment="1">
      <alignment vertical="center" wrapText="1"/>
    </xf>
    <xf numFmtId="9" fontId="9" fillId="0" borderId="34" xfId="214" applyFont="1" applyFill="1" applyBorder="1" applyAlignment="1">
      <alignment vertical="center" wrapText="1"/>
    </xf>
    <xf numFmtId="200" fontId="9" fillId="0" borderId="34" xfId="181" applyNumberFormat="1" applyFont="1" applyFill="1" applyBorder="1" applyAlignment="1">
      <alignment vertical="center" wrapText="1"/>
    </xf>
    <xf numFmtId="0" fontId="9" fillId="0" borderId="161" xfId="124" applyFont="1" applyFill="1" applyBorder="1" applyAlignment="1">
      <alignment vertical="center" wrapText="1"/>
    </xf>
    <xf numFmtId="49" fontId="9" fillId="0" borderId="0" xfId="124" applyNumberFormat="1" applyFont="1" applyFill="1" applyBorder="1" applyAlignment="1">
      <alignment horizontal="left" wrapText="1"/>
    </xf>
    <xf numFmtId="49" fontId="9" fillId="0" borderId="0" xfId="124" applyNumberFormat="1" applyFont="1" applyFill="1" applyBorder="1" applyAlignment="1">
      <alignment horizontal="center" vertical="center" wrapText="1"/>
    </xf>
    <xf numFmtId="49" fontId="9" fillId="0" borderId="0" xfId="124" applyNumberFormat="1" applyFont="1" applyFill="1" applyAlignment="1">
      <alignment vertical="center" wrapText="1"/>
    </xf>
    <xf numFmtId="0" fontId="9" fillId="0" borderId="0" xfId="124" applyFont="1" applyFill="1" applyAlignment="1" applyProtection="1">
      <alignment horizontal="left" vertical="center"/>
    </xf>
    <xf numFmtId="0" fontId="9" fillId="0" borderId="0" xfId="93" applyFont="1" applyFill="1" applyAlignment="1" applyProtection="1">
      <alignment horizontal="center" vertical="center" wrapText="1"/>
    </xf>
    <xf numFmtId="199" fontId="9" fillId="0" borderId="0" xfId="61" applyNumberFormat="1" applyFont="1" applyFill="1" applyAlignment="1">
      <alignment horizontal="right" vertical="center" wrapText="1"/>
    </xf>
    <xf numFmtId="0" fontId="40" fillId="0" borderId="237" xfId="124" applyFont="1" applyFill="1" applyBorder="1" applyAlignment="1">
      <alignment horizontal="center" vertical="center" wrapText="1"/>
    </xf>
    <xf numFmtId="0" fontId="9" fillId="0" borderId="139" xfId="61" applyFont="1" applyFill="1" applyBorder="1" applyAlignment="1">
      <alignment horizontal="center" vertical="center" wrapText="1"/>
    </xf>
    <xf numFmtId="0" fontId="9" fillId="0" borderId="32" xfId="61" applyFont="1" applyFill="1" applyBorder="1" applyAlignment="1">
      <alignment horizontal="center" vertical="center" wrapText="1"/>
    </xf>
    <xf numFmtId="177" fontId="9" fillId="0" borderId="32" xfId="181" applyFont="1" applyFill="1" applyBorder="1" applyAlignment="1" applyProtection="1">
      <alignment horizontal="center" vertical="center" wrapText="1"/>
      <protection locked="0"/>
    </xf>
    <xf numFmtId="177" fontId="9" fillId="0" borderId="32" xfId="181" applyFont="1" applyFill="1" applyBorder="1" applyAlignment="1">
      <alignment horizontal="center" vertical="center" wrapText="1"/>
    </xf>
    <xf numFmtId="9" fontId="9" fillId="0" borderId="32" xfId="214" applyFont="1" applyFill="1" applyBorder="1" applyAlignment="1">
      <alignment horizontal="center" vertical="center" wrapText="1"/>
    </xf>
    <xf numFmtId="0" fontId="9" fillId="0" borderId="236" xfId="124" applyFont="1" applyFill="1" applyBorder="1" applyAlignment="1">
      <alignment horizontal="center" vertical="center" wrapText="1"/>
    </xf>
    <xf numFmtId="0" fontId="9" fillId="0" borderId="139" xfId="50" quotePrefix="1" applyFont="1" applyFill="1" applyBorder="1" applyAlignment="1">
      <alignment horizontal="center" vertical="center" wrapText="1"/>
    </xf>
    <xf numFmtId="0" fontId="9" fillId="0" borderId="32" xfId="50" quotePrefix="1" applyFont="1" applyFill="1" applyBorder="1" applyAlignment="1">
      <alignment horizontal="center" vertical="center" wrapText="1"/>
    </xf>
    <xf numFmtId="0" fontId="9" fillId="0" borderId="32" xfId="124" applyFont="1" applyFill="1" applyBorder="1" applyAlignment="1">
      <alignment horizontal="center" vertical="center" wrapText="1"/>
    </xf>
    <xf numFmtId="0" fontId="9" fillId="0" borderId="32" xfId="61" applyFont="1" applyFill="1" applyBorder="1" applyAlignment="1">
      <alignment horizontal="left" vertical="center" wrapText="1"/>
    </xf>
    <xf numFmtId="0" fontId="9" fillId="0" borderId="140" xfId="61" applyFont="1" applyFill="1" applyBorder="1" applyAlignment="1">
      <alignment horizontal="center" vertical="center" wrapText="1"/>
    </xf>
    <xf numFmtId="0" fontId="9" fillId="0" borderId="132" xfId="61" applyFont="1" applyFill="1" applyBorder="1" applyAlignment="1">
      <alignment horizontal="center" vertical="center" wrapText="1"/>
    </xf>
    <xf numFmtId="0" fontId="9" fillId="0" borderId="132" xfId="124" applyFont="1" applyFill="1" applyBorder="1" applyAlignment="1">
      <alignment horizontal="center" vertical="center" wrapText="1"/>
    </xf>
    <xf numFmtId="177" fontId="9" fillId="0" borderId="132" xfId="181" applyFont="1" applyFill="1" applyBorder="1" applyAlignment="1">
      <alignment horizontal="center" vertical="center" wrapText="1"/>
    </xf>
    <xf numFmtId="9" fontId="9" fillId="0" borderId="132" xfId="214" applyFont="1" applyFill="1" applyBorder="1" applyAlignment="1">
      <alignment horizontal="center" vertical="center" wrapText="1"/>
    </xf>
    <xf numFmtId="0" fontId="9" fillId="0" borderId="240" xfId="61" applyFont="1" applyFill="1" applyBorder="1" applyAlignment="1">
      <alignment horizontal="center" vertical="center" wrapText="1"/>
    </xf>
    <xf numFmtId="177" fontId="9" fillId="0" borderId="34" xfId="181" applyFont="1" applyFill="1" applyBorder="1" applyAlignment="1">
      <alignment horizontal="center" vertical="center" wrapText="1"/>
    </xf>
    <xf numFmtId="9" fontId="9" fillId="0" borderId="34" xfId="214" applyFont="1" applyFill="1" applyBorder="1" applyAlignment="1">
      <alignment horizontal="center" vertical="center" wrapText="1"/>
    </xf>
    <xf numFmtId="200" fontId="9" fillId="0" borderId="34" xfId="181" applyNumberFormat="1" applyFont="1" applyFill="1" applyBorder="1" applyAlignment="1">
      <alignment horizontal="center" vertical="center" wrapText="1"/>
    </xf>
    <xf numFmtId="0" fontId="9" fillId="0" borderId="161" xfId="61" applyFont="1" applyFill="1" applyBorder="1" applyAlignment="1">
      <alignment horizontal="center" vertical="center" wrapText="1"/>
    </xf>
    <xf numFmtId="0" fontId="9" fillId="0" borderId="85" xfId="93" applyFont="1" applyFill="1" applyBorder="1" applyAlignment="1" applyProtection="1">
      <alignment horizontal="center" vertical="center" wrapText="1"/>
    </xf>
    <xf numFmtId="0" fontId="40" fillId="0" borderId="18" xfId="93" applyFont="1" applyFill="1" applyBorder="1" applyAlignment="1" applyProtection="1">
      <alignment horizontal="center" vertical="center" wrapText="1"/>
    </xf>
    <xf numFmtId="0" fontId="83" fillId="0" borderId="18" xfId="93" applyFont="1" applyFill="1" applyBorder="1" applyAlignment="1" applyProtection="1">
      <alignment horizontal="center" vertical="center" wrapText="1"/>
    </xf>
    <xf numFmtId="0" fontId="9" fillId="0" borderId="0" xfId="0" applyFont="1" applyFill="1" applyAlignment="1" applyProtection="1">
      <protection locked="0"/>
    </xf>
    <xf numFmtId="0" fontId="9" fillId="0" borderId="0" xfId="93" applyFont="1" applyFill="1" applyAlignment="1" applyProtection="1">
      <alignment horizontal="center" vertical="center" wrapText="1"/>
      <protection locked="0"/>
    </xf>
    <xf numFmtId="0" fontId="9" fillId="0" borderId="0" xfId="93" applyFont="1" applyFill="1" applyBorder="1" applyAlignment="1" applyProtection="1">
      <alignment horizontal="left" vertical="center"/>
    </xf>
    <xf numFmtId="0" fontId="9" fillId="0" borderId="0" xfId="93" applyFont="1" applyFill="1" applyBorder="1" applyAlignment="1" applyProtection="1">
      <alignment horizontal="center" vertical="center" wrapText="1"/>
    </xf>
    <xf numFmtId="0" fontId="9" fillId="0" borderId="0" xfId="93" applyNumberFormat="1" applyFont="1" applyFill="1" applyBorder="1" applyAlignment="1" applyProtection="1">
      <alignment horizontal="right" vertical="center"/>
    </xf>
    <xf numFmtId="0" fontId="9" fillId="0" borderId="86" xfId="93" applyFont="1" applyFill="1" applyBorder="1" applyAlignment="1" applyProtection="1">
      <alignment horizontal="left" vertical="center" wrapText="1"/>
    </xf>
    <xf numFmtId="183" fontId="9" fillId="0" borderId="86" xfId="181" applyNumberFormat="1" applyFont="1" applyFill="1" applyBorder="1" applyAlignment="1" applyProtection="1">
      <alignment horizontal="center" vertical="center" wrapText="1"/>
    </xf>
    <xf numFmtId="10" fontId="9" fillId="0" borderId="86" xfId="214" applyNumberFormat="1" applyFont="1" applyFill="1" applyBorder="1" applyAlignment="1" applyProtection="1">
      <alignment horizontal="center" vertical="center" wrapText="1"/>
    </xf>
    <xf numFmtId="200" fontId="9" fillId="0" borderId="86" xfId="181" applyNumberFormat="1" applyFont="1" applyFill="1" applyBorder="1" applyAlignment="1" applyProtection="1">
      <alignment horizontal="center" vertical="center" wrapText="1"/>
    </xf>
    <xf numFmtId="0" fontId="9" fillId="0" borderId="32" xfId="93" applyFont="1" applyFill="1" applyBorder="1" applyAlignment="1" applyProtection="1">
      <alignment horizontal="left" vertical="center" wrapText="1"/>
    </xf>
    <xf numFmtId="183" fontId="9" fillId="0" borderId="32" xfId="181" applyNumberFormat="1" applyFont="1" applyFill="1" applyBorder="1" applyAlignment="1" applyProtection="1">
      <alignment horizontal="center" vertical="center" wrapText="1"/>
    </xf>
    <xf numFmtId="10" fontId="9" fillId="0" borderId="32" xfId="214" applyNumberFormat="1" applyFont="1" applyFill="1" applyBorder="1" applyAlignment="1" applyProtection="1">
      <alignment horizontal="center" vertical="center" wrapText="1"/>
    </xf>
    <xf numFmtId="200" fontId="9" fillId="0" borderId="32" xfId="181" applyNumberFormat="1" applyFont="1" applyFill="1" applyBorder="1" applyAlignment="1" applyProtection="1">
      <alignment horizontal="center" vertical="center" wrapText="1"/>
    </xf>
    <xf numFmtId="0" fontId="9" fillId="0" borderId="80" xfId="93" applyFont="1" applyFill="1" applyBorder="1" applyAlignment="1" applyProtection="1">
      <alignment horizontal="left" vertical="center" wrapText="1"/>
    </xf>
    <xf numFmtId="183" fontId="9" fillId="0" borderId="80" xfId="181" applyNumberFormat="1" applyFont="1" applyFill="1" applyBorder="1" applyAlignment="1" applyProtection="1">
      <alignment horizontal="center" vertical="center" wrapText="1"/>
    </xf>
    <xf numFmtId="10" fontId="9" fillId="25" borderId="80" xfId="214" applyNumberFormat="1" applyFont="1" applyFill="1" applyBorder="1" applyAlignment="1" applyProtection="1">
      <alignment horizontal="center" vertical="center" wrapText="1"/>
    </xf>
    <xf numFmtId="200" fontId="9" fillId="0" borderId="80" xfId="181" applyNumberFormat="1" applyFont="1" applyFill="1" applyBorder="1" applyAlignment="1" applyProtection="1">
      <alignment horizontal="center" vertical="center" wrapText="1"/>
    </xf>
    <xf numFmtId="0" fontId="9" fillId="0" borderId="15" xfId="93" applyFont="1" applyFill="1" applyBorder="1" applyAlignment="1" applyProtection="1">
      <alignment horizontal="left" vertical="center" wrapText="1"/>
    </xf>
    <xf numFmtId="183" fontId="9" fillId="25" borderId="15" xfId="181" applyNumberFormat="1" applyFont="1" applyFill="1" applyBorder="1" applyAlignment="1" applyProtection="1">
      <alignment horizontal="center" vertical="center" wrapText="1"/>
    </xf>
    <xf numFmtId="10" fontId="9" fillId="25" borderId="15" xfId="214" applyNumberFormat="1" applyFont="1" applyFill="1" applyBorder="1" applyAlignment="1" applyProtection="1">
      <alignment horizontal="center" vertical="center" wrapText="1"/>
    </xf>
    <xf numFmtId="200" fontId="9" fillId="0" borderId="15" xfId="181" applyNumberFormat="1" applyFont="1" applyFill="1" applyBorder="1" applyAlignment="1" applyProtection="1">
      <alignment horizontal="center" wrapText="1"/>
    </xf>
    <xf numFmtId="191" fontId="9" fillId="0" borderId="0" xfId="0" applyNumberFormat="1" applyFont="1" applyAlignment="1">
      <alignment wrapText="1"/>
    </xf>
    <xf numFmtId="0" fontId="9" fillId="0" borderId="0" xfId="93" applyFont="1" applyFill="1" applyBorder="1" applyAlignment="1" applyProtection="1">
      <alignment horizontal="left" vertical="center" wrapText="1"/>
    </xf>
    <xf numFmtId="0" fontId="40" fillId="0" borderId="131" xfId="93" applyFont="1" applyFill="1" applyBorder="1" applyAlignment="1" applyProtection="1">
      <alignment horizontal="center" vertical="center" wrapText="1"/>
    </xf>
    <xf numFmtId="0" fontId="40" fillId="0" borderId="15" xfId="93" applyFont="1" applyFill="1" applyBorder="1" applyAlignment="1" applyProtection="1">
      <alignment horizontal="center" vertical="center" wrapText="1"/>
    </xf>
    <xf numFmtId="220" fontId="40" fillId="0" borderId="0" xfId="93" applyNumberFormat="1" applyFont="1" applyFill="1" applyBorder="1" applyAlignment="1" applyProtection="1">
      <alignment horizontal="center" vertical="center" wrapText="1"/>
    </xf>
    <xf numFmtId="220" fontId="9" fillId="0" borderId="0" xfId="93" applyNumberFormat="1" applyFont="1" applyFill="1" applyBorder="1" applyAlignment="1" applyProtection="1">
      <alignment horizontal="center" vertical="center" wrapText="1"/>
    </xf>
    <xf numFmtId="0" fontId="9" fillId="0" borderId="241" xfId="93" applyFont="1" applyFill="1" applyBorder="1" applyAlignment="1" applyProtection="1">
      <alignment horizontal="center" vertical="center" wrapText="1"/>
    </xf>
    <xf numFmtId="200" fontId="9" fillId="0" borderId="76" xfId="181" applyNumberFormat="1" applyFont="1" applyFill="1" applyBorder="1" applyAlignment="1" applyProtection="1">
      <alignment horizontal="center" vertical="center" wrapText="1"/>
    </xf>
    <xf numFmtId="0" fontId="9" fillId="0" borderId="75" xfId="93" applyFont="1" applyFill="1" applyBorder="1" applyAlignment="1" applyProtection="1">
      <alignment horizontal="center" vertical="center" wrapText="1"/>
    </xf>
    <xf numFmtId="0" fontId="9" fillId="0" borderId="242" xfId="93" applyFont="1" applyFill="1" applyBorder="1" applyAlignment="1" applyProtection="1">
      <alignment horizontal="center" vertical="center" wrapText="1"/>
    </xf>
    <xf numFmtId="200" fontId="9" fillId="0" borderId="91" xfId="181" applyNumberFormat="1" applyFont="1" applyFill="1" applyBorder="1" applyAlignment="1" applyProtection="1">
      <alignment horizontal="center" vertical="center" wrapText="1"/>
    </xf>
    <xf numFmtId="196" fontId="9" fillId="0" borderId="0" xfId="0" applyNumberFormat="1" applyFont="1" applyAlignment="1">
      <alignment wrapText="1"/>
    </xf>
    <xf numFmtId="0" fontId="28" fillId="0" borderId="0" xfId="0" applyFont="1" applyFill="1" applyAlignment="1">
      <alignment horizontal="left" vertical="center"/>
    </xf>
    <xf numFmtId="0" fontId="28" fillId="0" borderId="0" xfId="93" applyFont="1" applyFill="1" applyBorder="1" applyAlignment="1" applyProtection="1">
      <alignment vertical="center"/>
    </xf>
    <xf numFmtId="0" fontId="9" fillId="0" borderId="0" xfId="93" applyFont="1" applyFill="1" applyBorder="1" applyAlignment="1" applyProtection="1">
      <alignment vertical="center"/>
    </xf>
    <xf numFmtId="0" fontId="9" fillId="0" borderId="31" xfId="95" applyFont="1" applyFill="1" applyBorder="1" applyAlignment="1" applyProtection="1">
      <alignment vertical="center" wrapText="1"/>
    </xf>
    <xf numFmtId="0" fontId="9" fillId="0" borderId="0" xfId="0" applyFont="1" applyFill="1" applyAlignment="1">
      <alignment wrapText="1"/>
    </xf>
    <xf numFmtId="0" fontId="9" fillId="0" borderId="0" xfId="165" applyFont="1" applyFill="1" applyAlignment="1" applyProtection="1">
      <alignment vertical="center"/>
      <protection locked="0"/>
    </xf>
    <xf numFmtId="192" fontId="9" fillId="0" borderId="0" xfId="93" applyNumberFormat="1" applyFont="1" applyFill="1" applyBorder="1" applyAlignment="1" applyProtection="1">
      <alignment horizontal="center" vertical="center" wrapText="1"/>
    </xf>
    <xf numFmtId="0" fontId="40" fillId="0" borderId="133" xfId="96" applyFont="1" applyFill="1" applyBorder="1" applyAlignment="1" applyProtection="1">
      <alignment horizontal="center" vertical="center" wrapText="1"/>
    </xf>
    <xf numFmtId="0" fontId="40" fillId="0" borderId="30" xfId="96" applyNumberFormat="1" applyFont="1" applyFill="1" applyBorder="1" applyAlignment="1" applyProtection="1">
      <alignment horizontal="center" vertical="center" wrapText="1"/>
    </xf>
    <xf numFmtId="0" fontId="40" fillId="0" borderId="243" xfId="96" applyNumberFormat="1" applyFont="1" applyFill="1" applyBorder="1" applyAlignment="1" applyProtection="1">
      <alignment horizontal="center" vertical="center" wrapText="1"/>
    </xf>
    <xf numFmtId="0" fontId="40" fillId="0" borderId="244" xfId="96" applyNumberFormat="1" applyFont="1" applyFill="1" applyBorder="1" applyAlignment="1" applyProtection="1">
      <alignment horizontal="center" vertical="center" wrapText="1"/>
    </xf>
    <xf numFmtId="0" fontId="40" fillId="0" borderId="136" xfId="96" applyNumberFormat="1" applyFont="1" applyFill="1" applyBorder="1" applyAlignment="1" applyProtection="1">
      <alignment horizontal="center" vertical="center" wrapText="1"/>
    </xf>
    <xf numFmtId="0" fontId="40" fillId="0" borderId="33" xfId="96" applyFont="1" applyFill="1" applyBorder="1" applyAlignment="1" applyProtection="1">
      <alignment vertical="center" wrapText="1"/>
    </xf>
    <xf numFmtId="195" fontId="40" fillId="0" borderId="34" xfId="96" applyNumberFormat="1" applyFont="1" applyFill="1" applyBorder="1" applyAlignment="1" applyProtection="1">
      <alignment horizontal="center" vertical="center" wrapText="1"/>
    </xf>
    <xf numFmtId="178" fontId="40" fillId="0" borderId="197" xfId="167" applyNumberFormat="1" applyFont="1" applyFill="1" applyBorder="1" applyAlignment="1" applyProtection="1">
      <alignment horizontal="right" vertical="center" wrapText="1"/>
    </xf>
    <xf numFmtId="221" fontId="40" fillId="0" borderId="249" xfId="167" applyNumberFormat="1" applyFont="1" applyFill="1" applyBorder="1" applyAlignment="1" applyProtection="1">
      <alignment horizontal="center" vertical="center" wrapText="1"/>
    </xf>
    <xf numFmtId="178" fontId="40" fillId="0" borderId="250" xfId="167" applyNumberFormat="1" applyFont="1" applyFill="1" applyBorder="1" applyAlignment="1" applyProtection="1">
      <alignment horizontal="right" vertical="center" wrapText="1"/>
    </xf>
    <xf numFmtId="0" fontId="9" fillId="0" borderId="0" xfId="124" applyFont="1" applyFill="1" applyBorder="1" applyAlignment="1" applyProtection="1">
      <alignment horizontal="left" vertical="center"/>
    </xf>
    <xf numFmtId="0" fontId="9" fillId="0" borderId="0" xfId="141" applyFont="1" applyFill="1" applyAlignment="1">
      <alignment horizontal="right"/>
    </xf>
    <xf numFmtId="0" fontId="9" fillId="0" borderId="18" xfId="124" applyFont="1" applyFill="1" applyBorder="1" applyAlignment="1">
      <alignment horizontal="center" vertical="center" wrapText="1"/>
    </xf>
    <xf numFmtId="183" fontId="9" fillId="0" borderId="0" xfId="195" applyNumberFormat="1" applyFont="1" applyFill="1" applyBorder="1" applyAlignment="1" applyProtection="1">
      <alignment horizontal="center" vertical="center" wrapText="1"/>
    </xf>
    <xf numFmtId="0" fontId="9" fillId="0" borderId="0" xfId="124" applyFont="1" applyFill="1" applyBorder="1" applyAlignment="1">
      <alignment horizontal="left" wrapText="1"/>
    </xf>
    <xf numFmtId="200" fontId="9" fillId="0" borderId="0" xfId="195" applyNumberFormat="1" applyFont="1" applyFill="1" applyBorder="1" applyAlignment="1" applyProtection="1">
      <alignment horizontal="center" vertical="center" wrapText="1"/>
    </xf>
    <xf numFmtId="0" fontId="40" fillId="0" borderId="18" xfId="124" applyFont="1" applyFill="1" applyBorder="1" applyAlignment="1">
      <alignment horizontal="center" vertical="center" wrapText="1"/>
    </xf>
    <xf numFmtId="49" fontId="40" fillId="0" borderId="56" xfId="195" applyNumberFormat="1" applyFont="1" applyFill="1" applyBorder="1" applyAlignment="1" applyProtection="1">
      <alignment horizontal="center" vertical="center" wrapText="1"/>
    </xf>
    <xf numFmtId="0" fontId="40" fillId="0" borderId="27" xfId="139" quotePrefix="1" applyFont="1" applyFill="1" applyBorder="1" applyAlignment="1">
      <alignment horizontal="center" vertical="center" wrapText="1"/>
    </xf>
    <xf numFmtId="0" fontId="40" fillId="0" borderId="28" xfId="139" quotePrefix="1" applyFont="1" applyFill="1" applyBorder="1" applyAlignment="1">
      <alignment horizontal="center" vertical="center" wrapText="1"/>
    </xf>
    <xf numFmtId="205" fontId="9" fillId="0" borderId="66" xfId="195" applyNumberFormat="1" applyFont="1" applyFill="1" applyBorder="1" applyAlignment="1" applyProtection="1">
      <alignment horizontal="center" vertical="center" wrapText="1"/>
    </xf>
    <xf numFmtId="0" fontId="9" fillId="0" borderId="76" xfId="124" applyFont="1" applyFill="1" applyBorder="1" applyAlignment="1">
      <alignment vertical="center" wrapText="1"/>
    </xf>
    <xf numFmtId="183" fontId="9" fillId="0" borderId="76" xfId="181" applyNumberFormat="1" applyFont="1" applyFill="1" applyBorder="1" applyAlignment="1" applyProtection="1">
      <alignment horizontal="left" vertical="center" wrapText="1"/>
      <protection locked="0"/>
    </xf>
    <xf numFmtId="200" fontId="9" fillId="0" borderId="76" xfId="181" applyNumberFormat="1" applyFont="1" applyFill="1" applyBorder="1" applyAlignment="1" applyProtection="1">
      <alignment horizontal="right" vertical="center" wrapText="1"/>
    </xf>
    <xf numFmtId="183" fontId="9" fillId="0" borderId="76" xfId="181" applyNumberFormat="1" applyFont="1" applyFill="1" applyBorder="1" applyAlignment="1" applyProtection="1">
      <alignment horizontal="center" vertical="center" wrapText="1"/>
    </xf>
    <xf numFmtId="183" fontId="9" fillId="0" borderId="113" xfId="181" applyNumberFormat="1" applyFont="1" applyFill="1" applyBorder="1" applyAlignment="1" applyProtection="1">
      <alignment horizontal="center" vertical="center" wrapText="1"/>
    </xf>
    <xf numFmtId="205" fontId="9" fillId="0" borderId="57" xfId="195" applyNumberFormat="1" applyFont="1" applyFill="1" applyBorder="1" applyAlignment="1" applyProtection="1">
      <alignment horizontal="center" vertical="center" wrapText="1"/>
    </xf>
    <xf numFmtId="0" fontId="9" fillId="0" borderId="32" xfId="124" applyFont="1" applyFill="1" applyBorder="1" applyAlignment="1">
      <alignment vertical="center" wrapText="1"/>
    </xf>
    <xf numFmtId="183" fontId="9" fillId="0" borderId="32" xfId="181" applyNumberFormat="1" applyFont="1" applyFill="1" applyBorder="1" applyAlignment="1" applyProtection="1">
      <alignment vertical="center" wrapText="1"/>
      <protection locked="0"/>
    </xf>
    <xf numFmtId="200" fontId="9" fillId="0" borderId="32" xfId="181" applyNumberFormat="1" applyFont="1" applyFill="1" applyBorder="1" applyAlignment="1" applyProtection="1">
      <alignment horizontal="right" vertical="center" wrapText="1"/>
    </xf>
    <xf numFmtId="183" fontId="9" fillId="0" borderId="111" xfId="181" applyNumberFormat="1" applyFont="1" applyFill="1" applyBorder="1" applyAlignment="1" applyProtection="1">
      <alignment horizontal="center" vertical="center" wrapText="1"/>
    </xf>
    <xf numFmtId="200" fontId="9" fillId="0" borderId="32" xfId="181" applyNumberFormat="1" applyFont="1" applyFill="1" applyBorder="1" applyAlignment="1">
      <alignment vertical="center" wrapText="1"/>
    </xf>
    <xf numFmtId="0" fontId="9" fillId="0" borderId="183" xfId="124" applyFont="1" applyFill="1" applyBorder="1" applyAlignment="1">
      <alignment vertical="center" wrapText="1"/>
    </xf>
    <xf numFmtId="183" fontId="9" fillId="0" borderId="183" xfId="181" applyNumberFormat="1" applyFont="1" applyFill="1" applyBorder="1" applyAlignment="1" applyProtection="1">
      <alignment vertical="center" wrapText="1"/>
      <protection locked="0"/>
    </xf>
    <xf numFmtId="183" fontId="9" fillId="0" borderId="183" xfId="181" applyNumberFormat="1" applyFont="1" applyFill="1" applyBorder="1" applyAlignment="1" applyProtection="1">
      <alignment horizontal="center" vertical="center" wrapText="1"/>
    </xf>
    <xf numFmtId="183" fontId="9" fillId="0" borderId="176" xfId="181" applyNumberFormat="1" applyFont="1" applyFill="1" applyBorder="1" applyAlignment="1" applyProtection="1">
      <alignment horizontal="center" vertical="center" wrapText="1"/>
    </xf>
    <xf numFmtId="205" fontId="9" fillId="26" borderId="57" xfId="195" applyNumberFormat="1" applyFont="1" applyFill="1" applyBorder="1" applyAlignment="1" applyProtection="1">
      <alignment horizontal="center" vertical="center" wrapText="1"/>
    </xf>
    <xf numFmtId="183" fontId="9" fillId="26" borderId="18" xfId="181" applyNumberFormat="1" applyFont="1" applyFill="1" applyBorder="1" applyAlignment="1" applyProtection="1">
      <alignment vertical="center" wrapText="1"/>
      <protection locked="0"/>
    </xf>
    <xf numFmtId="200" fontId="9" fillId="26" borderId="18" xfId="181" applyNumberFormat="1" applyFont="1" applyFill="1" applyBorder="1" applyAlignment="1">
      <alignment vertical="center" wrapText="1"/>
    </xf>
    <xf numFmtId="183" fontId="9" fillId="26" borderId="56" xfId="181" applyNumberFormat="1" applyFont="1" applyFill="1" applyBorder="1" applyAlignment="1" applyProtection="1">
      <alignment vertical="center" wrapText="1"/>
      <protection locked="0"/>
    </xf>
    <xf numFmtId="204" fontId="9" fillId="0" borderId="57" xfId="107" applyNumberFormat="1" applyFont="1" applyFill="1" applyBorder="1" applyAlignment="1" applyProtection="1">
      <alignment horizontal="center" vertical="center" wrapText="1"/>
    </xf>
    <xf numFmtId="183" fontId="9" fillId="0" borderId="76" xfId="181" applyNumberFormat="1" applyFont="1" applyFill="1" applyBorder="1" applyAlignment="1" applyProtection="1">
      <alignment vertical="center" wrapText="1"/>
      <protection locked="0"/>
    </xf>
    <xf numFmtId="200" fontId="9" fillId="0" borderId="183" xfId="181" applyNumberFormat="1" applyFont="1" applyFill="1" applyBorder="1" applyAlignment="1">
      <alignment vertical="center" wrapText="1"/>
    </xf>
    <xf numFmtId="183" fontId="9" fillId="26" borderId="18" xfId="181" applyNumberFormat="1" applyFont="1" applyFill="1" applyBorder="1" applyAlignment="1">
      <alignment vertical="center" wrapText="1"/>
    </xf>
    <xf numFmtId="200" fontId="9" fillId="26" borderId="18" xfId="181" applyNumberFormat="1" applyFont="1" applyFill="1" applyBorder="1" applyAlignment="1" applyProtection="1">
      <alignment horizontal="center" vertical="center" wrapText="1"/>
    </xf>
    <xf numFmtId="183" fontId="9" fillId="26" borderId="56" xfId="181" applyNumberFormat="1" applyFont="1" applyFill="1" applyBorder="1" applyAlignment="1" applyProtection="1">
      <alignment vertical="center" wrapText="1"/>
    </xf>
    <xf numFmtId="204" fontId="9" fillId="0" borderId="58" xfId="107" applyNumberFormat="1" applyFont="1" applyFill="1" applyBorder="1" applyAlignment="1" applyProtection="1">
      <alignment horizontal="center" vertical="center" wrapText="1"/>
    </xf>
    <xf numFmtId="183" fontId="9" fillId="0" borderId="27" xfId="181" applyNumberFormat="1" applyFont="1" applyBorder="1" applyAlignment="1">
      <alignment wrapText="1"/>
    </xf>
    <xf numFmtId="183" fontId="9" fillId="0" borderId="3" xfId="181" applyNumberFormat="1" applyFont="1" applyBorder="1" applyAlignment="1">
      <alignment wrapText="1"/>
    </xf>
    <xf numFmtId="183" fontId="9" fillId="0" borderId="71" xfId="181" applyNumberFormat="1" applyFont="1" applyBorder="1" applyAlignment="1">
      <alignment wrapText="1"/>
    </xf>
    <xf numFmtId="49" fontId="9" fillId="0" borderId="0" xfId="181" applyNumberFormat="1" applyFont="1" applyFill="1" applyBorder="1" applyAlignment="1" applyProtection="1">
      <alignment horizontal="center" vertical="center"/>
    </xf>
    <xf numFmtId="0" fontId="9" fillId="0" borderId="0" xfId="0" applyFont="1" applyAlignment="1"/>
    <xf numFmtId="0" fontId="40" fillId="0" borderId="56" xfId="124" applyFont="1" applyFill="1" applyBorder="1" applyAlignment="1">
      <alignment horizontal="center" vertical="center" wrapText="1"/>
    </xf>
    <xf numFmtId="200" fontId="9" fillId="32" borderId="32" xfId="181" applyNumberFormat="1" applyFont="1" applyFill="1" applyBorder="1" applyAlignment="1">
      <alignment vertical="center" wrapText="1"/>
    </xf>
    <xf numFmtId="183" fontId="9" fillId="26" borderId="18" xfId="181" applyNumberFormat="1" applyFont="1" applyFill="1" applyBorder="1" applyAlignment="1" applyProtection="1">
      <alignment vertical="center" wrapText="1"/>
    </xf>
    <xf numFmtId="204" fontId="9" fillId="26" borderId="57" xfId="107" applyNumberFormat="1" applyFont="1" applyFill="1" applyBorder="1" applyAlignment="1" applyProtection="1">
      <alignment horizontal="center" vertical="center" wrapText="1"/>
    </xf>
    <xf numFmtId="183" fontId="9" fillId="26" borderId="56" xfId="181" applyNumberFormat="1" applyFont="1" applyFill="1" applyBorder="1" applyAlignment="1">
      <alignment vertical="center" wrapText="1"/>
    </xf>
    <xf numFmtId="0" fontId="9" fillId="0" borderId="91" xfId="124" applyFont="1" applyFill="1" applyBorder="1" applyAlignment="1">
      <alignment vertical="center" wrapText="1"/>
    </xf>
    <xf numFmtId="183" fontId="9" fillId="0" borderId="91" xfId="181" applyNumberFormat="1" applyFont="1" applyFill="1" applyBorder="1" applyAlignment="1" applyProtection="1">
      <alignment vertical="center" wrapText="1"/>
      <protection locked="0"/>
    </xf>
    <xf numFmtId="183" fontId="9" fillId="0" borderId="91" xfId="181" applyNumberFormat="1" applyFont="1" applyFill="1" applyBorder="1" applyAlignment="1" applyProtection="1">
      <alignment horizontal="center" vertical="center" wrapText="1"/>
    </xf>
    <xf numFmtId="183" fontId="9" fillId="0" borderId="196" xfId="181" applyNumberFormat="1" applyFont="1" applyFill="1" applyBorder="1" applyAlignment="1" applyProtection="1">
      <alignment horizontal="center" vertical="center" wrapText="1"/>
    </xf>
    <xf numFmtId="204" fontId="9" fillId="26" borderId="58" xfId="107" applyNumberFormat="1" applyFont="1" applyFill="1" applyBorder="1" applyAlignment="1" applyProtection="1">
      <alignment horizontal="center" vertical="center" wrapText="1"/>
    </xf>
    <xf numFmtId="183" fontId="9" fillId="26" borderId="27" xfId="181" applyNumberFormat="1" applyFont="1" applyFill="1" applyBorder="1" applyAlignment="1">
      <alignment vertical="center" wrapText="1"/>
    </xf>
    <xf numFmtId="200" fontId="9" fillId="26" borderId="27" xfId="181" applyNumberFormat="1" applyFont="1" applyFill="1" applyBorder="1" applyAlignment="1" applyProtection="1">
      <alignment horizontal="center" vertical="center" wrapText="1"/>
    </xf>
    <xf numFmtId="183" fontId="9" fillId="26" borderId="27" xfId="181" applyNumberFormat="1" applyFont="1" applyFill="1" applyBorder="1" applyAlignment="1" applyProtection="1">
      <alignment vertical="center" wrapText="1"/>
    </xf>
    <xf numFmtId="183" fontId="9" fillId="26" borderId="28" xfId="181" applyNumberFormat="1" applyFont="1" applyFill="1" applyBorder="1" applyAlignment="1" applyProtection="1">
      <alignment vertical="center" wrapText="1"/>
    </xf>
    <xf numFmtId="0" fontId="9" fillId="0" borderId="0" xfId="0" applyFont="1" applyFill="1" applyAlignment="1"/>
    <xf numFmtId="0" fontId="9" fillId="0" borderId="0" xfId="0" applyFont="1" applyAlignment="1">
      <alignment horizontal="left" vertical="center"/>
    </xf>
    <xf numFmtId="0" fontId="9" fillId="0" borderId="0" xfId="0" applyFont="1" applyAlignment="1">
      <alignment vertical="center" wrapText="1"/>
    </xf>
    <xf numFmtId="0" fontId="40" fillId="0" borderId="27"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28" xfId="0" applyFont="1" applyBorder="1" applyAlignment="1">
      <alignment horizontal="center" vertical="center" wrapText="1"/>
    </xf>
    <xf numFmtId="0" fontId="9" fillId="0" borderId="66" xfId="0" applyFont="1" applyBorder="1" applyAlignment="1">
      <alignment horizontal="center" vertical="center" wrapText="1"/>
    </xf>
    <xf numFmtId="0" fontId="9" fillId="0" borderId="76" xfId="0" applyFont="1" applyBorder="1" applyAlignment="1">
      <alignment vertical="center" wrapText="1"/>
    </xf>
    <xf numFmtId="183" fontId="9" fillId="0" borderId="76" xfId="181" applyNumberFormat="1" applyFont="1" applyBorder="1" applyAlignment="1">
      <alignment vertical="center" wrapText="1"/>
    </xf>
    <xf numFmtId="200" fontId="9" fillId="0" borderId="135" xfId="181" applyNumberFormat="1" applyFont="1" applyBorder="1" applyAlignment="1">
      <alignment vertical="center" wrapText="1"/>
    </xf>
    <xf numFmtId="183" fontId="9" fillId="0" borderId="113" xfId="181" applyNumberFormat="1" applyFont="1" applyBorder="1" applyAlignment="1">
      <alignment vertical="center" wrapText="1"/>
    </xf>
    <xf numFmtId="0" fontId="9" fillId="0" borderId="57" xfId="0" applyFont="1" applyBorder="1" applyAlignment="1">
      <alignment horizontal="center" vertical="center" wrapText="1"/>
    </xf>
    <xf numFmtId="0" fontId="9" fillId="0" borderId="32" xfId="0" applyFont="1" applyBorder="1" applyAlignment="1">
      <alignment vertical="center" wrapText="1"/>
    </xf>
    <xf numFmtId="183" fontId="9" fillId="0" borderId="32" xfId="181" applyNumberFormat="1" applyFont="1" applyBorder="1" applyAlignment="1">
      <alignment vertical="center" wrapText="1"/>
    </xf>
    <xf numFmtId="200" fontId="9" fillId="0" borderId="32" xfId="181" applyNumberFormat="1" applyFont="1" applyBorder="1" applyAlignment="1">
      <alignment vertical="center" wrapText="1"/>
    </xf>
    <xf numFmtId="183" fontId="9" fillId="0" borderId="111" xfId="181" applyNumberFormat="1" applyFont="1" applyBorder="1" applyAlignment="1">
      <alignment vertical="center" wrapText="1"/>
    </xf>
    <xf numFmtId="0" fontId="9" fillId="0" borderId="183" xfId="0" applyFont="1" applyBorder="1" applyAlignment="1">
      <alignment vertical="center" wrapText="1"/>
    </xf>
    <xf numFmtId="183" fontId="9" fillId="0" borderId="183" xfId="181" applyNumberFormat="1" applyFont="1" applyBorder="1" applyAlignment="1">
      <alignment vertical="center" wrapText="1"/>
    </xf>
    <xf numFmtId="183" fontId="9" fillId="0" borderId="176" xfId="181" applyNumberFormat="1" applyFont="1" applyBorder="1" applyAlignment="1">
      <alignment vertical="center" wrapText="1"/>
    </xf>
    <xf numFmtId="0" fontId="9" fillId="26" borderId="57" xfId="0" applyFont="1" applyFill="1" applyBorder="1" applyAlignment="1">
      <alignment horizontal="center" vertical="center" wrapText="1"/>
    </xf>
    <xf numFmtId="183" fontId="9" fillId="0" borderId="76" xfId="181" applyNumberFormat="1" applyFont="1" applyFill="1" applyBorder="1" applyAlignment="1">
      <alignment vertical="center" wrapText="1"/>
    </xf>
    <xf numFmtId="200" fontId="9" fillId="0" borderId="76" xfId="181" applyNumberFormat="1" applyFont="1" applyBorder="1" applyAlignment="1">
      <alignment vertical="center" wrapText="1"/>
    </xf>
    <xf numFmtId="183" fontId="9" fillId="26" borderId="15" xfId="181" applyNumberFormat="1" applyFont="1" applyFill="1" applyBorder="1" applyAlignment="1">
      <alignment vertical="center" wrapText="1"/>
    </xf>
    <xf numFmtId="200" fontId="9" fillId="26" borderId="15" xfId="181" applyNumberFormat="1" applyFont="1" applyFill="1" applyBorder="1" applyAlignment="1">
      <alignment vertical="center" wrapText="1"/>
    </xf>
    <xf numFmtId="183" fontId="9" fillId="26" borderId="74" xfId="181" applyNumberFormat="1" applyFont="1" applyFill="1" applyBorder="1" applyAlignment="1">
      <alignment vertical="center" wrapText="1"/>
    </xf>
    <xf numFmtId="183" fontId="9" fillId="26" borderId="16" xfId="181" applyNumberFormat="1" applyFont="1" applyFill="1" applyBorder="1" applyAlignment="1">
      <alignment vertical="center" wrapText="1"/>
    </xf>
    <xf numFmtId="200" fontId="9" fillId="26" borderId="16" xfId="181" applyNumberFormat="1" applyFont="1" applyFill="1" applyBorder="1" applyAlignment="1">
      <alignment vertical="center" wrapText="1"/>
    </xf>
    <xf numFmtId="183" fontId="9" fillId="26" borderId="72" xfId="181" applyNumberFormat="1" applyFont="1" applyFill="1" applyBorder="1" applyAlignment="1">
      <alignment vertical="center" wrapText="1"/>
    </xf>
    <xf numFmtId="0" fontId="9" fillId="0" borderId="0" xfId="0" applyFont="1" applyAlignment="1">
      <alignment horizontal="center" vertical="center" wrapText="1"/>
    </xf>
    <xf numFmtId="179" fontId="28" fillId="0" borderId="0" xfId="124" applyNumberFormat="1" applyFont="1" applyFill="1" applyAlignment="1" applyProtection="1"/>
    <xf numFmtId="0" fontId="9" fillId="0" borderId="0" xfId="93" applyFont="1" applyFill="1" applyBorder="1" applyAlignment="1" applyProtection="1">
      <alignment horizontal="center" vertical="center"/>
    </xf>
    <xf numFmtId="0" fontId="9" fillId="0" borderId="32" xfId="124" applyFont="1" applyFill="1" applyBorder="1" applyAlignment="1" applyProtection="1">
      <alignment horizontal="left" vertical="center" wrapText="1"/>
      <protection locked="0"/>
    </xf>
    <xf numFmtId="0" fontId="9" fillId="0" borderId="0" xfId="124" applyFont="1" applyFill="1" applyBorder="1" applyAlignment="1" applyProtection="1">
      <alignment vertical="center" wrapText="1"/>
    </xf>
    <xf numFmtId="0" fontId="9" fillId="0" borderId="32" xfId="124" applyFont="1" applyFill="1" applyBorder="1" applyAlignment="1" applyProtection="1">
      <alignment horizontal="left" vertical="top" wrapText="1"/>
      <protection locked="0"/>
    </xf>
    <xf numFmtId="0" fontId="9" fillId="0" borderId="32" xfId="96" applyFont="1" applyFill="1" applyBorder="1" applyAlignment="1" applyProtection="1">
      <alignment horizontal="left" vertical="center" wrapText="1"/>
      <protection locked="0"/>
    </xf>
    <xf numFmtId="0" fontId="9" fillId="0" borderId="0" xfId="93" applyFont="1" applyFill="1" applyAlignment="1" applyProtection="1">
      <alignment horizontal="center" vertical="center"/>
    </xf>
    <xf numFmtId="0" fontId="9" fillId="0" borderId="0" xfId="124" applyFont="1" applyFill="1" applyAlignment="1" applyProtection="1">
      <alignment horizontal="center"/>
    </xf>
    <xf numFmtId="0" fontId="9" fillId="0" borderId="0" xfId="124" applyFont="1" applyFill="1" applyAlignment="1" applyProtection="1">
      <alignment vertical="center" wrapText="1"/>
      <protection locked="0"/>
    </xf>
    <xf numFmtId="183" fontId="9" fillId="0" borderId="0" xfId="195" applyNumberFormat="1" applyFont="1" applyFill="1" applyBorder="1" applyAlignment="1" applyProtection="1">
      <alignment horizontal="right" wrapText="1"/>
    </xf>
    <xf numFmtId="183" fontId="40" fillId="0" borderId="0" xfId="195" applyNumberFormat="1" applyFont="1" applyFill="1" applyBorder="1" applyAlignment="1" applyProtection="1">
      <alignment horizontal="center" vertical="center" wrapText="1"/>
    </xf>
    <xf numFmtId="205" fontId="9" fillId="0" borderId="15" xfId="124" applyNumberFormat="1" applyFont="1" applyFill="1" applyBorder="1" applyAlignment="1" applyProtection="1">
      <alignment horizontal="center" vertical="center" wrapText="1"/>
    </xf>
    <xf numFmtId="0" fontId="9" fillId="0" borderId="0" xfId="124" applyFont="1" applyFill="1" applyAlignment="1" applyProtection="1">
      <alignment vertical="center" wrapText="1"/>
    </xf>
    <xf numFmtId="205" fontId="9" fillId="0" borderId="18" xfId="124" applyNumberFormat="1" applyFont="1" applyFill="1" applyBorder="1" applyAlignment="1" applyProtection="1">
      <alignment horizontal="center" vertical="center" wrapText="1"/>
    </xf>
    <xf numFmtId="193" fontId="9" fillId="0" borderId="32" xfId="124" applyNumberFormat="1" applyFont="1" applyFill="1" applyBorder="1" applyAlignment="1" applyProtection="1">
      <alignment horizontal="center" vertical="center" wrapText="1"/>
    </xf>
    <xf numFmtId="0" fontId="9" fillId="25" borderId="32" xfId="124" applyFont="1" applyFill="1" applyBorder="1" applyAlignment="1" applyProtection="1">
      <alignment horizontal="left" vertical="center" wrapText="1"/>
      <protection locked="0"/>
    </xf>
    <xf numFmtId="0" fontId="9" fillId="25" borderId="32" xfId="124" applyFont="1" applyFill="1" applyBorder="1" applyAlignment="1" applyProtection="1">
      <alignment horizontal="left" vertical="center" wrapText="1" indent="4"/>
    </xf>
    <xf numFmtId="183" fontId="9" fillId="25" borderId="32" xfId="195" applyNumberFormat="1" applyFont="1" applyFill="1" applyBorder="1" applyAlignment="1" applyProtection="1">
      <alignment horizontal="center" vertical="center" wrapText="1"/>
    </xf>
    <xf numFmtId="0" fontId="9" fillId="0" borderId="32" xfId="124" applyFont="1" applyFill="1" applyBorder="1" applyAlignment="1" applyProtection="1">
      <alignment horizontal="left" vertical="center" wrapText="1" indent="6"/>
    </xf>
    <xf numFmtId="0" fontId="9" fillId="25" borderId="32" xfId="124" applyFont="1" applyFill="1" applyBorder="1" applyAlignment="1" applyProtection="1">
      <alignment horizontal="left" vertical="center" wrapText="1" indent="6"/>
    </xf>
    <xf numFmtId="0" fontId="9" fillId="0" borderId="32" xfId="124" applyFont="1" applyFill="1" applyBorder="1" applyAlignment="1" applyProtection="1">
      <alignment horizontal="left" vertical="center" wrapText="1" indent="8"/>
    </xf>
    <xf numFmtId="183" fontId="9" fillId="0" borderId="0" xfId="195" applyNumberFormat="1" applyFont="1" applyFill="1" applyBorder="1" applyAlignment="1" applyProtection="1">
      <alignment horizontal="center" vertical="center" wrapText="1"/>
      <protection locked="0"/>
    </xf>
    <xf numFmtId="183" fontId="9" fillId="0" borderId="0" xfId="195" applyNumberFormat="1" applyFont="1" applyFill="1" applyAlignment="1" applyProtection="1">
      <alignment vertical="center" wrapText="1"/>
    </xf>
    <xf numFmtId="0" fontId="9" fillId="0" borderId="132" xfId="124" applyFont="1" applyFill="1" applyBorder="1" applyAlignment="1" applyProtection="1">
      <alignment horizontal="left" vertical="center" wrapText="1"/>
      <protection locked="0"/>
    </xf>
    <xf numFmtId="189" fontId="9" fillId="0" borderId="0" xfId="93" applyNumberFormat="1" applyFont="1" applyFill="1" applyBorder="1" applyAlignment="1" applyProtection="1">
      <alignment horizontal="center" vertical="center" wrapText="1"/>
    </xf>
    <xf numFmtId="0" fontId="9" fillId="0" borderId="0" xfId="124" applyFont="1" applyFill="1" applyAlignment="1" applyProtection="1">
      <alignment wrapText="1"/>
    </xf>
    <xf numFmtId="0" fontId="9" fillId="0" borderId="0" xfId="124" applyFont="1" applyFill="1" applyBorder="1" applyAlignment="1" applyProtection="1">
      <alignment horizontal="left" vertical="center" wrapText="1"/>
    </xf>
    <xf numFmtId="189" fontId="9" fillId="0" borderId="0" xfId="124" applyNumberFormat="1" applyFont="1" applyFill="1" applyBorder="1" applyAlignment="1" applyProtection="1">
      <alignment horizontal="center" vertical="center" wrapText="1"/>
    </xf>
    <xf numFmtId="0" fontId="9" fillId="0" borderId="0" xfId="124" applyFont="1" applyFill="1" applyAlignment="1" applyProtection="1">
      <alignment horizontal="center" wrapText="1"/>
    </xf>
    <xf numFmtId="179" fontId="9" fillId="0" borderId="0" xfId="124" applyNumberFormat="1" applyFont="1" applyFill="1" applyAlignment="1" applyProtection="1">
      <alignment wrapText="1"/>
    </xf>
    <xf numFmtId="192" fontId="9" fillId="0" borderId="0" xfId="124" applyNumberFormat="1" applyFont="1" applyFill="1" applyBorder="1" applyAlignment="1" applyProtection="1">
      <alignment horizontal="center" vertical="center" wrapText="1"/>
    </xf>
    <xf numFmtId="0" fontId="9" fillId="0" borderId="0" xfId="124" applyFont="1" applyFill="1" applyAlignment="1" applyProtection="1">
      <alignment horizontal="center" vertical="center" wrapText="1"/>
    </xf>
    <xf numFmtId="179" fontId="9" fillId="0" borderId="0" xfId="124" applyNumberFormat="1" applyFont="1" applyFill="1" applyBorder="1" applyAlignment="1" applyProtection="1">
      <alignment wrapText="1"/>
    </xf>
    <xf numFmtId="197" fontId="9" fillId="0" borderId="18" xfId="0" applyNumberFormat="1" applyFont="1" applyFill="1" applyBorder="1" applyAlignment="1" applyProtection="1">
      <alignment horizontal="center" vertical="center" wrapText="1"/>
    </xf>
    <xf numFmtId="0" fontId="9" fillId="0" borderId="0" xfId="0" applyFont="1" applyFill="1" applyAlignment="1">
      <alignment vertical="center" wrapText="1"/>
    </xf>
    <xf numFmtId="0" fontId="9" fillId="0" borderId="18" xfId="0" applyFont="1" applyFill="1" applyBorder="1" applyAlignment="1">
      <alignment horizontal="left" vertical="center" wrapText="1"/>
    </xf>
    <xf numFmtId="197" fontId="9" fillId="0" borderId="18" xfId="0" quotePrefix="1" applyNumberFormat="1" applyFont="1" applyFill="1" applyBorder="1" applyAlignment="1" applyProtection="1">
      <alignment horizontal="center" vertical="center" wrapText="1"/>
      <protection locked="0"/>
    </xf>
    <xf numFmtId="197" fontId="9" fillId="0" borderId="18" xfId="0" applyNumberFormat="1" applyFont="1" applyFill="1" applyBorder="1" applyAlignment="1">
      <alignment horizontal="center" vertical="center" wrapText="1"/>
    </xf>
    <xf numFmtId="197" fontId="9" fillId="0" borderId="18" xfId="157" applyNumberFormat="1" applyFont="1" applyFill="1" applyBorder="1" applyAlignment="1">
      <alignment horizontal="left" vertical="center" wrapText="1"/>
    </xf>
    <xf numFmtId="0" fontId="9" fillId="0" borderId="0" xfId="0" applyFont="1" applyBorder="1" applyAlignment="1">
      <alignment vertical="center"/>
    </xf>
    <xf numFmtId="197" fontId="9" fillId="0" borderId="0" xfId="157" applyNumberFormat="1" applyFont="1" applyFill="1" applyBorder="1" applyAlignment="1">
      <alignment horizontal="center" vertical="center" wrapText="1"/>
    </xf>
    <xf numFmtId="0" fontId="9" fillId="0" borderId="0" xfId="157" applyFont="1" applyFill="1" applyBorder="1" applyAlignment="1">
      <alignment horizontal="left" vertical="center"/>
    </xf>
    <xf numFmtId="0" fontId="9" fillId="0" borderId="0" xfId="157" applyFont="1" applyFill="1" applyAlignment="1">
      <alignment horizontal="left" vertical="center"/>
    </xf>
    <xf numFmtId="0" fontId="28" fillId="0" borderId="0" xfId="157" applyFont="1" applyFill="1" applyAlignment="1">
      <alignment vertical="center"/>
    </xf>
    <xf numFmtId="0" fontId="28" fillId="0" borderId="0" xfId="157" applyFont="1" applyFill="1" applyAlignment="1">
      <alignment horizontal="left" vertical="center"/>
    </xf>
    <xf numFmtId="197" fontId="28" fillId="0" borderId="1" xfId="0" applyNumberFormat="1" applyFont="1" applyFill="1" applyBorder="1" applyAlignment="1" applyProtection="1">
      <alignment horizontal="center" vertical="center" wrapText="1"/>
    </xf>
    <xf numFmtId="0" fontId="9" fillId="0" borderId="0" xfId="157" applyFont="1" applyFill="1" applyAlignment="1">
      <alignment vertical="center" wrapText="1"/>
    </xf>
    <xf numFmtId="0" fontId="9" fillId="0" borderId="0" xfId="160" applyFont="1" applyAlignment="1">
      <alignment wrapText="1"/>
    </xf>
    <xf numFmtId="0" fontId="9" fillId="0" borderId="0" xfId="157" applyFont="1" applyFill="1" applyBorder="1" applyAlignment="1">
      <alignment horizontal="center" vertical="center" wrapText="1"/>
    </xf>
    <xf numFmtId="0" fontId="9" fillId="0" borderId="0" xfId="157" applyFont="1" applyFill="1" applyAlignment="1">
      <alignment horizontal="center" vertical="center" wrapText="1"/>
    </xf>
    <xf numFmtId="0" fontId="9" fillId="0" borderId="0" xfId="157" applyFont="1" applyFill="1" applyAlignment="1">
      <alignment horizontal="distributed" vertical="center" wrapText="1"/>
    </xf>
    <xf numFmtId="0" fontId="40" fillId="0" borderId="18" xfId="157" quotePrefix="1" applyFont="1" applyFill="1" applyBorder="1" applyAlignment="1">
      <alignment horizontal="center" vertical="center" wrapText="1"/>
    </xf>
    <xf numFmtId="197" fontId="9" fillId="0" borderId="18" xfId="157" applyNumberFormat="1" applyFont="1" applyFill="1" applyBorder="1" applyAlignment="1">
      <alignment horizontal="center" vertical="center" wrapText="1"/>
    </xf>
    <xf numFmtId="197" fontId="9" fillId="0" borderId="18" xfId="157" quotePrefix="1" applyNumberFormat="1" applyFont="1" applyFill="1" applyBorder="1" applyAlignment="1" applyProtection="1">
      <alignment horizontal="center" vertical="center" wrapText="1"/>
      <protection locked="0"/>
    </xf>
    <xf numFmtId="197" fontId="9" fillId="0" borderId="18" xfId="157" applyNumberFormat="1" applyFont="1" applyFill="1" applyBorder="1" applyAlignment="1" applyProtection="1">
      <alignment horizontal="left" vertical="center" wrapText="1"/>
      <protection locked="0"/>
    </xf>
    <xf numFmtId="197" fontId="9" fillId="0" borderId="18" xfId="157" quotePrefix="1" applyNumberFormat="1" applyFont="1" applyFill="1" applyBorder="1" applyAlignment="1" applyProtection="1">
      <alignment horizontal="left" vertical="center" wrapText="1"/>
      <protection locked="0"/>
    </xf>
    <xf numFmtId="197" fontId="9" fillId="0" borderId="18" xfId="157" applyNumberFormat="1" applyFont="1" applyFill="1" applyBorder="1" applyAlignment="1" applyProtection="1">
      <alignment horizontal="center" vertical="center" wrapText="1"/>
      <protection locked="0"/>
    </xf>
    <xf numFmtId="14" fontId="9" fillId="0" borderId="0" xfId="157" applyNumberFormat="1" applyFont="1" applyFill="1" applyAlignment="1">
      <alignment horizontal="left" vertical="center" wrapText="1"/>
    </xf>
    <xf numFmtId="0" fontId="9" fillId="0" borderId="18" xfId="157" applyFont="1" applyFill="1" applyBorder="1" applyAlignment="1">
      <alignment horizontal="left" vertical="center" wrapText="1"/>
    </xf>
    <xf numFmtId="197" fontId="9" fillId="0" borderId="18" xfId="157" applyNumberFormat="1" applyFont="1" applyFill="1" applyBorder="1" applyAlignment="1" applyProtection="1">
      <alignment horizontal="center" vertical="center" wrapText="1"/>
    </xf>
    <xf numFmtId="0" fontId="9" fillId="0" borderId="18" xfId="114" applyFont="1" applyFill="1" applyBorder="1" applyAlignment="1">
      <alignment vertical="center" wrapText="1"/>
    </xf>
    <xf numFmtId="0" fontId="9" fillId="0" borderId="18" xfId="157" applyFont="1" applyFill="1" applyBorder="1" applyAlignment="1">
      <alignment vertical="center" wrapText="1"/>
    </xf>
    <xf numFmtId="0" fontId="9" fillId="0" borderId="18" xfId="145" applyFont="1" applyFill="1" applyBorder="1" applyAlignment="1">
      <alignment vertical="center" wrapText="1"/>
    </xf>
    <xf numFmtId="0" fontId="9" fillId="0" borderId="18" xfId="119" applyFont="1" applyFill="1" applyBorder="1" applyAlignment="1">
      <alignment wrapText="1"/>
    </xf>
    <xf numFmtId="0" fontId="9" fillId="0" borderId="18" xfId="119" applyFont="1" applyFill="1" applyBorder="1" applyAlignment="1">
      <alignment vertical="center" wrapText="1"/>
    </xf>
    <xf numFmtId="197" fontId="9" fillId="0" borderId="18" xfId="156" applyNumberFormat="1" applyFont="1" applyFill="1" applyBorder="1" applyAlignment="1" applyProtection="1">
      <alignment horizontal="center" vertical="center" wrapText="1"/>
    </xf>
    <xf numFmtId="0" fontId="9" fillId="0" borderId="0" xfId="157" applyFont="1" applyFill="1" applyBorder="1" applyAlignment="1" applyProtection="1">
      <alignment horizontal="center" vertical="center" wrapText="1"/>
      <protection locked="0"/>
    </xf>
    <xf numFmtId="0" fontId="9" fillId="0" borderId="0" xfId="157" applyFont="1" applyFill="1" applyAlignment="1">
      <alignment horizontal="left" vertical="center" wrapText="1"/>
    </xf>
    <xf numFmtId="0" fontId="9" fillId="0" borderId="0" xfId="125" applyFont="1" applyFill="1" applyAlignment="1">
      <alignment vertical="center"/>
    </xf>
    <xf numFmtId="0" fontId="9" fillId="0" borderId="0" xfId="161" applyFont="1" applyFill="1" applyAlignment="1">
      <alignment vertical="center"/>
    </xf>
    <xf numFmtId="0" fontId="9" fillId="0" borderId="0" xfId="125" applyFont="1" applyFill="1" applyAlignment="1">
      <alignment vertical="center" wrapText="1"/>
    </xf>
    <xf numFmtId="49" fontId="9" fillId="0" borderId="0" xfId="103" applyNumberFormat="1" applyFont="1" applyFill="1" applyAlignment="1">
      <alignment horizontal="center" vertical="center"/>
    </xf>
    <xf numFmtId="49" fontId="9" fillId="0" borderId="0" xfId="103" applyNumberFormat="1" applyFont="1" applyFill="1" applyAlignment="1">
      <alignment horizontal="left" vertical="center"/>
    </xf>
    <xf numFmtId="0" fontId="9" fillId="0" borderId="0" xfId="125" applyFont="1" applyFill="1" applyAlignment="1">
      <alignment horizontal="center" vertical="center"/>
    </xf>
    <xf numFmtId="49" fontId="9" fillId="0" borderId="19" xfId="103" quotePrefix="1" applyNumberFormat="1" applyFont="1" applyFill="1" applyBorder="1" applyAlignment="1">
      <alignment vertical="center"/>
    </xf>
    <xf numFmtId="49" fontId="9" fillId="0" borderId="1" xfId="103" applyNumberFormat="1" applyFont="1" applyFill="1" applyBorder="1" applyAlignment="1">
      <alignment horizontal="left" vertical="center"/>
    </xf>
    <xf numFmtId="49" fontId="9" fillId="0" borderId="0" xfId="103" applyNumberFormat="1" applyFont="1" applyFill="1" applyBorder="1" applyAlignment="1">
      <alignment vertical="center"/>
    </xf>
    <xf numFmtId="0" fontId="9" fillId="0" borderId="0" xfId="162" applyFont="1" applyFill="1" applyAlignment="1"/>
    <xf numFmtId="0" fontId="9" fillId="0" borderId="19" xfId="114" applyFont="1" applyFill="1" applyBorder="1" applyAlignment="1">
      <alignment wrapText="1"/>
    </xf>
    <xf numFmtId="0" fontId="9" fillId="0" borderId="19" xfId="125" applyFont="1" applyFill="1" applyBorder="1" applyAlignment="1">
      <alignment horizontal="center" vertical="center" wrapText="1"/>
    </xf>
    <xf numFmtId="0" fontId="9" fillId="0" borderId="19" xfId="125" applyFont="1" applyFill="1" applyBorder="1" applyAlignment="1">
      <alignment horizontal="right" vertical="center"/>
    </xf>
    <xf numFmtId="49" fontId="40" fillId="0" borderId="18" xfId="103" applyNumberFormat="1" applyFont="1" applyFill="1" applyBorder="1" applyAlignment="1">
      <alignment horizontal="centerContinuous" vertical="center" wrapText="1"/>
    </xf>
    <xf numFmtId="49" fontId="40" fillId="0" borderId="18" xfId="103" quotePrefix="1" applyNumberFormat="1" applyFont="1" applyFill="1" applyBorder="1" applyAlignment="1">
      <alignment horizontal="centerContinuous" vertical="center" wrapText="1"/>
    </xf>
    <xf numFmtId="49" fontId="9" fillId="0" borderId="18" xfId="103" applyNumberFormat="1" applyFont="1" applyFill="1" applyBorder="1" applyAlignment="1">
      <alignment vertical="center" wrapText="1"/>
    </xf>
    <xf numFmtId="198" fontId="9" fillId="0" borderId="18" xfId="103" applyNumberFormat="1" applyFont="1" applyFill="1" applyBorder="1" applyAlignment="1">
      <alignment horizontal="right" vertical="center" wrapText="1"/>
    </xf>
    <xf numFmtId="201" fontId="9" fillId="0" borderId="18" xfId="103" applyNumberFormat="1" applyFont="1" applyFill="1" applyBorder="1" applyAlignment="1">
      <alignment horizontal="right" vertical="center" wrapText="1"/>
    </xf>
    <xf numFmtId="0" fontId="9" fillId="0" borderId="251" xfId="125" applyFont="1" applyFill="1" applyBorder="1" applyAlignment="1">
      <alignment vertical="center" wrapText="1"/>
    </xf>
    <xf numFmtId="49" fontId="9" fillId="0" borderId="18" xfId="98" applyNumberFormat="1" applyFont="1" applyFill="1" applyBorder="1" applyAlignment="1">
      <alignment horizontal="left" vertical="center" wrapText="1" indent="2"/>
    </xf>
    <xf numFmtId="49" fontId="9" fillId="0" borderId="18" xfId="103" applyNumberFormat="1" applyFont="1" applyFill="1" applyBorder="1" applyAlignment="1">
      <alignment horizontal="left" vertical="center" wrapText="1" indent="4"/>
    </xf>
    <xf numFmtId="0" fontId="9" fillId="0" borderId="18" xfId="125" applyFont="1" applyFill="1" applyBorder="1" applyAlignment="1">
      <alignment vertical="center" wrapText="1"/>
    </xf>
    <xf numFmtId="49" fontId="9" fillId="0" borderId="18" xfId="103" applyNumberFormat="1" applyFont="1" applyFill="1" applyBorder="1" applyAlignment="1">
      <alignment horizontal="left" vertical="center" wrapText="1" indent="6"/>
    </xf>
    <xf numFmtId="49" fontId="9" fillId="0" borderId="18" xfId="103" applyNumberFormat="1" applyFont="1" applyFill="1" applyBorder="1" applyAlignment="1">
      <alignment horizontal="left" vertical="center" wrapText="1" indent="8"/>
    </xf>
    <xf numFmtId="49" fontId="9" fillId="0" borderId="18" xfId="103" applyNumberFormat="1" applyFont="1" applyFill="1" applyBorder="1" applyAlignment="1">
      <alignment horizontal="left" vertical="center" wrapText="1" indent="2"/>
    </xf>
    <xf numFmtId="49" fontId="9" fillId="0" borderId="18" xfId="98" applyNumberFormat="1" applyFont="1" applyFill="1" applyBorder="1" applyAlignment="1">
      <alignment horizontal="left" vertical="center" wrapText="1" indent="4"/>
    </xf>
    <xf numFmtId="49" fontId="9" fillId="0" borderId="1" xfId="103" applyNumberFormat="1" applyFont="1" applyFill="1" applyBorder="1" applyAlignment="1">
      <alignment horizontal="center" vertical="center"/>
    </xf>
    <xf numFmtId="49" fontId="9" fillId="0" borderId="1" xfId="103" applyNumberFormat="1" applyFont="1" applyFill="1" applyBorder="1" applyAlignment="1">
      <alignment horizontal="left" vertical="center" wrapText="1"/>
    </xf>
    <xf numFmtId="49" fontId="9" fillId="0" borderId="0" xfId="103" applyNumberFormat="1" applyFont="1" applyFill="1" applyAlignment="1">
      <alignment vertical="center" wrapText="1"/>
    </xf>
    <xf numFmtId="49" fontId="9" fillId="0" borderId="0" xfId="103" applyNumberFormat="1" applyFont="1" applyFill="1" applyAlignment="1">
      <alignment horizontal="left" vertical="center" wrapText="1"/>
    </xf>
    <xf numFmtId="0" fontId="9" fillId="0" borderId="0" xfId="161" applyFont="1" applyFill="1" applyAlignment="1">
      <alignment vertical="center" wrapText="1"/>
    </xf>
    <xf numFmtId="0" fontId="9" fillId="0" borderId="0" xfId="159" applyFont="1" applyAlignment="1">
      <alignment vertical="center"/>
    </xf>
    <xf numFmtId="0" fontId="9" fillId="0" borderId="0" xfId="159" applyFont="1" applyAlignment="1">
      <alignment vertical="center" wrapText="1"/>
    </xf>
    <xf numFmtId="49" fontId="9" fillId="0" borderId="0" xfId="103" applyNumberFormat="1" applyFont="1" applyFill="1" applyBorder="1" applyAlignment="1">
      <alignment vertical="center" wrapText="1"/>
    </xf>
    <xf numFmtId="0" fontId="28" fillId="0" borderId="0" xfId="107" applyFont="1" applyFill="1" applyAlignment="1">
      <alignment vertical="top"/>
    </xf>
    <xf numFmtId="0" fontId="9" fillId="0" borderId="19" xfId="107" applyFont="1" applyFill="1" applyBorder="1" applyAlignment="1">
      <alignment vertical="center"/>
    </xf>
    <xf numFmtId="49" fontId="9" fillId="0" borderId="18" xfId="107" applyNumberFormat="1" applyFont="1" applyFill="1" applyBorder="1" applyAlignment="1">
      <alignment horizontal="center" vertical="center" wrapText="1"/>
    </xf>
    <xf numFmtId="179" fontId="9" fillId="0" borderId="18" xfId="107" applyNumberFormat="1" applyFont="1" applyFill="1" applyBorder="1" applyAlignment="1">
      <alignment horizontal="right" vertical="center" wrapText="1"/>
    </xf>
    <xf numFmtId="49" fontId="9" fillId="26" borderId="18" xfId="107" applyNumberFormat="1" applyFont="1" applyFill="1" applyBorder="1" applyAlignment="1">
      <alignment horizontal="center" vertical="center" wrapText="1"/>
    </xf>
    <xf numFmtId="49" fontId="9" fillId="26" borderId="129" xfId="107" applyNumberFormat="1" applyFont="1" applyFill="1" applyBorder="1" applyAlignment="1">
      <alignment horizontal="center" vertical="center" wrapText="1"/>
    </xf>
    <xf numFmtId="49" fontId="9" fillId="0" borderId="0" xfId="107" applyNumberFormat="1" applyFont="1" applyFill="1" applyBorder="1" applyAlignment="1">
      <alignment horizontal="center" vertical="center" wrapText="1"/>
    </xf>
    <xf numFmtId="49" fontId="9" fillId="0" borderId="0" xfId="107" applyNumberFormat="1" applyFont="1" applyFill="1" applyBorder="1" applyAlignment="1">
      <alignment horizontal="left" vertical="center" wrapText="1"/>
    </xf>
    <xf numFmtId="10" fontId="9" fillId="0" borderId="0" xfId="107" applyNumberFormat="1" applyFont="1" applyFill="1" applyBorder="1" applyAlignment="1">
      <alignment horizontal="right" vertical="center" wrapText="1"/>
    </xf>
    <xf numFmtId="179" fontId="9" fillId="0" borderId="0" xfId="107" applyNumberFormat="1" applyFont="1" applyFill="1" applyBorder="1" applyAlignment="1">
      <alignment horizontal="right" vertical="center" wrapText="1"/>
    </xf>
    <xf numFmtId="0" fontId="9" fillId="0" borderId="0" xfId="107" applyFont="1" applyFill="1" applyAlignment="1">
      <alignment horizontal="left" vertical="center" wrapText="1"/>
    </xf>
    <xf numFmtId="0" fontId="9" fillId="0" borderId="0" xfId="148" applyFont="1" applyFill="1" applyBorder="1" applyAlignment="1">
      <alignment horizontal="center" vertical="top"/>
    </xf>
    <xf numFmtId="0" fontId="9" fillId="0" borderId="0" xfId="107" applyFont="1" applyFill="1" applyAlignment="1">
      <alignment vertical="top"/>
    </xf>
    <xf numFmtId="0" fontId="9" fillId="0" borderId="0" xfId="107" applyFont="1" applyFill="1" applyAlignment="1">
      <alignment horizontal="left" vertical="top"/>
    </xf>
    <xf numFmtId="0" fontId="9" fillId="0" borderId="0" xfId="114" applyFont="1" applyFill="1" applyAlignment="1">
      <alignment horizontal="left" vertical="center"/>
    </xf>
    <xf numFmtId="0" fontId="9" fillId="0" borderId="0" xfId="107" applyFont="1" applyAlignment="1">
      <alignment vertical="center"/>
    </xf>
    <xf numFmtId="0" fontId="9" fillId="0" borderId="0" xfId="114" applyFont="1" applyFill="1" applyAlignment="1">
      <alignment horizontal="left" vertical="center" wrapText="1"/>
    </xf>
    <xf numFmtId="0" fontId="9" fillId="0" borderId="0" xfId="114" applyFont="1" applyFill="1" applyAlignment="1">
      <alignment vertical="center"/>
    </xf>
    <xf numFmtId="0" fontId="9" fillId="0" borderId="0" xfId="137" applyFont="1" applyAlignment="1">
      <alignment vertical="center" wrapText="1"/>
    </xf>
    <xf numFmtId="0" fontId="9" fillId="0" borderId="0" xfId="107" applyFont="1" applyFill="1" applyAlignment="1">
      <alignment vertical="center" wrapText="1"/>
    </xf>
    <xf numFmtId="0" fontId="9" fillId="0" borderId="19" xfId="107" applyFont="1" applyFill="1" applyBorder="1" applyAlignment="1">
      <alignment vertical="center" wrapText="1"/>
    </xf>
    <xf numFmtId="0" fontId="9" fillId="0" borderId="0" xfId="107" applyFont="1" applyFill="1" applyAlignment="1">
      <alignment horizontal="right" vertical="center"/>
    </xf>
    <xf numFmtId="0" fontId="40" fillId="0" borderId="18" xfId="107" quotePrefix="1" applyFont="1" applyFill="1" applyBorder="1" applyAlignment="1">
      <alignment horizontal="center" vertical="center" wrapText="1"/>
    </xf>
    <xf numFmtId="0" fontId="9" fillId="0" borderId="18" xfId="148" applyFont="1" applyFill="1" applyBorder="1" applyAlignment="1">
      <alignment horizontal="center" vertical="center" wrapText="1"/>
    </xf>
    <xf numFmtId="10" fontId="9" fillId="0" borderId="18" xfId="107" applyNumberFormat="1" applyFont="1" applyFill="1" applyBorder="1" applyAlignment="1">
      <alignment horizontal="center" vertical="center" wrapText="1"/>
    </xf>
    <xf numFmtId="179" fontId="9" fillId="0" borderId="18" xfId="107" applyNumberFormat="1" applyFont="1" applyFill="1" applyBorder="1" applyAlignment="1">
      <alignment horizontal="center" vertical="center" wrapText="1"/>
    </xf>
    <xf numFmtId="219" fontId="9" fillId="0" borderId="18" xfId="191" applyNumberFormat="1" applyFont="1" applyFill="1" applyBorder="1" applyAlignment="1">
      <alignment horizontal="center" vertical="center" wrapText="1"/>
    </xf>
    <xf numFmtId="10" fontId="9" fillId="26" borderId="129" xfId="107" applyNumberFormat="1" applyFont="1" applyFill="1" applyBorder="1" applyAlignment="1">
      <alignment horizontal="center" vertical="center" wrapText="1"/>
    </xf>
    <xf numFmtId="179" fontId="9" fillId="26" borderId="18" xfId="107" applyNumberFormat="1" applyFont="1" applyFill="1" applyBorder="1" applyAlignment="1">
      <alignment horizontal="center" vertical="center" wrapText="1"/>
    </xf>
    <xf numFmtId="179" fontId="9" fillId="26" borderId="129" xfId="107" applyNumberFormat="1" applyFont="1" applyFill="1" applyBorder="1" applyAlignment="1">
      <alignment horizontal="center" vertical="center" wrapText="1"/>
    </xf>
    <xf numFmtId="0" fontId="9" fillId="26" borderId="129" xfId="107" applyNumberFormat="1" applyFont="1" applyFill="1" applyBorder="1" applyAlignment="1">
      <alignment horizontal="center" vertical="center" wrapText="1"/>
    </xf>
    <xf numFmtId="0" fontId="9" fillId="26" borderId="18" xfId="107" applyNumberFormat="1" applyFont="1" applyFill="1" applyBorder="1" applyAlignment="1">
      <alignment horizontal="center" vertical="center" wrapText="1"/>
    </xf>
    <xf numFmtId="0" fontId="9" fillId="0" borderId="0" xfId="148" applyFont="1" applyFill="1" applyBorder="1" applyAlignment="1">
      <alignment horizontal="center" vertical="center" wrapText="1"/>
    </xf>
    <xf numFmtId="0" fontId="28" fillId="0" borderId="0" xfId="107" applyFont="1" applyFill="1" applyAlignment="1">
      <alignment horizontal="center" vertical="center" wrapText="1"/>
    </xf>
    <xf numFmtId="0" fontId="9" fillId="0" borderId="0" xfId="114" applyFont="1" applyFill="1" applyAlignment="1">
      <alignment vertical="center" wrapText="1"/>
    </xf>
    <xf numFmtId="0" fontId="9" fillId="0" borderId="0" xfId="107" applyFont="1" applyFill="1" applyBorder="1" applyAlignment="1">
      <alignment vertical="center" wrapText="1"/>
    </xf>
    <xf numFmtId="0" fontId="9" fillId="0" borderId="0" xfId="137" applyFont="1" applyAlignment="1">
      <alignment horizontal="right" vertical="center"/>
    </xf>
    <xf numFmtId="0" fontId="9" fillId="0" borderId="0" xfId="115" applyFont="1" applyFill="1" applyAlignment="1" applyProtection="1">
      <alignment vertical="center"/>
    </xf>
    <xf numFmtId="0" fontId="9" fillId="0" borderId="0" xfId="115" applyFont="1" applyFill="1" applyAlignment="1">
      <alignment vertical="center"/>
    </xf>
    <xf numFmtId="0" fontId="9" fillId="0" borderId="0" xfId="115" applyFont="1" applyFill="1" applyAlignment="1">
      <alignment vertical="center" wrapText="1"/>
    </xf>
    <xf numFmtId="0" fontId="9" fillId="0" borderId="19" xfId="115" applyFont="1" applyFill="1" applyBorder="1" applyAlignment="1">
      <alignment vertical="center"/>
    </xf>
    <xf numFmtId="0" fontId="9" fillId="0" borderId="0" xfId="161" applyFont="1" applyFill="1" applyBorder="1" applyAlignment="1">
      <alignment vertical="center" wrapText="1"/>
    </xf>
    <xf numFmtId="0" fontId="9" fillId="0" borderId="19" xfId="115" applyFont="1" applyFill="1" applyBorder="1" applyAlignment="1">
      <alignment vertical="center" wrapText="1"/>
    </xf>
    <xf numFmtId="0" fontId="9" fillId="0" borderId="19" xfId="115" applyFont="1" applyFill="1" applyBorder="1" applyAlignment="1">
      <alignment horizontal="right" vertical="center"/>
    </xf>
    <xf numFmtId="0" fontId="40" fillId="0" borderId="18" xfId="108" applyFont="1" applyBorder="1" applyAlignment="1">
      <alignment horizontal="center" vertical="center" wrapText="1"/>
    </xf>
    <xf numFmtId="0" fontId="40" fillId="0" borderId="18" xfId="107" quotePrefix="1" applyFont="1" applyBorder="1" applyAlignment="1">
      <alignment horizontal="center" vertical="center" wrapText="1"/>
    </xf>
    <xf numFmtId="0" fontId="40" fillId="0" borderId="18" xfId="108" quotePrefix="1" applyFont="1" applyBorder="1" applyAlignment="1">
      <alignment horizontal="center" vertical="center" wrapText="1"/>
    </xf>
    <xf numFmtId="0" fontId="9" fillId="0" borderId="18" xfId="115" applyFont="1" applyFill="1" applyBorder="1" applyAlignment="1">
      <alignment horizontal="left" vertical="center" wrapText="1"/>
    </xf>
    <xf numFmtId="182" fontId="9" fillId="0" borderId="18" xfId="115" applyNumberFormat="1" applyFont="1" applyFill="1" applyBorder="1" applyAlignment="1" applyProtection="1">
      <alignment horizontal="right" vertical="center" wrapText="1"/>
      <protection locked="0"/>
    </xf>
    <xf numFmtId="10" fontId="9" fillId="0" borderId="18" xfId="115" applyNumberFormat="1" applyFont="1" applyFill="1" applyBorder="1" applyAlignment="1" applyProtection="1">
      <alignment horizontal="right" vertical="center" wrapText="1"/>
      <protection locked="0"/>
    </xf>
    <xf numFmtId="197" fontId="9" fillId="0" borderId="18" xfId="115" applyNumberFormat="1" applyFont="1" applyFill="1" applyBorder="1" applyAlignment="1" applyProtection="1">
      <alignment horizontal="left" vertical="center" wrapText="1"/>
      <protection locked="0"/>
    </xf>
    <xf numFmtId="182" fontId="9" fillId="0" borderId="129" xfId="115" applyNumberFormat="1" applyFont="1" applyFill="1" applyBorder="1" applyAlignment="1" applyProtection="1">
      <alignment horizontal="right" vertical="center" wrapText="1"/>
      <protection locked="0"/>
    </xf>
    <xf numFmtId="10" fontId="9" fillId="0" borderId="129" xfId="115" applyNumberFormat="1" applyFont="1" applyFill="1" applyBorder="1" applyAlignment="1" applyProtection="1">
      <alignment horizontal="right" vertical="center" wrapText="1"/>
      <protection locked="0"/>
    </xf>
    <xf numFmtId="0" fontId="9" fillId="0" borderId="0" xfId="161" applyFont="1" applyFill="1" applyAlignment="1">
      <alignment wrapText="1"/>
    </xf>
    <xf numFmtId="0" fontId="9" fillId="0" borderId="0" xfId="107" applyFont="1" applyFill="1" applyBorder="1" applyAlignment="1">
      <alignment vertical="center"/>
    </xf>
    <xf numFmtId="0" fontId="9" fillId="0" borderId="0" xfId="107" applyFont="1" applyFill="1" applyBorder="1" applyAlignment="1">
      <alignment horizontal="center" vertical="center" wrapText="1"/>
    </xf>
    <xf numFmtId="0" fontId="9" fillId="0" borderId="0" xfId="107" applyFont="1" applyFill="1" applyAlignment="1">
      <alignment horizontal="left" vertical="center"/>
    </xf>
    <xf numFmtId="49" fontId="9" fillId="0" borderId="0" xfId="107" applyNumberFormat="1" applyFont="1" applyFill="1" applyAlignment="1">
      <alignment vertical="center"/>
    </xf>
    <xf numFmtId="0" fontId="9" fillId="0" borderId="0" xfId="0" applyFont="1" applyFill="1" applyAlignment="1">
      <alignment horizontal="center" vertical="center"/>
    </xf>
    <xf numFmtId="0" fontId="9" fillId="0" borderId="0" xfId="137" applyFont="1" applyFill="1" applyAlignment="1">
      <alignment vertical="center"/>
    </xf>
    <xf numFmtId="0" fontId="9" fillId="0" borderId="19" xfId="107" quotePrefix="1" applyFont="1" applyFill="1" applyBorder="1" applyAlignment="1">
      <alignment vertical="center"/>
    </xf>
    <xf numFmtId="0" fontId="9" fillId="0" borderId="0" xfId="107" applyFont="1" applyFill="1" applyBorder="1" applyAlignment="1">
      <alignment horizontal="left" vertical="center" wrapText="1"/>
    </xf>
    <xf numFmtId="0" fontId="9" fillId="0" borderId="0" xfId="159" applyFont="1" applyFill="1" applyAlignment="1">
      <alignment vertical="center" wrapText="1"/>
    </xf>
    <xf numFmtId="0" fontId="9" fillId="0" borderId="19" xfId="159" applyFont="1" applyFill="1" applyBorder="1" applyAlignment="1">
      <alignment vertical="center" wrapText="1"/>
    </xf>
    <xf numFmtId="0" fontId="40" fillId="0" borderId="18" xfId="107" applyFont="1" applyFill="1" applyBorder="1" applyAlignment="1">
      <alignment vertical="center" wrapText="1"/>
    </xf>
    <xf numFmtId="198" fontId="9" fillId="0" borderId="18" xfId="107" applyNumberFormat="1" applyFont="1" applyFill="1" applyBorder="1" applyAlignment="1">
      <alignment horizontal="center" vertical="center" wrapText="1"/>
    </xf>
    <xf numFmtId="198" fontId="9" fillId="0" borderId="18" xfId="107" applyNumberFormat="1" applyFont="1" applyFill="1" applyBorder="1" applyAlignment="1">
      <alignment horizontal="left" vertical="center" wrapText="1"/>
    </xf>
    <xf numFmtId="201" fontId="9" fillId="0" borderId="18" xfId="107" applyNumberFormat="1" applyFont="1" applyFill="1" applyBorder="1" applyAlignment="1">
      <alignment horizontal="right" vertical="center" wrapText="1"/>
    </xf>
    <xf numFmtId="198" fontId="9" fillId="0" borderId="18" xfId="107" applyNumberFormat="1" applyFont="1" applyFill="1" applyBorder="1" applyAlignment="1">
      <alignment horizontal="right" vertical="center" wrapText="1"/>
    </xf>
    <xf numFmtId="178" fontId="9" fillId="26" borderId="18" xfId="167" applyNumberFormat="1" applyFont="1" applyFill="1" applyBorder="1" applyAlignment="1">
      <alignment horizontal="right" vertical="center" wrapText="1"/>
    </xf>
    <xf numFmtId="0" fontId="9" fillId="0" borderId="4" xfId="107" applyFont="1" applyFill="1" applyBorder="1" applyAlignment="1">
      <alignment vertical="center" wrapText="1"/>
    </xf>
    <xf numFmtId="198" fontId="9" fillId="0" borderId="18" xfId="159" applyNumberFormat="1" applyFont="1" applyFill="1" applyBorder="1" applyAlignment="1">
      <alignment horizontal="left" vertical="center" wrapText="1"/>
    </xf>
    <xf numFmtId="198" fontId="9" fillId="0" borderId="18" xfId="159" applyNumberFormat="1" applyFont="1" applyFill="1" applyBorder="1" applyAlignment="1">
      <alignment horizontal="right" vertical="center" wrapText="1"/>
    </xf>
    <xf numFmtId="198" fontId="9" fillId="0" borderId="18" xfId="159" applyNumberFormat="1" applyFont="1" applyFill="1" applyBorder="1" applyAlignment="1">
      <alignment horizontal="center" vertical="center" wrapText="1"/>
    </xf>
    <xf numFmtId="198" fontId="9" fillId="0" borderId="0" xfId="159" applyNumberFormat="1" applyFont="1" applyFill="1" applyBorder="1" applyAlignment="1">
      <alignment horizontal="center" vertical="center" wrapText="1"/>
    </xf>
    <xf numFmtId="198" fontId="9" fillId="0" borderId="0" xfId="159" applyNumberFormat="1" applyFont="1" applyFill="1" applyBorder="1" applyAlignment="1">
      <alignment horizontal="left" vertical="center" wrapText="1"/>
    </xf>
    <xf numFmtId="198" fontId="9" fillId="0" borderId="0" xfId="107" applyNumberFormat="1" applyFont="1" applyFill="1" applyBorder="1" applyAlignment="1">
      <alignment horizontal="left" vertical="center" wrapText="1"/>
    </xf>
    <xf numFmtId="201" fontId="9" fillId="0" borderId="0" xfId="107" applyNumberFormat="1" applyFont="1" applyFill="1" applyBorder="1" applyAlignment="1">
      <alignment horizontal="right" vertical="center" wrapText="1"/>
    </xf>
    <xf numFmtId="198" fontId="9" fillId="0" borderId="0" xfId="107" applyNumberFormat="1" applyFont="1" applyFill="1" applyBorder="1" applyAlignment="1">
      <alignment horizontal="right" vertical="center" wrapText="1"/>
    </xf>
    <xf numFmtId="198" fontId="9" fillId="0" borderId="0" xfId="159" applyNumberFormat="1" applyFont="1" applyFill="1" applyBorder="1" applyAlignment="1">
      <alignment horizontal="right" vertical="center" wrapText="1"/>
    </xf>
    <xf numFmtId="0" fontId="9" fillId="0" borderId="0" xfId="107" applyFont="1" applyFill="1" applyAlignment="1">
      <alignment horizontal="center" vertical="center"/>
    </xf>
    <xf numFmtId="0" fontId="9" fillId="0" borderId="0" xfId="137" applyFont="1" applyFill="1" applyAlignment="1">
      <alignment vertical="center" wrapText="1"/>
    </xf>
    <xf numFmtId="0" fontId="9" fillId="0" borderId="0" xfId="116" applyFont="1" applyFill="1" applyAlignment="1">
      <alignment vertical="center" wrapText="1"/>
    </xf>
    <xf numFmtId="0" fontId="9" fillId="0" borderId="0" xfId="116" applyFont="1" applyFill="1" applyAlignment="1">
      <alignment vertical="center"/>
    </xf>
    <xf numFmtId="0" fontId="9" fillId="0" borderId="19" xfId="116" quotePrefix="1" applyFont="1" applyFill="1" applyBorder="1" applyAlignment="1">
      <alignment vertical="center"/>
    </xf>
    <xf numFmtId="0" fontId="9" fillId="0" borderId="0" xfId="116" applyFont="1" applyFill="1" applyBorder="1" applyAlignment="1">
      <alignment horizontal="right" vertical="center" wrapText="1"/>
    </xf>
    <xf numFmtId="0" fontId="40" fillId="0" borderId="18" xfId="116" applyFont="1" applyFill="1" applyBorder="1" applyAlignment="1">
      <alignment horizontal="centerContinuous" vertical="center" wrapText="1"/>
    </xf>
    <xf numFmtId="0" fontId="9" fillId="0" borderId="18" xfId="152" applyFont="1" applyFill="1" applyBorder="1" applyAlignment="1">
      <alignment horizontal="center" vertical="center" wrapText="1"/>
    </xf>
    <xf numFmtId="0" fontId="9" fillId="0" borderId="18" xfId="107" applyFont="1" applyFill="1" applyBorder="1" applyAlignment="1">
      <alignment horizontal="left" vertical="center" wrapText="1"/>
    </xf>
    <xf numFmtId="182" fontId="9" fillId="0" borderId="18" xfId="116" applyNumberFormat="1" applyFont="1" applyFill="1" applyBorder="1" applyAlignment="1" applyProtection="1">
      <alignment horizontal="right" vertical="center" wrapText="1"/>
      <protection locked="0"/>
    </xf>
    <xf numFmtId="197" fontId="9" fillId="0" borderId="18" xfId="116" applyNumberFormat="1" applyFont="1" applyFill="1" applyBorder="1" applyAlignment="1" applyProtection="1">
      <alignment horizontal="left" vertical="center" wrapText="1"/>
      <protection locked="0"/>
    </xf>
    <xf numFmtId="0" fontId="9" fillId="0" borderId="18" xfId="107" applyFont="1" applyFill="1" applyBorder="1" applyAlignment="1">
      <alignment horizontal="left" vertical="center" wrapText="1" indent="2"/>
    </xf>
    <xf numFmtId="0" fontId="9" fillId="0" borderId="18" xfId="107" applyFont="1" applyFill="1" applyBorder="1" applyAlignment="1">
      <alignment vertical="center" wrapText="1"/>
    </xf>
    <xf numFmtId="198" fontId="9" fillId="33" borderId="18" xfId="107" applyNumberFormat="1" applyFont="1" applyFill="1" applyBorder="1" applyAlignment="1">
      <alignment horizontal="right" vertical="center" wrapText="1"/>
    </xf>
    <xf numFmtId="182" fontId="9" fillId="0" borderId="129" xfId="116" applyNumberFormat="1" applyFont="1" applyFill="1" applyBorder="1" applyAlignment="1" applyProtection="1">
      <alignment horizontal="right" vertical="center" wrapText="1"/>
      <protection locked="0"/>
    </xf>
    <xf numFmtId="0" fontId="9" fillId="0" borderId="0" xfId="107" applyFont="1" applyBorder="1" applyAlignment="1">
      <alignment horizontal="center" vertical="center" wrapText="1"/>
    </xf>
    <xf numFmtId="182" fontId="9" fillId="0" borderId="0" xfId="116" applyNumberFormat="1" applyFont="1" applyFill="1" applyBorder="1" applyAlignment="1" applyProtection="1">
      <alignment horizontal="right" vertical="center" wrapText="1"/>
      <protection locked="0"/>
    </xf>
    <xf numFmtId="197" fontId="9" fillId="0" borderId="0" xfId="116" applyNumberFormat="1" applyFont="1" applyFill="1" applyBorder="1" applyAlignment="1" applyProtection="1">
      <alignment horizontal="left" vertical="center" wrapText="1"/>
      <protection locked="0"/>
    </xf>
    <xf numFmtId="0" fontId="9" fillId="0" borderId="0" xfId="116" applyFont="1" applyFill="1" applyAlignment="1">
      <alignment horizontal="center" vertical="center"/>
    </xf>
    <xf numFmtId="0" fontId="9" fillId="0" borderId="0" xfId="116" applyFont="1" applyFill="1" applyAlignment="1">
      <alignment horizontal="left" vertical="center"/>
    </xf>
    <xf numFmtId="0" fontId="9" fillId="0" borderId="0" xfId="152" applyFont="1" applyFill="1" applyBorder="1" applyAlignment="1">
      <alignment horizontal="center" vertical="center"/>
    </xf>
    <xf numFmtId="0" fontId="9" fillId="0" borderId="0" xfId="107" applyFont="1" applyAlignment="1">
      <alignment horizontal="left" vertical="center"/>
    </xf>
    <xf numFmtId="0" fontId="9" fillId="0" borderId="0" xfId="161" applyFont="1" applyFill="1" applyAlignment="1">
      <alignment horizontal="left" vertical="center" wrapText="1"/>
    </xf>
    <xf numFmtId="0" fontId="9" fillId="0" borderId="0" xfId="148" applyFont="1" applyBorder="1" applyAlignment="1">
      <alignment horizontal="center" vertical="center"/>
    </xf>
    <xf numFmtId="0" fontId="9" fillId="0" borderId="0" xfId="116" applyFont="1" applyFill="1" applyAlignment="1">
      <alignment horizontal="right" vertical="center"/>
    </xf>
    <xf numFmtId="0" fontId="9" fillId="0" borderId="0" xfId="129" applyFont="1" applyAlignment="1">
      <alignment vertical="center" wrapText="1"/>
    </xf>
    <xf numFmtId="0" fontId="86" fillId="0" borderId="0" xfId="145" applyFont="1" applyAlignment="1">
      <alignment horizontal="center" vertical="center" wrapText="1"/>
    </xf>
    <xf numFmtId="0" fontId="9" fillId="0" borderId="0" xfId="146" applyFont="1" applyAlignment="1">
      <alignment vertical="center" wrapText="1"/>
    </xf>
    <xf numFmtId="0" fontId="9" fillId="0" borderId="0" xfId="145" applyFont="1" applyBorder="1" applyAlignment="1">
      <alignment vertical="center"/>
    </xf>
    <xf numFmtId="0" fontId="9" fillId="0" borderId="0" xfId="145" applyFont="1" applyBorder="1" applyAlignment="1">
      <alignment vertical="center" wrapText="1"/>
    </xf>
    <xf numFmtId="0" fontId="9" fillId="0" borderId="0" xfId="145" applyFont="1" applyAlignment="1">
      <alignment vertical="center" wrapText="1"/>
    </xf>
    <xf numFmtId="0" fontId="9" fillId="0" borderId="0" xfId="145" applyFont="1" applyAlignment="1">
      <alignment horizontal="right" vertical="center" wrapText="1"/>
    </xf>
    <xf numFmtId="0" fontId="9" fillId="0" borderId="0" xfId="145" applyFont="1" applyAlignment="1">
      <alignment horizontal="right" vertical="center"/>
    </xf>
    <xf numFmtId="182" fontId="40" fillId="0" borderId="18" xfId="145" applyNumberFormat="1" applyFont="1" applyFill="1" applyBorder="1" applyAlignment="1">
      <alignment horizontal="center" vertical="center" wrapText="1"/>
    </xf>
    <xf numFmtId="49" fontId="40" fillId="0" borderId="18" xfId="145" applyNumberFormat="1" applyFont="1" applyFill="1" applyBorder="1" applyAlignment="1">
      <alignment horizontal="center" vertical="center" wrapText="1"/>
    </xf>
    <xf numFmtId="182" fontId="40" fillId="0" borderId="18" xfId="145" quotePrefix="1" applyNumberFormat="1" applyFont="1" applyFill="1" applyBorder="1" applyAlignment="1">
      <alignment horizontal="center" vertical="center" wrapText="1"/>
    </xf>
    <xf numFmtId="0" fontId="9" fillId="0" borderId="18" xfId="145" applyFont="1" applyFill="1" applyBorder="1" applyAlignment="1">
      <alignment horizontal="center" vertical="center" wrapText="1"/>
    </xf>
    <xf numFmtId="188" fontId="9" fillId="26" borderId="76" xfId="145" applyNumberFormat="1" applyFont="1" applyFill="1" applyBorder="1" applyAlignment="1">
      <alignment horizontal="left" vertical="center" wrapText="1"/>
    </xf>
    <xf numFmtId="178" fontId="9" fillId="0" borderId="252" xfId="167" applyNumberFormat="1" applyFont="1" applyFill="1" applyBorder="1" applyAlignment="1">
      <alignment horizontal="right" vertical="center" wrapText="1"/>
    </xf>
    <xf numFmtId="188" fontId="9" fillId="26" borderId="32" xfId="145" applyNumberFormat="1" applyFont="1" applyFill="1" applyBorder="1" applyAlignment="1">
      <alignment horizontal="left" vertical="center" wrapText="1"/>
    </xf>
    <xf numFmtId="178" fontId="9" fillId="26" borderId="32" xfId="167" applyNumberFormat="1" applyFont="1" applyFill="1" applyBorder="1" applyAlignment="1">
      <alignment horizontal="right" vertical="center" wrapText="1"/>
    </xf>
    <xf numFmtId="0" fontId="9" fillId="0" borderId="0" xfId="146" applyFont="1" applyFill="1" applyAlignment="1">
      <alignment vertical="center" wrapText="1"/>
    </xf>
    <xf numFmtId="178" fontId="9" fillId="0" borderId="32" xfId="167" applyNumberFormat="1" applyFont="1" applyFill="1" applyBorder="1" applyAlignment="1">
      <alignment horizontal="right" vertical="center" wrapText="1"/>
    </xf>
    <xf numFmtId="178" fontId="9" fillId="0" borderId="115" xfId="167" applyNumberFormat="1" applyFont="1" applyFill="1" applyBorder="1" applyAlignment="1">
      <alignment horizontal="right" vertical="center" wrapText="1"/>
    </xf>
    <xf numFmtId="0" fontId="9" fillId="0" borderId="0" xfId="129" applyFont="1" applyFill="1" applyAlignment="1">
      <alignment vertical="center" wrapText="1"/>
    </xf>
    <xf numFmtId="188" fontId="9" fillId="26" borderId="32" xfId="145" applyNumberFormat="1" applyFont="1" applyFill="1" applyBorder="1" applyAlignment="1">
      <alignment vertical="center" wrapText="1"/>
    </xf>
    <xf numFmtId="188" fontId="9" fillId="26" borderId="32" xfId="145" applyNumberFormat="1" applyFont="1" applyFill="1" applyBorder="1" applyAlignment="1">
      <alignment horizontal="center" vertical="center" wrapText="1"/>
    </xf>
    <xf numFmtId="178" fontId="9" fillId="0" borderId="32" xfId="167" applyNumberFormat="1" applyFont="1" applyFill="1" applyBorder="1" applyAlignment="1">
      <alignment horizontal="left" vertical="center" wrapText="1"/>
    </xf>
    <xf numFmtId="188" fontId="9" fillId="26" borderId="91" xfId="145" applyNumberFormat="1" applyFont="1" applyFill="1" applyBorder="1" applyAlignment="1">
      <alignment horizontal="left" vertical="center" wrapText="1"/>
    </xf>
    <xf numFmtId="178" fontId="9" fillId="26" borderId="91" xfId="167" applyNumberFormat="1" applyFont="1" applyFill="1" applyBorder="1" applyAlignment="1">
      <alignment horizontal="right" vertical="center" wrapText="1"/>
    </xf>
    <xf numFmtId="0" fontId="9" fillId="0" borderId="0" xfId="145" applyFont="1" applyFill="1" applyBorder="1" applyAlignment="1">
      <alignment horizontal="center" vertical="center" wrapText="1"/>
    </xf>
    <xf numFmtId="0" fontId="9" fillId="0" borderId="0" xfId="145" applyFont="1" applyFill="1" applyBorder="1" applyAlignment="1">
      <alignment horizontal="left" vertical="center" wrapText="1"/>
    </xf>
    <xf numFmtId="188" fontId="9" fillId="0" borderId="0" xfId="145" applyNumberFormat="1" applyFont="1" applyFill="1" applyBorder="1" applyAlignment="1">
      <alignment horizontal="left" vertical="center" wrapText="1"/>
    </xf>
    <xf numFmtId="198" fontId="9" fillId="0" borderId="0" xfId="145" applyNumberFormat="1" applyFont="1" applyFill="1" applyBorder="1" applyAlignment="1">
      <alignment horizontal="right" vertical="center" wrapText="1"/>
    </xf>
    <xf numFmtId="0" fontId="9" fillId="0" borderId="0" xfId="129" applyFont="1" applyAlignment="1">
      <alignment horizontal="center" vertical="center"/>
    </xf>
    <xf numFmtId="188" fontId="9" fillId="0" borderId="0" xfId="145" applyNumberFormat="1" applyFont="1" applyFill="1" applyBorder="1" applyAlignment="1">
      <alignment horizontal="left" vertical="center"/>
    </xf>
    <xf numFmtId="0" fontId="9" fillId="0" borderId="0" xfId="145" applyFont="1" applyFill="1" applyBorder="1" applyAlignment="1">
      <alignment vertical="center"/>
    </xf>
    <xf numFmtId="0" fontId="9" fillId="0" borderId="0" xfId="145" applyFont="1" applyFill="1" applyBorder="1" applyAlignment="1">
      <alignment horizontal="left" vertical="center"/>
    </xf>
    <xf numFmtId="49" fontId="9" fillId="0" borderId="18" xfId="145" applyNumberFormat="1" applyFont="1" applyFill="1" applyBorder="1" applyAlignment="1">
      <alignment horizontal="left" vertical="center" wrapText="1"/>
    </xf>
    <xf numFmtId="49" fontId="9" fillId="0" borderId="18" xfId="145" applyNumberFormat="1" applyFont="1" applyFill="1" applyBorder="1" applyAlignment="1">
      <alignment horizontal="left" vertical="center" wrapText="1" indent="2"/>
    </xf>
    <xf numFmtId="49" fontId="9" fillId="0" borderId="18" xfId="145" applyNumberFormat="1" applyFont="1" applyFill="1" applyBorder="1" applyAlignment="1">
      <alignment horizontal="left" vertical="center" wrapText="1" indent="4"/>
    </xf>
    <xf numFmtId="49" fontId="9" fillId="0" borderId="18" xfId="145" applyNumberFormat="1" applyFont="1" applyFill="1" applyBorder="1" applyAlignment="1">
      <alignment horizontal="left" vertical="center" wrapText="1" indent="6"/>
    </xf>
    <xf numFmtId="49" fontId="9" fillId="27" borderId="18" xfId="145" applyNumberFormat="1" applyFont="1" applyFill="1" applyBorder="1" applyAlignment="1">
      <alignment horizontal="left" vertical="center" wrapText="1" indent="6"/>
    </xf>
    <xf numFmtId="0" fontId="9" fillId="0" borderId="15" xfId="145" applyFont="1" applyBorder="1" applyAlignment="1">
      <alignment vertical="center" wrapText="1"/>
    </xf>
    <xf numFmtId="0" fontId="9" fillId="0" borderId="18" xfId="145" applyFont="1" applyFill="1" applyBorder="1" applyAlignment="1">
      <alignment horizontal="left" vertical="center" wrapText="1"/>
    </xf>
    <xf numFmtId="0" fontId="9" fillId="0" borderId="0" xfId="145" applyFont="1" applyAlignment="1">
      <alignment vertical="center"/>
    </xf>
    <xf numFmtId="0" fontId="9" fillId="0" borderId="0" xfId="145" applyFont="1" applyAlignment="1">
      <alignment horizontal="center" vertical="center"/>
    </xf>
    <xf numFmtId="0" fontId="40" fillId="0" borderId="0" xfId="145" applyFont="1" applyFill="1" applyBorder="1" applyAlignment="1">
      <alignment horizontal="left" vertical="center" wrapText="1"/>
    </xf>
    <xf numFmtId="0" fontId="9" fillId="0" borderId="0" xfId="145" applyFont="1" applyFill="1" applyBorder="1" applyAlignment="1">
      <alignment vertical="top" wrapText="1"/>
    </xf>
    <xf numFmtId="0" fontId="9" fillId="0" borderId="0" xfId="145" applyFont="1" applyFill="1" applyBorder="1" applyAlignment="1">
      <alignment horizontal="center" vertical="center"/>
    </xf>
    <xf numFmtId="0" fontId="9" fillId="0" borderId="0" xfId="145" applyFont="1" applyAlignment="1">
      <alignment horizontal="left" vertical="center" wrapText="1"/>
    </xf>
    <xf numFmtId="0" fontId="9" fillId="0" borderId="0" xfId="124" applyFont="1" applyAlignment="1">
      <alignment vertical="center" wrapText="1"/>
    </xf>
    <xf numFmtId="0" fontId="9" fillId="0" borderId="0" xfId="145" applyFont="1" applyAlignment="1">
      <alignment horizontal="center" vertical="center" wrapText="1"/>
    </xf>
    <xf numFmtId="204" fontId="9" fillId="0" borderId="76" xfId="98" applyNumberFormat="1" applyFont="1" applyFill="1" applyBorder="1" applyAlignment="1">
      <alignment horizontal="center" vertical="center" wrapText="1"/>
    </xf>
    <xf numFmtId="49" fontId="40" fillId="0" borderId="76" xfId="145" applyNumberFormat="1" applyFont="1" applyFill="1" applyBorder="1" applyAlignment="1">
      <alignment horizontal="left" vertical="center" wrapText="1"/>
    </xf>
    <xf numFmtId="198" fontId="9" fillId="0" borderId="76" xfId="145" applyNumberFormat="1" applyFont="1" applyFill="1" applyBorder="1" applyAlignment="1">
      <alignment horizontal="right" vertical="center" wrapText="1"/>
    </xf>
    <xf numFmtId="182" fontId="9" fillId="0" borderId="252" xfId="145" applyNumberFormat="1" applyFont="1" applyFill="1" applyBorder="1" applyAlignment="1">
      <alignment horizontal="right" vertical="center" wrapText="1"/>
    </xf>
    <xf numFmtId="204" fontId="9" fillId="0" borderId="32" xfId="98" applyNumberFormat="1" applyFont="1" applyFill="1" applyBorder="1" applyAlignment="1">
      <alignment horizontal="center" vertical="center" wrapText="1"/>
    </xf>
    <xf numFmtId="0" fontId="9" fillId="0" borderId="76" xfId="145" applyFont="1" applyFill="1" applyBorder="1" applyAlignment="1">
      <alignment horizontal="left" vertical="center" wrapText="1" indent="2"/>
    </xf>
    <xf numFmtId="198" fontId="9" fillId="0" borderId="32" xfId="145" applyNumberFormat="1" applyFont="1" applyFill="1" applyBorder="1" applyAlignment="1">
      <alignment horizontal="right" vertical="center" wrapText="1"/>
    </xf>
    <xf numFmtId="182" fontId="9" fillId="26" borderId="32" xfId="145" applyNumberFormat="1" applyFont="1" applyFill="1" applyBorder="1" applyAlignment="1">
      <alignment horizontal="right" vertical="center" wrapText="1"/>
    </xf>
    <xf numFmtId="0" fontId="9" fillId="0" borderId="32" xfId="145" applyFont="1" applyFill="1" applyBorder="1" applyAlignment="1">
      <alignment horizontal="left" vertical="center" wrapText="1" indent="4"/>
    </xf>
    <xf numFmtId="198" fontId="9" fillId="0" borderId="115" xfId="145" applyNumberFormat="1" applyFont="1" applyFill="1" applyBorder="1" applyAlignment="1">
      <alignment horizontal="right" vertical="center" wrapText="1"/>
    </xf>
    <xf numFmtId="182" fontId="9" fillId="0" borderId="32" xfId="145" applyNumberFormat="1" applyFont="1" applyFill="1" applyBorder="1" applyAlignment="1">
      <alignment horizontal="right" vertical="center" wrapText="1"/>
    </xf>
    <xf numFmtId="204" fontId="9" fillId="0" borderId="91" xfId="98" applyNumberFormat="1" applyFont="1" applyFill="1" applyBorder="1" applyAlignment="1">
      <alignment horizontal="center" vertical="center" wrapText="1"/>
    </xf>
    <xf numFmtId="0" fontId="9" fillId="0" borderId="91" xfId="145" applyFont="1" applyFill="1" applyBorder="1" applyAlignment="1">
      <alignment horizontal="left" vertical="center" wrapText="1" indent="4"/>
    </xf>
    <xf numFmtId="198" fontId="9" fillId="0" borderId="91" xfId="145" applyNumberFormat="1" applyFont="1" applyFill="1" applyBorder="1" applyAlignment="1">
      <alignment horizontal="right" vertical="center" wrapText="1"/>
    </xf>
    <xf numFmtId="198" fontId="9" fillId="0" borderId="116" xfId="145" applyNumberFormat="1" applyFont="1" applyFill="1" applyBorder="1" applyAlignment="1">
      <alignment horizontal="right" vertical="center" wrapText="1"/>
    </xf>
    <xf numFmtId="182" fontId="9" fillId="0" borderId="91" xfId="145" applyNumberFormat="1" applyFont="1" applyFill="1" applyBorder="1" applyAlignment="1">
      <alignment horizontal="right" vertical="center" wrapText="1"/>
    </xf>
    <xf numFmtId="182" fontId="9" fillId="26" borderId="76" xfId="145" applyNumberFormat="1" applyFont="1" applyFill="1" applyBorder="1" applyAlignment="1">
      <alignment horizontal="right" vertical="center" wrapText="1"/>
    </xf>
    <xf numFmtId="204" fontId="9" fillId="0" borderId="183" xfId="98" applyNumberFormat="1" applyFont="1" applyFill="1" applyBorder="1" applyAlignment="1">
      <alignment horizontal="center" vertical="center" wrapText="1"/>
    </xf>
    <xf numFmtId="0" fontId="9" fillId="0" borderId="183" xfId="145" applyFont="1" applyFill="1" applyBorder="1" applyAlignment="1">
      <alignment horizontal="left" vertical="center" wrapText="1" indent="4"/>
    </xf>
    <xf numFmtId="198" fontId="9" fillId="0" borderId="183" xfId="145" applyNumberFormat="1" applyFont="1" applyFill="1" applyBorder="1" applyAlignment="1">
      <alignment horizontal="right" vertical="center" wrapText="1"/>
    </xf>
    <xf numFmtId="198" fontId="9" fillId="0" borderId="253" xfId="145" applyNumberFormat="1" applyFont="1" applyFill="1" applyBorder="1" applyAlignment="1">
      <alignment horizontal="right" vertical="center" wrapText="1"/>
    </xf>
    <xf numFmtId="182" fontId="9" fillId="0" borderId="183" xfId="145" applyNumberFormat="1" applyFont="1" applyFill="1" applyBorder="1" applyAlignment="1">
      <alignment horizontal="right" vertical="center" wrapText="1"/>
    </xf>
    <xf numFmtId="204" fontId="9" fillId="0" borderId="18" xfId="98" applyNumberFormat="1" applyFont="1" applyFill="1" applyBorder="1" applyAlignment="1">
      <alignment horizontal="center" vertical="center" wrapText="1"/>
    </xf>
    <xf numFmtId="0" fontId="9" fillId="0" borderId="18" xfId="145" applyFont="1" applyFill="1" applyBorder="1" applyAlignment="1">
      <alignment horizontal="left" vertical="center" wrapText="1" indent="2"/>
    </xf>
    <xf numFmtId="198" fontId="9" fillId="0" borderId="18" xfId="145" applyNumberFormat="1" applyFont="1" applyFill="1" applyBorder="1" applyAlignment="1">
      <alignment horizontal="right" vertical="center" wrapText="1"/>
    </xf>
    <xf numFmtId="182" fontId="9" fillId="0" borderId="129" xfId="145" applyNumberFormat="1" applyFont="1" applyFill="1" applyBorder="1" applyAlignment="1">
      <alignment horizontal="right" vertical="center" wrapText="1"/>
    </xf>
    <xf numFmtId="0" fontId="9" fillId="0" borderId="32" xfId="145" applyFont="1" applyFill="1" applyBorder="1" applyAlignment="1">
      <alignment horizontal="left" vertical="center" wrapText="1" indent="6"/>
    </xf>
    <xf numFmtId="0" fontId="9" fillId="0" borderId="91" xfId="145" applyFont="1" applyFill="1" applyBorder="1" applyAlignment="1">
      <alignment horizontal="left" vertical="center" wrapText="1" indent="6"/>
    </xf>
    <xf numFmtId="182" fontId="9" fillId="0" borderId="116" xfId="145" applyNumberFormat="1" applyFont="1" applyFill="1" applyBorder="1" applyAlignment="1">
      <alignment horizontal="right" vertical="center" wrapText="1"/>
    </xf>
    <xf numFmtId="182" fontId="9" fillId="0" borderId="115" xfId="145" applyNumberFormat="1" applyFont="1" applyFill="1" applyBorder="1" applyAlignment="1">
      <alignment horizontal="right" vertical="center" wrapText="1"/>
    </xf>
    <xf numFmtId="0" fontId="9" fillId="0" borderId="32" xfId="145" applyFont="1" applyFill="1" applyBorder="1" applyAlignment="1">
      <alignment horizontal="left" vertical="center" wrapText="1" indent="8"/>
    </xf>
    <xf numFmtId="0" fontId="9" fillId="0" borderId="32" xfId="145" applyFont="1" applyFill="1" applyBorder="1" applyAlignment="1">
      <alignment horizontal="left" vertical="center" wrapText="1" indent="10"/>
    </xf>
    <xf numFmtId="0" fontId="9" fillId="0" borderId="91" xfId="145" applyFont="1" applyFill="1" applyBorder="1" applyAlignment="1">
      <alignment horizontal="left" vertical="center" wrapText="1" indent="10"/>
    </xf>
    <xf numFmtId="49" fontId="40" fillId="0" borderId="18" xfId="145" applyNumberFormat="1" applyFont="1" applyFill="1" applyBorder="1" applyAlignment="1">
      <alignment horizontal="left" vertical="center" wrapText="1"/>
    </xf>
    <xf numFmtId="49" fontId="9" fillId="0" borderId="76" xfId="145" applyNumberFormat="1" applyFont="1" applyFill="1" applyBorder="1" applyAlignment="1">
      <alignment horizontal="left" vertical="center" wrapText="1" indent="2"/>
    </xf>
    <xf numFmtId="49" fontId="9" fillId="0" borderId="32" xfId="145" applyNumberFormat="1" applyFont="1" applyFill="1" applyBorder="1" applyAlignment="1">
      <alignment horizontal="left" vertical="center" wrapText="1" indent="4"/>
    </xf>
    <xf numFmtId="0" fontId="9" fillId="0" borderId="91" xfId="145" applyFont="1" applyFill="1" applyBorder="1" applyAlignment="1">
      <alignment horizontal="left" vertical="center" wrapText="1" indent="8"/>
    </xf>
    <xf numFmtId="0" fontId="9" fillId="0" borderId="183" xfId="145" applyFont="1" applyFill="1" applyBorder="1" applyAlignment="1">
      <alignment horizontal="left" vertical="center" wrapText="1" indent="8"/>
    </xf>
    <xf numFmtId="182" fontId="9" fillId="0" borderId="253" xfId="145" applyNumberFormat="1" applyFont="1" applyFill="1" applyBorder="1" applyAlignment="1">
      <alignment horizontal="right" vertical="center" wrapText="1"/>
    </xf>
    <xf numFmtId="182" fontId="9" fillId="26" borderId="18" xfId="145" applyNumberFormat="1" applyFont="1" applyFill="1" applyBorder="1" applyAlignment="1">
      <alignment horizontal="right" vertical="center" wrapText="1"/>
    </xf>
    <xf numFmtId="0" fontId="40" fillId="0" borderId="15" xfId="145" applyFont="1" applyFill="1" applyBorder="1" applyAlignment="1">
      <alignment horizontal="left" vertical="center" wrapText="1"/>
    </xf>
    <xf numFmtId="198" fontId="9" fillId="0" borderId="15" xfId="145" applyNumberFormat="1" applyFont="1" applyFill="1" applyBorder="1" applyAlignment="1">
      <alignment horizontal="right" vertical="center" wrapText="1"/>
    </xf>
    <xf numFmtId="182" fontId="9" fillId="0" borderId="15" xfId="145" applyNumberFormat="1" applyFont="1" applyFill="1" applyBorder="1" applyAlignment="1">
      <alignment horizontal="right" vertical="center" wrapText="1"/>
    </xf>
    <xf numFmtId="182" fontId="9" fillId="0" borderId="0" xfId="145" applyNumberFormat="1" applyFont="1" applyFill="1" applyBorder="1" applyAlignment="1">
      <alignment horizontal="right" vertical="center" wrapText="1"/>
    </xf>
    <xf numFmtId="0" fontId="9" fillId="0" borderId="0" xfId="145" applyFont="1" applyFill="1" applyBorder="1" applyAlignment="1">
      <alignment vertical="center" wrapText="1"/>
    </xf>
    <xf numFmtId="49" fontId="9" fillId="0" borderId="0" xfId="145" applyNumberFormat="1" applyFont="1" applyFill="1" applyBorder="1" applyAlignment="1">
      <alignment horizontal="center" vertical="center" wrapText="1"/>
    </xf>
    <xf numFmtId="0" fontId="9" fillId="0" borderId="0" xfId="159" applyFont="1" applyFill="1" applyAlignment="1">
      <alignment wrapText="1"/>
    </xf>
    <xf numFmtId="49" fontId="40" fillId="0" borderId="18" xfId="107" applyNumberFormat="1" applyFont="1" applyFill="1" applyBorder="1" applyAlignment="1" applyProtection="1">
      <alignment horizontal="center" vertical="center" wrapText="1"/>
    </xf>
    <xf numFmtId="197" fontId="9" fillId="0" borderId="18" xfId="107" applyNumberFormat="1" applyFont="1" applyFill="1" applyBorder="1" applyAlignment="1" applyProtection="1">
      <alignment horizontal="center" vertical="center" wrapText="1"/>
    </xf>
    <xf numFmtId="197" fontId="9" fillId="0" borderId="18" xfId="107" applyNumberFormat="1" applyFont="1" applyFill="1" applyBorder="1" applyAlignment="1" applyProtection="1">
      <alignment horizontal="left" vertical="center" wrapText="1"/>
    </xf>
    <xf numFmtId="201" fontId="9" fillId="0" borderId="18" xfId="107" applyNumberFormat="1" applyFont="1" applyFill="1" applyBorder="1" applyAlignment="1" applyProtection="1">
      <alignment horizontal="right" vertical="center" wrapText="1"/>
    </xf>
    <xf numFmtId="198" fontId="9" fillId="0" borderId="18" xfId="107" applyNumberFormat="1" applyFont="1" applyFill="1" applyBorder="1" applyAlignment="1" applyProtection="1">
      <alignment horizontal="right" vertical="center" wrapText="1"/>
    </xf>
    <xf numFmtId="219" fontId="9" fillId="0" borderId="18" xfId="191" applyNumberFormat="1" applyFont="1" applyFill="1" applyBorder="1" applyAlignment="1">
      <alignment wrapText="1"/>
    </xf>
    <xf numFmtId="197" fontId="9" fillId="0" borderId="0" xfId="107" applyNumberFormat="1" applyFont="1" applyFill="1" applyBorder="1" applyAlignment="1" applyProtection="1">
      <alignment horizontal="center" vertical="center" wrapText="1"/>
    </xf>
    <xf numFmtId="197" fontId="9" fillId="0" borderId="0" xfId="107" applyNumberFormat="1" applyFont="1" applyFill="1" applyBorder="1" applyAlignment="1" applyProtection="1">
      <alignment horizontal="left" vertical="center" wrapText="1"/>
    </xf>
    <xf numFmtId="201" fontId="9" fillId="0" borderId="0" xfId="107" applyNumberFormat="1" applyFont="1" applyFill="1" applyBorder="1" applyAlignment="1" applyProtection="1">
      <alignment horizontal="right" vertical="center" wrapText="1"/>
    </xf>
    <xf numFmtId="198" fontId="9" fillId="0" borderId="0" xfId="107" applyNumberFormat="1" applyFont="1" applyFill="1" applyBorder="1" applyAlignment="1" applyProtection="1">
      <alignment horizontal="right" vertical="center" wrapText="1"/>
    </xf>
    <xf numFmtId="219" fontId="9" fillId="0" borderId="0" xfId="191" applyNumberFormat="1" applyFont="1" applyFill="1" applyBorder="1" applyAlignment="1">
      <alignment wrapText="1"/>
    </xf>
    <xf numFmtId="0" fontId="9" fillId="0" borderId="0" xfId="107" applyFont="1" applyFill="1" applyAlignment="1">
      <alignment horizontal="center" vertical="center" wrapText="1"/>
    </xf>
    <xf numFmtId="0" fontId="9" fillId="0" borderId="0" xfId="115" quotePrefix="1" applyFont="1" applyFill="1" applyAlignment="1">
      <alignment vertical="center"/>
    </xf>
    <xf numFmtId="0" fontId="9" fillId="0" borderId="18" xfId="115" applyFont="1" applyFill="1" applyBorder="1" applyAlignment="1">
      <alignment vertical="center"/>
    </xf>
    <xf numFmtId="0" fontId="9" fillId="0" borderId="68" xfId="107" applyFont="1" applyFill="1" applyBorder="1" applyAlignment="1">
      <alignment vertical="center"/>
    </xf>
    <xf numFmtId="0" fontId="9" fillId="0" borderId="68" xfId="107" applyFont="1" applyFill="1" applyBorder="1" applyAlignment="1">
      <alignment horizontal="left" vertical="center" indent="2"/>
    </xf>
    <xf numFmtId="0" fontId="9" fillId="0" borderId="68" xfId="107" applyFont="1" applyFill="1" applyBorder="1" applyAlignment="1">
      <alignment horizontal="left" vertical="center" indent="4"/>
    </xf>
    <xf numFmtId="0" fontId="9" fillId="0" borderId="0" xfId="115" quotePrefix="1" applyFont="1" applyFill="1" applyAlignment="1">
      <alignment vertical="center" wrapText="1"/>
    </xf>
    <xf numFmtId="0" fontId="40" fillId="0" borderId="18" xfId="115" applyFont="1" applyFill="1" applyBorder="1" applyAlignment="1">
      <alignment horizontal="centerContinuous" vertical="center" wrapText="1"/>
    </xf>
    <xf numFmtId="178" fontId="9" fillId="0" borderId="18" xfId="167" applyNumberFormat="1" applyFont="1" applyFill="1" applyBorder="1" applyAlignment="1" applyProtection="1">
      <alignment horizontal="right" vertical="center" wrapText="1"/>
      <protection locked="0"/>
    </xf>
    <xf numFmtId="178" fontId="9" fillId="0" borderId="18" xfId="167" applyNumberFormat="1" applyFont="1" applyFill="1" applyBorder="1" applyAlignment="1" applyProtection="1">
      <alignment horizontal="left" vertical="center" wrapText="1"/>
      <protection locked="0"/>
    </xf>
    <xf numFmtId="178" fontId="9" fillId="26" borderId="18" xfId="167" applyNumberFormat="1" applyFont="1" applyFill="1" applyBorder="1" applyAlignment="1">
      <alignment horizontal="left" vertical="center" wrapText="1"/>
    </xf>
    <xf numFmtId="178" fontId="9" fillId="31" borderId="18" xfId="167" applyNumberFormat="1" applyFont="1" applyFill="1" applyBorder="1" applyAlignment="1">
      <alignment horizontal="right" vertical="center" wrapText="1"/>
    </xf>
    <xf numFmtId="0" fontId="9" fillId="0" borderId="0" xfId="107" applyFont="1" applyAlignment="1">
      <alignment horizontal="center" vertical="center"/>
    </xf>
    <xf numFmtId="0" fontId="9" fillId="0" borderId="0" xfId="107" applyFont="1" applyAlignment="1">
      <alignment vertical="center" wrapText="1"/>
    </xf>
    <xf numFmtId="0" fontId="9" fillId="0" borderId="0" xfId="107" applyFont="1" applyBorder="1" applyAlignment="1">
      <alignment horizontal="center" vertical="center"/>
    </xf>
    <xf numFmtId="0" fontId="9" fillId="0" borderId="0" xfId="107" applyFont="1" applyBorder="1" applyAlignment="1">
      <alignment horizontal="left" vertical="center" wrapText="1"/>
    </xf>
    <xf numFmtId="0" fontId="9" fillId="0" borderId="0" xfId="161" applyFont="1" applyFill="1" applyAlignment="1">
      <alignment horizontal="right" vertical="center"/>
    </xf>
    <xf numFmtId="0" fontId="9" fillId="0" borderId="18" xfId="115" applyFont="1" applyFill="1" applyBorder="1" applyAlignment="1">
      <alignment horizontal="left" vertical="center" wrapText="1" indent="2"/>
    </xf>
    <xf numFmtId="0" fontId="9" fillId="0" borderId="68" xfId="107" applyFont="1" applyFill="1" applyBorder="1" applyAlignment="1">
      <alignment horizontal="left" vertical="center" indent="6"/>
    </xf>
    <xf numFmtId="0" fontId="9" fillId="0" borderId="0" xfId="107" applyNumberFormat="1" applyFont="1" applyFill="1" applyAlignment="1">
      <alignment vertical="center"/>
    </xf>
    <xf numFmtId="0" fontId="9" fillId="0" borderId="18" xfId="107" applyNumberFormat="1" applyFont="1" applyFill="1" applyBorder="1" applyAlignment="1">
      <alignment horizontal="center" vertical="center" wrapText="1"/>
    </xf>
    <xf numFmtId="0" fontId="9" fillId="0" borderId="18" xfId="107" applyNumberFormat="1" applyFont="1" applyFill="1" applyBorder="1" applyAlignment="1" applyProtection="1">
      <alignment horizontal="right" vertical="center" wrapText="1"/>
    </xf>
    <xf numFmtId="0" fontId="9" fillId="0" borderId="18" xfId="107" applyNumberFormat="1" applyFont="1" applyFill="1" applyBorder="1" applyAlignment="1" applyProtection="1">
      <alignment horizontal="left" vertical="center" wrapText="1"/>
    </xf>
    <xf numFmtId="0" fontId="9" fillId="0" borderId="18" xfId="107" applyNumberFormat="1" applyFont="1" applyFill="1" applyBorder="1" applyAlignment="1">
      <alignment horizontal="left" vertical="center" wrapText="1"/>
    </xf>
    <xf numFmtId="0" fontId="9" fillId="0" borderId="0" xfId="107" applyNumberFormat="1" applyFont="1" applyFill="1" applyAlignment="1">
      <alignment vertical="center" wrapText="1"/>
    </xf>
    <xf numFmtId="0" fontId="9" fillId="0" borderId="0" xfId="107" applyFont="1" applyFill="1" applyBorder="1" applyAlignment="1">
      <alignment horizontal="left" vertical="center"/>
    </xf>
    <xf numFmtId="0" fontId="9" fillId="0" borderId="0" xfId="137" applyNumberFormat="1" applyFont="1" applyAlignment="1">
      <alignment wrapText="1"/>
    </xf>
    <xf numFmtId="0" fontId="9" fillId="0" borderId="0" xfId="137" applyNumberFormat="1" applyFont="1" applyFill="1" applyAlignment="1">
      <alignment vertical="center" wrapText="1"/>
    </xf>
    <xf numFmtId="0" fontId="40" fillId="0" borderId="18" xfId="107" quotePrefix="1" applyNumberFormat="1" applyFont="1" applyFill="1" applyBorder="1" applyAlignment="1" applyProtection="1">
      <alignment horizontal="center" vertical="center" wrapText="1"/>
    </xf>
    <xf numFmtId="0" fontId="9" fillId="0" borderId="18" xfId="107" applyNumberFormat="1" applyFont="1" applyFill="1" applyBorder="1" applyAlignment="1" applyProtection="1">
      <alignment horizontal="center" vertical="center" wrapText="1"/>
    </xf>
    <xf numFmtId="178" fontId="9" fillId="26" borderId="129" xfId="167" applyNumberFormat="1" applyFont="1" applyFill="1" applyBorder="1" applyAlignment="1">
      <alignment horizontal="left" vertical="center" wrapText="1"/>
    </xf>
    <xf numFmtId="0" fontId="9" fillId="0" borderId="0" xfId="107" applyNumberFormat="1" applyFont="1" applyFill="1" applyAlignment="1">
      <alignment horizontal="center" vertical="center" wrapText="1"/>
    </xf>
    <xf numFmtId="0" fontId="9" fillId="0" borderId="0" xfId="107" applyNumberFormat="1" applyFont="1" applyFill="1" applyBorder="1" applyAlignment="1">
      <alignment vertical="center" wrapText="1"/>
    </xf>
    <xf numFmtId="0" fontId="9" fillId="0" borderId="0" xfId="107" applyNumberFormat="1" applyFont="1" applyFill="1" applyBorder="1" applyAlignment="1">
      <alignment horizontal="left" vertical="center" wrapText="1"/>
    </xf>
    <xf numFmtId="0" fontId="9" fillId="0" borderId="0" xfId="137" applyNumberFormat="1" applyFont="1" applyFill="1" applyAlignment="1">
      <alignment wrapText="1"/>
    </xf>
    <xf numFmtId="0" fontId="9" fillId="0" borderId="0" xfId="137" applyNumberFormat="1" applyFont="1" applyAlignment="1">
      <alignment horizontal="right" vertical="center"/>
    </xf>
    <xf numFmtId="0" fontId="9" fillId="0" borderId="0" xfId="107" quotePrefix="1" applyFont="1" applyFill="1" applyAlignment="1">
      <alignment vertical="center"/>
    </xf>
    <xf numFmtId="197" fontId="9" fillId="0" borderId="18" xfId="107" applyNumberFormat="1" applyFont="1" applyFill="1" applyBorder="1" applyAlignment="1">
      <alignment horizontal="left" vertical="center" wrapText="1"/>
    </xf>
    <xf numFmtId="0" fontId="9" fillId="0" borderId="0" xfId="164" applyFont="1" applyAlignment="1">
      <alignment vertical="center" wrapText="1"/>
    </xf>
    <xf numFmtId="0" fontId="9" fillId="0" borderId="0" xfId="164" applyFont="1" applyAlignment="1">
      <alignment wrapText="1"/>
    </xf>
    <xf numFmtId="0" fontId="40" fillId="0" borderId="18" xfId="107" applyFont="1" applyBorder="1" applyAlignment="1">
      <alignment horizontal="centerContinuous" vertical="center" wrapText="1"/>
    </xf>
    <xf numFmtId="198" fontId="9" fillId="0" borderId="129" xfId="107" applyNumberFormat="1" applyFont="1" applyFill="1" applyBorder="1" applyAlignment="1">
      <alignment horizontal="right" vertical="center" wrapText="1"/>
    </xf>
    <xf numFmtId="209" fontId="9" fillId="0" borderId="18" xfId="148" quotePrefix="1" applyNumberFormat="1" applyFont="1" applyFill="1" applyBorder="1" applyAlignment="1">
      <alignment horizontal="center" vertical="center" wrapText="1"/>
    </xf>
    <xf numFmtId="0" fontId="9" fillId="0" borderId="0" xfId="137" applyFont="1" applyAlignment="1">
      <alignment wrapText="1"/>
    </xf>
    <xf numFmtId="49" fontId="9" fillId="0" borderId="18" xfId="148" applyNumberFormat="1" applyFont="1" applyFill="1" applyBorder="1" applyAlignment="1">
      <alignment horizontal="center" vertical="center" wrapText="1"/>
    </xf>
    <xf numFmtId="0" fontId="9" fillId="0" borderId="0" xfId="107" applyFont="1" applyFill="1" applyAlignment="1">
      <alignment horizontal="right" vertical="center" wrapText="1"/>
    </xf>
    <xf numFmtId="0" fontId="9" fillId="0" borderId="18" xfId="107" applyFont="1" applyBorder="1" applyAlignment="1">
      <alignment vertical="center" wrapText="1"/>
    </xf>
    <xf numFmtId="0" fontId="9" fillId="0" borderId="18" xfId="137" applyFont="1" applyBorder="1" applyAlignment="1">
      <alignment vertical="center" wrapText="1"/>
    </xf>
    <xf numFmtId="0" fontId="9" fillId="0" borderId="18" xfId="137" applyFont="1" applyBorder="1" applyAlignment="1">
      <alignment wrapText="1"/>
    </xf>
    <xf numFmtId="0" fontId="9" fillId="0" borderId="0" xfId="107" quotePrefix="1" applyFont="1" applyFill="1" applyAlignment="1">
      <alignment horizontal="center" vertical="center" wrapText="1"/>
    </xf>
    <xf numFmtId="0" fontId="9" fillId="0" borderId="0" xfId="164" applyFont="1" applyAlignment="1">
      <alignment horizontal="right" vertical="center"/>
    </xf>
    <xf numFmtId="0" fontId="9" fillId="0" borderId="0" xfId="96" applyFont="1" applyFill="1" applyBorder="1" applyAlignment="1" applyProtection="1">
      <alignment vertical="center"/>
    </xf>
    <xf numFmtId="0" fontId="9" fillId="0" borderId="0" xfId="94" applyNumberFormat="1" applyFont="1" applyFill="1" applyBorder="1" applyAlignment="1" applyProtection="1">
      <alignment horizontal="left" vertical="center"/>
    </xf>
    <xf numFmtId="0" fontId="9" fillId="0" borderId="0" xfId="94" applyNumberFormat="1" applyFont="1" applyFill="1" applyBorder="1" applyAlignment="1" applyProtection="1">
      <alignment horizontal="center" vertical="center" wrapText="1"/>
    </xf>
    <xf numFmtId="0" fontId="9" fillId="0" borderId="0" xfId="94" applyNumberFormat="1" applyFont="1" applyFill="1" applyBorder="1" applyAlignment="1" applyProtection="1">
      <alignment horizontal="right"/>
    </xf>
    <xf numFmtId="192" fontId="9" fillId="0" borderId="0" xfId="96" applyNumberFormat="1" applyFont="1" applyFill="1" applyBorder="1" applyAlignment="1" applyProtection="1">
      <alignment horizontal="center" vertical="center" wrapText="1"/>
    </xf>
    <xf numFmtId="191" fontId="9" fillId="0" borderId="0" xfId="96" applyNumberFormat="1" applyFont="1" applyFill="1" applyBorder="1" applyAlignment="1" applyProtection="1">
      <alignment horizontal="center" vertical="center"/>
    </xf>
    <xf numFmtId="192" fontId="9" fillId="0" borderId="0" xfId="96" applyNumberFormat="1" applyFont="1" applyFill="1" applyBorder="1" applyAlignment="1" applyProtection="1">
      <alignment horizontal="center" vertical="center"/>
    </xf>
    <xf numFmtId="0" fontId="9" fillId="0" borderId="0" xfId="96" applyFont="1" applyFill="1" applyBorder="1" applyAlignment="1" applyProtection="1">
      <alignment vertical="center" wrapText="1"/>
    </xf>
    <xf numFmtId="0" fontId="9" fillId="0" borderId="0" xfId="94" applyNumberFormat="1" applyFont="1" applyFill="1" applyBorder="1" applyAlignment="1" applyProtection="1">
      <alignment horizontal="left" vertical="center" wrapText="1"/>
    </xf>
    <xf numFmtId="191" fontId="9" fillId="0" borderId="0" xfId="94" applyNumberFormat="1" applyFont="1" applyFill="1" applyBorder="1" applyAlignment="1" applyProtection="1">
      <alignment horizontal="center" vertical="center" wrapText="1"/>
    </xf>
    <xf numFmtId="0" fontId="9" fillId="0" borderId="0" xfId="94" applyFont="1" applyFill="1" applyBorder="1" applyAlignment="1" applyProtection="1">
      <alignment vertical="center" wrapText="1"/>
    </xf>
    <xf numFmtId="191" fontId="40" fillId="0" borderId="18" xfId="96" applyNumberFormat="1" applyFont="1" applyFill="1" applyBorder="1" applyAlignment="1" applyProtection="1">
      <alignment horizontal="center" vertical="center" wrapText="1"/>
    </xf>
    <xf numFmtId="49" fontId="40" fillId="0" borderId="18" xfId="96" applyNumberFormat="1" applyFont="1" applyFill="1" applyBorder="1" applyAlignment="1" applyProtection="1">
      <alignment horizontal="center" vertical="center" wrapText="1"/>
    </xf>
    <xf numFmtId="0" fontId="9" fillId="0" borderId="15" xfId="124" applyFont="1" applyFill="1" applyBorder="1" applyAlignment="1">
      <alignment horizontal="center" vertical="center" wrapText="1"/>
    </xf>
    <xf numFmtId="0" fontId="9" fillId="25" borderId="76" xfId="96" applyFont="1" applyFill="1" applyBorder="1" applyAlignment="1" applyProtection="1">
      <alignment vertical="center" wrapText="1"/>
    </xf>
    <xf numFmtId="0" fontId="9" fillId="25" borderId="76" xfId="96" applyFont="1" applyFill="1" applyBorder="1" applyAlignment="1" applyProtection="1">
      <alignment horizontal="left" vertical="center" wrapText="1"/>
      <protection locked="0"/>
    </xf>
    <xf numFmtId="178" fontId="9" fillId="25" borderId="76" xfId="167" applyNumberFormat="1" applyFont="1" applyFill="1" applyBorder="1" applyAlignment="1" applyProtection="1">
      <alignment horizontal="center" vertical="center" wrapText="1"/>
    </xf>
    <xf numFmtId="191" fontId="9" fillId="25" borderId="76" xfId="96" applyNumberFormat="1" applyFont="1" applyFill="1" applyBorder="1" applyAlignment="1" applyProtection="1">
      <alignment horizontal="center" vertical="center" wrapText="1"/>
    </xf>
    <xf numFmtId="0" fontId="9" fillId="25" borderId="32" xfId="96" applyFont="1" applyFill="1" applyBorder="1" applyAlignment="1" applyProtection="1">
      <alignment horizontal="left" vertical="center" wrapText="1" indent="2"/>
    </xf>
    <xf numFmtId="0" fontId="9" fillId="25" borderId="32" xfId="96" applyFont="1" applyFill="1" applyBorder="1" applyAlignment="1" applyProtection="1">
      <alignment horizontal="left" vertical="center" wrapText="1"/>
      <protection locked="0"/>
    </xf>
    <xf numFmtId="178" fontId="9" fillId="25" borderId="32" xfId="167" applyNumberFormat="1" applyFont="1" applyFill="1" applyBorder="1" applyAlignment="1" applyProtection="1">
      <alignment horizontal="center" vertical="center" wrapText="1"/>
    </xf>
    <xf numFmtId="191" fontId="9" fillId="25" borderId="32" xfId="96" applyNumberFormat="1" applyFont="1" applyFill="1" applyBorder="1" applyAlignment="1" applyProtection="1">
      <alignment horizontal="center" vertical="center" wrapText="1"/>
    </xf>
    <xf numFmtId="0" fontId="9" fillId="25" borderId="32" xfId="96" applyFont="1" applyFill="1" applyBorder="1" applyAlignment="1" applyProtection="1">
      <alignment horizontal="left" vertical="center" wrapText="1" indent="4"/>
    </xf>
    <xf numFmtId="178" fontId="9" fillId="25" borderId="32" xfId="167" applyNumberFormat="1" applyFont="1" applyFill="1" applyBorder="1" applyAlignment="1" applyProtection="1">
      <alignment horizontal="center" vertical="center" wrapText="1"/>
      <protection locked="0"/>
    </xf>
    <xf numFmtId="0" fontId="9" fillId="0" borderId="32" xfId="96" applyFont="1" applyFill="1" applyBorder="1" applyAlignment="1" applyProtection="1">
      <alignment horizontal="left" vertical="center" wrapText="1" indent="6"/>
    </xf>
    <xf numFmtId="191" fontId="9" fillId="0" borderId="32" xfId="96" applyNumberFormat="1" applyFont="1" applyFill="1" applyBorder="1" applyAlignment="1" applyProtection="1">
      <alignment horizontal="center" vertical="center" wrapText="1"/>
    </xf>
    <xf numFmtId="178" fontId="9" fillId="0" borderId="32" xfId="167" applyNumberFormat="1" applyFont="1" applyFill="1" applyBorder="1" applyAlignment="1" applyProtection="1">
      <alignment horizontal="center" vertical="center" wrapText="1"/>
    </xf>
    <xf numFmtId="178" fontId="9" fillId="0" borderId="32" xfId="167" applyNumberFormat="1" applyFont="1" applyFill="1" applyBorder="1" applyAlignment="1" applyProtection="1">
      <alignment horizontal="center" vertical="center" wrapText="1"/>
      <protection locked="0"/>
    </xf>
    <xf numFmtId="0" fontId="9" fillId="25" borderId="32" xfId="96" applyFont="1" applyFill="1" applyBorder="1" applyAlignment="1" applyProtection="1">
      <alignment horizontal="left" vertical="center" wrapText="1" indent="6"/>
    </xf>
    <xf numFmtId="0" fontId="9" fillId="0" borderId="32" xfId="96" applyFont="1" applyFill="1" applyBorder="1" applyAlignment="1" applyProtection="1">
      <alignment horizontal="left" vertical="center" wrapText="1" indent="8"/>
    </xf>
    <xf numFmtId="189" fontId="9" fillId="25" borderId="32" xfId="96" applyNumberFormat="1" applyFont="1" applyFill="1" applyBorder="1" applyAlignment="1" applyProtection="1">
      <alignment horizontal="center" vertical="center" wrapText="1"/>
    </xf>
    <xf numFmtId="0" fontId="9" fillId="0" borderId="32" xfId="96" applyFont="1" applyFill="1" applyBorder="1" applyAlignment="1" applyProtection="1">
      <alignment horizontal="left" vertical="center" wrapText="1" indent="4"/>
    </xf>
    <xf numFmtId="0" fontId="82" fillId="25" borderId="32" xfId="96" applyFont="1" applyFill="1" applyBorder="1" applyAlignment="1" applyProtection="1">
      <alignment horizontal="left" vertical="center" wrapText="1"/>
      <protection locked="0"/>
    </xf>
    <xf numFmtId="191" fontId="82" fillId="25" borderId="32" xfId="96" applyNumberFormat="1" applyFont="1" applyFill="1" applyBorder="1" applyAlignment="1" applyProtection="1">
      <alignment horizontal="center" vertical="center" wrapText="1"/>
    </xf>
    <xf numFmtId="191" fontId="86" fillId="25" borderId="32" xfId="96" applyNumberFormat="1" applyFont="1" applyFill="1" applyBorder="1" applyAlignment="1" applyProtection="1">
      <alignment horizontal="center" vertical="center" wrapText="1"/>
    </xf>
    <xf numFmtId="191" fontId="9" fillId="0" borderId="32" xfId="124" applyNumberFormat="1" applyFont="1" applyFill="1" applyBorder="1" applyAlignment="1" applyProtection="1">
      <alignment horizontal="center" vertical="center" wrapText="1"/>
    </xf>
    <xf numFmtId="191" fontId="9" fillId="25" borderId="32" xfId="124" applyNumberFormat="1" applyFont="1" applyFill="1" applyBorder="1" applyAlignment="1" applyProtection="1">
      <alignment horizontal="center" vertical="center" wrapText="1"/>
    </xf>
    <xf numFmtId="0" fontId="9" fillId="0" borderId="32" xfId="0" applyFont="1" applyFill="1" applyBorder="1" applyAlignment="1" applyProtection="1">
      <alignment horizontal="left" vertical="center" wrapText="1"/>
      <protection locked="0"/>
    </xf>
    <xf numFmtId="0" fontId="9" fillId="25" borderId="32" xfId="96" applyFont="1" applyFill="1" applyBorder="1" applyAlignment="1" applyProtection="1">
      <alignment vertical="center" wrapText="1"/>
    </xf>
    <xf numFmtId="191" fontId="9" fillId="0" borderId="32" xfId="96" applyNumberFormat="1" applyFont="1" applyFill="1" applyBorder="1" applyAlignment="1" applyProtection="1">
      <alignment horizontal="center" vertical="center" wrapText="1" shrinkToFit="1"/>
    </xf>
    <xf numFmtId="0" fontId="9" fillId="25" borderId="32" xfId="96" applyFont="1" applyFill="1" applyBorder="1" applyAlignment="1" applyProtection="1">
      <alignment horizontal="center" vertical="center" wrapText="1"/>
      <protection locked="0"/>
    </xf>
    <xf numFmtId="0" fontId="9" fillId="25" borderId="32" xfId="124" applyFont="1" applyFill="1" applyBorder="1" applyAlignment="1">
      <alignment vertical="center" wrapText="1"/>
    </xf>
    <xf numFmtId="0" fontId="40" fillId="30" borderId="15" xfId="96" applyFont="1" applyFill="1" applyBorder="1" applyAlignment="1" applyProtection="1">
      <alignment vertical="center" wrapText="1"/>
    </xf>
    <xf numFmtId="178" fontId="40" fillId="30" borderId="15" xfId="167" applyNumberFormat="1" applyFont="1" applyFill="1" applyBorder="1" applyAlignment="1" applyProtection="1">
      <alignment horizontal="center" vertical="center" wrapText="1"/>
    </xf>
    <xf numFmtId="191" fontId="40" fillId="30" borderId="15" xfId="96" applyNumberFormat="1" applyFont="1" applyFill="1" applyBorder="1" applyAlignment="1" applyProtection="1">
      <alignment horizontal="center" vertical="center" wrapText="1"/>
    </xf>
    <xf numFmtId="0" fontId="9" fillId="0" borderId="0" xfId="124" applyFont="1" applyFill="1" applyAlignment="1">
      <alignment horizontal="center" vertical="center" wrapText="1"/>
    </xf>
    <xf numFmtId="0" fontId="9" fillId="0" borderId="0" xfId="96" applyFont="1" applyFill="1" applyBorder="1" applyAlignment="1" applyProtection="1">
      <alignment horizontal="left" vertical="top"/>
    </xf>
    <xf numFmtId="0" fontId="9" fillId="0" borderId="0" xfId="96" applyFont="1" applyFill="1" applyBorder="1" applyAlignment="1" applyProtection="1">
      <alignment vertical="top" wrapText="1"/>
    </xf>
    <xf numFmtId="191" fontId="9" fillId="0" borderId="0" xfId="96" applyNumberFormat="1" applyFont="1" applyFill="1" applyBorder="1" applyAlignment="1" applyProtection="1">
      <alignment horizontal="center" vertical="center" wrapText="1"/>
    </xf>
    <xf numFmtId="0" fontId="9" fillId="0" borderId="0" xfId="125" applyFont="1" applyFill="1" applyBorder="1" applyAlignment="1">
      <alignment vertical="center"/>
    </xf>
    <xf numFmtId="0" fontId="9" fillId="0" borderId="0" xfId="96" applyFont="1" applyAlignment="1" applyProtection="1">
      <alignment vertical="center" wrapText="1"/>
    </xf>
    <xf numFmtId="0" fontId="9" fillId="0" borderId="0" xfId="96" applyFont="1" applyBorder="1" applyAlignment="1" applyProtection="1">
      <alignment horizontal="center" vertical="center" wrapText="1"/>
    </xf>
    <xf numFmtId="0" fontId="9" fillId="0" borderId="0" xfId="0" applyFont="1" applyFill="1" applyAlignment="1" applyProtection="1">
      <alignment horizontal="left" wrapText="1"/>
    </xf>
    <xf numFmtId="0" fontId="9" fillId="0" borderId="0" xfId="93" quotePrefix="1" applyNumberFormat="1" applyFont="1" applyAlignment="1" applyProtection="1">
      <alignment horizontal="left" vertical="center" indent="2"/>
    </xf>
    <xf numFmtId="0" fontId="9" fillId="0" borderId="0" xfId="96" applyFont="1" applyAlignment="1" applyProtection="1">
      <alignment wrapText="1"/>
    </xf>
    <xf numFmtId="49" fontId="9" fillId="0" borderId="0" xfId="93" applyNumberFormat="1" applyFont="1" applyAlignment="1" applyProtection="1">
      <alignment horizontal="left" vertical="center" indent="2"/>
    </xf>
    <xf numFmtId="0" fontId="9" fillId="0" borderId="0" xfId="96" applyFont="1" applyAlignment="1" applyProtection="1">
      <alignment horizontal="right" vertical="center" wrapText="1"/>
    </xf>
    <xf numFmtId="0" fontId="40" fillId="0" borderId="65" xfId="96" applyFont="1" applyBorder="1" applyAlignment="1" applyProtection="1">
      <alignment horizontal="center" vertical="center" wrapText="1"/>
    </xf>
    <xf numFmtId="0" fontId="40" fillId="0" borderId="256" xfId="96" applyFont="1" applyBorder="1" applyAlignment="1" applyProtection="1">
      <alignment horizontal="center" vertical="center" wrapText="1"/>
    </xf>
    <xf numFmtId="0" fontId="40" fillId="0" borderId="244" xfId="96" applyFont="1" applyBorder="1" applyAlignment="1" applyProtection="1">
      <alignment horizontal="center" vertical="center" wrapText="1"/>
    </xf>
    <xf numFmtId="0" fontId="9" fillId="0" borderId="137" xfId="96" applyFont="1" applyBorder="1" applyAlignment="1" applyProtection="1">
      <alignment vertical="center" wrapText="1"/>
    </xf>
    <xf numFmtId="178" fontId="9" fillId="0" borderId="189" xfId="167" applyNumberFormat="1" applyFont="1" applyBorder="1" applyAlignment="1" applyProtection="1">
      <alignment horizontal="center" vertical="center" wrapText="1"/>
    </xf>
    <xf numFmtId="10" fontId="9" fillId="0" borderId="93" xfId="210" applyNumberFormat="1" applyFont="1" applyBorder="1" applyAlignment="1" applyProtection="1">
      <alignment horizontal="center" vertical="center" wrapText="1"/>
    </xf>
    <xf numFmtId="10" fontId="9" fillId="0" borderId="245" xfId="210" applyNumberFormat="1" applyFont="1" applyBorder="1" applyAlignment="1" applyProtection="1">
      <alignment horizontal="center" vertical="center" wrapText="1"/>
    </xf>
    <xf numFmtId="0" fontId="9" fillId="0" borderId="139" xfId="96" applyFont="1" applyBorder="1" applyAlignment="1" applyProtection="1">
      <alignment vertical="center" wrapText="1"/>
    </xf>
    <xf numFmtId="178" fontId="9" fillId="0" borderId="190" xfId="167" applyNumberFormat="1" applyFont="1" applyBorder="1" applyAlignment="1" applyProtection="1">
      <alignment horizontal="center" vertical="center" wrapText="1"/>
    </xf>
    <xf numFmtId="10" fontId="9" fillId="0" borderId="96" xfId="210" applyNumberFormat="1" applyFont="1" applyBorder="1" applyAlignment="1" applyProtection="1">
      <alignment horizontal="center" vertical="center" wrapText="1"/>
    </xf>
    <xf numFmtId="10" fontId="9" fillId="0" borderId="123" xfId="210" applyNumberFormat="1" applyFont="1" applyBorder="1" applyAlignment="1" applyProtection="1">
      <alignment horizontal="center" vertical="center" wrapText="1"/>
    </xf>
    <xf numFmtId="0" fontId="9" fillId="0" borderId="139" xfId="96" applyFont="1" applyBorder="1" applyAlignment="1" applyProtection="1">
      <alignment horizontal="left" vertical="center" wrapText="1" indent="2"/>
    </xf>
    <xf numFmtId="0" fontId="9" fillId="0" borderId="139" xfId="96" applyFont="1" applyBorder="1" applyAlignment="1" applyProtection="1">
      <alignment horizontal="left" vertical="center" wrapText="1"/>
    </xf>
    <xf numFmtId="0" fontId="9" fillId="0" borderId="193" xfId="96" applyFont="1" applyBorder="1" applyAlignment="1" applyProtection="1">
      <alignment vertical="center" wrapText="1"/>
    </xf>
    <xf numFmtId="178" fontId="9" fillId="0" borderId="246" xfId="167" applyNumberFormat="1" applyFont="1" applyBorder="1" applyAlignment="1" applyProtection="1">
      <alignment horizontal="center" vertical="center" wrapText="1"/>
    </xf>
    <xf numFmtId="10" fontId="9" fillId="0" borderId="100" xfId="210" applyNumberFormat="1" applyFont="1" applyBorder="1" applyAlignment="1" applyProtection="1">
      <alignment horizontal="center" vertical="center" wrapText="1"/>
    </xf>
    <xf numFmtId="10" fontId="9" fillId="0" borderId="259" xfId="210" applyNumberFormat="1" applyFont="1" applyBorder="1" applyAlignment="1" applyProtection="1">
      <alignment horizontal="center" vertical="center" wrapText="1"/>
    </xf>
    <xf numFmtId="0" fontId="9" fillId="0" borderId="260" xfId="96" applyFont="1" applyBorder="1" applyAlignment="1" applyProtection="1">
      <alignment vertical="center" wrapText="1"/>
    </xf>
    <xf numFmtId="10" fontId="9" fillId="0" borderId="182" xfId="210" applyNumberFormat="1" applyFont="1" applyFill="1" applyBorder="1" applyAlignment="1" applyProtection="1">
      <alignment horizontal="center" vertical="center" wrapText="1"/>
    </xf>
    <xf numFmtId="10" fontId="9" fillId="25" borderId="261" xfId="210" applyNumberFormat="1" applyFont="1" applyFill="1" applyBorder="1" applyAlignment="1" applyProtection="1">
      <alignment horizontal="center" vertical="center" wrapText="1"/>
    </xf>
    <xf numFmtId="10" fontId="9" fillId="25" borderId="100" xfId="210" applyNumberFormat="1" applyFont="1" applyFill="1" applyBorder="1" applyAlignment="1" applyProtection="1">
      <alignment vertical="center" wrapText="1"/>
    </xf>
    <xf numFmtId="10" fontId="9" fillId="25" borderId="262" xfId="210" applyNumberFormat="1" applyFont="1" applyFill="1" applyBorder="1" applyAlignment="1" applyProtection="1">
      <alignment vertical="center" wrapText="1"/>
    </xf>
    <xf numFmtId="0" fontId="9" fillId="0" borderId="263" xfId="96" applyFont="1" applyBorder="1" applyAlignment="1" applyProtection="1">
      <alignment horizontal="left" vertical="center" wrapText="1"/>
    </xf>
    <xf numFmtId="178" fontId="9" fillId="0" borderId="198" xfId="167" applyNumberFormat="1" applyFont="1" applyBorder="1" applyAlignment="1" applyProtection="1">
      <alignment horizontal="center" vertical="center" wrapText="1"/>
    </xf>
    <xf numFmtId="10" fontId="9" fillId="25" borderId="264" xfId="210" applyNumberFormat="1" applyFont="1" applyFill="1" applyBorder="1" applyAlignment="1" applyProtection="1">
      <alignment vertical="center" wrapText="1"/>
    </xf>
    <xf numFmtId="10" fontId="9" fillId="25" borderId="265" xfId="210" applyNumberFormat="1" applyFont="1" applyFill="1" applyBorder="1" applyAlignment="1" applyProtection="1">
      <alignment vertical="center" wrapText="1"/>
    </xf>
    <xf numFmtId="178" fontId="40" fillId="33" borderId="197" xfId="167" applyNumberFormat="1" applyFont="1" applyFill="1" applyBorder="1" applyAlignment="1" applyProtection="1">
      <alignment horizontal="center" vertical="center" wrapText="1"/>
    </xf>
    <xf numFmtId="10" fontId="40" fillId="25" borderId="249" xfId="210" applyNumberFormat="1" applyFont="1" applyFill="1" applyBorder="1" applyAlignment="1" applyProtection="1">
      <alignment vertical="center" wrapText="1"/>
    </xf>
    <xf numFmtId="10" fontId="40" fillId="25" borderId="71" xfId="210" applyNumberFormat="1" applyFont="1" applyFill="1" applyBorder="1" applyAlignment="1" applyProtection="1">
      <alignment vertical="center" wrapText="1"/>
    </xf>
    <xf numFmtId="0" fontId="9" fillId="0" borderId="0" xfId="96" applyFont="1" applyFill="1" applyAlignment="1" applyProtection="1">
      <alignment vertical="center" wrapText="1"/>
    </xf>
    <xf numFmtId="0" fontId="9" fillId="0" borderId="0" xfId="124" applyFont="1" applyAlignment="1">
      <alignment vertical="center"/>
    </xf>
    <xf numFmtId="0" fontId="40" fillId="0" borderId="25" xfId="96" applyFont="1" applyBorder="1" applyAlignment="1" applyProtection="1">
      <alignment horizontal="center" vertical="center" wrapText="1"/>
    </xf>
    <xf numFmtId="177" fontId="9" fillId="26" borderId="0" xfId="0" applyNumberFormat="1" applyFont="1" applyFill="1" applyAlignment="1">
      <alignment wrapText="1"/>
    </xf>
    <xf numFmtId="0" fontId="9" fillId="26" borderId="0" xfId="0" applyFont="1" applyFill="1" applyAlignment="1">
      <alignment wrapText="1"/>
    </xf>
    <xf numFmtId="0" fontId="9" fillId="26" borderId="0" xfId="0" quotePrefix="1" applyFont="1" applyFill="1" applyAlignment="1">
      <alignment wrapText="1"/>
    </xf>
    <xf numFmtId="183" fontId="9" fillId="26" borderId="0" xfId="0" applyNumberFormat="1" applyFont="1" applyFill="1" applyAlignment="1">
      <alignment wrapText="1"/>
    </xf>
    <xf numFmtId="0" fontId="28" fillId="0" borderId="68" xfId="107" applyFont="1" applyFill="1" applyBorder="1" applyAlignment="1">
      <alignment horizontal="left" vertical="center"/>
    </xf>
    <xf numFmtId="0" fontId="28" fillId="0" borderId="68" xfId="107" applyFont="1" applyFill="1" applyBorder="1" applyAlignment="1">
      <alignment horizontal="left" vertical="center" indent="4"/>
    </xf>
    <xf numFmtId="0" fontId="28" fillId="0" borderId="68" xfId="107" applyFont="1" applyFill="1" applyBorder="1" applyAlignment="1">
      <alignment horizontal="left" vertical="center" indent="6"/>
    </xf>
    <xf numFmtId="198" fontId="28" fillId="0" borderId="18" xfId="107" applyNumberFormat="1" applyFont="1" applyFill="1" applyBorder="1" applyAlignment="1">
      <alignment horizontal="left" vertical="center" wrapText="1"/>
    </xf>
    <xf numFmtId="0" fontId="0" fillId="0" borderId="0" xfId="0" applyFont="1"/>
    <xf numFmtId="184" fontId="90" fillId="0" borderId="18" xfId="0" applyNumberFormat="1" applyFont="1" applyBorder="1" applyAlignment="1">
      <alignment horizontal="center" vertical="center"/>
    </xf>
    <xf numFmtId="0" fontId="90" fillId="0" borderId="0" xfId="0" applyFont="1"/>
    <xf numFmtId="184" fontId="90" fillId="26" borderId="18" xfId="0" applyNumberFormat="1" applyFont="1" applyFill="1" applyBorder="1" applyAlignment="1">
      <alignment horizontal="center" vertical="center"/>
    </xf>
    <xf numFmtId="184" fontId="90" fillId="32" borderId="18" xfId="0" applyNumberFormat="1" applyFont="1" applyFill="1" applyBorder="1" applyAlignment="1">
      <alignment horizontal="center" vertical="center"/>
    </xf>
    <xf numFmtId="177" fontId="90" fillId="0" borderId="18" xfId="181" applyNumberFormat="1" applyFont="1" applyBorder="1" applyAlignment="1">
      <alignment horizontal="center" vertical="center" wrapText="1"/>
    </xf>
    <xf numFmtId="200" fontId="90" fillId="32" borderId="18" xfId="181" applyNumberFormat="1" applyFont="1" applyFill="1" applyBorder="1" applyAlignment="1">
      <alignment horizontal="center" vertical="center" wrapText="1"/>
    </xf>
    <xf numFmtId="0" fontId="40" fillId="0" borderId="18" xfId="157" applyFont="1" applyFill="1" applyBorder="1" applyAlignment="1">
      <alignment horizontal="center" vertical="center" wrapText="1"/>
    </xf>
    <xf numFmtId="0" fontId="27" fillId="0" borderId="18" xfId="107" applyFont="1" applyFill="1" applyBorder="1" applyAlignment="1">
      <alignment horizontal="center" vertical="center"/>
    </xf>
    <xf numFmtId="49" fontId="40" fillId="0" borderId="18" xfId="103" applyNumberFormat="1" applyFont="1" applyFill="1" applyBorder="1" applyAlignment="1">
      <alignment horizontal="center" vertical="center" wrapText="1"/>
    </xf>
    <xf numFmtId="49" fontId="9" fillId="0" borderId="18" xfId="103" applyNumberFormat="1" applyFont="1" applyFill="1" applyBorder="1" applyAlignment="1">
      <alignment horizontal="center" vertical="center" wrapText="1"/>
    </xf>
    <xf numFmtId="49" fontId="9" fillId="0" borderId="18" xfId="103" applyNumberFormat="1" applyFont="1" applyFill="1" applyBorder="1" applyAlignment="1">
      <alignment horizontal="left" vertical="center" wrapText="1"/>
    </xf>
    <xf numFmtId="0" fontId="31" fillId="0" borderId="16" xfId="107" applyFont="1" applyFill="1" applyBorder="1" applyAlignment="1">
      <alignment horizontal="center" vertical="center" wrapText="1"/>
    </xf>
    <xf numFmtId="0" fontId="31" fillId="0" borderId="14" xfId="107" applyFont="1" applyFill="1" applyBorder="1" applyAlignment="1">
      <alignment horizontal="center" vertical="center" wrapText="1"/>
    </xf>
    <xf numFmtId="0" fontId="31" fillId="0" borderId="16" xfId="114" applyFont="1" applyFill="1" applyBorder="1" applyAlignment="1">
      <alignment horizontal="center" vertical="center" wrapText="1"/>
    </xf>
    <xf numFmtId="0" fontId="40" fillId="0" borderId="18" xfId="107" applyFont="1" applyFill="1" applyBorder="1" applyAlignment="1">
      <alignment horizontal="center" vertical="center" wrapText="1"/>
    </xf>
    <xf numFmtId="0" fontId="40" fillId="0" borderId="18" xfId="107" applyFont="1" applyBorder="1" applyAlignment="1">
      <alignment horizontal="center" vertical="center" wrapText="1"/>
    </xf>
    <xf numFmtId="0" fontId="40" fillId="0" borderId="18" xfId="115" applyFont="1" applyFill="1" applyBorder="1" applyAlignment="1">
      <alignment horizontal="center" vertical="center" wrapText="1"/>
    </xf>
    <xf numFmtId="0" fontId="40" fillId="0" borderId="18" xfId="115" quotePrefix="1" applyFont="1" applyFill="1" applyBorder="1" applyAlignment="1">
      <alignment horizontal="center" vertical="center" wrapText="1"/>
    </xf>
    <xf numFmtId="0" fontId="9" fillId="0" borderId="18" xfId="151" applyFont="1" applyFill="1" applyBorder="1" applyAlignment="1">
      <alignment horizontal="center" vertical="center" wrapText="1"/>
    </xf>
    <xf numFmtId="0" fontId="9" fillId="0" borderId="18" xfId="107" applyFont="1" applyFill="1" applyBorder="1" applyAlignment="1">
      <alignment horizontal="center" vertical="center" wrapText="1"/>
    </xf>
    <xf numFmtId="0" fontId="40" fillId="0" borderId="18" xfId="116" quotePrefix="1" applyFont="1" applyFill="1" applyBorder="1" applyAlignment="1">
      <alignment horizontal="center" vertical="center" wrapText="1"/>
    </xf>
    <xf numFmtId="0" fontId="40" fillId="0" borderId="18" xfId="145" applyFont="1" applyFill="1" applyBorder="1" applyAlignment="1">
      <alignment horizontal="center" vertical="center" wrapText="1"/>
    </xf>
    <xf numFmtId="49" fontId="40" fillId="0" borderId="18" xfId="145" quotePrefix="1" applyNumberFormat="1" applyFont="1" applyFill="1" applyBorder="1" applyAlignment="1">
      <alignment horizontal="center" vertical="center" wrapText="1"/>
    </xf>
    <xf numFmtId="0" fontId="40" fillId="0" borderId="18" xfId="107" applyNumberFormat="1" applyFont="1" applyFill="1" applyBorder="1" applyAlignment="1">
      <alignment horizontal="center" vertical="center" wrapText="1"/>
    </xf>
    <xf numFmtId="0" fontId="40" fillId="0" borderId="18" xfId="107" applyNumberFormat="1" applyFont="1" applyFill="1" applyBorder="1" applyAlignment="1" applyProtection="1">
      <alignment horizontal="center" vertical="center" wrapText="1"/>
    </xf>
    <xf numFmtId="0" fontId="70" fillId="0" borderId="0" xfId="107" applyFont="1" applyFill="1" applyBorder="1" applyAlignment="1" applyProtection="1">
      <alignment horizontal="distributed" vertical="center" wrapText="1"/>
    </xf>
    <xf numFmtId="0" fontId="70" fillId="0" borderId="16" xfId="107" applyFont="1" applyFill="1" applyBorder="1" applyAlignment="1" applyProtection="1">
      <alignment horizontal="distributed" vertical="center" wrapText="1"/>
    </xf>
    <xf numFmtId="0" fontId="70" fillId="0" borderId="14" xfId="107" applyFont="1" applyFill="1" applyBorder="1" applyAlignment="1" applyProtection="1">
      <alignment horizontal="distributed" vertical="center" wrapText="1"/>
    </xf>
    <xf numFmtId="0" fontId="70" fillId="0" borderId="18" xfId="107" applyFont="1" applyBorder="1" applyAlignment="1">
      <alignment horizontal="center" vertical="center" wrapText="1"/>
    </xf>
    <xf numFmtId="0" fontId="70" fillId="0" borderId="16" xfId="107" applyFont="1" applyBorder="1" applyAlignment="1">
      <alignment horizontal="center" vertical="center" wrapText="1"/>
    </xf>
    <xf numFmtId="0" fontId="70" fillId="0" borderId="14" xfId="107" applyFont="1" applyBorder="1" applyAlignment="1">
      <alignment horizontal="center" vertical="center" wrapText="1"/>
    </xf>
    <xf numFmtId="0" fontId="27" fillId="0" borderId="18" xfId="107" applyFont="1" applyFill="1" applyBorder="1" applyAlignment="1" applyProtection="1">
      <alignment horizontal="center" vertical="center" wrapText="1"/>
    </xf>
    <xf numFmtId="0" fontId="70" fillId="26" borderId="68" xfId="107" applyFont="1" applyFill="1" applyBorder="1" applyAlignment="1">
      <alignment horizontal="center" vertical="center" wrapText="1"/>
    </xf>
    <xf numFmtId="0" fontId="70" fillId="0" borderId="34" xfId="107" applyNumberFormat="1" applyFont="1" applyFill="1" applyBorder="1" applyAlignment="1" applyProtection="1">
      <alignment horizontal="center" vertical="center"/>
    </xf>
    <xf numFmtId="0" fontId="70" fillId="0" borderId="34" xfId="126" applyFont="1" applyFill="1" applyBorder="1" applyAlignment="1">
      <alignment vertical="center"/>
    </xf>
    <xf numFmtId="0" fontId="71" fillId="0" borderId="18" xfId="126" applyFont="1" applyFill="1" applyBorder="1" applyAlignment="1">
      <alignment horizontal="center" vertical="center" wrapText="1"/>
    </xf>
    <xf numFmtId="0" fontId="70" fillId="0" borderId="18" xfId="126" applyFont="1" applyFill="1" applyBorder="1" applyAlignment="1">
      <alignment horizontal="center" vertical="center" wrapText="1"/>
    </xf>
    <xf numFmtId="0" fontId="70" fillId="0" borderId="150" xfId="126" applyFont="1" applyFill="1" applyBorder="1" applyAlignment="1">
      <alignment vertical="center"/>
    </xf>
    <xf numFmtId="0" fontId="71" fillId="0" borderId="18" xfId="126" applyFont="1" applyFill="1" applyBorder="1" applyAlignment="1">
      <alignment vertical="center" wrapText="1"/>
    </xf>
    <xf numFmtId="0" fontId="70" fillId="0" borderId="18" xfId="126" applyFont="1" applyFill="1" applyBorder="1" applyAlignment="1">
      <alignment vertical="center" wrapText="1"/>
    </xf>
    <xf numFmtId="0" fontId="70" fillId="0" borderId="24" xfId="119" applyFont="1" applyFill="1" applyBorder="1" applyAlignment="1">
      <alignment horizontal="center" vertical="center" wrapText="1"/>
    </xf>
    <xf numFmtId="0" fontId="70" fillId="0" borderId="18" xfId="119" applyFont="1" applyFill="1" applyBorder="1" applyAlignment="1">
      <alignment horizontal="center" vertical="center" wrapText="1"/>
    </xf>
    <xf numFmtId="49" fontId="70" fillId="0" borderId="16" xfId="119" applyNumberFormat="1" applyFont="1" applyFill="1" applyBorder="1" applyAlignment="1" applyProtection="1">
      <alignment horizontal="center" vertical="center" wrapText="1"/>
    </xf>
    <xf numFmtId="0" fontId="70" fillId="0" borderId="34" xfId="126" applyFont="1" applyFill="1" applyBorder="1" applyAlignment="1">
      <alignment vertical="center" wrapText="1"/>
    </xf>
    <xf numFmtId="0" fontId="70" fillId="0" borderId="14" xfId="126" applyFont="1" applyFill="1" applyBorder="1" applyAlignment="1">
      <alignment horizontal="center" vertical="center" wrapText="1"/>
    </xf>
    <xf numFmtId="0" fontId="70" fillId="0" borderId="149" xfId="107" applyNumberFormat="1" applyFont="1" applyFill="1" applyBorder="1" applyAlignment="1" applyProtection="1">
      <alignment horizontal="center" vertical="center"/>
    </xf>
    <xf numFmtId="0" fontId="70" fillId="0" borderId="15" xfId="126" applyFont="1" applyFill="1" applyBorder="1" applyAlignment="1">
      <alignment vertical="center" wrapText="1"/>
    </xf>
    <xf numFmtId="0" fontId="70" fillId="0" borderId="16" xfId="126" applyFont="1" applyFill="1" applyBorder="1" applyAlignment="1">
      <alignment horizontal="center" vertical="center" wrapText="1"/>
    </xf>
    <xf numFmtId="0" fontId="70" fillId="0" borderId="58" xfId="107" applyNumberFormat="1" applyFont="1" applyFill="1" applyBorder="1" applyAlignment="1" applyProtection="1">
      <alignment horizontal="center" vertical="center"/>
    </xf>
    <xf numFmtId="0" fontId="70" fillId="0" borderId="14" xfId="126" applyFont="1" applyFill="1" applyBorder="1" applyAlignment="1">
      <alignment vertical="center" wrapText="1"/>
    </xf>
    <xf numFmtId="0" fontId="70" fillId="0" borderId="59" xfId="124" applyFont="1" applyFill="1" applyBorder="1" applyAlignment="1">
      <alignment vertical="center"/>
    </xf>
    <xf numFmtId="0" fontId="27" fillId="0" borderId="18" xfId="136" applyFont="1" applyFill="1" applyBorder="1" applyAlignment="1">
      <alignment horizontal="center" vertical="center"/>
    </xf>
    <xf numFmtId="0" fontId="27" fillId="0" borderId="16" xfId="153" applyFont="1" applyFill="1" applyBorder="1" applyAlignment="1">
      <alignment horizontal="center" vertical="center" wrapText="1"/>
    </xf>
    <xf numFmtId="0" fontId="27" fillId="0" borderId="0" xfId="139" applyFont="1" applyFill="1" applyBorder="1" applyAlignment="1">
      <alignment horizontal="left" wrapText="1"/>
    </xf>
    <xf numFmtId="0" fontId="1" fillId="0" borderId="18" xfId="136" applyFont="1" applyFill="1" applyBorder="1" applyAlignment="1">
      <alignment horizontal="center" vertical="center"/>
    </xf>
    <xf numFmtId="0" fontId="27" fillId="0" borderId="16" xfId="98" applyFont="1" applyFill="1" applyBorder="1" applyAlignment="1">
      <alignment horizontal="center" vertical="center" wrapText="1"/>
    </xf>
    <xf numFmtId="0" fontId="1" fillId="0" borderId="68" xfId="136" applyFont="1" applyFill="1" applyBorder="1" applyAlignment="1">
      <alignment horizontal="center" vertical="center"/>
    </xf>
    <xf numFmtId="0" fontId="70" fillId="0" borderId="18" xfId="136" applyFont="1" applyFill="1" applyBorder="1" applyAlignment="1">
      <alignment horizontal="center" vertical="center"/>
    </xf>
    <xf numFmtId="0" fontId="27" fillId="0" borderId="14" xfId="99" applyFont="1" applyFill="1" applyBorder="1" applyAlignment="1">
      <alignment horizontal="center" vertical="center" wrapText="1"/>
    </xf>
    <xf numFmtId="0" fontId="27" fillId="0" borderId="18" xfId="99" applyFont="1" applyFill="1" applyBorder="1" applyAlignment="1">
      <alignment horizontal="center" vertical="center" wrapText="1"/>
    </xf>
    <xf numFmtId="0" fontId="70" fillId="0" borderId="0" xfId="139" applyFont="1" applyFill="1" applyBorder="1" applyAlignment="1">
      <alignment horizontal="left" wrapText="1"/>
    </xf>
    <xf numFmtId="0" fontId="70" fillId="0" borderId="20" xfId="136" applyFont="1" applyFill="1" applyBorder="1" applyAlignment="1">
      <alignment horizontal="center" vertical="center"/>
    </xf>
    <xf numFmtId="0" fontId="27" fillId="0" borderId="15" xfId="158" applyFont="1" applyFill="1" applyBorder="1" applyAlignment="1">
      <alignment horizontal="center" vertical="center"/>
    </xf>
    <xf numFmtId="0" fontId="27" fillId="0" borderId="16" xfId="158" applyFont="1" applyFill="1" applyBorder="1" applyAlignment="1">
      <alignment horizontal="distributed" vertical="center"/>
    </xf>
    <xf numFmtId="0" fontId="27" fillId="0" borderId="20" xfId="158" applyFont="1" applyFill="1" applyBorder="1" applyAlignment="1">
      <alignment horizontal="center"/>
    </xf>
    <xf numFmtId="0" fontId="27" fillId="0" borderId="17" xfId="158" applyFont="1" applyFill="1" applyBorder="1" applyAlignment="1">
      <alignment horizontal="center" vertical="center"/>
    </xf>
    <xf numFmtId="0" fontId="27" fillId="0" borderId="21" xfId="158" applyFont="1" applyFill="1" applyBorder="1" applyAlignment="1">
      <alignment horizontal="center" vertical="center"/>
    </xf>
    <xf numFmtId="0" fontId="27" fillId="0" borderId="20" xfId="158" applyFont="1" applyFill="1" applyBorder="1" applyAlignment="1">
      <alignment horizontal="center" vertical="center"/>
    </xf>
    <xf numFmtId="0" fontId="27" fillId="0" borderId="0" xfId="158" applyFont="1" applyFill="1" applyAlignment="1">
      <alignment vertical="center" wrapText="1"/>
    </xf>
    <xf numFmtId="0" fontId="27" fillId="0" borderId="16" xfId="158" applyFont="1" applyFill="1" applyBorder="1" applyAlignment="1">
      <alignment horizontal="center" vertical="center" wrapText="1"/>
    </xf>
    <xf numFmtId="0" fontId="27" fillId="0" borderId="14" xfId="158" applyFont="1" applyFill="1" applyBorder="1" applyAlignment="1">
      <alignment horizontal="center" vertical="center" wrapText="1"/>
    </xf>
    <xf numFmtId="0" fontId="27" fillId="0" borderId="0" xfId="158" applyFont="1" applyFill="1" applyBorder="1" applyAlignment="1"/>
    <xf numFmtId="0" fontId="27" fillId="0" borderId="0" xfId="158" applyFont="1" applyFill="1" applyAlignment="1">
      <alignment horizontal="left"/>
    </xf>
    <xf numFmtId="0" fontId="27" fillId="0" borderId="15" xfId="158" quotePrefix="1" applyFont="1" applyFill="1" applyBorder="1" applyAlignment="1">
      <alignment horizontal="center" vertical="center" wrapText="1"/>
    </xf>
    <xf numFmtId="0" fontId="40" fillId="0" borderId="18" xfId="96" applyNumberFormat="1" applyFont="1" applyFill="1" applyBorder="1" applyAlignment="1" applyProtection="1">
      <alignment horizontal="center" vertical="center" wrapText="1"/>
    </xf>
    <xf numFmtId="0" fontId="40" fillId="0" borderId="24"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24" xfId="124" applyFont="1" applyFill="1" applyBorder="1" applyAlignment="1" applyProtection="1">
      <alignment horizontal="center" vertical="center" wrapText="1"/>
    </xf>
    <xf numFmtId="49" fontId="40" fillId="0" borderId="18" xfId="195" applyNumberFormat="1" applyFont="1" applyFill="1" applyBorder="1" applyAlignment="1" applyProtection="1">
      <alignment horizontal="center" vertical="center" wrapText="1"/>
    </xf>
    <xf numFmtId="0" fontId="71" fillId="0" borderId="32" xfId="0" applyFont="1" applyBorder="1"/>
    <xf numFmtId="0" fontId="70" fillId="0" borderId="18" xfId="0" applyFont="1" applyBorder="1"/>
    <xf numFmtId="0" fontId="70" fillId="0" borderId="0" xfId="0" applyFont="1"/>
    <xf numFmtId="0" fontId="70" fillId="0" borderId="18" xfId="0" applyFont="1" applyBorder="1" applyAlignment="1">
      <alignment horizontal="center"/>
    </xf>
    <xf numFmtId="0" fontId="70" fillId="0" borderId="16" xfId="0" applyFont="1" applyBorder="1" applyAlignment="1">
      <alignment horizontal="center"/>
    </xf>
    <xf numFmtId="0" fontId="70" fillId="0" borderId="18" xfId="0" applyFont="1" applyBorder="1" applyAlignment="1">
      <alignment horizontal="center" vertical="center"/>
    </xf>
    <xf numFmtId="0" fontId="27" fillId="0" borderId="18" xfId="149" applyFont="1" applyBorder="1" applyAlignment="1">
      <alignment horizontal="center" vertical="center" wrapText="1"/>
    </xf>
    <xf numFmtId="0" fontId="70" fillId="0" borderId="16" xfId="107" applyFont="1" applyFill="1" applyBorder="1" applyAlignment="1">
      <alignment horizontal="center" vertical="center" wrapText="1"/>
    </xf>
    <xf numFmtId="0" fontId="70" fillId="0" borderId="18" xfId="107" applyFont="1" applyFill="1" applyBorder="1" applyAlignment="1">
      <alignment horizontal="center" vertical="center" wrapText="1"/>
    </xf>
    <xf numFmtId="0" fontId="27" fillId="0" borderId="16" xfId="107" applyFont="1" applyFill="1" applyBorder="1" applyAlignment="1">
      <alignment horizontal="center" vertical="center" wrapText="1"/>
    </xf>
    <xf numFmtId="0" fontId="70" fillId="0" borderId="18" xfId="148" applyFont="1" applyFill="1" applyBorder="1" applyAlignment="1" applyProtection="1">
      <alignment horizontal="center" vertical="center" wrapText="1"/>
    </xf>
    <xf numFmtId="0" fontId="27" fillId="0" borderId="0" xfId="98" applyFont="1" applyBorder="1" applyAlignment="1" applyProtection="1">
      <alignment horizontal="left" vertical="center" wrapText="1"/>
    </xf>
    <xf numFmtId="0" fontId="40" fillId="0" borderId="22" xfId="124" applyFont="1" applyFill="1" applyBorder="1" applyAlignment="1">
      <alignment horizontal="center" vertical="center" wrapText="1"/>
    </xf>
    <xf numFmtId="0" fontId="40" fillId="0" borderId="68" xfId="124" applyFont="1" applyFill="1" applyBorder="1" applyAlignment="1">
      <alignment horizontal="center" vertical="center" wrapText="1"/>
    </xf>
    <xf numFmtId="0" fontId="27" fillId="0" borderId="57" xfId="107" applyFont="1" applyFill="1" applyBorder="1" applyAlignment="1" applyProtection="1">
      <alignment horizontal="center" vertical="center" wrapText="1"/>
    </xf>
    <xf numFmtId="0" fontId="27" fillId="0" borderId="57" xfId="92" applyFont="1" applyBorder="1" applyAlignment="1">
      <alignment horizontal="center" vertical="center"/>
    </xf>
    <xf numFmtId="197" fontId="28" fillId="0" borderId="18" xfId="157" applyNumberFormat="1" applyFont="1" applyFill="1" applyBorder="1" applyAlignment="1">
      <alignment horizontal="center" vertical="center" wrapText="1"/>
    </xf>
    <xf numFmtId="200" fontId="9" fillId="0" borderId="32" xfId="181" applyNumberFormat="1" applyFont="1" applyFill="1" applyBorder="1" applyAlignment="1">
      <alignment horizontal="center" vertical="center" wrapText="1"/>
    </xf>
    <xf numFmtId="0" fontId="9" fillId="0" borderId="111" xfId="61" applyFont="1" applyFill="1" applyBorder="1" applyAlignment="1">
      <alignment horizontal="left" vertical="center" wrapText="1"/>
    </xf>
    <xf numFmtId="191" fontId="9" fillId="0" borderId="111" xfId="61" applyNumberFormat="1" applyFont="1" applyFill="1" applyBorder="1" applyAlignment="1">
      <alignment horizontal="left" vertical="center" wrapText="1"/>
    </xf>
    <xf numFmtId="0" fontId="9" fillId="0" borderId="111" xfId="61" applyFont="1" applyFill="1" applyBorder="1" applyAlignment="1">
      <alignment horizontal="center" vertical="center" wrapText="1"/>
    </xf>
    <xf numFmtId="49" fontId="9" fillId="0" borderId="139" xfId="52" applyNumberFormat="1" applyFont="1" applyFill="1" applyBorder="1" applyAlignment="1">
      <alignment horizontal="center" vertical="center" wrapText="1"/>
    </xf>
    <xf numFmtId="49" fontId="9" fillId="0" borderId="32" xfId="52" applyNumberFormat="1" applyFont="1" applyFill="1" applyBorder="1" applyAlignment="1">
      <alignment horizontal="center" vertical="center" wrapText="1"/>
    </xf>
    <xf numFmtId="193" fontId="9" fillId="0" borderId="111" xfId="124" applyNumberFormat="1" applyFont="1" applyFill="1" applyBorder="1" applyAlignment="1">
      <alignment horizontal="left" vertical="center" wrapText="1"/>
    </xf>
    <xf numFmtId="0" fontId="9" fillId="0" borderId="32" xfId="52" applyFont="1" applyFill="1" applyBorder="1" applyAlignment="1">
      <alignment horizontal="center" vertical="center" wrapText="1"/>
    </xf>
    <xf numFmtId="191" fontId="9" fillId="0" borderId="111" xfId="52" applyNumberFormat="1" applyFont="1" applyFill="1" applyBorder="1" applyAlignment="1">
      <alignment horizontal="left" vertical="center" wrapText="1"/>
    </xf>
    <xf numFmtId="49" fontId="9" fillId="0" borderId="140" xfId="52" applyNumberFormat="1" applyFont="1" applyFill="1" applyBorder="1" applyAlignment="1">
      <alignment horizontal="center" vertical="center" wrapText="1"/>
    </xf>
    <xf numFmtId="49" fontId="9" fillId="0" borderId="132" xfId="52" applyNumberFormat="1" applyFont="1" applyFill="1" applyBorder="1" applyAlignment="1">
      <alignment horizontal="center" vertical="center" wrapText="1"/>
    </xf>
    <xf numFmtId="0" fontId="9" fillId="0" borderId="132" xfId="52" applyFont="1" applyFill="1" applyBorder="1" applyAlignment="1">
      <alignment horizontal="center" vertical="center" wrapText="1"/>
    </xf>
    <xf numFmtId="0" fontId="27" fillId="26" borderId="28" xfId="104" applyFont="1" applyFill="1" applyBorder="1" applyProtection="1"/>
    <xf numFmtId="0" fontId="27" fillId="0" borderId="0" xfId="104" applyFont="1" applyAlignment="1" applyProtection="1">
      <alignment horizontal="center"/>
    </xf>
    <xf numFmtId="192" fontId="1" fillId="0" borderId="94" xfId="96" applyNumberFormat="1" applyFont="1" applyFill="1" applyBorder="1" applyAlignment="1" applyProtection="1">
      <alignment horizontal="center" vertical="center"/>
    </xf>
    <xf numFmtId="0" fontId="30" fillId="0" borderId="18" xfId="93" applyFont="1" applyFill="1" applyBorder="1" applyAlignment="1">
      <alignment horizontal="center" vertical="center"/>
    </xf>
    <xf numFmtId="179" fontId="30" fillId="0" borderId="18" xfId="195" applyNumberFormat="1" applyFont="1" applyFill="1" applyBorder="1" applyAlignment="1" applyProtection="1">
      <alignment horizontal="right" vertical="center"/>
      <protection locked="0"/>
    </xf>
    <xf numFmtId="191" fontId="30" fillId="0" borderId="18" xfId="93" applyNumberFormat="1" applyFont="1" applyFill="1" applyBorder="1" applyAlignment="1">
      <alignment horizontal="center" vertical="center"/>
    </xf>
    <xf numFmtId="183" fontId="30" fillId="0" borderId="56" xfId="195" applyNumberFormat="1" applyFont="1" applyFill="1" applyBorder="1" applyAlignment="1">
      <alignment horizontal="center" vertical="center"/>
    </xf>
    <xf numFmtId="197" fontId="9" fillId="0" borderId="15" xfId="107" applyNumberFormat="1" applyFont="1" applyFill="1" applyBorder="1" applyAlignment="1" applyProtection="1">
      <alignment horizontal="center" vertical="center" wrapText="1"/>
    </xf>
    <xf numFmtId="197" fontId="9" fillId="0" borderId="15" xfId="107" applyNumberFormat="1" applyFont="1" applyFill="1" applyBorder="1" applyAlignment="1" applyProtection="1">
      <alignment horizontal="left" vertical="center" wrapText="1"/>
    </xf>
    <xf numFmtId="201" fontId="9" fillId="0" borderId="15" xfId="107" applyNumberFormat="1" applyFont="1" applyFill="1" applyBorder="1" applyAlignment="1" applyProtection="1">
      <alignment horizontal="right" vertical="center" wrapText="1"/>
    </xf>
    <xf numFmtId="198" fontId="9" fillId="0" borderId="15" xfId="107" applyNumberFormat="1" applyFont="1" applyFill="1" applyBorder="1" applyAlignment="1" applyProtection="1">
      <alignment horizontal="right" vertical="center" wrapText="1"/>
    </xf>
    <xf numFmtId="197" fontId="40" fillId="0" borderId="18" xfId="107" applyNumberFormat="1" applyFont="1" applyFill="1" applyBorder="1" applyAlignment="1" applyProtection="1">
      <alignment horizontal="center" vertical="center" wrapText="1"/>
    </xf>
    <xf numFmtId="183" fontId="9" fillId="34" borderId="18" xfId="181" applyNumberFormat="1" applyFont="1" applyFill="1" applyBorder="1" applyAlignment="1" applyProtection="1">
      <alignment horizontal="center" vertical="center" wrapText="1"/>
    </xf>
    <xf numFmtId="183" fontId="9" fillId="0" borderId="18" xfId="181" applyNumberFormat="1" applyFont="1" applyFill="1" applyBorder="1" applyAlignment="1" applyProtection="1">
      <alignment horizontal="left" vertical="center" wrapText="1"/>
    </xf>
    <xf numFmtId="197" fontId="9" fillId="0" borderId="18" xfId="107" applyNumberFormat="1" applyFont="1" applyFill="1" applyBorder="1" applyAlignment="1" applyProtection="1">
      <alignment horizontal="left" vertical="center" wrapText="1" indent="2"/>
    </xf>
    <xf numFmtId="183" fontId="9" fillId="34" borderId="18" xfId="181" applyNumberFormat="1" applyFont="1" applyFill="1" applyBorder="1" applyAlignment="1" applyProtection="1">
      <alignment horizontal="left" vertical="center" wrapText="1"/>
    </xf>
    <xf numFmtId="197" fontId="9" fillId="0" borderId="18" xfId="107" applyNumberFormat="1" applyFont="1" applyFill="1" applyBorder="1" applyAlignment="1" applyProtection="1">
      <alignment horizontal="left" vertical="center" wrapText="1" indent="4"/>
    </xf>
    <xf numFmtId="183" fontId="9" fillId="0" borderId="18" xfId="181" applyNumberFormat="1" applyFont="1" applyFill="1" applyBorder="1" applyAlignment="1" applyProtection="1">
      <alignment horizontal="center" vertical="center" wrapText="1"/>
    </xf>
    <xf numFmtId="197" fontId="9" fillId="0" borderId="18" xfId="107" applyNumberFormat="1" applyFont="1" applyFill="1" applyBorder="1" applyAlignment="1" applyProtection="1">
      <alignment horizontal="left" vertical="center" wrapText="1" indent="6"/>
    </xf>
    <xf numFmtId="0" fontId="9" fillId="0" borderId="0" xfId="93" applyFont="1" applyFill="1" applyBorder="1" applyAlignment="1" applyProtection="1">
      <alignment vertical="center" wrapText="1"/>
    </xf>
    <xf numFmtId="191" fontId="9" fillId="0" borderId="0" xfId="93" applyNumberFormat="1" applyFont="1" applyFill="1" applyBorder="1" applyAlignment="1" applyProtection="1">
      <alignment horizontal="center" vertical="center" wrapText="1"/>
    </xf>
    <xf numFmtId="0" fontId="40" fillId="0" borderId="0" xfId="93" applyFont="1" applyFill="1" applyBorder="1" applyAlignment="1" applyProtection="1">
      <alignment horizontal="left" vertical="center" wrapText="1"/>
    </xf>
    <xf numFmtId="0" fontId="40" fillId="0" borderId="0" xfId="93" applyFont="1" applyFill="1" applyBorder="1" applyAlignment="1" applyProtection="1">
      <alignment horizontal="center" vertical="center" wrapText="1"/>
    </xf>
    <xf numFmtId="0" fontId="9" fillId="0" borderId="0" xfId="93" applyNumberFormat="1" applyFont="1" applyFill="1" applyBorder="1" applyAlignment="1" applyProtection="1">
      <alignment horizontal="right"/>
    </xf>
    <xf numFmtId="0" fontId="9" fillId="0" borderId="35" xfId="96" applyFont="1" applyFill="1" applyBorder="1" applyAlignment="1" applyProtection="1">
      <alignment vertical="center" wrapText="1"/>
    </xf>
    <xf numFmtId="0" fontId="9" fillId="0" borderId="86" xfId="95" applyFont="1" applyFill="1" applyBorder="1" applyAlignment="1" applyProtection="1">
      <alignment horizontal="left" vertical="center" wrapText="1"/>
      <protection locked="0"/>
    </xf>
    <xf numFmtId="178" fontId="9" fillId="0" borderId="189" xfId="167" applyNumberFormat="1" applyFont="1" applyFill="1" applyBorder="1" applyAlignment="1" applyProtection="1">
      <alignment horizontal="right" vertical="center" wrapText="1"/>
    </xf>
    <xf numFmtId="221" fontId="9" fillId="0" borderId="93" xfId="167" applyNumberFormat="1" applyFont="1" applyFill="1" applyBorder="1" applyAlignment="1" applyProtection="1">
      <alignment horizontal="center" vertical="center" wrapText="1"/>
    </xf>
    <xf numFmtId="178" fontId="9" fillId="0" borderId="245" xfId="167" applyNumberFormat="1" applyFont="1" applyFill="1" applyBorder="1" applyAlignment="1" applyProtection="1">
      <alignment horizontal="right" vertical="center" wrapText="1"/>
    </xf>
    <xf numFmtId="0" fontId="9" fillId="0" borderId="139" xfId="95" applyFont="1" applyFill="1" applyBorder="1" applyAlignment="1" applyProtection="1">
      <alignment vertical="center" wrapText="1"/>
    </xf>
    <xf numFmtId="0" fontId="9" fillId="0" borderId="32" xfId="96" applyFont="1" applyFill="1" applyBorder="1" applyAlignment="1" applyProtection="1">
      <alignment horizontal="left" vertical="center" wrapText="1"/>
    </xf>
    <xf numFmtId="178" fontId="9" fillId="0" borderId="190" xfId="167" applyNumberFormat="1" applyFont="1" applyFill="1" applyBorder="1" applyAlignment="1" applyProtection="1">
      <alignment horizontal="right" vertical="center" wrapText="1"/>
    </xf>
    <xf numFmtId="221" fontId="9" fillId="0" borderId="96" xfId="167" applyNumberFormat="1" applyFont="1" applyFill="1" applyBorder="1" applyAlignment="1" applyProtection="1">
      <alignment horizontal="center" vertical="center" wrapText="1"/>
    </xf>
    <xf numFmtId="178" fontId="9" fillId="0" borderId="123" xfId="167" applyNumberFormat="1" applyFont="1" applyFill="1" applyBorder="1" applyAlignment="1" applyProtection="1">
      <alignment horizontal="right" vertical="center" wrapText="1"/>
    </xf>
    <xf numFmtId="0" fontId="9" fillId="0" borderId="31" xfId="96" applyFont="1" applyFill="1" applyBorder="1" applyAlignment="1" applyProtection="1">
      <alignment vertical="center" wrapText="1"/>
    </xf>
    <xf numFmtId="0" fontId="9" fillId="0" borderId="32" xfId="95" applyFont="1" applyFill="1" applyBorder="1" applyAlignment="1" applyProtection="1">
      <alignment horizontal="left" vertical="center" wrapText="1"/>
      <protection locked="0"/>
    </xf>
    <xf numFmtId="0" fontId="9" fillId="0" borderId="0" xfId="95" applyFont="1" applyFill="1" applyBorder="1" applyAlignment="1" applyProtection="1">
      <alignment vertical="center" wrapText="1"/>
    </xf>
    <xf numFmtId="0" fontId="82" fillId="0" borderId="32" xfId="96" applyFont="1" applyFill="1" applyBorder="1" applyAlignment="1" applyProtection="1">
      <alignment horizontal="left" vertical="center" wrapText="1"/>
    </xf>
    <xf numFmtId="221" fontId="82" fillId="0" borderId="96" xfId="167" applyNumberFormat="1" applyFont="1" applyFill="1" applyBorder="1" applyAlignment="1" applyProtection="1">
      <alignment horizontal="center" vertical="center" wrapText="1"/>
    </xf>
    <xf numFmtId="0" fontId="9" fillId="27" borderId="32" xfId="95" applyFont="1" applyFill="1" applyBorder="1" applyAlignment="1" applyProtection="1">
      <alignment horizontal="left" vertical="center" wrapText="1"/>
      <protection locked="0"/>
    </xf>
    <xf numFmtId="178" fontId="9" fillId="0" borderId="246" xfId="167" applyNumberFormat="1" applyFont="1" applyFill="1" applyBorder="1" applyAlignment="1" applyProtection="1">
      <alignment horizontal="right" vertical="center" wrapText="1"/>
    </xf>
    <xf numFmtId="221" fontId="9" fillId="0" borderId="184" xfId="167" applyNumberFormat="1" applyFont="1" applyFill="1" applyBorder="1" applyAlignment="1" applyProtection="1">
      <alignment horizontal="center" vertical="center" wrapText="1"/>
    </xf>
    <xf numFmtId="0" fontId="9" fillId="0" borderId="140" xfId="95" applyFont="1" applyFill="1" applyBorder="1" applyAlignment="1" applyProtection="1">
      <alignment vertical="center" wrapText="1"/>
    </xf>
    <xf numFmtId="0" fontId="9" fillId="0" borderId="132" xfId="95" applyFont="1" applyFill="1" applyBorder="1" applyAlignment="1" applyProtection="1">
      <alignment horizontal="left" vertical="center" wrapText="1"/>
      <protection locked="0"/>
    </xf>
    <xf numFmtId="178" fontId="9" fillId="0" borderId="247" xfId="167" applyNumberFormat="1" applyFont="1" applyFill="1" applyBorder="1" applyAlignment="1" applyProtection="1">
      <alignment horizontal="right" vertical="center" wrapText="1"/>
    </xf>
    <xf numFmtId="221" fontId="9" fillId="0" borderId="105" xfId="167" applyNumberFormat="1" applyFont="1" applyFill="1" applyBorder="1" applyAlignment="1" applyProtection="1">
      <alignment horizontal="center" vertical="center" wrapText="1"/>
    </xf>
    <xf numFmtId="178" fontId="9" fillId="0" borderId="248" xfId="167" applyNumberFormat="1" applyFont="1" applyFill="1" applyBorder="1" applyAlignment="1" applyProtection="1">
      <alignment horizontal="right" vertical="center" wrapText="1"/>
    </xf>
    <xf numFmtId="0" fontId="9" fillId="0" borderId="0" xfId="95" applyFont="1" applyFill="1" applyBorder="1" applyAlignment="1" applyProtection="1">
      <alignment vertical="center"/>
    </xf>
    <xf numFmtId="200" fontId="9" fillId="0" borderId="91" xfId="181" applyNumberFormat="1" applyFont="1" applyFill="1" applyBorder="1" applyAlignment="1">
      <alignment vertical="center" wrapText="1"/>
    </xf>
    <xf numFmtId="200" fontId="9" fillId="0" borderId="183" xfId="181" applyNumberFormat="1" applyFont="1" applyBorder="1" applyAlignment="1">
      <alignment vertical="center" wrapText="1"/>
    </xf>
    <xf numFmtId="0" fontId="9" fillId="0" borderId="146" xfId="0" applyFont="1" applyBorder="1" applyAlignment="1">
      <alignment horizontal="center" vertical="center" wrapText="1"/>
    </xf>
    <xf numFmtId="0" fontId="9" fillId="26" borderId="58" xfId="0" applyFont="1" applyFill="1" applyBorder="1" applyAlignment="1">
      <alignment horizontal="center" vertical="center" wrapText="1"/>
    </xf>
    <xf numFmtId="200" fontId="9" fillId="26" borderId="27" xfId="181" applyNumberFormat="1" applyFont="1" applyFill="1" applyBorder="1" applyAlignment="1">
      <alignment vertical="center" wrapText="1"/>
    </xf>
    <xf numFmtId="183" fontId="9" fillId="26" borderId="28" xfId="181" applyNumberFormat="1" applyFont="1" applyFill="1" applyBorder="1" applyAlignment="1">
      <alignment vertical="center" wrapText="1"/>
    </xf>
    <xf numFmtId="0" fontId="5" fillId="0" borderId="0" xfId="0" applyFont="1" applyAlignment="1">
      <alignment vertical="center" wrapText="1"/>
    </xf>
    <xf numFmtId="0" fontId="5" fillId="0" borderId="0" xfId="0" applyFont="1" applyAlignment="1">
      <alignment horizontal="center" vertical="center"/>
    </xf>
    <xf numFmtId="0" fontId="5" fillId="0" borderId="0" xfId="0" applyFont="1" applyAlignment="1">
      <alignment horizontal="left" vertical="center"/>
    </xf>
    <xf numFmtId="0" fontId="5" fillId="0" borderId="0" xfId="0" applyFont="1" applyFill="1" applyAlignment="1">
      <alignment vertical="center" wrapText="1"/>
    </xf>
    <xf numFmtId="0" fontId="5" fillId="26" borderId="0" xfId="0" applyFont="1" applyFill="1" applyAlignment="1">
      <alignment vertical="center" wrapText="1"/>
    </xf>
    <xf numFmtId="0" fontId="28" fillId="0" borderId="0" xfId="0" applyFont="1" applyAlignment="1">
      <alignment horizontal="center" vertical="center"/>
    </xf>
    <xf numFmtId="0" fontId="28" fillId="0" borderId="0" xfId="0" applyFont="1" applyAlignment="1">
      <alignment horizontal="left" vertical="center"/>
    </xf>
    <xf numFmtId="0" fontId="5" fillId="0" borderId="0" xfId="0" applyFont="1" applyAlignment="1">
      <alignment horizontal="center" vertical="center" wrapText="1"/>
    </xf>
    <xf numFmtId="0" fontId="5" fillId="0" borderId="0" xfId="0" applyFont="1" applyAlignment="1">
      <alignment horizontal="left" vertical="center" wrapText="1"/>
    </xf>
    <xf numFmtId="205" fontId="9" fillId="0" borderId="18" xfId="124" quotePrefix="1" applyNumberFormat="1" applyFont="1" applyFill="1" applyBorder="1" applyAlignment="1" applyProtection="1">
      <alignment horizontal="center" vertical="center" wrapText="1"/>
    </xf>
    <xf numFmtId="205" fontId="9" fillId="0" borderId="80" xfId="124" applyNumberFormat="1" applyFont="1" applyFill="1" applyBorder="1" applyAlignment="1" applyProtection="1">
      <alignment horizontal="center" vertical="center" wrapText="1"/>
    </xf>
    <xf numFmtId="205" fontId="40" fillId="30" borderId="15" xfId="124" applyNumberFormat="1" applyFont="1" applyFill="1" applyBorder="1" applyAlignment="1" applyProtection="1">
      <alignment horizontal="center" vertical="center" wrapText="1"/>
    </xf>
    <xf numFmtId="179" fontId="9" fillId="0" borderId="0" xfId="124" applyNumberFormat="1" applyFont="1" applyFill="1" applyAlignment="1" applyProtection="1"/>
    <xf numFmtId="0" fontId="9" fillId="0" borderId="80" xfId="124" applyFont="1" applyFill="1" applyBorder="1" applyAlignment="1">
      <alignment horizontal="center" vertical="center" wrapText="1"/>
    </xf>
    <xf numFmtId="0" fontId="9" fillId="0" borderId="132" xfId="124" applyFont="1" applyFill="1" applyBorder="1" applyAlignment="1" applyProtection="1">
      <alignment horizontal="left" vertical="center" wrapText="1"/>
    </xf>
    <xf numFmtId="178" fontId="9" fillId="0" borderId="132" xfId="167" applyNumberFormat="1" applyFont="1" applyFill="1" applyBorder="1" applyAlignment="1" applyProtection="1">
      <alignment horizontal="center" vertical="center" wrapText="1"/>
      <protection locked="0"/>
    </xf>
    <xf numFmtId="191" fontId="9" fillId="0" borderId="132" xfId="124" applyNumberFormat="1" applyFont="1" applyFill="1" applyBorder="1" applyAlignment="1" applyProtection="1">
      <alignment horizontal="center" vertical="center" wrapText="1"/>
    </xf>
    <xf numFmtId="0" fontId="40" fillId="30" borderId="15" xfId="124" applyFont="1" applyFill="1" applyBorder="1" applyAlignment="1">
      <alignment horizontal="center" vertical="center" wrapText="1"/>
    </xf>
    <xf numFmtId="178" fontId="9" fillId="0" borderId="257" xfId="167" applyNumberFormat="1" applyFont="1" applyBorder="1" applyAlignment="1" applyProtection="1">
      <alignment horizontal="center" vertical="center" wrapText="1"/>
    </xf>
    <xf numFmtId="10" fontId="9" fillId="0" borderId="258" xfId="210" applyNumberFormat="1" applyFont="1" applyBorder="1" applyAlignment="1" applyProtection="1">
      <alignment horizontal="center" vertical="center" wrapText="1"/>
    </xf>
    <xf numFmtId="0" fontId="9" fillId="0" borderId="246" xfId="167" applyNumberFormat="1" applyFont="1" applyBorder="1" applyAlignment="1" applyProtection="1">
      <alignment horizontal="center" vertical="center" wrapText="1"/>
    </xf>
    <xf numFmtId="0" fontId="5" fillId="0" borderId="27" xfId="0" applyFont="1" applyBorder="1"/>
    <xf numFmtId="205" fontId="5" fillId="0" borderId="0" xfId="0" applyNumberFormat="1" applyFont="1"/>
    <xf numFmtId="49" fontId="9" fillId="0" borderId="76" xfId="98" applyNumberFormat="1" applyFont="1" applyFill="1" applyBorder="1" applyAlignment="1">
      <alignment horizontal="center" vertical="center" wrapText="1"/>
    </xf>
    <xf numFmtId="49" fontId="9" fillId="0" borderId="32" xfId="98" applyNumberFormat="1" applyFont="1" applyFill="1" applyBorder="1" applyAlignment="1">
      <alignment horizontal="center" vertical="center" wrapText="1"/>
    </xf>
    <xf numFmtId="198" fontId="9" fillId="0" borderId="254" xfId="145" applyNumberFormat="1" applyFont="1" applyFill="1" applyBorder="1" applyAlignment="1">
      <alignment horizontal="right" vertical="center" wrapText="1"/>
    </xf>
    <xf numFmtId="49" fontId="9" fillId="0" borderId="183" xfId="98" applyNumberFormat="1" applyFont="1" applyFill="1" applyBorder="1" applyAlignment="1">
      <alignment horizontal="center" vertical="center" wrapText="1"/>
    </xf>
    <xf numFmtId="198" fontId="9" fillId="0" borderId="255" xfId="145" applyNumberFormat="1" applyFont="1" applyFill="1" applyBorder="1" applyAlignment="1">
      <alignment horizontal="right" vertical="center" wrapText="1"/>
    </xf>
    <xf numFmtId="205" fontId="9" fillId="0" borderId="32" xfId="98" applyNumberFormat="1" applyFont="1" applyFill="1" applyBorder="1" applyAlignment="1">
      <alignment horizontal="center" vertical="center" wrapText="1"/>
    </xf>
    <xf numFmtId="205" fontId="9" fillId="0" borderId="91" xfId="98" applyNumberFormat="1" applyFont="1" applyFill="1" applyBorder="1" applyAlignment="1">
      <alignment horizontal="center" vertical="center" wrapText="1"/>
    </xf>
    <xf numFmtId="205" fontId="9" fillId="0" borderId="76" xfId="98" applyNumberFormat="1" applyFont="1" applyFill="1" applyBorder="1" applyAlignment="1">
      <alignment horizontal="center" vertical="center" wrapText="1"/>
    </xf>
    <xf numFmtId="205" fontId="9" fillId="0" borderId="183" xfId="98" applyNumberFormat="1" applyFont="1" applyFill="1" applyBorder="1" applyAlignment="1">
      <alignment horizontal="center" vertical="center" wrapText="1"/>
    </xf>
    <xf numFmtId="205" fontId="9" fillId="0" borderId="18" xfId="98" applyNumberFormat="1" applyFont="1" applyFill="1" applyBorder="1" applyAlignment="1">
      <alignment horizontal="center" vertical="center" wrapText="1"/>
    </xf>
    <xf numFmtId="205" fontId="9" fillId="0" borderId="15" xfId="98" applyNumberFormat="1" applyFont="1" applyFill="1" applyBorder="1" applyAlignment="1">
      <alignment horizontal="center" vertical="center" wrapText="1"/>
    </xf>
    <xf numFmtId="205" fontId="9" fillId="0" borderId="0" xfId="98" applyNumberFormat="1" applyFont="1" applyFill="1" applyBorder="1" applyAlignment="1">
      <alignment horizontal="center" vertical="center" wrapText="1"/>
    </xf>
    <xf numFmtId="0" fontId="9" fillId="0" borderId="0" xfId="152" applyFont="1" applyFill="1" applyBorder="1" applyAlignment="1">
      <alignment horizontal="center" vertical="center" wrapText="1"/>
    </xf>
    <xf numFmtId="0" fontId="9" fillId="0" borderId="0" xfId="107" applyFont="1" applyFill="1" applyBorder="1" applyAlignment="1">
      <alignment horizontal="center" vertical="center"/>
    </xf>
    <xf numFmtId="0" fontId="28" fillId="0" borderId="0" xfId="107" applyFont="1" applyFill="1" applyAlignment="1">
      <alignment vertical="center"/>
    </xf>
    <xf numFmtId="0" fontId="27" fillId="0" borderId="0" xfId="154" applyFont="1" applyFill="1" applyProtection="1">
      <protection locked="0"/>
    </xf>
    <xf numFmtId="0" fontId="28" fillId="0" borderId="0" xfId="0" applyFont="1" applyFill="1" applyAlignment="1" applyProtection="1">
      <alignment vertical="center"/>
    </xf>
    <xf numFmtId="0" fontId="28" fillId="0" borderId="0" xfId="165" applyFont="1" applyFill="1" applyAlignment="1" applyProtection="1">
      <alignment vertical="center"/>
      <protection locked="0"/>
    </xf>
    <xf numFmtId="0" fontId="27" fillId="0" borderId="0" xfId="52" applyFont="1" applyFill="1" applyAlignment="1" applyProtection="1">
      <alignment vertical="center"/>
    </xf>
    <xf numFmtId="0" fontId="28" fillId="0" borderId="0" xfId="124" applyFont="1" applyFill="1" applyAlignment="1" applyProtection="1">
      <alignment vertical="center"/>
      <protection locked="0"/>
    </xf>
    <xf numFmtId="0" fontId="28" fillId="0" borderId="0" xfId="124" applyFont="1" applyFill="1" applyAlignment="1" applyProtection="1">
      <alignment horizontal="left" vertical="center"/>
      <protection locked="0"/>
    </xf>
    <xf numFmtId="0" fontId="28" fillId="0" borderId="0" xfId="96" applyFont="1" applyBorder="1" applyAlignment="1" applyProtection="1">
      <alignment horizontal="center" vertical="center" wrapText="1"/>
    </xf>
    <xf numFmtId="0" fontId="28" fillId="0" borderId="0" xfId="107" applyNumberFormat="1" applyFont="1" applyFill="1" applyAlignment="1">
      <alignment vertical="center"/>
    </xf>
    <xf numFmtId="0" fontId="28" fillId="0" borderId="0" xfId="115" applyFont="1" applyFill="1" applyAlignment="1" applyProtection="1">
      <alignment vertical="center"/>
    </xf>
    <xf numFmtId="0" fontId="28" fillId="0" borderId="0" xfId="124" applyFont="1" applyFill="1" applyAlignment="1">
      <alignment vertical="center"/>
    </xf>
    <xf numFmtId="0" fontId="28" fillId="0" borderId="0" xfId="129" applyFont="1" applyFill="1" applyAlignment="1">
      <alignment vertical="center"/>
    </xf>
    <xf numFmtId="0" fontId="28" fillId="0" borderId="0" xfId="116" applyFont="1" applyFill="1" applyAlignment="1">
      <alignment vertical="center"/>
    </xf>
    <xf numFmtId="0" fontId="28" fillId="0" borderId="0" xfId="162" applyFont="1" applyFill="1" applyAlignment="1">
      <alignment vertical="center"/>
    </xf>
    <xf numFmtId="0" fontId="28" fillId="0" borderId="0" xfId="162" applyFont="1" applyFill="1" applyAlignment="1"/>
    <xf numFmtId="0" fontId="28" fillId="0" borderId="0" xfId="163" applyFont="1" applyFill="1" applyAlignment="1"/>
    <xf numFmtId="0" fontId="28" fillId="0" borderId="0" xfId="124" applyFont="1" applyFill="1" applyBorder="1" applyAlignment="1" applyProtection="1">
      <alignment vertical="center" wrapText="1"/>
    </xf>
    <xf numFmtId="0" fontId="28" fillId="0" borderId="0" xfId="124" applyNumberFormat="1" applyFont="1" applyFill="1" applyBorder="1" applyAlignment="1" applyProtection="1">
      <alignment horizontal="left" vertical="center" wrapText="1"/>
    </xf>
    <xf numFmtId="183" fontId="28" fillId="0" borderId="0" xfId="195" applyNumberFormat="1" applyFont="1" applyFill="1" applyBorder="1" applyAlignment="1" applyProtection="1">
      <alignment horizontal="center" vertical="center" wrapText="1"/>
    </xf>
    <xf numFmtId="0" fontId="28" fillId="0" borderId="0" xfId="124" applyNumberFormat="1" applyFont="1" applyFill="1" applyBorder="1" applyAlignment="1" applyProtection="1">
      <alignment horizontal="center" vertical="center" wrapText="1"/>
    </xf>
    <xf numFmtId="183" fontId="28" fillId="0" borderId="0" xfId="195" applyNumberFormat="1" applyFont="1" applyFill="1" applyBorder="1" applyAlignment="1" applyProtection="1">
      <alignment horizontal="right" wrapText="1"/>
    </xf>
    <xf numFmtId="183" fontId="80" fillId="0" borderId="18" xfId="195" applyNumberFormat="1" applyFont="1" applyFill="1" applyBorder="1" applyAlignment="1" applyProtection="1">
      <alignment horizontal="center" vertical="center" wrapText="1"/>
    </xf>
    <xf numFmtId="0" fontId="80" fillId="0" borderId="18" xfId="124" applyNumberFormat="1" applyFont="1" applyFill="1" applyBorder="1" applyAlignment="1" applyProtection="1">
      <alignment horizontal="center" vertical="center" wrapText="1"/>
    </xf>
    <xf numFmtId="0" fontId="80" fillId="0" borderId="18" xfId="195" quotePrefix="1" applyNumberFormat="1" applyFont="1" applyFill="1" applyBorder="1" applyAlignment="1" applyProtection="1">
      <alignment horizontal="center" vertical="center" wrapText="1"/>
    </xf>
    <xf numFmtId="0" fontId="80" fillId="0" borderId="18" xfId="96" applyNumberFormat="1" applyFont="1" applyFill="1" applyBorder="1" applyAlignment="1" applyProtection="1">
      <alignment horizontal="center" vertical="center" wrapText="1"/>
    </xf>
    <xf numFmtId="0" fontId="91" fillId="0" borderId="0" xfId="124" applyFont="1" applyFill="1" applyBorder="1" applyAlignment="1" applyProtection="1">
      <alignment horizontal="left" vertical="center"/>
    </xf>
    <xf numFmtId="0" fontId="91" fillId="34" borderId="76" xfId="124" applyFont="1" applyFill="1" applyBorder="1" applyAlignment="1" applyProtection="1">
      <alignment vertical="center" wrapText="1"/>
    </xf>
    <xf numFmtId="0" fontId="91" fillId="34" borderId="76" xfId="124" applyFont="1" applyFill="1" applyBorder="1" applyAlignment="1" applyProtection="1">
      <alignment horizontal="left" vertical="center" wrapText="1"/>
    </xf>
    <xf numFmtId="183" fontId="91" fillId="34" borderId="76" xfId="195" applyNumberFormat="1" applyFont="1" applyFill="1" applyBorder="1" applyAlignment="1" applyProtection="1">
      <alignment horizontal="center" vertical="center" wrapText="1"/>
    </xf>
    <xf numFmtId="193" fontId="91" fillId="34" borderId="76" xfId="124" applyNumberFormat="1" applyFont="1" applyFill="1" applyBorder="1" applyAlignment="1" applyProtection="1">
      <alignment vertical="center" wrapText="1"/>
    </xf>
    <xf numFmtId="0" fontId="91" fillId="0" borderId="32" xfId="124" applyFont="1" applyFill="1" applyBorder="1" applyAlignment="1" applyProtection="1">
      <alignment horizontal="left" vertical="center" wrapText="1" indent="2"/>
    </xf>
    <xf numFmtId="0" fontId="91" fillId="0" borderId="32" xfId="124" applyFont="1" applyFill="1" applyBorder="1" applyAlignment="1" applyProtection="1">
      <alignment horizontal="left" vertical="center" wrapText="1"/>
      <protection locked="0"/>
    </xf>
    <xf numFmtId="183" fontId="91" fillId="0" borderId="32" xfId="195" applyNumberFormat="1" applyFont="1" applyFill="1" applyBorder="1" applyAlignment="1" applyProtection="1">
      <alignment horizontal="center" vertical="center" wrapText="1"/>
    </xf>
    <xf numFmtId="193" fontId="91" fillId="0" borderId="32" xfId="124" applyNumberFormat="1" applyFont="1" applyFill="1" applyBorder="1" applyAlignment="1" applyProtection="1">
      <alignment horizontal="center" vertical="center" wrapText="1"/>
    </xf>
    <xf numFmtId="0" fontId="91" fillId="34" borderId="32" xfId="124" applyFont="1" applyFill="1" applyBorder="1" applyAlignment="1" applyProtection="1">
      <alignment horizontal="left" vertical="center" wrapText="1" indent="2"/>
    </xf>
    <xf numFmtId="0" fontId="91" fillId="34" borderId="32" xfId="124" applyFont="1" applyFill="1" applyBorder="1" applyAlignment="1" applyProtection="1">
      <alignment horizontal="left" vertical="center" wrapText="1"/>
      <protection locked="0"/>
    </xf>
    <xf numFmtId="183" fontId="91" fillId="34" borderId="32" xfId="195" applyNumberFormat="1" applyFont="1" applyFill="1" applyBorder="1" applyAlignment="1" applyProtection="1">
      <alignment horizontal="center" vertical="center" wrapText="1"/>
    </xf>
    <xf numFmtId="193" fontId="91" fillId="34" borderId="32" xfId="124" applyNumberFormat="1" applyFont="1" applyFill="1" applyBorder="1" applyAlignment="1" applyProtection="1">
      <alignment horizontal="center" vertical="center" wrapText="1"/>
    </xf>
    <xf numFmtId="0" fontId="91" fillId="34" borderId="32" xfId="124" applyFont="1" applyFill="1" applyBorder="1" applyAlignment="1" applyProtection="1">
      <alignment horizontal="left" vertical="center" wrapText="1" indent="4"/>
    </xf>
    <xf numFmtId="0" fontId="91" fillId="0" borderId="32" xfId="124" applyFont="1" applyFill="1" applyBorder="1" applyAlignment="1" applyProtection="1">
      <alignment horizontal="left" vertical="center" wrapText="1" indent="6"/>
    </xf>
    <xf numFmtId="0" fontId="91" fillId="34" borderId="32" xfId="124" applyFont="1" applyFill="1" applyBorder="1" applyAlignment="1" applyProtection="1">
      <alignment horizontal="left" vertical="center" wrapText="1" indent="6"/>
    </xf>
    <xf numFmtId="0" fontId="92" fillId="34" borderId="32" xfId="124" applyFont="1" applyFill="1" applyBorder="1" applyAlignment="1" applyProtection="1">
      <alignment horizontal="left" vertical="center" wrapText="1"/>
      <protection locked="0"/>
    </xf>
    <xf numFmtId="0" fontId="91" fillId="0" borderId="32" xfId="124" applyFont="1" applyFill="1" applyBorder="1" applyAlignment="1" applyProtection="1">
      <alignment horizontal="left" vertical="center" wrapText="1" indent="8"/>
    </xf>
    <xf numFmtId="0" fontId="91" fillId="0" borderId="32" xfId="96" applyFont="1" applyFill="1" applyBorder="1" applyAlignment="1" applyProtection="1">
      <alignment horizontal="left" vertical="center" wrapText="1"/>
      <protection locked="0"/>
    </xf>
    <xf numFmtId="0" fontId="91" fillId="34" borderId="32" xfId="124" applyFont="1" applyFill="1" applyBorder="1" applyAlignment="1" applyProtection="1">
      <alignment horizontal="left" vertical="center" wrapText="1" indent="8"/>
    </xf>
    <xf numFmtId="0" fontId="91" fillId="0" borderId="32" xfId="124" applyFont="1" applyFill="1" applyBorder="1" applyAlignment="1" applyProtection="1">
      <alignment horizontal="left" vertical="center" wrapText="1" indent="10"/>
    </xf>
    <xf numFmtId="0" fontId="93" fillId="34" borderId="32" xfId="124" applyFont="1" applyFill="1" applyBorder="1" applyAlignment="1" applyProtection="1">
      <alignment horizontal="left" vertical="center" wrapText="1"/>
      <protection locked="0"/>
    </xf>
    <xf numFmtId="0" fontId="92" fillId="34" borderId="32" xfId="124" applyNumberFormat="1" applyFont="1" applyFill="1" applyBorder="1" applyAlignment="1" applyProtection="1">
      <alignment horizontal="left" vertical="center" wrapText="1"/>
      <protection locked="0"/>
    </xf>
    <xf numFmtId="0" fontId="91" fillId="0" borderId="32" xfId="124" applyFont="1" applyFill="1" applyBorder="1" applyAlignment="1" applyProtection="1">
      <alignment horizontal="left" vertical="center" wrapText="1" indent="4"/>
    </xf>
    <xf numFmtId="0" fontId="91" fillId="34" borderId="32" xfId="124" applyFont="1" applyFill="1" applyBorder="1" applyAlignment="1" applyProtection="1">
      <alignment vertical="center" wrapText="1"/>
    </xf>
    <xf numFmtId="193" fontId="92" fillId="34" borderId="32" xfId="124" applyNumberFormat="1" applyFont="1" applyFill="1" applyBorder="1" applyAlignment="1" applyProtection="1">
      <alignment horizontal="center" vertical="center" wrapText="1"/>
    </xf>
    <xf numFmtId="193" fontId="91" fillId="34" borderId="32" xfId="124" quotePrefix="1" applyNumberFormat="1" applyFont="1" applyFill="1" applyBorder="1" applyAlignment="1" applyProtection="1">
      <alignment horizontal="center" vertical="center" wrapText="1"/>
    </xf>
    <xf numFmtId="183" fontId="9" fillId="34" borderId="32" xfId="195" applyNumberFormat="1" applyFont="1" applyFill="1" applyBorder="1" applyAlignment="1" applyProtection="1">
      <alignment horizontal="center" vertical="center"/>
    </xf>
    <xf numFmtId="183" fontId="91" fillId="34" borderId="32" xfId="195" applyNumberFormat="1" applyFont="1" applyFill="1" applyBorder="1" applyAlignment="1" applyProtection="1">
      <alignment horizontal="center" vertical="center" wrapText="1"/>
      <protection locked="0"/>
    </xf>
    <xf numFmtId="0" fontId="91" fillId="0" borderId="132" xfId="124" applyFont="1" applyFill="1" applyBorder="1" applyAlignment="1" applyProtection="1">
      <alignment horizontal="left" vertical="center" wrapText="1" indent="4"/>
    </xf>
    <xf numFmtId="0" fontId="91" fillId="0" borderId="132" xfId="124" applyFont="1" applyFill="1" applyBorder="1" applyAlignment="1" applyProtection="1">
      <alignment horizontal="left" vertical="center" wrapText="1"/>
      <protection locked="0"/>
    </xf>
    <xf numFmtId="183" fontId="91" fillId="0" borderId="132" xfId="195" applyNumberFormat="1" applyFont="1" applyFill="1" applyBorder="1" applyAlignment="1" applyProtection="1">
      <alignment horizontal="center" vertical="center" wrapText="1"/>
    </xf>
    <xf numFmtId="193" fontId="91" fillId="34" borderId="132" xfId="124" applyNumberFormat="1" applyFont="1" applyFill="1" applyBorder="1" applyAlignment="1" applyProtection="1">
      <alignment horizontal="center" vertical="center" wrapText="1"/>
    </xf>
    <xf numFmtId="183" fontId="91" fillId="34" borderId="132" xfId="195" applyNumberFormat="1" applyFont="1" applyFill="1" applyBorder="1" applyAlignment="1" applyProtection="1">
      <alignment horizontal="center" vertical="center" wrapText="1"/>
      <protection locked="0"/>
    </xf>
    <xf numFmtId="0" fontId="94" fillId="35" borderId="15" xfId="124" applyFont="1" applyFill="1" applyBorder="1" applyAlignment="1" applyProtection="1">
      <alignment vertical="center" wrapText="1"/>
    </xf>
    <xf numFmtId="0" fontId="94" fillId="35" borderId="15" xfId="124" applyFont="1" applyFill="1" applyBorder="1" applyAlignment="1" applyProtection="1">
      <alignment horizontal="left" vertical="center" wrapText="1"/>
    </xf>
    <xf numFmtId="183" fontId="94" fillId="35" borderId="15" xfId="195" applyNumberFormat="1" applyFont="1" applyFill="1" applyBorder="1" applyAlignment="1" applyProtection="1">
      <alignment horizontal="center" vertical="center" wrapText="1"/>
    </xf>
    <xf numFmtId="189" fontId="94" fillId="35" borderId="15" xfId="124" applyNumberFormat="1" applyFont="1" applyFill="1" applyBorder="1" applyAlignment="1" applyProtection="1">
      <alignment horizontal="center" vertical="center" wrapText="1"/>
    </xf>
    <xf numFmtId="193" fontId="88" fillId="34" borderId="32" xfId="124" applyNumberFormat="1" applyFont="1" applyFill="1" applyBorder="1" applyAlignment="1" applyProtection="1">
      <alignment horizontal="center" vertical="center" wrapText="1"/>
    </xf>
    <xf numFmtId="0" fontId="30" fillId="0" borderId="269" xfId="106" applyFont="1" applyFill="1" applyBorder="1" applyAlignment="1" applyProtection="1">
      <alignment horizontal="right" vertical="center"/>
    </xf>
    <xf numFmtId="0" fontId="30" fillId="0" borderId="108" xfId="106" applyFont="1" applyFill="1" applyBorder="1" applyAlignment="1" applyProtection="1">
      <alignment horizontal="right" vertical="center"/>
    </xf>
    <xf numFmtId="0" fontId="90" fillId="0" borderId="0" xfId="124" applyFont="1" applyAlignment="1">
      <alignment vertical="center" wrapText="1"/>
    </xf>
    <xf numFmtId="0" fontId="90" fillId="0" borderId="0" xfId="124" applyFont="1" applyAlignment="1">
      <alignment vertical="center"/>
    </xf>
    <xf numFmtId="0" fontId="90" fillId="0" borderId="0" xfId="93" applyFont="1" applyAlignment="1" applyProtection="1">
      <alignment vertical="center"/>
    </xf>
    <xf numFmtId="183" fontId="90" fillId="0" borderId="0" xfId="195" applyNumberFormat="1" applyFont="1" applyAlignment="1" applyProtection="1">
      <alignment vertical="center" wrapText="1"/>
    </xf>
    <xf numFmtId="0" fontId="97" fillId="0" borderId="65" xfId="93" applyFont="1" applyBorder="1" applyAlignment="1" applyProtection="1">
      <alignment horizontal="center" vertical="center" wrapText="1"/>
    </xf>
    <xf numFmtId="183" fontId="97" fillId="0" borderId="24" xfId="195" applyNumberFormat="1" applyFont="1" applyBorder="1" applyAlignment="1" applyProtection="1">
      <alignment horizontal="center" vertical="center" wrapText="1"/>
    </xf>
    <xf numFmtId="183" fontId="97" fillId="0" borderId="55" xfId="195" applyNumberFormat="1" applyFont="1" applyBorder="1" applyAlignment="1" applyProtection="1">
      <alignment horizontal="center" vertical="center" wrapText="1"/>
    </xf>
    <xf numFmtId="0" fontId="98" fillId="0" borderId="260" xfId="93" applyFont="1" applyBorder="1" applyAlignment="1" applyProtection="1">
      <alignment vertical="center" wrapText="1"/>
    </xf>
    <xf numFmtId="183" fontId="90" fillId="0" borderId="76" xfId="181" applyNumberFormat="1" applyFont="1" applyBorder="1" applyAlignment="1" applyProtection="1">
      <alignment horizontal="center" vertical="center" wrapText="1"/>
    </xf>
    <xf numFmtId="0" fontId="98" fillId="0" borderId="263" xfId="93" applyFont="1" applyBorder="1" applyAlignment="1" applyProtection="1">
      <alignment horizontal="left" vertical="center"/>
    </xf>
    <xf numFmtId="0" fontId="97" fillId="0" borderId="33" xfId="93" applyFont="1" applyBorder="1" applyAlignment="1" applyProtection="1">
      <alignment vertical="center" wrapText="1"/>
    </xf>
    <xf numFmtId="10" fontId="99" fillId="36" borderId="34" xfId="214" applyNumberFormat="1" applyFont="1" applyFill="1" applyBorder="1" applyAlignment="1" applyProtection="1">
      <alignment horizontal="center" vertical="center" wrapText="1"/>
    </xf>
    <xf numFmtId="183" fontId="100" fillId="0" borderId="270" xfId="181" applyNumberFormat="1" applyFont="1" applyBorder="1" applyAlignment="1" applyProtection="1">
      <alignment horizontal="center" vertical="center" wrapText="1"/>
    </xf>
    <xf numFmtId="49" fontId="91" fillId="0" borderId="18" xfId="103" applyNumberFormat="1" applyFont="1" applyFill="1" applyBorder="1" applyAlignment="1">
      <alignment horizontal="left" vertical="center" wrapText="1" indent="4"/>
    </xf>
    <xf numFmtId="49" fontId="91" fillId="0" borderId="18" xfId="98" applyNumberFormat="1" applyFont="1" applyFill="1" applyBorder="1" applyAlignment="1">
      <alignment horizontal="left" vertical="center" wrapText="1" indent="2"/>
    </xf>
    <xf numFmtId="49" fontId="91" fillId="0" borderId="18" xfId="103" applyNumberFormat="1" applyFont="1" applyFill="1" applyBorder="1" applyAlignment="1">
      <alignment horizontal="left" vertical="center" wrapText="1" indent="6"/>
    </xf>
    <xf numFmtId="178" fontId="62" fillId="26" borderId="18" xfId="167" applyNumberFormat="1" applyFont="1" applyFill="1" applyBorder="1" applyAlignment="1" applyProtection="1">
      <alignment horizontal="center" vertical="center" wrapText="1"/>
    </xf>
    <xf numFmtId="0" fontId="28" fillId="26" borderId="15" xfId="107" applyNumberFormat="1" applyFont="1" applyFill="1" applyBorder="1" applyAlignment="1" applyProtection="1">
      <alignment horizontal="center" vertical="center" wrapText="1"/>
    </xf>
    <xf numFmtId="0" fontId="0" fillId="0" borderId="0" xfId="107" applyFont="1" applyFill="1" applyBorder="1" applyAlignment="1">
      <alignment horizontal="left" vertical="center"/>
    </xf>
    <xf numFmtId="0" fontId="9" fillId="0" borderId="18" xfId="107" applyFont="1" applyFill="1" applyBorder="1" applyAlignment="1">
      <alignment horizontal="left" vertical="center" wrapText="1" indent="4"/>
    </xf>
    <xf numFmtId="0" fontId="88" fillId="0" borderId="27" xfId="124" applyFont="1" applyFill="1" applyBorder="1" applyAlignment="1">
      <alignment horizontal="left" vertical="center" wrapText="1" indent="2"/>
    </xf>
    <xf numFmtId="0" fontId="91" fillId="0" borderId="15" xfId="124" applyFont="1" applyFill="1" applyBorder="1" applyAlignment="1">
      <alignment vertical="center" wrapText="1"/>
    </xf>
    <xf numFmtId="0" fontId="91" fillId="0" borderId="18" xfId="124" applyFont="1" applyFill="1" applyBorder="1" applyAlignment="1">
      <alignment horizontal="left" vertical="center" wrapText="1" indent="2"/>
    </xf>
    <xf numFmtId="0" fontId="91" fillId="0" borderId="18" xfId="124" applyFont="1" applyFill="1" applyBorder="1" applyAlignment="1">
      <alignment vertical="center" wrapText="1"/>
    </xf>
    <xf numFmtId="0" fontId="88" fillId="0" borderId="57" xfId="124" applyFont="1" applyFill="1" applyBorder="1" applyAlignment="1">
      <alignment vertical="center" wrapText="1"/>
    </xf>
    <xf numFmtId="0" fontId="88" fillId="0" borderId="58" xfId="124" applyFont="1" applyFill="1" applyBorder="1" applyAlignment="1">
      <alignment vertical="center" wrapText="1"/>
    </xf>
    <xf numFmtId="0" fontId="88" fillId="0" borderId="32" xfId="124" applyFont="1" applyFill="1" applyBorder="1" applyAlignment="1">
      <alignment horizontal="center" vertical="center" wrapText="1"/>
    </xf>
    <xf numFmtId="0" fontId="80" fillId="0" borderId="33" xfId="96" applyFont="1" applyBorder="1" applyAlignment="1" applyProtection="1">
      <alignment vertical="center" wrapText="1"/>
    </xf>
    <xf numFmtId="0" fontId="98" fillId="0" borderId="0" xfId="93" applyFont="1" applyAlignment="1" applyProtection="1">
      <alignment vertical="center"/>
    </xf>
    <xf numFmtId="183" fontId="9" fillId="0" borderId="0" xfId="195" applyNumberFormat="1" applyFont="1" applyAlignment="1" applyProtection="1">
      <alignment vertical="center" wrapText="1"/>
    </xf>
    <xf numFmtId="0" fontId="9" fillId="0" borderId="0" xfId="93" applyFont="1" applyAlignment="1" applyProtection="1">
      <alignment vertical="center" wrapText="1"/>
    </xf>
    <xf numFmtId="183" fontId="97" fillId="0" borderId="26" xfId="195" applyNumberFormat="1" applyFont="1" applyBorder="1" applyAlignment="1" applyProtection="1">
      <alignment horizontal="center" vertical="center" wrapText="1"/>
    </xf>
    <xf numFmtId="183" fontId="90" fillId="0" borderId="241" xfId="181" applyNumberFormat="1" applyFont="1" applyBorder="1" applyAlignment="1" applyProtection="1">
      <alignment horizontal="center" vertical="center" wrapText="1"/>
    </xf>
    <xf numFmtId="183" fontId="90" fillId="0" borderId="272" xfId="181" applyNumberFormat="1" applyFont="1" applyBorder="1" applyAlignment="1" applyProtection="1">
      <alignment horizontal="center" vertical="center" wrapText="1"/>
    </xf>
    <xf numFmtId="10" fontId="99" fillId="36" borderId="226" xfId="214" applyNumberFormat="1" applyFont="1" applyFill="1" applyBorder="1" applyAlignment="1" applyProtection="1">
      <alignment horizontal="center" vertical="center" wrapText="1"/>
    </xf>
    <xf numFmtId="183" fontId="90" fillId="0" borderId="113" xfId="181" applyNumberFormat="1" applyFont="1" applyFill="1" applyBorder="1" applyAlignment="1" applyProtection="1">
      <alignment horizontal="center" vertical="center" wrapText="1"/>
    </xf>
    <xf numFmtId="183" fontId="90" fillId="0" borderId="271" xfId="181" applyNumberFormat="1" applyFont="1" applyFill="1" applyBorder="1" applyAlignment="1" applyProtection="1">
      <alignment horizontal="center" vertical="center" wrapText="1"/>
    </xf>
    <xf numFmtId="10" fontId="99" fillId="0" borderId="161" xfId="214" applyNumberFormat="1" applyFont="1" applyFill="1" applyBorder="1" applyAlignment="1" applyProtection="1">
      <alignment horizontal="center" vertical="center" wrapText="1"/>
    </xf>
    <xf numFmtId="0" fontId="38" fillId="0" borderId="0" xfId="124" applyFont="1" applyAlignment="1">
      <alignment vertical="center"/>
    </xf>
    <xf numFmtId="177" fontId="90" fillId="0" borderId="18" xfId="181" applyNumberFormat="1" applyFont="1" applyBorder="1" applyAlignment="1">
      <alignment horizontal="center" vertical="center"/>
    </xf>
    <xf numFmtId="0" fontId="48" fillId="0" borderId="0" xfId="128" quotePrefix="1" applyFont="1" applyFill="1" applyAlignment="1">
      <alignment horizontal="center"/>
    </xf>
    <xf numFmtId="0" fontId="50" fillId="0" borderId="0" xfId="128" applyFont="1" applyFill="1" applyAlignment="1">
      <alignment horizontal="center"/>
    </xf>
    <xf numFmtId="0" fontId="49" fillId="0" borderId="0" xfId="128" applyFont="1" applyFill="1" applyAlignment="1">
      <alignment horizontal="center"/>
    </xf>
    <xf numFmtId="0" fontId="40" fillId="0" borderId="18" xfId="157" applyFont="1" applyFill="1" applyBorder="1" applyAlignment="1">
      <alignment horizontal="center" vertical="center" wrapText="1"/>
    </xf>
    <xf numFmtId="0" fontId="27" fillId="0" borderId="16" xfId="107" applyFont="1" applyFill="1" applyBorder="1" applyAlignment="1">
      <alignment horizontal="center" vertical="center"/>
    </xf>
    <xf numFmtId="0" fontId="27" fillId="0" borderId="14" xfId="107" applyFont="1" applyFill="1" applyBorder="1" applyAlignment="1">
      <alignment horizontal="center" vertical="center"/>
    </xf>
    <xf numFmtId="0" fontId="27" fillId="0" borderId="17" xfId="0" applyFont="1" applyFill="1" applyBorder="1" applyAlignment="1">
      <alignment horizontal="center"/>
    </xf>
    <xf numFmtId="0" fontId="27" fillId="0" borderId="21" xfId="0" applyFont="1" applyFill="1" applyBorder="1" applyAlignment="1">
      <alignment horizontal="center"/>
    </xf>
    <xf numFmtId="0" fontId="27" fillId="0" borderId="19" xfId="107" applyFont="1" applyFill="1" applyBorder="1" applyAlignment="1">
      <alignment horizontal="center"/>
    </xf>
    <xf numFmtId="0" fontId="27" fillId="0" borderId="15" xfId="0" applyFont="1" applyFill="1" applyBorder="1" applyAlignment="1">
      <alignment horizontal="center" vertical="center"/>
    </xf>
    <xf numFmtId="0" fontId="27" fillId="0" borderId="18" xfId="107" applyFont="1" applyFill="1" applyBorder="1" applyAlignment="1">
      <alignment horizontal="center" vertical="center"/>
    </xf>
    <xf numFmtId="0" fontId="27" fillId="0" borderId="131" xfId="107" applyFont="1" applyFill="1" applyBorder="1" applyAlignment="1">
      <alignment horizontal="center" vertical="center"/>
    </xf>
    <xf numFmtId="0" fontId="27" fillId="0" borderId="20" xfId="107" applyFont="1" applyFill="1" applyBorder="1" applyAlignment="1">
      <alignment horizontal="center" vertical="center"/>
    </xf>
    <xf numFmtId="0" fontId="27" fillId="0" borderId="68" xfId="107" applyFont="1" applyFill="1" applyBorder="1" applyAlignment="1">
      <alignment horizontal="center" vertical="center"/>
    </xf>
    <xf numFmtId="0" fontId="27" fillId="0" borderId="68" xfId="0" applyFont="1" applyFill="1" applyBorder="1" applyAlignment="1"/>
    <xf numFmtId="49" fontId="9" fillId="0" borderId="18" xfId="103" applyNumberFormat="1" applyFont="1" applyFill="1" applyBorder="1" applyAlignment="1">
      <alignment horizontal="left" vertical="center" wrapText="1"/>
    </xf>
    <xf numFmtId="0" fontId="9" fillId="0" borderId="18" xfId="161" applyFont="1" applyBorder="1" applyAlignment="1">
      <alignment vertical="center" wrapText="1"/>
    </xf>
    <xf numFmtId="49" fontId="9" fillId="0" borderId="131" xfId="103" applyNumberFormat="1" applyFont="1" applyFill="1" applyBorder="1" applyAlignment="1">
      <alignment horizontal="left" vertical="center" wrapText="1"/>
    </xf>
    <xf numFmtId="49" fontId="9" fillId="0" borderId="68" xfId="103" applyNumberFormat="1" applyFont="1" applyFill="1" applyBorder="1" applyAlignment="1">
      <alignment horizontal="left" vertical="center" wrapText="1"/>
    </xf>
    <xf numFmtId="49" fontId="9" fillId="0" borderId="18" xfId="103" applyNumberFormat="1" applyFont="1" applyFill="1" applyBorder="1" applyAlignment="1">
      <alignment horizontal="center" vertical="center" wrapText="1"/>
    </xf>
    <xf numFmtId="49" fontId="40" fillId="0" borderId="18" xfId="103" applyNumberFormat="1" applyFont="1" applyFill="1" applyBorder="1" applyAlignment="1">
      <alignment horizontal="center" vertical="center" wrapText="1"/>
    </xf>
    <xf numFmtId="49" fontId="40" fillId="0" borderId="131" xfId="103" applyNumberFormat="1" applyFont="1" applyFill="1" applyBorder="1" applyAlignment="1">
      <alignment horizontal="center" vertical="center" wrapText="1"/>
    </xf>
    <xf numFmtId="49" fontId="40" fillId="0" borderId="68" xfId="103" applyNumberFormat="1" applyFont="1" applyFill="1" applyBorder="1" applyAlignment="1">
      <alignment horizontal="center" vertical="center" wrapText="1"/>
    </xf>
    <xf numFmtId="0" fontId="31" fillId="0" borderId="16" xfId="107" applyFont="1" applyFill="1" applyBorder="1" applyAlignment="1">
      <alignment horizontal="center" vertical="center" wrapText="1"/>
    </xf>
    <xf numFmtId="0" fontId="31" fillId="0" borderId="14" xfId="107" applyFont="1" applyFill="1" applyBorder="1" applyAlignment="1">
      <alignment horizontal="center" vertical="center" wrapText="1"/>
    </xf>
    <xf numFmtId="0" fontId="31" fillId="0" borderId="131" xfId="161" applyFont="1" applyFill="1" applyBorder="1" applyAlignment="1">
      <alignment horizontal="center" vertical="center" wrapText="1"/>
    </xf>
    <xf numFmtId="0" fontId="31" fillId="0" borderId="68" xfId="161" applyFont="1" applyFill="1" applyBorder="1" applyAlignment="1">
      <alignment horizontal="center" vertical="center" wrapText="1"/>
    </xf>
    <xf numFmtId="0" fontId="31" fillId="0" borderId="131"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20" xfId="161" applyFont="1" applyFill="1" applyBorder="1" applyAlignment="1">
      <alignment horizontal="center" vertical="center" wrapText="1"/>
    </xf>
    <xf numFmtId="0" fontId="31" fillId="0" borderId="16" xfId="114" applyFont="1" applyFill="1" applyBorder="1" applyAlignment="1">
      <alignment horizontal="center" vertical="center" wrapText="1"/>
    </xf>
    <xf numFmtId="0" fontId="31" fillId="0" borderId="14" xfId="114" applyFont="1" applyFill="1" applyBorder="1" applyAlignment="1">
      <alignment horizontal="center" vertical="center" wrapText="1"/>
    </xf>
    <xf numFmtId="0" fontId="31" fillId="0" borderId="20" xfId="0" applyFont="1" applyFill="1" applyBorder="1" applyAlignment="1">
      <alignment horizontal="center" vertical="center" wrapText="1"/>
    </xf>
    <xf numFmtId="0" fontId="31" fillId="0" borderId="16" xfId="103" applyFont="1" applyFill="1" applyBorder="1" applyAlignment="1">
      <alignment horizontal="center" vertical="center"/>
    </xf>
    <xf numFmtId="0" fontId="31" fillId="0" borderId="14" xfId="103" applyFont="1" applyFill="1" applyBorder="1" applyAlignment="1">
      <alignment horizontal="center" vertical="center"/>
    </xf>
    <xf numFmtId="0" fontId="31" fillId="0" borderId="15" xfId="103" applyFont="1" applyFill="1" applyBorder="1" applyAlignment="1">
      <alignment horizontal="center" vertical="center"/>
    </xf>
    <xf numFmtId="0" fontId="31" fillId="0" borderId="17" xfId="161" applyFont="1" applyFill="1" applyBorder="1" applyAlignment="1">
      <alignment horizontal="center" vertical="center" wrapText="1"/>
    </xf>
    <xf numFmtId="0" fontId="31" fillId="0" borderId="1" xfId="161" applyFont="1" applyFill="1" applyBorder="1" applyAlignment="1">
      <alignment horizontal="center" vertical="center" wrapText="1"/>
    </xf>
    <xf numFmtId="0" fontId="31" fillId="0" borderId="21" xfId="161" applyFont="1" applyFill="1" applyBorder="1" applyAlignment="1">
      <alignment horizontal="center" vertical="center" wrapText="1"/>
    </xf>
    <xf numFmtId="0" fontId="31" fillId="0" borderId="4" xfId="161" applyFont="1" applyFill="1" applyBorder="1" applyAlignment="1">
      <alignment horizontal="center" vertical="center" wrapText="1"/>
    </xf>
    <xf numFmtId="0" fontId="31" fillId="0" borderId="0" xfId="161" applyFont="1" applyFill="1" applyBorder="1" applyAlignment="1">
      <alignment horizontal="center" vertical="center" wrapText="1"/>
    </xf>
    <xf numFmtId="0" fontId="31" fillId="0" borderId="60" xfId="161" applyFont="1" applyFill="1" applyBorder="1" applyAlignment="1">
      <alignment horizontal="center" vertical="center" wrapText="1"/>
    </xf>
    <xf numFmtId="0" fontId="31" fillId="0" borderId="23" xfId="161" quotePrefix="1" applyFont="1" applyFill="1" applyBorder="1" applyAlignment="1">
      <alignment horizontal="center" vertical="center" wrapText="1"/>
    </xf>
    <xf numFmtId="0" fontId="31" fillId="0" borderId="19" xfId="161" quotePrefix="1" applyFont="1" applyFill="1" applyBorder="1" applyAlignment="1">
      <alignment horizontal="center" vertical="center" wrapText="1"/>
    </xf>
    <xf numFmtId="0" fontId="31" fillId="0" borderId="22" xfId="161" quotePrefix="1" applyFont="1" applyFill="1" applyBorder="1" applyAlignment="1">
      <alignment horizontal="center" vertical="center" wrapText="1"/>
    </xf>
    <xf numFmtId="0" fontId="31" fillId="0" borderId="1" xfId="161" quotePrefix="1" applyFont="1" applyFill="1" applyBorder="1" applyAlignment="1">
      <alignment horizontal="center" vertical="center"/>
    </xf>
    <xf numFmtId="0" fontId="40" fillId="0" borderId="18" xfId="107" applyFont="1" applyFill="1" applyBorder="1" applyAlignment="1">
      <alignment horizontal="center" vertical="center" wrapText="1"/>
    </xf>
    <xf numFmtId="0" fontId="40" fillId="0" borderId="18" xfId="107" applyFont="1" applyBorder="1" applyAlignment="1">
      <alignment horizontal="center" vertical="center" wrapText="1"/>
    </xf>
    <xf numFmtId="0" fontId="40" fillId="0" borderId="18" xfId="137" applyFont="1" applyFill="1" applyBorder="1" applyAlignment="1">
      <alignment horizontal="center" vertical="center" wrapText="1"/>
    </xf>
    <xf numFmtId="0" fontId="40" fillId="0" borderId="18" xfId="148" applyFont="1" applyFill="1" applyBorder="1" applyAlignment="1">
      <alignment horizontal="center" vertical="center" wrapText="1"/>
    </xf>
    <xf numFmtId="0" fontId="9" fillId="0" borderId="18" xfId="151" applyFont="1" applyFill="1" applyBorder="1" applyAlignment="1">
      <alignment horizontal="center" vertical="center" wrapText="1"/>
    </xf>
    <xf numFmtId="0" fontId="9" fillId="0" borderId="18" xfId="148" applyFont="1" applyFill="1" applyBorder="1" applyAlignment="1">
      <alignment horizontal="center" vertical="center" wrapText="1"/>
    </xf>
    <xf numFmtId="0" fontId="9" fillId="0" borderId="18" xfId="107" applyFont="1" applyFill="1" applyBorder="1" applyAlignment="1">
      <alignment horizontal="center" vertical="center" wrapText="1"/>
    </xf>
    <xf numFmtId="0" fontId="40" fillId="0" borderId="18" xfId="151" applyFont="1" applyFill="1" applyBorder="1" applyAlignment="1">
      <alignment horizontal="center" vertical="center" wrapText="1"/>
    </xf>
    <xf numFmtId="0" fontId="40" fillId="0" borderId="18" xfId="115" applyFont="1" applyFill="1" applyBorder="1" applyAlignment="1">
      <alignment horizontal="center" vertical="center" wrapText="1"/>
    </xf>
    <xf numFmtId="0" fontId="40" fillId="0" borderId="131" xfId="115" applyFont="1" applyFill="1" applyBorder="1" applyAlignment="1">
      <alignment horizontal="center" vertical="center" wrapText="1"/>
    </xf>
    <xf numFmtId="0" fontId="40" fillId="0" borderId="20" xfId="115" applyFont="1" applyFill="1" applyBorder="1" applyAlignment="1">
      <alignment horizontal="center" vertical="center" wrapText="1"/>
    </xf>
    <xf numFmtId="0" fontId="40" fillId="0" borderId="68" xfId="115" applyFont="1" applyFill="1" applyBorder="1" applyAlignment="1">
      <alignment horizontal="center" vertical="center" wrapText="1"/>
    </xf>
    <xf numFmtId="0" fontId="40" fillId="0" borderId="18" xfId="115" quotePrefix="1" applyFont="1" applyFill="1" applyBorder="1" applyAlignment="1">
      <alignment horizontal="center" vertical="center" wrapText="1"/>
    </xf>
    <xf numFmtId="0" fontId="40" fillId="0" borderId="18" xfId="159" applyFont="1" applyFill="1" applyBorder="1" applyAlignment="1">
      <alignment horizontal="center" vertical="center" wrapText="1"/>
    </xf>
    <xf numFmtId="0" fontId="40" fillId="0" borderId="18" xfId="116" applyFont="1" applyFill="1" applyBorder="1" applyAlignment="1">
      <alignment horizontal="center" vertical="center" wrapText="1"/>
    </xf>
    <xf numFmtId="0" fontId="40" fillId="0" borderId="18" xfId="161" applyFont="1" applyFill="1" applyBorder="1" applyAlignment="1">
      <alignment vertical="center" wrapText="1"/>
    </xf>
    <xf numFmtId="0" fontId="9" fillId="0" borderId="131" xfId="107" applyFont="1" applyFill="1" applyBorder="1" applyAlignment="1">
      <alignment horizontal="center" vertical="center" wrapText="1"/>
    </xf>
    <xf numFmtId="0" fontId="9" fillId="0" borderId="68" xfId="107" applyFont="1" applyFill="1" applyBorder="1" applyAlignment="1">
      <alignment horizontal="center" vertical="center" wrapText="1"/>
    </xf>
    <xf numFmtId="0" fontId="40" fillId="0" borderId="18" xfId="152" applyFont="1" applyFill="1" applyBorder="1" applyAlignment="1">
      <alignment horizontal="center" vertical="center" wrapText="1"/>
    </xf>
    <xf numFmtId="0" fontId="9" fillId="0" borderId="16" xfId="152" applyFont="1" applyFill="1" applyBorder="1" applyAlignment="1">
      <alignment horizontal="center" vertical="center" wrapText="1"/>
    </xf>
    <xf numFmtId="0" fontId="9" fillId="0" borderId="14" xfId="152" applyFont="1" applyFill="1" applyBorder="1" applyAlignment="1">
      <alignment horizontal="center" vertical="center" wrapText="1"/>
    </xf>
    <xf numFmtId="0" fontId="9" fillId="0" borderId="15" xfId="152" applyFont="1" applyFill="1" applyBorder="1" applyAlignment="1">
      <alignment horizontal="center" vertical="center" wrapText="1"/>
    </xf>
    <xf numFmtId="0" fontId="40" fillId="0" borderId="18" xfId="116" quotePrefix="1" applyFont="1" applyFill="1" applyBorder="1" applyAlignment="1">
      <alignment horizontal="center" vertical="center" wrapText="1"/>
    </xf>
    <xf numFmtId="0" fontId="9" fillId="0" borderId="16" xfId="148" applyFont="1" applyFill="1" applyBorder="1" applyAlignment="1">
      <alignment horizontal="center" vertical="center" wrapText="1"/>
    </xf>
    <xf numFmtId="0" fontId="9" fillId="0" borderId="14" xfId="148" applyFont="1" applyFill="1" applyBorder="1" applyAlignment="1">
      <alignment horizontal="center" vertical="center" wrapText="1"/>
    </xf>
    <xf numFmtId="0" fontId="9" fillId="0" borderId="15" xfId="148" applyFont="1" applyFill="1" applyBorder="1" applyAlignment="1">
      <alignment horizontal="center" vertical="center" wrapText="1"/>
    </xf>
    <xf numFmtId="0" fontId="9" fillId="0" borderId="131" xfId="107" applyFont="1" applyBorder="1" applyAlignment="1">
      <alignment horizontal="center" vertical="center" wrapText="1"/>
    </xf>
    <xf numFmtId="0" fontId="9" fillId="0" borderId="68" xfId="107" applyFont="1" applyBorder="1" applyAlignment="1">
      <alignment horizontal="center" vertical="center" wrapText="1"/>
    </xf>
    <xf numFmtId="0" fontId="40" fillId="0" borderId="18" xfId="145" applyFont="1" applyFill="1" applyBorder="1" applyAlignment="1">
      <alignment horizontal="center" vertical="center" wrapText="1"/>
    </xf>
    <xf numFmtId="49" fontId="40" fillId="0" borderId="18" xfId="145" quotePrefix="1" applyNumberFormat="1" applyFont="1" applyFill="1" applyBorder="1" applyAlignment="1">
      <alignment horizontal="center" vertical="center" wrapText="1"/>
    </xf>
    <xf numFmtId="0" fontId="40" fillId="0" borderId="16" xfId="107" applyFont="1" applyFill="1" applyBorder="1" applyAlignment="1">
      <alignment horizontal="center" vertical="center" wrapText="1"/>
    </xf>
    <xf numFmtId="0" fontId="40" fillId="0" borderId="15" xfId="107" applyFont="1" applyFill="1" applyBorder="1" applyAlignment="1">
      <alignment horizontal="center" vertical="center" wrapText="1"/>
    </xf>
    <xf numFmtId="0" fontId="40" fillId="0" borderId="14" xfId="107" applyFont="1" applyFill="1" applyBorder="1" applyAlignment="1">
      <alignment horizontal="center" vertical="center" wrapText="1"/>
    </xf>
    <xf numFmtId="0" fontId="40" fillId="0" borderId="131" xfId="107" applyFont="1" applyFill="1" applyBorder="1" applyAlignment="1">
      <alignment horizontal="center" vertical="center" wrapText="1"/>
    </xf>
    <xf numFmtId="0" fontId="40" fillId="0" borderId="20" xfId="107" applyFont="1" applyFill="1" applyBorder="1" applyAlignment="1">
      <alignment horizontal="center" vertical="center" wrapText="1"/>
    </xf>
    <xf numFmtId="0" fontId="40" fillId="0" borderId="68" xfId="107" applyFont="1" applyFill="1" applyBorder="1" applyAlignment="1">
      <alignment horizontal="center" vertical="center" wrapText="1"/>
    </xf>
    <xf numFmtId="0" fontId="40" fillId="0" borderId="131" xfId="107" applyFont="1" applyBorder="1" applyAlignment="1">
      <alignment horizontal="center" vertical="center" wrapText="1"/>
    </xf>
    <xf numFmtId="0" fontId="40" fillId="0" borderId="68" xfId="107" applyFont="1" applyBorder="1" applyAlignment="1">
      <alignment horizontal="center" vertical="center" wrapText="1"/>
    </xf>
    <xf numFmtId="0" fontId="9" fillId="0" borderId="16" xfId="107" applyFont="1" applyFill="1" applyBorder="1" applyAlignment="1">
      <alignment horizontal="center" vertical="center" wrapText="1"/>
    </xf>
    <xf numFmtId="0" fontId="9" fillId="0" borderId="14" xfId="107" applyFont="1" applyFill="1" applyBorder="1" applyAlignment="1">
      <alignment horizontal="center" vertical="center" wrapText="1"/>
    </xf>
    <xf numFmtId="0" fontId="9" fillId="0" borderId="15" xfId="107" applyFont="1" applyFill="1" applyBorder="1" applyAlignment="1">
      <alignment horizontal="center" vertical="center" wrapText="1"/>
    </xf>
    <xf numFmtId="0" fontId="9" fillId="0" borderId="131" xfId="115" applyFont="1" applyFill="1" applyBorder="1" applyAlignment="1">
      <alignment horizontal="center" vertical="center" wrapText="1"/>
    </xf>
    <xf numFmtId="0" fontId="9" fillId="0" borderId="68" xfId="115" applyFont="1" applyFill="1" applyBorder="1" applyAlignment="1">
      <alignment horizontal="center" vertical="center" wrapText="1"/>
    </xf>
    <xf numFmtId="0" fontId="9" fillId="0" borderId="18" xfId="115" applyFont="1" applyFill="1" applyBorder="1" applyAlignment="1">
      <alignment horizontal="center" vertical="center" wrapText="1"/>
    </xf>
    <xf numFmtId="0" fontId="9" fillId="0" borderId="131" xfId="115" applyFont="1" applyFill="1" applyBorder="1" applyAlignment="1">
      <alignment horizontal="center" vertical="center"/>
    </xf>
    <xf numFmtId="0" fontId="9" fillId="0" borderId="68" xfId="115" applyFont="1" applyFill="1" applyBorder="1" applyAlignment="1">
      <alignment horizontal="center" vertical="center"/>
    </xf>
    <xf numFmtId="0" fontId="40" fillId="0" borderId="18" xfId="107" applyNumberFormat="1" applyFont="1" applyFill="1" applyBorder="1" applyAlignment="1">
      <alignment horizontal="center" vertical="center" wrapText="1"/>
    </xf>
    <xf numFmtId="178" fontId="88" fillId="26" borderId="18" xfId="167" applyNumberFormat="1" applyFont="1" applyFill="1" applyBorder="1" applyAlignment="1">
      <alignment horizontal="center" vertical="center" wrapText="1"/>
    </xf>
    <xf numFmtId="0" fontId="40" fillId="0" borderId="18" xfId="107" applyNumberFormat="1" applyFont="1" applyFill="1" applyBorder="1" applyAlignment="1" applyProtection="1">
      <alignment horizontal="center" vertical="center" wrapText="1"/>
    </xf>
    <xf numFmtId="0" fontId="70" fillId="0" borderId="0" xfId="107" applyFont="1" applyFill="1" applyBorder="1" applyAlignment="1" applyProtection="1">
      <alignment horizontal="left" vertical="center" wrapText="1"/>
      <protection locked="0"/>
    </xf>
    <xf numFmtId="0" fontId="70" fillId="0" borderId="131" xfId="107" applyFont="1" applyFill="1" applyBorder="1" applyAlignment="1" applyProtection="1">
      <alignment horizontal="center" vertical="center" wrapText="1"/>
    </xf>
    <xf numFmtId="0" fontId="70" fillId="0" borderId="68" xfId="107" applyFont="1" applyFill="1" applyBorder="1" applyAlignment="1" applyProtection="1">
      <alignment horizontal="center" vertical="center" wrapText="1"/>
    </xf>
    <xf numFmtId="0" fontId="70" fillId="0" borderId="18" xfId="107" applyFont="1" applyFill="1" applyBorder="1" applyAlignment="1" applyProtection="1">
      <alignment horizontal="distributed" vertical="center" wrapText="1"/>
    </xf>
    <xf numFmtId="0" fontId="70" fillId="0" borderId="16" xfId="107" applyFont="1" applyFill="1" applyBorder="1" applyAlignment="1" applyProtection="1">
      <alignment horizontal="distributed" vertical="center" wrapText="1"/>
    </xf>
    <xf numFmtId="0" fontId="70" fillId="0" borderId="14" xfId="107" applyFont="1" applyFill="1" applyBorder="1" applyAlignment="1" applyProtection="1">
      <alignment horizontal="distributed" vertical="center" wrapText="1"/>
    </xf>
    <xf numFmtId="0" fontId="70" fillId="0" borderId="20" xfId="107" applyFont="1" applyFill="1" applyBorder="1" applyAlignment="1" applyProtection="1">
      <alignment horizontal="center" vertical="center" wrapText="1"/>
    </xf>
    <xf numFmtId="0" fontId="70" fillId="0" borderId="16" xfId="107" applyFont="1" applyFill="1" applyBorder="1" applyAlignment="1" applyProtection="1">
      <alignment horizontal="center" vertical="center" wrapText="1"/>
    </xf>
    <xf numFmtId="0" fontId="71" fillId="0" borderId="14" xfId="0" applyFont="1" applyBorder="1" applyAlignment="1">
      <alignment vertical="center" wrapText="1"/>
    </xf>
    <xf numFmtId="0" fontId="70" fillId="0" borderId="0" xfId="107" applyFont="1" applyFill="1" applyBorder="1" applyAlignment="1" applyProtection="1">
      <alignment horizontal="distributed" vertical="center" wrapText="1"/>
    </xf>
    <xf numFmtId="0" fontId="70" fillId="0" borderId="0" xfId="107" applyFont="1" applyFill="1" applyBorder="1" applyAlignment="1" applyProtection="1">
      <alignment horizontal="center" vertical="center" wrapText="1"/>
    </xf>
    <xf numFmtId="0" fontId="71" fillId="0" borderId="0" xfId="0" applyFont="1" applyBorder="1" applyAlignment="1">
      <alignment vertical="center" wrapText="1"/>
    </xf>
    <xf numFmtId="0" fontId="70" fillId="0" borderId="0" xfId="107" applyFont="1" applyFill="1" applyBorder="1" applyAlignment="1">
      <alignment horizontal="distributed" vertical="center" wrapText="1"/>
    </xf>
    <xf numFmtId="0" fontId="70" fillId="0" borderId="14" xfId="107" applyFont="1" applyFill="1" applyBorder="1" applyAlignment="1" applyProtection="1">
      <alignment horizontal="center" vertical="center" wrapText="1"/>
    </xf>
    <xf numFmtId="0" fontId="70" fillId="0" borderId="18" xfId="107" applyFont="1" applyFill="1" applyBorder="1" applyAlignment="1" applyProtection="1">
      <alignment horizontal="center" vertical="center" wrapText="1"/>
    </xf>
    <xf numFmtId="0" fontId="70" fillId="0" borderId="131" xfId="107" applyFont="1" applyFill="1" applyBorder="1" applyAlignment="1" applyProtection="1">
      <alignment horizontal="distributed" vertical="center" wrapText="1"/>
    </xf>
    <xf numFmtId="0" fontId="70" fillId="0" borderId="17" xfId="107" applyFont="1" applyFill="1" applyBorder="1" applyAlignment="1" applyProtection="1">
      <alignment horizontal="distributed" vertical="center" wrapText="1"/>
    </xf>
    <xf numFmtId="0" fontId="70" fillId="0" borderId="18" xfId="107" applyFont="1" applyFill="1" applyBorder="1" applyAlignment="1">
      <alignment horizontal="distributed" vertical="center" wrapText="1"/>
    </xf>
    <xf numFmtId="0" fontId="70" fillId="0" borderId="131" xfId="107" applyFont="1" applyBorder="1" applyAlignment="1">
      <alignment horizontal="center" vertical="center" wrapText="1"/>
    </xf>
    <xf numFmtId="0" fontId="70" fillId="0" borderId="20" xfId="107" applyFont="1" applyBorder="1" applyAlignment="1">
      <alignment horizontal="center" vertical="center" wrapText="1"/>
    </xf>
    <xf numFmtId="0" fontId="70" fillId="0" borderId="68" xfId="107" applyFont="1" applyBorder="1" applyAlignment="1">
      <alignment horizontal="center" vertical="center" wrapText="1"/>
    </xf>
    <xf numFmtId="0" fontId="70" fillId="0" borderId="17" xfId="148" applyFont="1" applyBorder="1" applyAlignment="1">
      <alignment horizontal="center" vertical="center" wrapText="1"/>
    </xf>
    <xf numFmtId="0" fontId="70" fillId="0" borderId="4" xfId="148" applyFont="1" applyBorder="1" applyAlignment="1">
      <alignment horizontal="center" vertical="center" wrapText="1"/>
    </xf>
    <xf numFmtId="0" fontId="70" fillId="0" borderId="23" xfId="148" applyFont="1" applyBorder="1" applyAlignment="1">
      <alignment horizontal="center" vertical="center" wrapText="1"/>
    </xf>
    <xf numFmtId="0" fontId="70" fillId="0" borderId="131" xfId="107" applyFont="1" applyBorder="1" applyAlignment="1">
      <alignment horizontal="left" vertical="center" wrapText="1"/>
    </xf>
    <xf numFmtId="0" fontId="70" fillId="0" borderId="20" xfId="107" applyFont="1" applyBorder="1" applyAlignment="1">
      <alignment horizontal="left" vertical="center" wrapText="1"/>
    </xf>
    <xf numFmtId="0" fontId="70" fillId="0" borderId="68" xfId="107" applyFont="1" applyBorder="1" applyAlignment="1">
      <alignment horizontal="left" vertical="center" wrapText="1"/>
    </xf>
    <xf numFmtId="0" fontId="70" fillId="0" borderId="16" xfId="107" applyFont="1" applyBorder="1" applyAlignment="1">
      <alignment horizontal="center" vertical="center" wrapText="1"/>
    </xf>
    <xf numFmtId="0" fontId="70" fillId="0" borderId="14" xfId="107" applyFont="1" applyBorder="1" applyAlignment="1">
      <alignment horizontal="center" vertical="center" wrapText="1"/>
    </xf>
    <xf numFmtId="0" fontId="70" fillId="0" borderId="15" xfId="107" applyFont="1" applyBorder="1" applyAlignment="1">
      <alignment horizontal="center" vertical="center" wrapText="1"/>
    </xf>
    <xf numFmtId="0" fontId="70" fillId="0" borderId="68" xfId="124" applyFont="1" applyBorder="1" applyAlignment="1">
      <alignment vertical="center"/>
    </xf>
    <xf numFmtId="0" fontId="70" fillId="0" borderId="18" xfId="107" applyFont="1" applyBorder="1" applyAlignment="1">
      <alignment horizontal="center" vertical="center" wrapText="1"/>
    </xf>
    <xf numFmtId="0" fontId="70" fillId="0" borderId="14" xfId="124" applyFont="1" applyBorder="1" applyAlignment="1">
      <alignment vertical="center"/>
    </xf>
    <xf numFmtId="0" fontId="70" fillId="0" borderId="23" xfId="107" quotePrefix="1" applyFont="1" applyBorder="1" applyAlignment="1">
      <alignment horizontal="center" vertical="center" wrapText="1"/>
    </xf>
    <xf numFmtId="0" fontId="70" fillId="0" borderId="19" xfId="107" quotePrefix="1" applyFont="1" applyBorder="1" applyAlignment="1">
      <alignment horizontal="center" vertical="center" wrapText="1"/>
    </xf>
    <xf numFmtId="0" fontId="70" fillId="0" borderId="22" xfId="107" quotePrefix="1" applyFont="1" applyBorder="1" applyAlignment="1">
      <alignment horizontal="center" vertical="center" wrapText="1"/>
    </xf>
    <xf numFmtId="0" fontId="70" fillId="0" borderId="16" xfId="148" applyFont="1" applyBorder="1" applyAlignment="1">
      <alignment horizontal="center" vertical="center" wrapText="1"/>
    </xf>
    <xf numFmtId="0" fontId="70" fillId="0" borderId="14" xfId="148" applyFont="1" applyBorder="1" applyAlignment="1">
      <alignment horizontal="center" vertical="center" wrapText="1"/>
    </xf>
    <xf numFmtId="0" fontId="70" fillId="0" borderId="15" xfId="148" applyFont="1" applyBorder="1" applyAlignment="1">
      <alignment horizontal="center" vertical="center" wrapText="1"/>
    </xf>
    <xf numFmtId="0" fontId="70" fillId="0" borderId="17" xfId="107" applyFont="1" applyBorder="1" applyAlignment="1">
      <alignment horizontal="center" vertical="center" wrapText="1"/>
    </xf>
    <xf numFmtId="0" fontId="70" fillId="0" borderId="1" xfId="107" applyFont="1" applyBorder="1" applyAlignment="1">
      <alignment horizontal="center" vertical="center" wrapText="1"/>
    </xf>
    <xf numFmtId="0" fontId="70" fillId="0" borderId="21" xfId="107" applyFont="1" applyBorder="1" applyAlignment="1">
      <alignment horizontal="center" vertical="center" wrapText="1"/>
    </xf>
    <xf numFmtId="0" fontId="70" fillId="0" borderId="4" xfId="107" applyFont="1" applyBorder="1" applyAlignment="1">
      <alignment horizontal="center" vertical="center" wrapText="1"/>
    </xf>
    <xf numFmtId="0" fontId="70" fillId="0" borderId="0" xfId="107" applyFont="1" applyBorder="1" applyAlignment="1">
      <alignment horizontal="center" vertical="center" wrapText="1"/>
    </xf>
    <xf numFmtId="0" fontId="70" fillId="0" borderId="60" xfId="107" applyFont="1" applyBorder="1" applyAlignment="1">
      <alignment horizontal="center" vertical="center" wrapText="1"/>
    </xf>
    <xf numFmtId="0" fontId="27" fillId="0" borderId="18" xfId="107" applyFont="1" applyFill="1" applyBorder="1" applyAlignment="1" applyProtection="1">
      <alignment horizontal="center" vertical="center" wrapText="1"/>
    </xf>
    <xf numFmtId="0" fontId="27" fillId="0" borderId="18" xfId="107" applyFont="1" applyFill="1" applyBorder="1" applyAlignment="1" applyProtection="1">
      <alignment horizontal="distributed" vertical="center" wrapText="1"/>
    </xf>
    <xf numFmtId="0" fontId="27" fillId="0" borderId="16" xfId="107" applyFont="1" applyFill="1" applyBorder="1" applyAlignment="1" applyProtection="1">
      <alignment horizontal="center" vertical="center" wrapText="1"/>
    </xf>
    <xf numFmtId="0" fontId="27" fillId="0" borderId="15" xfId="107" applyFont="1" applyFill="1" applyBorder="1" applyAlignment="1" applyProtection="1">
      <alignment horizontal="center" vertical="center" wrapText="1"/>
    </xf>
    <xf numFmtId="0" fontId="70" fillId="26" borderId="16" xfId="107" applyFont="1" applyFill="1" applyBorder="1" applyAlignment="1">
      <alignment horizontal="center" vertical="center" wrapText="1"/>
    </xf>
    <xf numFmtId="0" fontId="70" fillId="26" borderId="15" xfId="107" applyFont="1" applyFill="1" applyBorder="1" applyAlignment="1">
      <alignment horizontal="center" vertical="center" wrapText="1"/>
    </xf>
    <xf numFmtId="0" fontId="70" fillId="26" borderId="131" xfId="107" applyFont="1" applyFill="1" applyBorder="1" applyAlignment="1">
      <alignment horizontal="center" vertical="center" wrapText="1"/>
    </xf>
    <xf numFmtId="0" fontId="70" fillId="26" borderId="68" xfId="107" applyFont="1" applyFill="1" applyBorder="1" applyAlignment="1">
      <alignment horizontal="center" vertical="center" wrapText="1"/>
    </xf>
    <xf numFmtId="0" fontId="70" fillId="0" borderId="65" xfId="117" applyFont="1" applyFill="1" applyBorder="1" applyAlignment="1">
      <alignment horizontal="center" vertical="center" wrapText="1"/>
    </xf>
    <xf numFmtId="0" fontId="70" fillId="0" borderId="57" xfId="117" applyFont="1" applyFill="1" applyBorder="1" applyAlignment="1">
      <alignment horizontal="center" vertical="center" wrapText="1"/>
    </xf>
    <xf numFmtId="0" fontId="70" fillId="0" borderId="146" xfId="117" applyFont="1" applyFill="1" applyBorder="1" applyAlignment="1">
      <alignment horizontal="center" vertical="center" wrapText="1"/>
    </xf>
    <xf numFmtId="0" fontId="70" fillId="0" borderId="24" xfId="119" applyFont="1" applyFill="1" applyBorder="1" applyAlignment="1">
      <alignment horizontal="center" vertical="center" wrapText="1"/>
    </xf>
    <xf numFmtId="0" fontId="70" fillId="0" borderId="18" xfId="119" applyFont="1" applyFill="1" applyBorder="1" applyAlignment="1">
      <alignment horizontal="center" vertical="center" wrapText="1"/>
    </xf>
    <xf numFmtId="0" fontId="70" fillId="0" borderId="24" xfId="126" applyFont="1" applyFill="1" applyBorder="1" applyAlignment="1">
      <alignment horizontal="center" vertical="center" wrapText="1"/>
    </xf>
    <xf numFmtId="0" fontId="70" fillId="0" borderId="18" xfId="126" applyFont="1" applyFill="1" applyBorder="1" applyAlignment="1">
      <alignment horizontal="center" vertical="center" wrapText="1"/>
    </xf>
    <xf numFmtId="49" fontId="70" fillId="0" borderId="16" xfId="119" applyNumberFormat="1" applyFont="1" applyFill="1" applyBorder="1" applyAlignment="1" applyProtection="1">
      <alignment horizontal="center" vertical="center" wrapText="1"/>
    </xf>
    <xf numFmtId="0" fontId="70" fillId="0" borderId="55" xfId="119" applyFont="1" applyFill="1" applyBorder="1" applyAlignment="1">
      <alignment horizontal="center" vertical="center" wrapText="1"/>
    </xf>
    <xf numFmtId="0" fontId="70" fillId="0" borderId="56" xfId="119" applyFont="1" applyFill="1" applyBorder="1" applyAlignment="1">
      <alignment horizontal="center" vertical="center" wrapText="1"/>
    </xf>
    <xf numFmtId="0" fontId="70" fillId="0" borderId="30" xfId="119" applyFont="1" applyFill="1" applyBorder="1" applyAlignment="1">
      <alignment horizontal="center" vertical="center" wrapText="1"/>
    </xf>
    <xf numFmtId="0" fontId="70" fillId="0" borderId="15" xfId="126" applyFont="1" applyFill="1" applyBorder="1" applyAlignment="1">
      <alignment horizontal="center" vertical="center" wrapText="1"/>
    </xf>
    <xf numFmtId="0" fontId="76" fillId="0" borderId="24" xfId="119" applyFont="1" applyFill="1" applyBorder="1" applyAlignment="1">
      <alignment horizontal="center" vertical="center" wrapText="1"/>
    </xf>
    <xf numFmtId="0" fontId="76" fillId="0" borderId="18" xfId="119" applyFont="1" applyFill="1" applyBorder="1" applyAlignment="1">
      <alignment horizontal="center" vertical="center" wrapText="1"/>
    </xf>
    <xf numFmtId="49" fontId="70" fillId="0" borderId="24" xfId="196" applyNumberFormat="1" applyFont="1" applyFill="1" applyBorder="1" applyAlignment="1">
      <alignment horizontal="center" vertical="center" wrapText="1"/>
    </xf>
    <xf numFmtId="49" fontId="70" fillId="0" borderId="18" xfId="196" applyNumberFormat="1" applyFont="1" applyFill="1" applyBorder="1" applyAlignment="1">
      <alignment horizontal="center" vertical="center" wrapText="1"/>
    </xf>
    <xf numFmtId="0" fontId="70" fillId="0" borderId="30" xfId="107" applyFont="1" applyFill="1" applyBorder="1" applyAlignment="1">
      <alignment horizontal="center" vertical="center" wrapText="1"/>
    </xf>
    <xf numFmtId="0" fontId="70" fillId="0" borderId="150" xfId="107" applyNumberFormat="1" applyFont="1" applyFill="1" applyBorder="1" applyAlignment="1" applyProtection="1">
      <alignment horizontal="center" vertical="center"/>
    </xf>
    <xf numFmtId="0" fontId="70" fillId="0" borderId="150" xfId="126" applyFont="1" applyFill="1" applyBorder="1" applyAlignment="1">
      <alignment vertical="center"/>
    </xf>
    <xf numFmtId="0" fontId="70" fillId="0" borderId="26" xfId="119" applyFont="1" applyFill="1" applyBorder="1" applyAlignment="1">
      <alignment horizontal="center" vertical="center" wrapText="1"/>
    </xf>
    <xf numFmtId="0" fontId="70" fillId="0" borderId="131" xfId="126" applyFont="1" applyFill="1" applyBorder="1" applyAlignment="1">
      <alignment horizontal="center" vertical="center" wrapText="1"/>
    </xf>
    <xf numFmtId="0" fontId="70" fillId="0" borderId="17" xfId="126" applyFont="1" applyFill="1" applyBorder="1" applyAlignment="1">
      <alignment horizontal="center" vertical="center" wrapText="1"/>
    </xf>
    <xf numFmtId="0" fontId="70" fillId="0" borderId="65" xfId="126" applyFont="1" applyFill="1" applyBorder="1" applyAlignment="1">
      <alignment vertical="center" wrapText="1"/>
    </xf>
    <xf numFmtId="0" fontId="70" fillId="0" borderId="57" xfId="126" applyFont="1" applyFill="1" applyBorder="1" applyAlignment="1">
      <alignment vertical="center" wrapText="1"/>
    </xf>
    <xf numFmtId="0" fontId="70" fillId="0" borderId="58" xfId="126" applyFont="1" applyFill="1" applyBorder="1" applyAlignment="1">
      <alignment vertical="center" wrapText="1"/>
    </xf>
    <xf numFmtId="0" fontId="76" fillId="0" borderId="24" xfId="126" applyFont="1" applyFill="1" applyBorder="1" applyAlignment="1">
      <alignment vertical="center" wrapText="1"/>
    </xf>
    <xf numFmtId="0" fontId="71" fillId="0" borderId="18" xfId="126" applyFont="1" applyFill="1" applyBorder="1" applyAlignment="1">
      <alignment vertical="center" wrapText="1"/>
    </xf>
    <xf numFmtId="0" fontId="76" fillId="0" borderId="18" xfId="126" applyFont="1" applyFill="1" applyBorder="1" applyAlignment="1">
      <alignment vertical="center" wrapText="1"/>
    </xf>
    <xf numFmtId="0" fontId="71" fillId="0" borderId="30" xfId="126" applyFont="1" applyFill="1" applyBorder="1" applyAlignment="1">
      <alignment vertical="center" wrapText="1"/>
    </xf>
    <xf numFmtId="0" fontId="71" fillId="0" borderId="14" xfId="126" applyFont="1" applyFill="1" applyBorder="1" applyAlignment="1">
      <alignment vertical="center" wrapText="1"/>
    </xf>
    <xf numFmtId="0" fontId="71" fillId="0" borderId="15" xfId="126" applyFont="1" applyFill="1" applyBorder="1" applyAlignment="1">
      <alignment vertical="center" wrapText="1"/>
    </xf>
    <xf numFmtId="0" fontId="71" fillId="0" borderId="16" xfId="126" applyFont="1" applyFill="1" applyBorder="1" applyAlignment="1">
      <alignment vertical="center" wrapText="1"/>
    </xf>
    <xf numFmtId="0" fontId="76" fillId="0" borderId="65" xfId="126" applyFont="1" applyFill="1" applyBorder="1" applyAlignment="1">
      <alignment horizontal="center" vertical="center" wrapText="1"/>
    </xf>
    <xf numFmtId="0" fontId="76" fillId="0" borderId="209" xfId="126" applyFont="1" applyFill="1" applyBorder="1" applyAlignment="1">
      <alignment horizontal="center" vertical="center" wrapText="1"/>
    </xf>
    <xf numFmtId="0" fontId="76" fillId="0" borderId="33" xfId="126" applyFont="1" applyFill="1" applyBorder="1" applyAlignment="1">
      <alignment horizontal="center" vertical="center" wrapText="1"/>
    </xf>
    <xf numFmtId="0" fontId="76" fillId="0" borderId="18" xfId="126" applyFont="1" applyFill="1" applyBorder="1" applyAlignment="1">
      <alignment horizontal="center" vertical="center" wrapText="1"/>
    </xf>
    <xf numFmtId="0" fontId="71" fillId="0" borderId="18" xfId="126" applyFont="1" applyFill="1" applyBorder="1" applyAlignment="1">
      <alignment horizontal="center" vertical="center" wrapText="1"/>
    </xf>
    <xf numFmtId="0" fontId="71" fillId="0" borderId="133" xfId="126" applyFont="1" applyFill="1" applyBorder="1" applyAlignment="1">
      <alignment horizontal="center" vertical="center" wrapText="1"/>
    </xf>
    <xf numFmtId="0" fontId="71" fillId="0" borderId="209" xfId="126" applyFont="1" applyFill="1" applyBorder="1" applyAlignment="1">
      <alignment horizontal="center" vertical="center" wrapText="1"/>
    </xf>
    <xf numFmtId="0" fontId="71" fillId="0" borderId="33" xfId="126" applyFont="1" applyFill="1" applyBorder="1" applyAlignment="1">
      <alignment horizontal="center" vertical="center" wrapText="1"/>
    </xf>
    <xf numFmtId="0" fontId="76" fillId="0" borderId="30" xfId="126" applyFont="1" applyFill="1" applyBorder="1" applyAlignment="1">
      <alignment horizontal="center" vertical="center" wrapText="1"/>
    </xf>
    <xf numFmtId="0" fontId="76" fillId="0" borderId="14" xfId="126" applyFont="1" applyFill="1" applyBorder="1" applyAlignment="1">
      <alignment horizontal="center" vertical="center" wrapText="1"/>
    </xf>
    <xf numFmtId="0" fontId="76" fillId="0" borderId="15" xfId="126" applyFont="1" applyFill="1" applyBorder="1" applyAlignment="1">
      <alignment horizontal="center" vertical="center" wrapText="1"/>
    </xf>
    <xf numFmtId="0" fontId="70" fillId="0" borderId="131" xfId="119" applyFont="1" applyFill="1" applyBorder="1" applyAlignment="1">
      <alignment horizontal="center" vertical="center" wrapText="1"/>
    </xf>
    <xf numFmtId="0" fontId="70" fillId="0" borderId="17" xfId="119" applyFont="1" applyFill="1" applyBorder="1" applyAlignment="1">
      <alignment horizontal="center" vertical="center" wrapText="1"/>
    </xf>
    <xf numFmtId="0" fontId="71" fillId="0" borderId="24" xfId="126" applyFont="1" applyFill="1" applyBorder="1" applyAlignment="1">
      <alignment vertical="center" wrapText="1"/>
    </xf>
    <xf numFmtId="0" fontId="70" fillId="0" borderId="65" xfId="126" applyFont="1" applyFill="1" applyBorder="1" applyAlignment="1">
      <alignment horizontal="center" vertical="center" wrapText="1"/>
    </xf>
    <xf numFmtId="0" fontId="70" fillId="0" borderId="57" xfId="126" applyFont="1" applyFill="1" applyBorder="1" applyAlignment="1">
      <alignment horizontal="center" vertical="center" wrapText="1"/>
    </xf>
    <xf numFmtId="0" fontId="70" fillId="0" borderId="58" xfId="126" applyFont="1" applyFill="1" applyBorder="1" applyAlignment="1">
      <alignment horizontal="center" vertical="center" wrapText="1"/>
    </xf>
    <xf numFmtId="0" fontId="70" fillId="0" borderId="24" xfId="126" applyFont="1" applyFill="1" applyBorder="1" applyAlignment="1">
      <alignment vertical="center" wrapText="1"/>
    </xf>
    <xf numFmtId="0" fontId="70" fillId="0" borderId="18" xfId="126" applyFont="1" applyFill="1" applyBorder="1">
      <alignment vertical="center"/>
    </xf>
    <xf numFmtId="0" fontId="70" fillId="0" borderId="146" xfId="126" applyFont="1" applyFill="1" applyBorder="1" applyAlignment="1">
      <alignment vertical="center" wrapText="1"/>
    </xf>
    <xf numFmtId="0" fontId="70" fillId="0" borderId="18" xfId="126" applyFont="1" applyFill="1" applyBorder="1" applyAlignment="1">
      <alignment vertical="center" wrapText="1"/>
    </xf>
    <xf numFmtId="0" fontId="70" fillId="0" borderId="34" xfId="107" applyNumberFormat="1" applyFont="1" applyFill="1" applyBorder="1" applyAlignment="1" applyProtection="1">
      <alignment horizontal="center" vertical="center"/>
    </xf>
    <xf numFmtId="0" fontId="70" fillId="0" borderId="34" xfId="126" applyFont="1" applyFill="1" applyBorder="1" applyAlignment="1">
      <alignment vertical="center"/>
    </xf>
    <xf numFmtId="0" fontId="70" fillId="0" borderId="221" xfId="119" applyFont="1" applyFill="1" applyBorder="1" applyAlignment="1">
      <alignment horizontal="center" vertical="center" wrapText="1"/>
    </xf>
    <xf numFmtId="0" fontId="70" fillId="0" borderId="222" xfId="126" applyFont="1" applyFill="1" applyBorder="1" applyAlignment="1">
      <alignment horizontal="center" vertical="center" wrapText="1"/>
    </xf>
    <xf numFmtId="0" fontId="70" fillId="0" borderId="23" xfId="126" applyFont="1" applyFill="1" applyBorder="1" applyAlignment="1">
      <alignment horizontal="center" vertical="center" wrapText="1"/>
    </xf>
    <xf numFmtId="0" fontId="70" fillId="0" borderId="22" xfId="126" applyFont="1" applyFill="1" applyBorder="1" applyAlignment="1">
      <alignment horizontal="center" vertical="center" wrapText="1"/>
    </xf>
    <xf numFmtId="0" fontId="70" fillId="0" borderId="30" xfId="126" applyFont="1" applyFill="1" applyBorder="1" applyAlignment="1">
      <alignment horizontal="center" vertical="center" wrapText="1"/>
    </xf>
    <xf numFmtId="0" fontId="70" fillId="0" borderId="14" xfId="126" applyFont="1" applyFill="1" applyBorder="1" applyAlignment="1">
      <alignment horizontal="center" vertical="center" wrapText="1"/>
    </xf>
    <xf numFmtId="0" fontId="70" fillId="0" borderId="27" xfId="107" applyNumberFormat="1" applyFont="1" applyFill="1" applyBorder="1" applyAlignment="1" applyProtection="1">
      <alignment horizontal="center" vertical="center"/>
    </xf>
    <xf numFmtId="0" fontId="70" fillId="0" borderId="27" xfId="107" applyNumberFormat="1" applyFont="1" applyFill="1" applyBorder="1" applyAlignment="1" applyProtection="1">
      <alignment horizontal="center" vertical="center" wrapText="1"/>
    </xf>
    <xf numFmtId="0" fontId="70" fillId="0" borderId="34" xfId="126" applyFont="1" applyFill="1" applyBorder="1" applyAlignment="1">
      <alignment vertical="center" wrapText="1"/>
    </xf>
    <xf numFmtId="0" fontId="70" fillId="0" borderId="16" xfId="126" applyFont="1" applyFill="1" applyBorder="1" applyAlignment="1">
      <alignment horizontal="center" vertical="center" wrapText="1"/>
    </xf>
    <xf numFmtId="0" fontId="70" fillId="0" borderId="15" xfId="126" applyFont="1" applyFill="1" applyBorder="1" applyAlignment="1">
      <alignment vertical="center" wrapText="1"/>
    </xf>
    <xf numFmtId="0" fontId="70" fillId="0" borderId="149" xfId="107" applyNumberFormat="1" applyFont="1" applyFill="1" applyBorder="1" applyAlignment="1" applyProtection="1">
      <alignment horizontal="center" vertical="center"/>
    </xf>
    <xf numFmtId="0" fontId="70" fillId="0" borderId="157" xfId="119" applyFont="1" applyFill="1" applyBorder="1" applyAlignment="1">
      <alignment horizontal="center" vertical="center" wrapText="1"/>
    </xf>
    <xf numFmtId="0" fontId="70" fillId="0" borderId="158" xfId="119" applyFont="1" applyFill="1" applyBorder="1" applyAlignment="1">
      <alignment horizontal="center" vertical="center" wrapText="1"/>
    </xf>
    <xf numFmtId="0" fontId="70" fillId="0" borderId="223" xfId="119" applyFont="1" applyFill="1" applyBorder="1" applyAlignment="1">
      <alignment horizontal="center" vertical="center" wrapText="1"/>
    </xf>
    <xf numFmtId="0" fontId="70" fillId="0" borderId="58" xfId="107" applyNumberFormat="1" applyFont="1" applyFill="1" applyBorder="1" applyAlignment="1" applyProtection="1">
      <alignment horizontal="center" vertical="center"/>
    </xf>
    <xf numFmtId="0" fontId="70" fillId="0" borderId="224" xfId="107" applyNumberFormat="1" applyFont="1" applyFill="1" applyBorder="1" applyAlignment="1" applyProtection="1">
      <alignment horizontal="center" vertical="center"/>
    </xf>
    <xf numFmtId="0" fontId="70" fillId="0" borderId="224" xfId="126" applyFont="1" applyFill="1" applyBorder="1" applyAlignment="1">
      <alignment vertical="center"/>
    </xf>
    <xf numFmtId="0" fontId="70" fillId="0" borderId="225" xfId="126" applyFont="1" applyFill="1" applyBorder="1" applyAlignment="1">
      <alignment vertical="center"/>
    </xf>
    <xf numFmtId="0" fontId="70" fillId="0" borderId="166" xfId="119" applyFont="1" applyFill="1" applyBorder="1" applyAlignment="1">
      <alignment horizontal="center" vertical="center" wrapText="1"/>
    </xf>
    <xf numFmtId="0" fontId="70" fillId="0" borderId="0" xfId="126" applyFont="1" applyFill="1" applyBorder="1" applyAlignment="1">
      <alignment horizontal="center" vertical="center" wrapText="1"/>
    </xf>
    <xf numFmtId="0" fontId="70" fillId="0" borderId="30" xfId="126" applyFont="1" applyFill="1" applyBorder="1" applyAlignment="1">
      <alignment vertical="center" wrapText="1"/>
    </xf>
    <xf numFmtId="0" fontId="70" fillId="0" borderId="14" xfId="126" applyFont="1" applyFill="1" applyBorder="1" applyAlignment="1">
      <alignment vertical="center" wrapText="1"/>
    </xf>
    <xf numFmtId="0" fontId="70" fillId="0" borderId="16" xfId="126" applyFont="1" applyFill="1" applyBorder="1" applyAlignment="1">
      <alignment vertical="center" wrapText="1"/>
    </xf>
    <xf numFmtId="0" fontId="70" fillId="0" borderId="133" xfId="126" applyFont="1" applyFill="1" applyBorder="1" applyAlignment="1">
      <alignment vertical="center" wrapText="1"/>
    </xf>
    <xf numFmtId="0" fontId="70" fillId="0" borderId="209" xfId="126" applyFont="1" applyFill="1" applyBorder="1" applyAlignment="1">
      <alignment vertical="center" wrapText="1"/>
    </xf>
    <xf numFmtId="0" fontId="70" fillId="0" borderId="33" xfId="126" applyFont="1" applyFill="1" applyBorder="1" applyAlignment="1">
      <alignment vertical="center" wrapText="1"/>
    </xf>
    <xf numFmtId="0" fontId="70" fillId="0" borderId="133" xfId="126" applyFont="1" applyFill="1" applyBorder="1" applyAlignment="1">
      <alignment horizontal="center" vertical="center" wrapText="1"/>
    </xf>
    <xf numFmtId="0" fontId="70" fillId="0" borderId="209" xfId="126" applyFont="1" applyFill="1" applyBorder="1" applyAlignment="1">
      <alignment horizontal="center" vertical="center" wrapText="1"/>
    </xf>
    <xf numFmtId="0" fontId="70" fillId="0" borderId="33" xfId="126" applyFont="1" applyFill="1" applyBorder="1" applyAlignment="1">
      <alignment horizontal="center" vertical="center" wrapText="1"/>
    </xf>
    <xf numFmtId="0" fontId="70" fillId="0" borderId="0" xfId="119" applyFont="1" applyFill="1" applyBorder="1" applyAlignment="1">
      <alignment horizontal="center" vertical="center" wrapText="1"/>
    </xf>
    <xf numFmtId="0" fontId="70" fillId="0" borderId="14" xfId="126" applyFont="1" applyFill="1" applyBorder="1">
      <alignment vertical="center"/>
    </xf>
    <xf numFmtId="0" fontId="70" fillId="0" borderId="15" xfId="126" applyFont="1" applyFill="1" applyBorder="1">
      <alignment vertical="center"/>
    </xf>
    <xf numFmtId="0" fontId="70" fillId="0" borderId="3" xfId="107" applyNumberFormat="1" applyFont="1" applyFill="1" applyBorder="1" applyAlignment="1" applyProtection="1">
      <alignment horizontal="center" vertical="center"/>
    </xf>
    <xf numFmtId="0" fontId="70" fillId="0" borderId="3" xfId="126" applyFont="1" applyFill="1" applyBorder="1" applyAlignment="1">
      <alignment vertical="center"/>
    </xf>
    <xf numFmtId="0" fontId="70" fillId="0" borderId="165" xfId="126" applyFont="1" applyFill="1" applyBorder="1" applyAlignment="1">
      <alignment vertical="center"/>
    </xf>
    <xf numFmtId="0" fontId="70" fillId="0" borderId="18" xfId="107" applyFont="1" applyBorder="1" applyAlignment="1">
      <alignment horizontal="center" vertical="center"/>
    </xf>
    <xf numFmtId="0" fontId="70" fillId="0" borderId="169" xfId="107" applyFont="1" applyFill="1" applyBorder="1" applyAlignment="1">
      <alignment horizontal="center" vertical="center" wrapText="1"/>
    </xf>
    <xf numFmtId="0" fontId="70" fillId="0" borderId="25" xfId="107" applyFont="1" applyFill="1" applyBorder="1" applyAlignment="1">
      <alignment horizontal="center" vertical="center" wrapText="1"/>
    </xf>
    <xf numFmtId="49" fontId="70" fillId="0" borderId="226" xfId="119" applyNumberFormat="1" applyFont="1" applyFill="1" applyBorder="1" applyAlignment="1" applyProtection="1">
      <alignment horizontal="center" vertical="center" wrapText="1"/>
    </xf>
    <xf numFmtId="0" fontId="5" fillId="0" borderId="0" xfId="0" applyFont="1"/>
    <xf numFmtId="0" fontId="70" fillId="0" borderId="24" xfId="148" applyFont="1" applyBorder="1" applyAlignment="1">
      <alignment horizontal="center" vertical="center" wrapText="1"/>
    </xf>
    <xf numFmtId="0" fontId="70" fillId="0" borderId="18" xfId="148" applyFont="1" applyBorder="1" applyAlignment="1">
      <alignment horizontal="center" vertical="center" wrapText="1"/>
    </xf>
    <xf numFmtId="0" fontId="71" fillId="0" borderId="18" xfId="126" applyFont="1" applyBorder="1" applyAlignment="1">
      <alignment horizontal="center" vertical="center" wrapText="1"/>
    </xf>
    <xf numFmtId="0" fontId="71" fillId="0" borderId="27" xfId="126" applyFont="1" applyBorder="1" applyAlignment="1">
      <alignment horizontal="center" vertical="center" wrapText="1"/>
    </xf>
    <xf numFmtId="0" fontId="70" fillId="0" borderId="133" xfId="148" applyFont="1" applyBorder="1" applyAlignment="1">
      <alignment horizontal="center" vertical="center" wrapText="1"/>
    </xf>
    <xf numFmtId="0" fontId="70" fillId="0" borderId="209" xfId="148" applyFont="1" applyBorder="1" applyAlignment="1">
      <alignment horizontal="center" vertical="center" wrapText="1"/>
    </xf>
    <xf numFmtId="0" fontId="70" fillId="0" borderId="221" xfId="107" applyFont="1" applyBorder="1" applyAlignment="1">
      <alignment horizontal="center" vertical="center" wrapText="1"/>
    </xf>
    <xf numFmtId="0" fontId="5" fillId="0" borderId="166" xfId="0" applyFont="1" applyBorder="1"/>
    <xf numFmtId="0" fontId="71" fillId="0" borderId="169" xfId="126" applyFont="1" applyFill="1" applyBorder="1" applyAlignment="1">
      <alignment horizontal="center" vertical="center" wrapText="1"/>
    </xf>
    <xf numFmtId="0" fontId="70" fillId="0" borderId="157" xfId="107" applyFont="1" applyFill="1" applyBorder="1" applyAlignment="1">
      <alignment horizontal="center" vertical="center" wrapText="1"/>
    </xf>
    <xf numFmtId="0" fontId="71" fillId="0" borderId="25" xfId="126" applyFont="1" applyFill="1" applyBorder="1" applyAlignment="1">
      <alignment horizontal="center" vertical="center" wrapText="1"/>
    </xf>
    <xf numFmtId="0" fontId="70" fillId="0" borderId="226" xfId="107" applyFont="1" applyBorder="1" applyAlignment="1">
      <alignment horizontal="center" vertical="center" wrapText="1"/>
    </xf>
    <xf numFmtId="0" fontId="5" fillId="0" borderId="3" xfId="0" applyFont="1" applyBorder="1"/>
    <xf numFmtId="0" fontId="70" fillId="0" borderId="30" xfId="148" applyFont="1" applyBorder="1" applyAlignment="1">
      <alignment horizontal="center" vertical="center" wrapText="1"/>
    </xf>
    <xf numFmtId="0" fontId="71" fillId="0" borderId="14" xfId="126" applyFont="1" applyBorder="1" applyAlignment="1">
      <alignment horizontal="center" vertical="center" wrapText="1"/>
    </xf>
    <xf numFmtId="0" fontId="71" fillId="0" borderId="15" xfId="126" applyFont="1" applyBorder="1" applyAlignment="1">
      <alignment horizontal="center" vertical="center" wrapText="1"/>
    </xf>
    <xf numFmtId="0" fontId="70" fillId="0" borderId="59" xfId="124" applyFont="1" applyFill="1" applyBorder="1" applyAlignment="1">
      <alignment vertical="center"/>
    </xf>
    <xf numFmtId="0" fontId="70" fillId="0" borderId="16" xfId="148" applyFont="1" applyFill="1" applyBorder="1" applyAlignment="1">
      <alignment horizontal="center" vertical="center" wrapText="1"/>
    </xf>
    <xf numFmtId="0" fontId="70" fillId="0" borderId="14" xfId="148" applyFont="1" applyFill="1" applyBorder="1" applyAlignment="1">
      <alignment horizontal="center" vertical="center" wrapText="1"/>
    </xf>
    <xf numFmtId="0" fontId="70" fillId="0" borderId="15" xfId="148" applyFont="1" applyFill="1" applyBorder="1" applyAlignment="1">
      <alignment horizontal="center" vertical="center" wrapText="1"/>
    </xf>
    <xf numFmtId="0" fontId="70" fillId="0" borderId="226" xfId="126" applyFont="1" applyFill="1" applyBorder="1" applyAlignment="1">
      <alignment horizontal="left" vertical="center" wrapText="1"/>
    </xf>
    <xf numFmtId="0" fontId="70" fillId="0" borderId="71" xfId="126" applyFont="1" applyFill="1" applyBorder="1" applyAlignment="1">
      <alignment horizontal="left" vertical="center"/>
    </xf>
    <xf numFmtId="0" fontId="70" fillId="0" borderId="27" xfId="148" applyFont="1" applyBorder="1" applyAlignment="1">
      <alignment horizontal="center" vertical="center" wrapText="1"/>
    </xf>
    <xf numFmtId="0" fontId="70" fillId="0" borderId="34" xfId="107" applyFont="1" applyBorder="1" applyAlignment="1">
      <alignment horizontal="center" vertical="center" wrapText="1"/>
    </xf>
    <xf numFmtId="0" fontId="71" fillId="0" borderId="226" xfId="126" applyFont="1" applyBorder="1" applyAlignment="1">
      <alignment horizontal="center" vertical="center" wrapText="1"/>
    </xf>
    <xf numFmtId="0" fontId="70" fillId="0" borderId="65" xfId="148" applyFont="1" applyBorder="1" applyAlignment="1">
      <alignment horizontal="center" vertical="center" wrapText="1"/>
    </xf>
    <xf numFmtId="0" fontId="70" fillId="0" borderId="57" xfId="148" applyFont="1" applyBorder="1" applyAlignment="1">
      <alignment horizontal="center" vertical="center" wrapText="1"/>
    </xf>
    <xf numFmtId="0" fontId="70" fillId="0" borderId="146" xfId="148" applyFont="1" applyBorder="1" applyAlignment="1">
      <alignment horizontal="center" vertical="center" wrapText="1"/>
    </xf>
    <xf numFmtId="0" fontId="70" fillId="0" borderId="24" xfId="107" applyFont="1" applyBorder="1" applyAlignment="1">
      <alignment horizontal="center" vertical="center" wrapText="1"/>
    </xf>
    <xf numFmtId="0" fontId="70" fillId="0" borderId="26" xfId="107" applyFont="1" applyBorder="1" applyAlignment="1">
      <alignment horizontal="center" vertical="center" wrapText="1"/>
    </xf>
    <xf numFmtId="0" fontId="70" fillId="0" borderId="163" xfId="107" applyFont="1" applyFill="1" applyBorder="1" applyAlignment="1">
      <alignment horizontal="center" vertical="center" wrapText="1"/>
    </xf>
    <xf numFmtId="0" fontId="70" fillId="0" borderId="24" xfId="107" applyFont="1" applyFill="1" applyBorder="1" applyAlignment="1">
      <alignment horizontal="center" vertical="center" wrapText="1"/>
    </xf>
    <xf numFmtId="0" fontId="70" fillId="0" borderId="55" xfId="107" applyFont="1" applyFill="1" applyBorder="1" applyAlignment="1">
      <alignment horizontal="center" vertical="center" wrapText="1"/>
    </xf>
    <xf numFmtId="49" fontId="70" fillId="0" borderId="17" xfId="119" applyNumberFormat="1" applyFont="1" applyFill="1" applyBorder="1" applyAlignment="1" applyProtection="1">
      <alignment horizontal="center" vertical="center" wrapText="1"/>
    </xf>
    <xf numFmtId="0" fontId="71" fillId="0" borderId="24" xfId="126" applyFont="1" applyBorder="1" applyAlignment="1">
      <alignment horizontal="center" vertical="center" wrapText="1"/>
    </xf>
    <xf numFmtId="0" fontId="70" fillId="0" borderId="65" xfId="107" applyFont="1" applyFill="1" applyBorder="1" applyAlignment="1">
      <alignment horizontal="center" vertical="center" wrapText="1"/>
    </xf>
    <xf numFmtId="0" fontId="71" fillId="0" borderId="24" xfId="126" applyFont="1" applyFill="1" applyBorder="1" applyAlignment="1">
      <alignment horizontal="center" vertical="center" wrapText="1"/>
    </xf>
    <xf numFmtId="0" fontId="71" fillId="0" borderId="55" xfId="126" applyFont="1" applyFill="1" applyBorder="1" applyAlignment="1">
      <alignment horizontal="center" vertical="center" wrapText="1"/>
    </xf>
    <xf numFmtId="0" fontId="27" fillId="0" borderId="16" xfId="153" applyFont="1" applyFill="1" applyBorder="1" applyAlignment="1">
      <alignment horizontal="center" vertical="center" wrapText="1"/>
    </xf>
    <xf numFmtId="0" fontId="27" fillId="0" borderId="14" xfId="101" applyFont="1" applyFill="1" applyBorder="1" applyAlignment="1">
      <alignment horizontal="center" vertical="center" wrapText="1"/>
    </xf>
    <xf numFmtId="0" fontId="27" fillId="0" borderId="0" xfId="139" applyFont="1" applyFill="1" applyBorder="1" applyAlignment="1">
      <alignment horizontal="left" wrapText="1"/>
    </xf>
    <xf numFmtId="0" fontId="1" fillId="0" borderId="18" xfId="136" applyFont="1" applyFill="1" applyBorder="1" applyAlignment="1">
      <alignment horizontal="center" vertical="center"/>
    </xf>
    <xf numFmtId="0" fontId="27" fillId="0" borderId="14" xfId="98" applyFont="1" applyFill="1" applyBorder="1" applyAlignment="1">
      <alignment horizontal="center" vertical="center" wrapText="1"/>
    </xf>
    <xf numFmtId="0" fontId="27" fillId="0" borderId="16" xfId="101" applyFont="1" applyFill="1" applyBorder="1" applyAlignment="1">
      <alignment horizontal="center" vertical="center" wrapText="1"/>
    </xf>
    <xf numFmtId="0" fontId="27" fillId="0" borderId="16" xfId="98" applyFont="1" applyFill="1" applyBorder="1" applyAlignment="1">
      <alignment horizontal="center" vertical="center" wrapText="1"/>
    </xf>
    <xf numFmtId="0" fontId="27" fillId="0" borderId="16" xfId="136" applyFont="1" applyFill="1" applyBorder="1" applyAlignment="1">
      <alignment horizontal="center" vertical="center" wrapText="1"/>
    </xf>
    <xf numFmtId="0" fontId="27" fillId="0" borderId="14" xfId="136" applyFont="1" applyFill="1" applyBorder="1" applyAlignment="1">
      <alignment horizontal="center" vertical="center" wrapText="1"/>
    </xf>
    <xf numFmtId="0" fontId="27" fillId="0" borderId="15" xfId="136" applyFont="1" applyFill="1" applyBorder="1" applyAlignment="1">
      <alignment horizontal="center" vertical="center" wrapText="1"/>
    </xf>
    <xf numFmtId="0" fontId="27" fillId="0" borderId="18" xfId="136" applyFont="1" applyFill="1" applyBorder="1" applyAlignment="1">
      <alignment horizontal="center" vertical="center"/>
    </xf>
    <xf numFmtId="0" fontId="27" fillId="0" borderId="131" xfId="136" applyFont="1" applyFill="1" applyBorder="1" applyAlignment="1">
      <alignment horizontal="center" vertical="center"/>
    </xf>
    <xf numFmtId="0" fontId="27" fillId="0" borderId="20" xfId="136" applyFont="1" applyFill="1" applyBorder="1" applyAlignment="1">
      <alignment horizontal="center" vertical="center"/>
    </xf>
    <xf numFmtId="0" fontId="27" fillId="0" borderId="68" xfId="136" applyFont="1" applyFill="1" applyBorder="1" applyAlignment="1">
      <alignment horizontal="center" vertical="center"/>
    </xf>
    <xf numFmtId="0" fontId="27" fillId="0" borderId="14" xfId="102" applyFont="1" applyFill="1" applyBorder="1" applyAlignment="1">
      <alignment horizontal="center" vertical="center" wrapText="1"/>
    </xf>
    <xf numFmtId="0" fontId="27" fillId="0" borderId="16" xfId="102" applyFont="1" applyFill="1" applyBorder="1" applyAlignment="1">
      <alignment horizontal="center" vertical="center" wrapText="1"/>
    </xf>
    <xf numFmtId="0" fontId="1" fillId="0" borderId="131" xfId="136" applyFont="1" applyFill="1" applyBorder="1" applyAlignment="1">
      <alignment horizontal="center" vertical="center"/>
    </xf>
    <xf numFmtId="0" fontId="1" fillId="0" borderId="20" xfId="136" applyFont="1" applyFill="1" applyBorder="1" applyAlignment="1">
      <alignment horizontal="center" vertical="center"/>
    </xf>
    <xf numFmtId="0" fontId="1" fillId="0" borderId="68" xfId="136" applyFont="1" applyFill="1" applyBorder="1" applyAlignment="1">
      <alignment horizontal="center" vertical="center"/>
    </xf>
    <xf numFmtId="0" fontId="27" fillId="0" borderId="16" xfId="139" applyFont="1" applyFill="1" applyBorder="1" applyAlignment="1">
      <alignment horizontal="center" vertical="center" wrapText="1"/>
    </xf>
    <xf numFmtId="0" fontId="27" fillId="0" borderId="14" xfId="139" applyFont="1" applyFill="1" applyBorder="1" applyAlignment="1">
      <alignment horizontal="center" vertical="center" wrapText="1"/>
    </xf>
    <xf numFmtId="0" fontId="27" fillId="0" borderId="14" xfId="99" applyFont="1" applyFill="1" applyBorder="1" applyAlignment="1">
      <alignment horizontal="center" vertical="center" wrapText="1"/>
    </xf>
    <xf numFmtId="0" fontId="70" fillId="0" borderId="16" xfId="139" applyFont="1" applyFill="1" applyBorder="1" applyAlignment="1">
      <alignment horizontal="distributed" vertical="center" wrapText="1"/>
    </xf>
    <xf numFmtId="0" fontId="70" fillId="0" borderId="14" xfId="139" applyFont="1" applyFill="1" applyBorder="1" applyAlignment="1">
      <alignment horizontal="distributed" vertical="center" wrapText="1"/>
    </xf>
    <xf numFmtId="0" fontId="71" fillId="0" borderId="15" xfId="140" applyFont="1" applyFill="1" applyBorder="1" applyAlignment="1">
      <alignment horizontal="distributed" vertical="center" wrapText="1"/>
    </xf>
    <xf numFmtId="0" fontId="27" fillId="0" borderId="131" xfId="153" applyFont="1" applyFill="1" applyBorder="1" applyAlignment="1">
      <alignment horizontal="center" vertical="center" wrapText="1"/>
    </xf>
    <xf numFmtId="0" fontId="27" fillId="0" borderId="20" xfId="153" applyFont="1" applyFill="1" applyBorder="1" applyAlignment="1">
      <alignment horizontal="center" vertical="center" wrapText="1"/>
    </xf>
    <xf numFmtId="0" fontId="27" fillId="0" borderId="68" xfId="153" applyFont="1" applyFill="1" applyBorder="1" applyAlignment="1">
      <alignment horizontal="center" vertical="center" wrapText="1"/>
    </xf>
    <xf numFmtId="0" fontId="27" fillId="0" borderId="131" xfId="99" applyFont="1" applyFill="1" applyBorder="1" applyAlignment="1">
      <alignment horizontal="center" vertical="center" wrapText="1"/>
    </xf>
    <xf numFmtId="0" fontId="5" fillId="0" borderId="20" xfId="0" applyFont="1" applyBorder="1" applyAlignment="1">
      <alignment horizontal="center" vertical="center" wrapText="1"/>
    </xf>
    <xf numFmtId="0" fontId="5" fillId="0" borderId="68" xfId="0" applyFont="1" applyBorder="1" applyAlignment="1">
      <alignment horizontal="center" vertical="center" wrapText="1"/>
    </xf>
    <xf numFmtId="0" fontId="27" fillId="0" borderId="16" xfId="99" applyFont="1" applyFill="1" applyBorder="1" applyAlignment="1">
      <alignment horizontal="center" vertical="center" wrapText="1"/>
    </xf>
    <xf numFmtId="0" fontId="5" fillId="0" borderId="15" xfId="0" applyFont="1" applyBorder="1" applyAlignment="1">
      <alignment horizontal="center" vertical="center" wrapText="1"/>
    </xf>
    <xf numFmtId="0" fontId="27" fillId="0" borderId="15" xfId="139" applyFont="1" applyFill="1" applyBorder="1" applyAlignment="1">
      <alignment horizontal="center" vertical="center" wrapText="1"/>
    </xf>
    <xf numFmtId="0" fontId="71" fillId="0" borderId="0" xfId="140" applyFont="1" applyAlignment="1">
      <alignment horizontal="left" wrapText="1"/>
    </xf>
    <xf numFmtId="0" fontId="70" fillId="0" borderId="0" xfId="139" applyFont="1" applyFill="1" applyBorder="1" applyAlignment="1">
      <alignment horizontal="left" wrapText="1"/>
    </xf>
    <xf numFmtId="182" fontId="70" fillId="0" borderId="208" xfId="153" applyNumberFormat="1" applyFont="1" applyFill="1" applyBorder="1" applyAlignment="1" applyProtection="1">
      <alignment vertical="center"/>
      <protection locked="0"/>
    </xf>
    <xf numFmtId="182" fontId="70" fillId="0" borderId="207" xfId="153" applyNumberFormat="1" applyFont="1" applyFill="1" applyBorder="1" applyAlignment="1" applyProtection="1">
      <alignment vertical="center"/>
      <protection locked="0"/>
    </xf>
    <xf numFmtId="182" fontId="70" fillId="0" borderId="227" xfId="153" applyNumberFormat="1" applyFont="1" applyFill="1" applyBorder="1" applyAlignment="1" applyProtection="1">
      <alignment vertical="center"/>
      <protection locked="0"/>
    </xf>
    <xf numFmtId="182" fontId="70" fillId="0" borderId="228" xfId="153" applyNumberFormat="1" applyFont="1" applyFill="1" applyBorder="1" applyAlignment="1" applyProtection="1">
      <alignment vertical="center"/>
      <protection locked="0"/>
    </xf>
    <xf numFmtId="182" fontId="70" fillId="0" borderId="229" xfId="153" applyNumberFormat="1" applyFont="1" applyFill="1" applyBorder="1" applyAlignment="1" applyProtection="1">
      <alignment vertical="center"/>
      <protection locked="0"/>
    </xf>
    <xf numFmtId="182" fontId="70" fillId="0" borderId="230" xfId="153" applyNumberFormat="1" applyFont="1" applyFill="1" applyBorder="1" applyAlignment="1" applyProtection="1">
      <alignment vertical="center"/>
      <protection locked="0"/>
    </xf>
    <xf numFmtId="182" fontId="70" fillId="0" borderId="231" xfId="153" applyNumberFormat="1" applyFont="1" applyFill="1" applyBorder="1" applyAlignment="1" applyProtection="1">
      <alignment vertical="center"/>
      <protection locked="0"/>
    </xf>
    <xf numFmtId="182" fontId="70" fillId="0" borderId="232" xfId="153" applyNumberFormat="1" applyFont="1" applyFill="1" applyBorder="1" applyAlignment="1" applyProtection="1">
      <alignment vertical="center"/>
      <protection locked="0"/>
    </xf>
    <xf numFmtId="182" fontId="70" fillId="0" borderId="187" xfId="153" applyNumberFormat="1" applyFont="1" applyFill="1" applyBorder="1" applyAlignment="1" applyProtection="1">
      <alignment vertical="center"/>
      <protection locked="0"/>
    </xf>
    <xf numFmtId="0" fontId="70" fillId="0" borderId="131" xfId="136" applyFont="1" applyFill="1" applyBorder="1" applyAlignment="1">
      <alignment horizontal="center" vertical="center"/>
    </xf>
    <xf numFmtId="0" fontId="70" fillId="0" borderId="20" xfId="136" applyFont="1" applyFill="1" applyBorder="1" applyAlignment="1">
      <alignment horizontal="center" vertical="center"/>
    </xf>
    <xf numFmtId="0" fontId="31" fillId="0" borderId="0" xfId="139" applyFont="1" applyFill="1" applyBorder="1" applyAlignment="1">
      <alignment horizontal="left" wrapText="1"/>
    </xf>
    <xf numFmtId="0" fontId="9" fillId="0" borderId="0" xfId="140" applyFont="1" applyAlignment="1">
      <alignment horizontal="left" wrapText="1"/>
    </xf>
    <xf numFmtId="0" fontId="28" fillId="0" borderId="0" xfId="140" applyFont="1" applyAlignment="1">
      <alignment horizontal="left" wrapText="1"/>
    </xf>
    <xf numFmtId="0" fontId="70" fillId="0" borderId="16" xfId="136" applyFont="1" applyFill="1" applyBorder="1" applyAlignment="1" applyProtection="1">
      <alignment horizontal="center" vertical="center" wrapText="1"/>
    </xf>
    <xf numFmtId="0" fontId="70" fillId="0" borderId="14" xfId="136" applyFont="1" applyFill="1" applyBorder="1" applyAlignment="1" applyProtection="1">
      <alignment horizontal="center" vertical="center" wrapText="1"/>
    </xf>
    <xf numFmtId="0" fontId="70" fillId="0" borderId="15" xfId="136" applyFont="1" applyFill="1" applyBorder="1" applyAlignment="1" applyProtection="1">
      <alignment horizontal="center" vertical="center" wrapText="1"/>
    </xf>
    <xf numFmtId="0" fontId="70" fillId="0" borderId="18" xfId="136" applyFont="1" applyFill="1" applyBorder="1" applyAlignment="1">
      <alignment horizontal="center" vertical="center"/>
    </xf>
    <xf numFmtId="0" fontId="27" fillId="0" borderId="18" xfId="99"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0" xfId="140" applyFont="1" applyAlignment="1">
      <alignment horizontal="left" wrapText="1"/>
    </xf>
    <xf numFmtId="0" fontId="33" fillId="0" borderId="0" xfId="139" quotePrefix="1" applyFont="1" applyFill="1" applyBorder="1" applyAlignment="1">
      <alignment horizontal="left" wrapText="1"/>
    </xf>
    <xf numFmtId="0" fontId="63" fillId="0" borderId="0" xfId="139" applyFont="1" applyFill="1" applyBorder="1" applyAlignment="1">
      <alignment horizontal="left" wrapText="1"/>
    </xf>
    <xf numFmtId="0" fontId="27" fillId="0" borderId="16" xfId="136" applyFont="1" applyFill="1" applyBorder="1" applyAlignment="1" applyProtection="1">
      <alignment horizontal="center" vertical="center" wrapText="1"/>
    </xf>
    <xf numFmtId="0" fontId="27" fillId="0" borderId="14" xfId="136" applyFont="1" applyFill="1" applyBorder="1" applyAlignment="1" applyProtection="1">
      <alignment horizontal="center" vertical="center" wrapText="1"/>
    </xf>
    <xf numFmtId="0" fontId="27" fillId="0" borderId="15" xfId="136" applyFont="1" applyFill="1" applyBorder="1" applyAlignment="1" applyProtection="1">
      <alignment horizontal="center" vertical="center" wrapText="1"/>
    </xf>
    <xf numFmtId="0" fontId="5" fillId="0" borderId="68" xfId="140" applyFont="1" applyBorder="1" applyAlignment="1">
      <alignment vertical="center" wrapText="1"/>
    </xf>
    <xf numFmtId="0" fontId="5" fillId="0" borderId="15" xfId="140" applyFont="1" applyBorder="1" applyAlignment="1">
      <alignment vertical="center" wrapText="1"/>
    </xf>
    <xf numFmtId="0" fontId="27" fillId="0" borderId="16" xfId="133" applyFont="1" applyFill="1" applyBorder="1" applyAlignment="1">
      <alignment horizontal="center" vertical="center"/>
    </xf>
    <xf numFmtId="0" fontId="27" fillId="0" borderId="14" xfId="158" applyFont="1" applyFill="1" applyBorder="1" applyAlignment="1">
      <alignment horizontal="center" vertical="center"/>
    </xf>
    <xf numFmtId="0" fontId="27" fillId="0" borderId="15" xfId="158" applyFont="1" applyFill="1" applyBorder="1" applyAlignment="1">
      <alignment horizontal="center" vertical="center"/>
    </xf>
    <xf numFmtId="0" fontId="27" fillId="0" borderId="16" xfId="158" applyFont="1" applyFill="1" applyBorder="1" applyAlignment="1">
      <alignment horizontal="distributed" vertical="center"/>
    </xf>
    <xf numFmtId="0" fontId="28" fillId="0" borderId="14" xfId="158" applyFont="1" applyFill="1" applyBorder="1" applyAlignment="1"/>
    <xf numFmtId="0" fontId="28" fillId="0" borderId="15" xfId="158" applyFont="1" applyFill="1" applyBorder="1" applyAlignment="1"/>
    <xf numFmtId="0" fontId="27" fillId="0" borderId="131" xfId="158" applyFont="1" applyFill="1" applyBorder="1" applyAlignment="1">
      <alignment horizontal="center"/>
    </xf>
    <xf numFmtId="0" fontId="28" fillId="0" borderId="20" xfId="158" applyFont="1" applyFill="1" applyBorder="1" applyAlignment="1">
      <alignment horizontal="center"/>
    </xf>
    <xf numFmtId="0" fontId="28" fillId="0" borderId="68" xfId="158" applyFont="1" applyFill="1" applyBorder="1" applyAlignment="1">
      <alignment horizontal="center"/>
    </xf>
    <xf numFmtId="0" fontId="27" fillId="0" borderId="20" xfId="158" applyFont="1" applyFill="1" applyBorder="1" applyAlignment="1">
      <alignment horizontal="center"/>
    </xf>
    <xf numFmtId="0" fontId="27" fillId="0" borderId="68" xfId="158" applyFont="1" applyFill="1" applyBorder="1" applyAlignment="1">
      <alignment horizontal="center"/>
    </xf>
    <xf numFmtId="0" fontId="32" fillId="0" borderId="18" xfId="136" applyFont="1" applyFill="1" applyBorder="1" applyAlignment="1">
      <alignment horizontal="center" vertical="center" wrapText="1"/>
    </xf>
    <xf numFmtId="0" fontId="27" fillId="0" borderId="131" xfId="155" applyFont="1" applyFill="1" applyBorder="1" applyAlignment="1">
      <alignment horizontal="center" vertical="center"/>
    </xf>
    <xf numFmtId="0" fontId="27" fillId="0" borderId="17" xfId="158" applyFont="1" applyFill="1" applyBorder="1" applyAlignment="1">
      <alignment horizontal="center"/>
    </xf>
    <xf numFmtId="0" fontId="27" fillId="0" borderId="17" xfId="158" applyFont="1" applyFill="1" applyBorder="1" applyAlignment="1">
      <alignment horizontal="center" vertical="center"/>
    </xf>
    <xf numFmtId="0" fontId="27" fillId="0" borderId="1" xfId="158" applyFont="1" applyFill="1" applyBorder="1" applyAlignment="1">
      <alignment horizontal="center" vertical="center"/>
    </xf>
    <xf numFmtId="0" fontId="27" fillId="0" borderId="21" xfId="158" applyFont="1" applyFill="1" applyBorder="1" applyAlignment="1">
      <alignment horizontal="center" vertical="center"/>
    </xf>
    <xf numFmtId="0" fontId="27" fillId="0" borderId="23" xfId="158" applyFont="1" applyFill="1" applyBorder="1" applyAlignment="1">
      <alignment horizontal="center" vertical="center"/>
    </xf>
    <xf numFmtId="0" fontId="27" fillId="0" borderId="19" xfId="158" applyFont="1" applyFill="1" applyBorder="1" applyAlignment="1">
      <alignment horizontal="center" vertical="center"/>
    </xf>
    <xf numFmtId="0" fontId="27" fillId="0" borderId="22" xfId="158" applyFont="1" applyFill="1" applyBorder="1" applyAlignment="1">
      <alignment horizontal="center" vertical="center"/>
    </xf>
    <xf numFmtId="0" fontId="32" fillId="0" borderId="16" xfId="136" applyFont="1" applyFill="1" applyBorder="1" applyAlignment="1">
      <alignment horizontal="center" vertical="center" wrapText="1"/>
    </xf>
    <xf numFmtId="0" fontId="32" fillId="0" borderId="14" xfId="136" applyFont="1" applyFill="1" applyBorder="1" applyAlignment="1">
      <alignment horizontal="center" vertical="center" wrapText="1"/>
    </xf>
    <xf numFmtId="0" fontId="32" fillId="0" borderId="15" xfId="136" applyFont="1" applyFill="1" applyBorder="1" applyAlignment="1">
      <alignment horizontal="center" vertical="center" wrapText="1"/>
    </xf>
    <xf numFmtId="0" fontId="27" fillId="0" borderId="16" xfId="155" applyFont="1" applyFill="1" applyBorder="1" applyAlignment="1">
      <alignment horizontal="center" vertical="center"/>
    </xf>
    <xf numFmtId="0" fontId="27" fillId="0" borderId="14" xfId="155" applyFont="1" applyFill="1" applyBorder="1" applyAlignment="1">
      <alignment horizontal="center" vertical="center"/>
    </xf>
    <xf numFmtId="0" fontId="27" fillId="0" borderId="15" xfId="155" applyFont="1" applyFill="1" applyBorder="1" applyAlignment="1">
      <alignment horizontal="center" vertical="center"/>
    </xf>
    <xf numFmtId="0" fontId="27" fillId="0" borderId="16" xfId="136" applyFont="1" applyFill="1" applyBorder="1" applyAlignment="1">
      <alignment horizontal="center" vertical="center"/>
    </xf>
    <xf numFmtId="0" fontId="27" fillId="0" borderId="14" xfId="136" applyFont="1" applyFill="1" applyBorder="1" applyAlignment="1">
      <alignment horizontal="center" vertical="center"/>
    </xf>
    <xf numFmtId="0" fontId="27" fillId="0" borderId="15" xfId="136" applyFont="1" applyFill="1" applyBorder="1" applyAlignment="1">
      <alignment horizontal="center" vertical="center"/>
    </xf>
    <xf numFmtId="0" fontId="27" fillId="0" borderId="131" xfId="153" applyFont="1" applyFill="1" applyBorder="1" applyAlignment="1">
      <alignment horizontal="center" vertical="center"/>
    </xf>
    <xf numFmtId="0" fontId="27" fillId="0" borderId="20" xfId="153" applyFont="1" applyFill="1" applyBorder="1" applyAlignment="1">
      <alignment horizontal="center" vertical="center"/>
    </xf>
    <xf numFmtId="0" fontId="27" fillId="0" borderId="68" xfId="153" applyFont="1" applyFill="1" applyBorder="1" applyAlignment="1">
      <alignment horizontal="center" vertical="center"/>
    </xf>
    <xf numFmtId="0" fontId="27" fillId="0" borderId="131" xfId="158" applyFont="1" applyFill="1" applyBorder="1" applyAlignment="1">
      <alignment horizontal="center" vertical="center"/>
    </xf>
    <xf numFmtId="0" fontId="27" fillId="0" borderId="20" xfId="158" applyFont="1" applyFill="1" applyBorder="1" applyAlignment="1">
      <alignment horizontal="center" vertical="center"/>
    </xf>
    <xf numFmtId="0" fontId="27" fillId="0" borderId="68" xfId="158" applyFont="1" applyFill="1" applyBorder="1" applyAlignment="1">
      <alignment horizontal="center" vertical="center"/>
    </xf>
    <xf numFmtId="0" fontId="27" fillId="0" borderId="14" xfId="153" applyFont="1" applyFill="1" applyBorder="1" applyAlignment="1">
      <alignment horizontal="center" vertical="center" wrapText="1"/>
    </xf>
    <xf numFmtId="0" fontId="27" fillId="0" borderId="14" xfId="153" applyFont="1" applyFill="1" applyBorder="1" applyAlignment="1">
      <alignment horizontal="center" vertical="center"/>
    </xf>
    <xf numFmtId="0" fontId="27" fillId="0" borderId="16" xfId="153" applyFont="1" applyFill="1" applyBorder="1" applyAlignment="1">
      <alignment horizontal="center" vertical="center"/>
    </xf>
    <xf numFmtId="0" fontId="27" fillId="0" borderId="0" xfId="158" applyFont="1" applyFill="1" applyAlignment="1">
      <alignment vertical="center" wrapText="1"/>
    </xf>
    <xf numFmtId="0" fontId="27" fillId="0" borderId="0" xfId="158" applyFont="1" applyFill="1" applyAlignment="1">
      <alignment horizontal="left" vertical="center" wrapText="1"/>
    </xf>
    <xf numFmtId="0" fontId="27" fillId="0" borderId="17" xfId="153" applyFont="1" applyFill="1" applyBorder="1" applyAlignment="1">
      <alignment horizontal="center" vertical="center"/>
    </xf>
    <xf numFmtId="0" fontId="27" fillId="0" borderId="1" xfId="153" applyFont="1" applyFill="1" applyBorder="1" applyAlignment="1">
      <alignment horizontal="center" vertical="center"/>
    </xf>
    <xf numFmtId="0" fontId="27" fillId="0" borderId="20" xfId="158" applyFont="1" applyFill="1" applyBorder="1" applyAlignment="1">
      <alignment horizontal="center" wrapText="1"/>
    </xf>
    <xf numFmtId="0" fontId="27" fillId="0" borderId="68" xfId="158" applyFont="1" applyFill="1" applyBorder="1" applyAlignment="1">
      <alignment horizontal="center" wrapText="1"/>
    </xf>
    <xf numFmtId="0" fontId="27" fillId="0" borderId="1" xfId="158" applyFont="1" applyFill="1" applyBorder="1" applyAlignment="1">
      <alignment horizontal="center"/>
    </xf>
    <xf numFmtId="0" fontId="27" fillId="0" borderId="21" xfId="158" applyFont="1" applyFill="1" applyBorder="1" applyAlignment="1">
      <alignment horizontal="center"/>
    </xf>
    <xf numFmtId="0" fontId="27" fillId="0" borderId="131" xfId="158" applyFont="1" applyFill="1" applyBorder="1" applyAlignment="1">
      <alignment horizontal="center" wrapText="1"/>
    </xf>
    <xf numFmtId="0" fontId="28" fillId="0" borderId="20" xfId="0" applyFont="1" applyBorder="1"/>
    <xf numFmtId="0" fontId="28" fillId="0" borderId="68" xfId="0" applyFont="1" applyBorder="1"/>
    <xf numFmtId="0" fontId="27" fillId="0" borderId="16" xfId="158" applyFont="1" applyFill="1" applyBorder="1" applyAlignment="1">
      <alignment horizontal="center" vertical="center" wrapText="1"/>
    </xf>
    <xf numFmtId="0" fontId="27" fillId="0" borderId="14" xfId="158" applyFont="1" applyFill="1" applyBorder="1" applyAlignment="1">
      <alignment horizontal="center" vertical="center" wrapText="1"/>
    </xf>
    <xf numFmtId="0" fontId="27" fillId="0" borderId="0" xfId="158" applyFont="1" applyFill="1" applyBorder="1" applyAlignment="1">
      <alignment wrapText="1"/>
    </xf>
    <xf numFmtId="0" fontId="27" fillId="0" borderId="0" xfId="158" applyFont="1" applyFill="1" applyBorder="1" applyAlignment="1"/>
    <xf numFmtId="0" fontId="27" fillId="0" borderId="0" xfId="158" applyFont="1" applyFill="1" applyAlignment="1">
      <alignment horizontal="left"/>
    </xf>
    <xf numFmtId="0" fontId="27" fillId="0" borderId="14" xfId="158" quotePrefix="1" applyFont="1" applyFill="1" applyBorder="1" applyAlignment="1">
      <alignment horizontal="center" vertical="center" wrapText="1"/>
    </xf>
    <xf numFmtId="0" fontId="27" fillId="0" borderId="15" xfId="158" quotePrefix="1" applyFont="1" applyFill="1" applyBorder="1" applyAlignment="1">
      <alignment horizontal="center" vertical="center" wrapText="1"/>
    </xf>
    <xf numFmtId="0" fontId="27" fillId="0" borderId="17" xfId="158" applyFont="1" applyFill="1" applyBorder="1" applyAlignment="1">
      <alignment horizontal="center" vertical="center" wrapText="1"/>
    </xf>
    <xf numFmtId="0" fontId="27" fillId="0" borderId="1" xfId="158" applyFont="1" applyFill="1" applyBorder="1" applyAlignment="1">
      <alignment horizontal="center" vertical="center" wrapText="1"/>
    </xf>
    <xf numFmtId="0" fontId="27" fillId="0" borderId="21" xfId="158" applyFont="1" applyFill="1" applyBorder="1" applyAlignment="1">
      <alignment horizontal="center" vertical="center" wrapText="1"/>
    </xf>
    <xf numFmtId="0" fontId="27" fillId="0" borderId="131" xfId="158" applyFont="1" applyFill="1" applyBorder="1" applyAlignment="1">
      <alignment horizontal="center" vertical="center" wrapText="1"/>
    </xf>
    <xf numFmtId="0" fontId="27" fillId="0" borderId="20" xfId="158" applyFont="1" applyFill="1" applyBorder="1" applyAlignment="1">
      <alignment horizontal="center" vertical="center" wrapText="1"/>
    </xf>
    <xf numFmtId="0" fontId="27" fillId="0" borderId="68" xfId="158" applyFont="1" applyFill="1" applyBorder="1" applyAlignment="1">
      <alignment horizontal="center" vertical="center" wrapText="1"/>
    </xf>
    <xf numFmtId="0" fontId="27" fillId="0" borderId="18" xfId="158" applyFont="1" applyFill="1" applyBorder="1" applyAlignment="1">
      <alignment horizontal="center" wrapText="1"/>
    </xf>
    <xf numFmtId="0" fontId="28" fillId="0" borderId="20" xfId="0" applyFont="1" applyFill="1" applyBorder="1"/>
    <xf numFmtId="0" fontId="28" fillId="0" borderId="68" xfId="0" applyFont="1" applyFill="1" applyBorder="1"/>
    <xf numFmtId="0" fontId="28" fillId="0" borderId="14" xfId="158" applyFont="1" applyFill="1" applyBorder="1" applyAlignment="1">
      <alignment horizontal="center" vertical="center"/>
    </xf>
    <xf numFmtId="0" fontId="28" fillId="0" borderId="15" xfId="158" applyFont="1" applyFill="1" applyBorder="1" applyAlignment="1">
      <alignment horizontal="center" vertical="center"/>
    </xf>
    <xf numFmtId="0" fontId="27" fillId="0" borderId="14" xfId="158" applyFont="1" applyFill="1" applyBorder="1" applyAlignment="1">
      <alignment vertical="center"/>
    </xf>
    <xf numFmtId="0" fontId="27" fillId="0" borderId="15" xfId="158" applyFont="1" applyFill="1" applyBorder="1" applyAlignment="1">
      <alignment vertical="center"/>
    </xf>
    <xf numFmtId="0" fontId="27" fillId="0" borderId="18" xfId="158" applyFont="1" applyFill="1" applyBorder="1" applyAlignment="1">
      <alignment horizontal="center" vertical="center"/>
    </xf>
    <xf numFmtId="0" fontId="70" fillId="0" borderId="131" xfId="141" applyFont="1" applyFill="1" applyBorder="1" applyAlignment="1">
      <alignment horizontal="left" vertical="center"/>
    </xf>
    <xf numFmtId="0" fontId="71" fillId="0" borderId="20" xfId="147" applyFont="1" applyBorder="1" applyAlignment="1">
      <alignment horizontal="left" vertical="center"/>
    </xf>
    <xf numFmtId="0" fontId="71" fillId="0" borderId="68" xfId="147" applyFont="1" applyBorder="1" applyAlignment="1">
      <alignment horizontal="left" vertical="center"/>
    </xf>
    <xf numFmtId="0" fontId="27" fillId="0" borderId="18" xfId="162" applyFont="1" applyFill="1" applyBorder="1" applyAlignment="1">
      <alignment horizontal="center" vertical="center" wrapText="1"/>
    </xf>
    <xf numFmtId="0" fontId="27" fillId="0" borderId="18" xfId="141" applyFont="1" applyFill="1" applyBorder="1" applyAlignment="1">
      <alignment horizontal="center" vertical="center"/>
    </xf>
    <xf numFmtId="0" fontId="27" fillId="0" borderId="131" xfId="141" applyFont="1" applyFill="1" applyBorder="1" applyAlignment="1">
      <alignment horizontal="left" vertical="center"/>
    </xf>
    <xf numFmtId="0" fontId="28" fillId="0" borderId="20" xfId="147" applyFont="1" applyBorder="1" applyAlignment="1">
      <alignment horizontal="left" vertical="center"/>
    </xf>
    <xf numFmtId="0" fontId="28" fillId="0" borderId="68" xfId="147" applyFont="1" applyBorder="1" applyAlignment="1">
      <alignment horizontal="left" vertical="center"/>
    </xf>
    <xf numFmtId="0" fontId="27" fillId="0" borderId="18" xfId="141" applyFont="1" applyFill="1" applyBorder="1" applyAlignment="1">
      <alignment horizontal="center" vertical="distributed" wrapText="1"/>
    </xf>
    <xf numFmtId="49" fontId="40" fillId="0" borderId="18" xfId="124" applyNumberFormat="1" applyFont="1" applyBorder="1" applyAlignment="1">
      <alignment horizontal="center" vertical="center" wrapText="1"/>
    </xf>
    <xf numFmtId="0" fontId="40" fillId="0" borderId="18" xfId="96" applyNumberFormat="1" applyFont="1" applyFill="1" applyBorder="1" applyAlignment="1" applyProtection="1">
      <alignment horizontal="center" vertical="center" wrapText="1"/>
    </xf>
    <xf numFmtId="0" fontId="80" fillId="0" borderId="18" xfId="124" applyFont="1" applyFill="1" applyBorder="1" applyAlignment="1" applyProtection="1">
      <alignment horizontal="center" vertical="center" wrapText="1"/>
    </xf>
    <xf numFmtId="0" fontId="80" fillId="0" borderId="18" xfId="124" applyNumberFormat="1" applyFont="1" applyFill="1" applyBorder="1" applyAlignment="1" applyProtection="1">
      <alignment horizontal="center" vertical="center" wrapText="1"/>
    </xf>
    <xf numFmtId="0" fontId="40" fillId="0" borderId="55" xfId="0" applyFont="1" applyBorder="1" applyAlignment="1">
      <alignment horizontal="center" vertical="center" wrapText="1"/>
    </xf>
    <xf numFmtId="0" fontId="40" fillId="0" borderId="56"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9" fillId="26" borderId="27" xfId="0" applyFont="1" applyFill="1" applyBorder="1" applyAlignment="1">
      <alignment horizontal="left" vertical="center" wrapText="1"/>
    </xf>
    <xf numFmtId="0" fontId="9" fillId="26" borderId="18" xfId="0" applyFont="1" applyFill="1" applyBorder="1" applyAlignment="1">
      <alignment horizontal="left" vertical="center" wrapText="1"/>
    </xf>
    <xf numFmtId="0" fontId="40" fillId="0" borderId="24" xfId="0" applyFont="1" applyBorder="1" applyAlignment="1">
      <alignment horizontal="center" vertical="center" wrapText="1"/>
    </xf>
    <xf numFmtId="0" fontId="40" fillId="0" borderId="18" xfId="0" applyFont="1" applyBorder="1" applyAlignment="1">
      <alignment horizontal="center" vertical="center" wrapText="1"/>
    </xf>
    <xf numFmtId="0" fontId="9" fillId="26" borderId="15" xfId="0" applyFont="1" applyFill="1" applyBorder="1" applyAlignment="1">
      <alignment horizontal="left" vertical="center" wrapText="1"/>
    </xf>
    <xf numFmtId="0" fontId="9" fillId="0" borderId="76"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183" xfId="0" applyFont="1" applyBorder="1" applyAlignment="1">
      <alignment horizontal="center" vertical="center" wrapText="1"/>
    </xf>
    <xf numFmtId="0" fontId="9" fillId="26" borderId="16" xfId="0" applyFont="1" applyFill="1" applyBorder="1" applyAlignment="1">
      <alignment horizontal="left" vertical="center" wrapText="1"/>
    </xf>
    <xf numFmtId="0" fontId="40" fillId="0" borderId="65" xfId="0" applyFont="1" applyBorder="1" applyAlignment="1">
      <alignment horizontal="center" vertical="center" wrapText="1"/>
    </xf>
    <xf numFmtId="0" fontId="40" fillId="0" borderId="57" xfId="0" applyFont="1" applyBorder="1" applyAlignment="1">
      <alignment horizontal="center" vertical="center" wrapText="1"/>
    </xf>
    <xf numFmtId="0" fontId="40" fillId="0" borderId="58" xfId="0" applyFont="1" applyBorder="1" applyAlignment="1">
      <alignment horizontal="center" vertical="center" wrapText="1"/>
    </xf>
    <xf numFmtId="49" fontId="9" fillId="26" borderId="27" xfId="195" applyNumberFormat="1" applyFont="1" applyFill="1" applyBorder="1" applyAlignment="1" applyProtection="1">
      <alignment horizontal="left" vertical="center" wrapText="1"/>
    </xf>
    <xf numFmtId="183" fontId="40" fillId="0" borderId="24" xfId="195" applyNumberFormat="1" applyFont="1" applyFill="1" applyBorder="1" applyAlignment="1" applyProtection="1">
      <alignment horizontal="center" vertical="center" wrapText="1"/>
    </xf>
    <xf numFmtId="49" fontId="9" fillId="0" borderId="76" xfId="181" applyNumberFormat="1" applyFont="1" applyFill="1" applyBorder="1" applyAlignment="1" applyProtection="1">
      <alignment horizontal="center" vertical="center" wrapText="1"/>
    </xf>
    <xf numFmtId="49" fontId="9" fillId="0" borderId="32" xfId="181" applyNumberFormat="1" applyFont="1" applyFill="1" applyBorder="1" applyAlignment="1" applyProtection="1">
      <alignment horizontal="center" vertical="center" wrapText="1"/>
    </xf>
    <xf numFmtId="49" fontId="9" fillId="0" borderId="183" xfId="181" applyNumberFormat="1" applyFont="1" applyFill="1" applyBorder="1" applyAlignment="1" applyProtection="1">
      <alignment horizontal="center" vertical="center" wrapText="1"/>
    </xf>
    <xf numFmtId="49" fontId="9" fillId="26" borderId="18" xfId="181" applyNumberFormat="1" applyFont="1" applyFill="1" applyBorder="1" applyAlignment="1" applyProtection="1">
      <alignment horizontal="left" vertical="center" wrapText="1"/>
    </xf>
    <xf numFmtId="49" fontId="9" fillId="0" borderId="76" xfId="195" applyNumberFormat="1" applyFont="1" applyFill="1" applyBorder="1" applyAlignment="1" applyProtection="1">
      <alignment horizontal="center" vertical="center" wrapText="1"/>
    </xf>
    <xf numFmtId="49" fontId="9" fillId="0" borderId="32" xfId="195" applyNumberFormat="1" applyFont="1" applyFill="1" applyBorder="1" applyAlignment="1" applyProtection="1">
      <alignment horizontal="center" vertical="center" wrapText="1"/>
    </xf>
    <xf numFmtId="49" fontId="9" fillId="0" borderId="183" xfId="195" applyNumberFormat="1" applyFont="1" applyFill="1" applyBorder="1" applyAlignment="1" applyProtection="1">
      <alignment horizontal="center" vertical="center" wrapText="1"/>
    </xf>
    <xf numFmtId="49" fontId="9" fillId="26" borderId="18" xfId="195" applyNumberFormat="1" applyFont="1" applyFill="1" applyBorder="1" applyAlignment="1" applyProtection="1">
      <alignment vertical="center" wrapText="1"/>
    </xf>
    <xf numFmtId="49" fontId="9" fillId="26" borderId="18" xfId="195" applyNumberFormat="1" applyFont="1" applyFill="1" applyBorder="1" applyAlignment="1" applyProtection="1">
      <alignment horizontal="left" vertical="center" wrapText="1"/>
    </xf>
    <xf numFmtId="49" fontId="9" fillId="0" borderId="91" xfId="195" applyNumberFormat="1" applyFont="1" applyFill="1" applyBorder="1" applyAlignment="1" applyProtection="1">
      <alignment horizontal="center" vertical="center" wrapText="1"/>
    </xf>
    <xf numFmtId="0" fontId="40" fillId="27" borderId="24" xfId="124" applyNumberFormat="1" applyFont="1" applyFill="1" applyBorder="1" applyAlignment="1" applyProtection="1">
      <alignment horizontal="center" vertical="center" wrapText="1"/>
    </xf>
    <xf numFmtId="0" fontId="40" fillId="27" borderId="18" xfId="124" applyNumberFormat="1" applyFont="1" applyFill="1" applyBorder="1" applyAlignment="1" applyProtection="1">
      <alignment horizontal="center" vertical="center" wrapText="1"/>
    </xf>
    <xf numFmtId="183" fontId="40" fillId="0" borderId="55" xfId="195" applyNumberFormat="1" applyFont="1" applyFill="1" applyBorder="1" applyAlignment="1" applyProtection="1">
      <alignment horizontal="center" vertical="center" wrapText="1"/>
    </xf>
    <xf numFmtId="0" fontId="40" fillId="0" borderId="133" xfId="124" applyFont="1" applyFill="1" applyBorder="1" applyAlignment="1" applyProtection="1">
      <alignment horizontal="center" vertical="center" wrapText="1"/>
    </xf>
    <xf numFmtId="0" fontId="40" fillId="0" borderId="209" xfId="124" applyFont="1" applyFill="1" applyBorder="1" applyAlignment="1" applyProtection="1">
      <alignment horizontal="center" vertical="center" wrapText="1"/>
    </xf>
    <xf numFmtId="0" fontId="40" fillId="0" borderId="33" xfId="124" applyFont="1" applyFill="1" applyBorder="1" applyAlignment="1" applyProtection="1">
      <alignment horizontal="center" vertical="center" wrapText="1"/>
    </xf>
    <xf numFmtId="0" fontId="40" fillId="0" borderId="24" xfId="124" applyFont="1" applyFill="1" applyBorder="1" applyAlignment="1" applyProtection="1">
      <alignment horizontal="center" vertical="center" wrapText="1"/>
    </xf>
    <xf numFmtId="0" fontId="40" fillId="0" borderId="18" xfId="124" applyFont="1" applyFill="1" applyBorder="1" applyAlignment="1" applyProtection="1">
      <alignment horizontal="center" vertical="center" wrapText="1"/>
    </xf>
    <xf numFmtId="0" fontId="9" fillId="0" borderId="27" xfId="0" applyFont="1" applyBorder="1" applyAlignment="1">
      <alignment horizontal="center" wrapText="1"/>
    </xf>
    <xf numFmtId="49" fontId="40" fillId="0" borderId="24" xfId="195" applyNumberFormat="1" applyFont="1" applyFill="1" applyBorder="1" applyAlignment="1" applyProtection="1">
      <alignment horizontal="center" vertical="center" wrapText="1"/>
    </xf>
    <xf numFmtId="49" fontId="40" fillId="0" borderId="18" xfId="195" applyNumberFormat="1" applyFont="1" applyFill="1" applyBorder="1" applyAlignment="1" applyProtection="1">
      <alignment horizontal="center" vertical="center" wrapText="1"/>
    </xf>
    <xf numFmtId="49" fontId="40" fillId="0" borderId="55" xfId="195" applyNumberFormat="1" applyFont="1" applyFill="1" applyBorder="1" applyAlignment="1" applyProtection="1">
      <alignment horizontal="center" vertical="center" wrapText="1"/>
    </xf>
    <xf numFmtId="183" fontId="27" fillId="0" borderId="65" xfId="195" applyNumberFormat="1" applyFont="1" applyFill="1" applyBorder="1" applyAlignment="1" applyProtection="1">
      <alignment horizontal="center" vertical="center"/>
    </xf>
    <xf numFmtId="183" fontId="27" fillId="0" borderId="57" xfId="195" applyNumberFormat="1" applyFont="1" applyFill="1" applyBorder="1" applyAlignment="1" applyProtection="1">
      <alignment horizontal="center" vertical="center"/>
    </xf>
    <xf numFmtId="183" fontId="27" fillId="0" borderId="58" xfId="195" applyNumberFormat="1" applyFont="1" applyFill="1" applyBorder="1" applyAlignment="1" applyProtection="1">
      <alignment horizontal="center" vertical="center"/>
    </xf>
    <xf numFmtId="183" fontId="27" fillId="0" borderId="30" xfId="195" applyNumberFormat="1" applyFont="1" applyFill="1" applyBorder="1" applyAlignment="1" applyProtection="1">
      <alignment horizontal="center" vertical="center" wrapText="1"/>
    </xf>
    <xf numFmtId="183" fontId="27" fillId="0" borderId="15" xfId="195" applyNumberFormat="1" applyFont="1" applyFill="1" applyBorder="1" applyAlignment="1" applyProtection="1">
      <alignment horizontal="center" vertical="center" wrapText="1"/>
    </xf>
    <xf numFmtId="0" fontId="27" fillId="27" borderId="30" xfId="124" applyNumberFormat="1" applyFont="1" applyFill="1" applyBorder="1" applyAlignment="1" applyProtection="1">
      <alignment horizontal="center" vertical="center"/>
    </xf>
    <xf numFmtId="0" fontId="27" fillId="27" borderId="15" xfId="124" applyNumberFormat="1" applyFont="1" applyFill="1" applyBorder="1" applyAlignment="1" applyProtection="1">
      <alignment horizontal="center" vertical="center"/>
    </xf>
    <xf numFmtId="183" fontId="27" fillId="0" borderId="233" xfId="195" applyNumberFormat="1" applyFont="1" applyFill="1" applyBorder="1" applyAlignment="1" applyProtection="1">
      <alignment horizontal="center" vertical="center" wrapText="1"/>
    </xf>
    <xf numFmtId="183" fontId="27" fillId="0" borderId="74" xfId="195" applyNumberFormat="1" applyFont="1" applyFill="1" applyBorder="1" applyAlignment="1" applyProtection="1">
      <alignment horizontal="center" vertical="center" wrapText="1"/>
    </xf>
    <xf numFmtId="0" fontId="27" fillId="0" borderId="3" xfId="124" applyFont="1" applyFill="1" applyBorder="1" applyAlignment="1" applyProtection="1">
      <alignment horizontal="left" vertical="center" wrapText="1"/>
    </xf>
    <xf numFmtId="0" fontId="27" fillId="0" borderId="166" xfId="93" applyFont="1" applyFill="1" applyBorder="1" applyAlignment="1" applyProtection="1">
      <alignment vertical="center" wrapText="1"/>
    </xf>
    <xf numFmtId="0" fontId="27" fillId="0" borderId="16" xfId="98" applyFont="1" applyFill="1" applyBorder="1" applyAlignment="1">
      <alignment horizontal="center" wrapText="1"/>
    </xf>
    <xf numFmtId="0" fontId="27" fillId="0" borderId="15" xfId="98" applyFont="1" applyFill="1" applyBorder="1" applyAlignment="1">
      <alignment horizontal="center" wrapText="1"/>
    </xf>
    <xf numFmtId="180" fontId="27" fillId="0" borderId="208" xfId="181" applyNumberFormat="1" applyFont="1" applyFill="1" applyBorder="1" applyAlignment="1">
      <alignment horizontal="right" vertical="center"/>
    </xf>
    <xf numFmtId="0" fontId="28" fillId="0" borderId="207" xfId="0" applyFont="1" applyBorder="1" applyAlignment="1">
      <alignment horizontal="right" vertical="center"/>
    </xf>
    <xf numFmtId="0" fontId="28" fillId="0" borderId="227" xfId="0" applyFont="1" applyBorder="1" applyAlignment="1">
      <alignment horizontal="right" vertical="center"/>
    </xf>
    <xf numFmtId="0" fontId="28" fillId="0" borderId="228" xfId="0" applyFont="1" applyBorder="1" applyAlignment="1">
      <alignment horizontal="right" vertical="center"/>
    </xf>
    <xf numFmtId="0" fontId="28" fillId="0" borderId="229" xfId="0" applyFont="1" applyBorder="1" applyAlignment="1">
      <alignment horizontal="right" vertical="center"/>
    </xf>
    <xf numFmtId="0" fontId="28" fillId="0" borderId="230" xfId="0" applyFont="1" applyBorder="1" applyAlignment="1">
      <alignment horizontal="right" vertical="center"/>
    </xf>
    <xf numFmtId="0" fontId="28" fillId="0" borderId="231" xfId="0" applyFont="1" applyBorder="1" applyAlignment="1">
      <alignment horizontal="right" vertical="center"/>
    </xf>
    <xf numFmtId="0" fontId="28" fillId="0" borderId="232" xfId="0" applyFont="1" applyBorder="1" applyAlignment="1">
      <alignment horizontal="right" vertical="center"/>
    </xf>
    <xf numFmtId="0" fontId="28" fillId="0" borderId="187" xfId="0" applyFont="1" applyBorder="1" applyAlignment="1">
      <alignment horizontal="right" vertical="center"/>
    </xf>
    <xf numFmtId="180" fontId="27" fillId="0" borderId="147" xfId="181" applyNumberFormat="1" applyFont="1" applyFill="1" applyBorder="1" applyAlignment="1">
      <alignment horizontal="right" vertical="center"/>
    </xf>
    <xf numFmtId="0" fontId="28" fillId="0" borderId="234" xfId="0" applyFont="1" applyFill="1" applyBorder="1" applyAlignment="1">
      <alignment horizontal="right" vertical="center"/>
    </xf>
    <xf numFmtId="0" fontId="28" fillId="0" borderId="159" xfId="0" applyFont="1" applyFill="1" applyBorder="1" applyAlignment="1">
      <alignment horizontal="right" vertical="center"/>
    </xf>
    <xf numFmtId="0" fontId="71" fillId="0" borderId="32" xfId="0" applyFont="1" applyBorder="1"/>
    <xf numFmtId="0" fontId="71" fillId="0" borderId="183" xfId="0" applyFont="1" applyBorder="1"/>
    <xf numFmtId="0" fontId="70" fillId="0" borderId="131" xfId="0" applyFont="1" applyBorder="1" applyAlignment="1">
      <alignment horizontal="center"/>
    </xf>
    <xf numFmtId="0" fontId="70" fillId="0" borderId="20" xfId="0" applyFont="1" applyBorder="1" applyAlignment="1">
      <alignment horizontal="center"/>
    </xf>
    <xf numFmtId="0" fontId="70" fillId="0" borderId="68" xfId="0" applyFont="1" applyBorder="1" applyAlignment="1">
      <alignment horizontal="center"/>
    </xf>
    <xf numFmtId="0" fontId="70" fillId="0" borderId="18" xfId="0" applyFont="1" applyBorder="1"/>
    <xf numFmtId="0" fontId="70" fillId="0" borderId="0" xfId="0" applyFont="1"/>
    <xf numFmtId="0" fontId="70" fillId="0" borderId="18" xfId="0" applyFont="1" applyBorder="1" applyAlignment="1">
      <alignment horizontal="center"/>
    </xf>
    <xf numFmtId="0" fontId="70" fillId="0" borderId="16" xfId="0" applyFont="1" applyBorder="1" applyAlignment="1">
      <alignment horizontal="center"/>
    </xf>
    <xf numFmtId="0" fontId="31" fillId="0" borderId="133" xfId="52" applyFont="1" applyBorder="1" applyAlignment="1">
      <alignment horizontal="center" vertical="center" wrapText="1"/>
    </xf>
    <xf numFmtId="0" fontId="31" fillId="0" borderId="209" xfId="52" applyFont="1" applyBorder="1" applyAlignment="1">
      <alignment horizontal="center" vertical="center" wrapText="1"/>
    </xf>
    <xf numFmtId="0" fontId="31" fillId="0" borderId="66" xfId="52" applyFont="1" applyBorder="1" applyAlignment="1">
      <alignment horizontal="center" vertical="center" wrapText="1"/>
    </xf>
    <xf numFmtId="0" fontId="31" fillId="0" borderId="30" xfId="52" applyFont="1" applyBorder="1" applyAlignment="1">
      <alignment horizontal="center" vertical="center" wrapText="1"/>
    </xf>
    <xf numFmtId="0" fontId="31" fillId="0" borderId="14" xfId="52" applyFont="1" applyBorder="1" applyAlignment="1">
      <alignment horizontal="center" vertical="center" wrapText="1"/>
    </xf>
    <xf numFmtId="0" fontId="31" fillId="0" borderId="15" xfId="52" applyFont="1" applyBorder="1" applyAlignment="1">
      <alignment horizontal="center" vertical="center" wrapText="1"/>
    </xf>
    <xf numFmtId="0" fontId="31" fillId="0" borderId="24" xfId="52" applyFont="1" applyBorder="1" applyAlignment="1">
      <alignment horizontal="center" vertical="center" wrapText="1"/>
    </xf>
    <xf numFmtId="0" fontId="31" fillId="0" borderId="55" xfId="52" applyFont="1" applyBorder="1" applyAlignment="1">
      <alignment horizontal="center" vertical="center" wrapText="1"/>
    </xf>
    <xf numFmtId="0" fontId="40" fillId="0" borderId="18" xfId="166" applyFont="1" applyBorder="1" applyAlignment="1">
      <alignment horizontal="center" vertical="center"/>
    </xf>
    <xf numFmtId="0" fontId="40" fillId="0" borderId="16" xfId="166" applyFont="1" applyBorder="1" applyAlignment="1">
      <alignment horizontal="center" vertical="center"/>
    </xf>
    <xf numFmtId="0" fontId="40" fillId="0" borderId="15" xfId="166" applyFont="1" applyBorder="1" applyAlignment="1">
      <alignment horizontal="center" vertical="center"/>
    </xf>
    <xf numFmtId="0" fontId="70" fillId="0" borderId="131" xfId="124" applyFont="1" applyBorder="1" applyAlignment="1">
      <alignment horizontal="left" vertical="center"/>
    </xf>
    <xf numFmtId="0" fontId="70" fillId="0" borderId="68" xfId="124" applyFont="1" applyBorder="1" applyAlignment="1">
      <alignment horizontal="left" vertical="center"/>
    </xf>
    <xf numFmtId="0" fontId="70" fillId="0" borderId="17" xfId="0" applyFont="1" applyBorder="1" applyAlignment="1">
      <alignment horizontal="center" vertical="center"/>
    </xf>
    <xf numFmtId="0" fontId="70" fillId="0" borderId="21" xfId="0" applyFont="1" applyBorder="1" applyAlignment="1">
      <alignment horizontal="center" vertical="center"/>
    </xf>
    <xf numFmtId="0" fontId="70" fillId="0" borderId="23" xfId="0" applyFont="1" applyBorder="1" applyAlignment="1">
      <alignment horizontal="center" vertical="center"/>
    </xf>
    <xf numFmtId="0" fontId="70" fillId="0" borderId="22" xfId="0" applyFont="1" applyBorder="1" applyAlignment="1">
      <alignment horizontal="center" vertical="center"/>
    </xf>
    <xf numFmtId="0" fontId="70" fillId="0" borderId="16" xfId="0" applyFont="1" applyBorder="1" applyAlignment="1">
      <alignment vertical="center"/>
    </xf>
    <xf numFmtId="0" fontId="70" fillId="0" borderId="14" xfId="0" applyFont="1" applyBorder="1" applyAlignment="1">
      <alignment vertical="center"/>
    </xf>
    <xf numFmtId="0" fontId="70" fillId="0" borderId="15" xfId="0" applyFont="1" applyBorder="1" applyAlignment="1">
      <alignment vertical="center"/>
    </xf>
    <xf numFmtId="0" fontId="70" fillId="0" borderId="18" xfId="0" applyFont="1" applyBorder="1" applyAlignment="1">
      <alignment horizontal="center" vertical="center"/>
    </xf>
    <xf numFmtId="0" fontId="70" fillId="0" borderId="16" xfId="0" applyFont="1" applyBorder="1" applyAlignment="1">
      <alignment vertical="center" wrapText="1"/>
    </xf>
    <xf numFmtId="0" fontId="70" fillId="0" borderId="14" xfId="0" applyFont="1" applyBorder="1" applyAlignment="1">
      <alignment vertical="center" wrapText="1"/>
    </xf>
    <xf numFmtId="0" fontId="70" fillId="0" borderId="15" xfId="0" applyFont="1" applyBorder="1" applyAlignment="1">
      <alignment vertical="center" wrapText="1"/>
    </xf>
    <xf numFmtId="0" fontId="70" fillId="0" borderId="131" xfId="124" applyFont="1" applyBorder="1" applyAlignment="1">
      <alignment horizontal="center" vertical="center"/>
    </xf>
    <xf numFmtId="0" fontId="70" fillId="0" borderId="68" xfId="124" applyFont="1" applyBorder="1" applyAlignment="1">
      <alignment horizontal="center" vertical="center"/>
    </xf>
    <xf numFmtId="0" fontId="30" fillId="0" borderId="0" xfId="0" applyFont="1" applyAlignment="1">
      <alignment wrapText="1"/>
    </xf>
    <xf numFmtId="0" fontId="5" fillId="0" borderId="0" xfId="0" applyFont="1" applyAlignment="1">
      <alignment wrapText="1"/>
    </xf>
    <xf numFmtId="0" fontId="27" fillId="0" borderId="131" xfId="111" applyFont="1" applyBorder="1" applyAlignment="1">
      <alignment horizontal="left" vertical="center" wrapText="1"/>
    </xf>
    <xf numFmtId="0" fontId="27" fillId="0" borderId="20" xfId="111" applyFont="1" applyBorder="1" applyAlignment="1">
      <alignment horizontal="left" vertical="center" wrapText="1"/>
    </xf>
    <xf numFmtId="0" fontId="27" fillId="0" borderId="18" xfId="149" applyFont="1" applyBorder="1" applyAlignment="1">
      <alignment horizontal="center" vertical="center" wrapText="1"/>
    </xf>
    <xf numFmtId="0" fontId="27" fillId="0" borderId="16" xfId="149" applyFont="1" applyBorder="1" applyAlignment="1">
      <alignment horizontal="center" vertical="center" wrapText="1"/>
    </xf>
    <xf numFmtId="0" fontId="27" fillId="0" borderId="15" xfId="149" applyFont="1" applyBorder="1" applyAlignment="1">
      <alignment horizontal="center" vertical="center" wrapText="1"/>
    </xf>
    <xf numFmtId="0" fontId="27" fillId="0" borderId="17" xfId="111" applyFont="1" applyBorder="1" applyAlignment="1">
      <alignment horizontal="center" vertical="center" wrapText="1"/>
    </xf>
    <xf numFmtId="0" fontId="27" fillId="0" borderId="1" xfId="111" applyFont="1" applyBorder="1" applyAlignment="1">
      <alignment horizontal="center" vertical="center" wrapText="1"/>
    </xf>
    <xf numFmtId="49" fontId="27" fillId="0" borderId="23" xfId="111" applyNumberFormat="1" applyFont="1" applyBorder="1" applyAlignment="1">
      <alignment horizontal="center" vertical="center" wrapText="1"/>
    </xf>
    <xf numFmtId="49" fontId="27" fillId="0" borderId="19" xfId="111" applyNumberFormat="1" applyFont="1" applyBorder="1" applyAlignment="1">
      <alignment horizontal="center" vertical="center" wrapText="1"/>
    </xf>
    <xf numFmtId="0" fontId="27" fillId="0" borderId="16" xfId="111" applyFont="1" applyBorder="1" applyAlignment="1">
      <alignment horizontal="left" vertical="center" wrapText="1"/>
    </xf>
    <xf numFmtId="0" fontId="27" fillId="0" borderId="14" xfId="111" applyFont="1" applyBorder="1" applyAlignment="1">
      <alignment horizontal="left" vertical="center" wrapText="1"/>
    </xf>
    <xf numFmtId="0" fontId="27" fillId="0" borderId="15" xfId="111" applyFont="1" applyBorder="1" applyAlignment="1">
      <alignment horizontal="left" vertical="center" wrapText="1"/>
    </xf>
    <xf numFmtId="0" fontId="27" fillId="0" borderId="16" xfId="149" applyFont="1" applyBorder="1" applyAlignment="1">
      <alignment horizontal="left" vertical="center" wrapText="1"/>
    </xf>
    <xf numFmtId="0" fontId="27" fillId="0" borderId="14" xfId="149" applyFont="1" applyBorder="1" applyAlignment="1">
      <alignment horizontal="left" vertical="center" wrapText="1"/>
    </xf>
    <xf numFmtId="0" fontId="27" fillId="0" borderId="15" xfId="149" applyFont="1" applyBorder="1" applyAlignment="1">
      <alignment horizontal="left" vertical="center" wrapText="1"/>
    </xf>
    <xf numFmtId="0" fontId="70" fillId="26" borderId="20" xfId="107" applyFont="1" applyFill="1" applyBorder="1" applyAlignment="1">
      <alignment horizontal="center" vertical="center" wrapText="1"/>
    </xf>
    <xf numFmtId="0" fontId="27" fillId="0" borderId="131" xfId="107" applyNumberFormat="1" applyFont="1" applyFill="1" applyBorder="1" applyAlignment="1" applyProtection="1">
      <alignment horizontal="center" vertical="center" wrapText="1"/>
    </xf>
    <xf numFmtId="0" fontId="70" fillId="0" borderId="20" xfId="107" applyNumberFormat="1" applyFont="1" applyFill="1" applyBorder="1" applyAlignment="1" applyProtection="1">
      <alignment horizontal="center" vertical="center" wrapText="1"/>
    </xf>
    <xf numFmtId="0" fontId="70" fillId="0" borderId="68" xfId="107" applyNumberFormat="1" applyFont="1" applyFill="1" applyBorder="1" applyAlignment="1" applyProtection="1">
      <alignment horizontal="center" vertical="center" wrapText="1"/>
    </xf>
    <xf numFmtId="0" fontId="27" fillId="0" borderId="16" xfId="148" applyFont="1" applyFill="1" applyBorder="1" applyAlignment="1">
      <alignment horizontal="center" vertical="center" wrapText="1"/>
    </xf>
    <xf numFmtId="0" fontId="27" fillId="0" borderId="15" xfId="148" applyFont="1" applyFill="1" applyBorder="1" applyAlignment="1">
      <alignment horizontal="center" vertical="center" wrapText="1"/>
    </xf>
    <xf numFmtId="0" fontId="27" fillId="0" borderId="17" xfId="107" applyFont="1" applyFill="1" applyBorder="1" applyAlignment="1">
      <alignment horizontal="center" vertical="center" wrapText="1"/>
    </xf>
    <xf numFmtId="0" fontId="27" fillId="0" borderId="1" xfId="107" applyFont="1" applyFill="1" applyBorder="1" applyAlignment="1">
      <alignment horizontal="center" vertical="center" wrapText="1"/>
    </xf>
    <xf numFmtId="0" fontId="27" fillId="0" borderId="21" xfId="107" applyFont="1" applyFill="1" applyBorder="1" applyAlignment="1">
      <alignment horizontal="center" vertical="center" wrapText="1"/>
    </xf>
    <xf numFmtId="0" fontId="27" fillId="0" borderId="23" xfId="107" applyFont="1" applyFill="1" applyBorder="1" applyAlignment="1">
      <alignment horizontal="center" vertical="center" wrapText="1"/>
    </xf>
    <xf numFmtId="0" fontId="27" fillId="0" borderId="19" xfId="107" applyFont="1" applyFill="1" applyBorder="1" applyAlignment="1">
      <alignment horizontal="center" vertical="center" wrapText="1"/>
    </xf>
    <xf numFmtId="0" fontId="27" fillId="0" borderId="22" xfId="107" applyFont="1" applyFill="1" applyBorder="1" applyAlignment="1">
      <alignment horizontal="center" vertical="center" wrapText="1"/>
    </xf>
    <xf numFmtId="0" fontId="70" fillId="0" borderId="18" xfId="107" applyFont="1" applyFill="1" applyBorder="1" applyAlignment="1">
      <alignment horizontal="center" vertical="center" wrapText="1"/>
    </xf>
    <xf numFmtId="0" fontId="27" fillId="0" borderId="16" xfId="107" applyFont="1" applyFill="1" applyBorder="1" applyAlignment="1">
      <alignment horizontal="center" vertical="center" wrapText="1"/>
    </xf>
    <xf numFmtId="0" fontId="27" fillId="0" borderId="15" xfId="107" applyFont="1" applyFill="1" applyBorder="1" applyAlignment="1">
      <alignment horizontal="center" vertical="center" wrapText="1"/>
    </xf>
    <xf numFmtId="0" fontId="27" fillId="0" borderId="131" xfId="107" applyFont="1" applyFill="1" applyBorder="1" applyAlignment="1">
      <alignment horizontal="center" vertical="center" wrapText="1"/>
    </xf>
    <xf numFmtId="0" fontId="27" fillId="0" borderId="68" xfId="107" applyFont="1" applyFill="1" applyBorder="1" applyAlignment="1">
      <alignment horizontal="center" vertical="center" wrapText="1"/>
    </xf>
    <xf numFmtId="0" fontId="102" fillId="37" borderId="131" xfId="107" applyFont="1" applyFill="1" applyBorder="1" applyAlignment="1">
      <alignment horizontal="center" vertical="center" wrapText="1"/>
    </xf>
    <xf numFmtId="0" fontId="102" fillId="26" borderId="20" xfId="107" applyFont="1" applyFill="1" applyBorder="1" applyAlignment="1">
      <alignment horizontal="center" vertical="center" wrapText="1"/>
    </xf>
    <xf numFmtId="0" fontId="102" fillId="37" borderId="68" xfId="107" applyFont="1" applyFill="1" applyBorder="1" applyAlignment="1">
      <alignment horizontal="center" vertical="center" wrapText="1"/>
    </xf>
    <xf numFmtId="0" fontId="70" fillId="0" borderId="16" xfId="107" applyFont="1" applyFill="1" applyBorder="1" applyAlignment="1">
      <alignment horizontal="center" vertical="center" wrapText="1"/>
    </xf>
    <xf numFmtId="0" fontId="70" fillId="0" borderId="14" xfId="107" applyFont="1" applyFill="1" applyBorder="1" applyAlignment="1">
      <alignment horizontal="center" vertical="center" wrapText="1"/>
    </xf>
    <xf numFmtId="0" fontId="70" fillId="0" borderId="15" xfId="107" applyFont="1" applyFill="1" applyBorder="1" applyAlignment="1">
      <alignment horizontal="center" vertical="center" wrapText="1"/>
    </xf>
    <xf numFmtId="0" fontId="71" fillId="0" borderId="131" xfId="0" quotePrefix="1" applyFont="1" applyBorder="1" applyAlignment="1">
      <alignment horizontal="center"/>
    </xf>
    <xf numFmtId="0" fontId="71" fillId="0" borderId="20" xfId="0" quotePrefix="1" applyFont="1" applyBorder="1" applyAlignment="1">
      <alignment horizontal="center"/>
    </xf>
    <xf numFmtId="0" fontId="71" fillId="0" borderId="68" xfId="0" quotePrefix="1" applyFont="1" applyBorder="1" applyAlignment="1">
      <alignment horizontal="center"/>
    </xf>
    <xf numFmtId="0" fontId="70" fillId="0" borderId="18" xfId="148" applyFont="1" applyFill="1" applyBorder="1" applyAlignment="1" applyProtection="1">
      <alignment horizontal="center" vertical="center" wrapText="1"/>
    </xf>
    <xf numFmtId="0" fontId="70" fillId="0" borderId="131" xfId="61" applyFont="1" applyFill="1" applyBorder="1" applyAlignment="1">
      <alignment horizontal="center" vertical="center" wrapText="1"/>
    </xf>
    <xf numFmtId="0" fontId="70" fillId="0" borderId="20" xfId="61" applyFont="1" applyFill="1" applyBorder="1" applyAlignment="1">
      <alignment horizontal="center" vertical="center" wrapText="1"/>
    </xf>
    <xf numFmtId="182" fontId="70" fillId="0" borderId="18" xfId="107" applyNumberFormat="1" applyFont="1" applyFill="1" applyBorder="1" applyAlignment="1" applyProtection="1">
      <alignment horizontal="center" vertical="center" wrapText="1"/>
      <protection locked="0"/>
    </xf>
    <xf numFmtId="182" fontId="70" fillId="0" borderId="16" xfId="107" applyNumberFormat="1" applyFont="1" applyFill="1" applyBorder="1" applyAlignment="1" applyProtection="1">
      <alignment horizontal="center" vertical="center" wrapText="1"/>
      <protection locked="0"/>
    </xf>
    <xf numFmtId="0" fontId="70" fillId="0" borderId="16" xfId="148" applyFont="1" applyFill="1" applyBorder="1" applyAlignment="1" applyProtection="1">
      <alignment horizontal="center" vertical="center" wrapText="1"/>
    </xf>
    <xf numFmtId="0" fontId="70" fillId="0" borderId="14" xfId="148" applyFont="1" applyFill="1" applyBorder="1" applyAlignment="1" applyProtection="1">
      <alignment horizontal="center" vertical="center" wrapText="1"/>
    </xf>
    <xf numFmtId="197" fontId="9" fillId="0" borderId="16" xfId="107" applyNumberFormat="1" applyFont="1" applyFill="1" applyBorder="1" applyAlignment="1" applyProtection="1">
      <alignment horizontal="left" vertical="center" wrapText="1"/>
    </xf>
    <xf numFmtId="197" fontId="9" fillId="0" borderId="14" xfId="107" applyNumberFormat="1" applyFont="1" applyFill="1" applyBorder="1" applyAlignment="1" applyProtection="1">
      <alignment horizontal="left" vertical="center" wrapText="1"/>
    </xf>
    <xf numFmtId="197" fontId="9" fillId="0" borderId="15" xfId="107" applyNumberFormat="1" applyFont="1" applyFill="1" applyBorder="1" applyAlignment="1" applyProtection="1">
      <alignment horizontal="left" vertical="center" wrapText="1"/>
    </xf>
    <xf numFmtId="197" fontId="9" fillId="0" borderId="131" xfId="107" applyNumberFormat="1" applyFont="1" applyFill="1" applyBorder="1" applyAlignment="1" applyProtection="1">
      <alignment horizontal="left" vertical="center" wrapText="1"/>
    </xf>
    <xf numFmtId="197" fontId="9" fillId="0" borderId="68" xfId="107" applyNumberFormat="1" applyFont="1" applyFill="1" applyBorder="1" applyAlignment="1" applyProtection="1">
      <alignment horizontal="left" vertical="center" wrapText="1"/>
    </xf>
    <xf numFmtId="197" fontId="40" fillId="0" borderId="16" xfId="107" applyNumberFormat="1" applyFont="1" applyFill="1" applyBorder="1" applyAlignment="1" applyProtection="1">
      <alignment horizontal="center" vertical="center" wrapText="1"/>
    </xf>
    <xf numFmtId="197" fontId="40" fillId="0" borderId="15" xfId="107" applyNumberFormat="1" applyFont="1" applyFill="1" applyBorder="1" applyAlignment="1" applyProtection="1">
      <alignment horizontal="center" vertical="center" wrapText="1"/>
    </xf>
    <xf numFmtId="197" fontId="40" fillId="0" borderId="131" xfId="107" applyNumberFormat="1" applyFont="1" applyFill="1" applyBorder="1" applyAlignment="1" applyProtection="1">
      <alignment horizontal="center" vertical="center" wrapText="1"/>
    </xf>
    <xf numFmtId="197" fontId="40" fillId="0" borderId="20" xfId="107" applyNumberFormat="1" applyFont="1" applyFill="1" applyBorder="1" applyAlignment="1" applyProtection="1">
      <alignment horizontal="center" vertical="center" wrapText="1"/>
    </xf>
    <xf numFmtId="197" fontId="40" fillId="0" borderId="68" xfId="107" applyNumberFormat="1" applyFont="1" applyFill="1" applyBorder="1" applyAlignment="1" applyProtection="1">
      <alignment horizontal="center" vertical="center" wrapText="1"/>
    </xf>
    <xf numFmtId="197" fontId="80" fillId="0" borderId="131" xfId="107" applyNumberFormat="1" applyFont="1" applyFill="1" applyBorder="1" applyAlignment="1" applyProtection="1">
      <alignment horizontal="center" vertical="center" wrapText="1"/>
    </xf>
    <xf numFmtId="197" fontId="80" fillId="0" borderId="20" xfId="107" applyNumberFormat="1" applyFont="1" applyFill="1" applyBorder="1" applyAlignment="1" applyProtection="1">
      <alignment horizontal="center" vertical="center" wrapText="1"/>
    </xf>
    <xf numFmtId="197" fontId="80" fillId="0" borderId="68" xfId="107" applyNumberFormat="1" applyFont="1" applyFill="1" applyBorder="1" applyAlignment="1" applyProtection="1">
      <alignment horizontal="center" vertical="center" wrapText="1"/>
    </xf>
    <xf numFmtId="197" fontId="40" fillId="0" borderId="17" xfId="107" applyNumberFormat="1" applyFont="1" applyFill="1" applyBorder="1" applyAlignment="1" applyProtection="1">
      <alignment horizontal="center" vertical="center" wrapText="1"/>
    </xf>
    <xf numFmtId="197" fontId="40" fillId="0" borderId="21" xfId="107" applyNumberFormat="1" applyFont="1" applyFill="1" applyBorder="1" applyAlignment="1" applyProtection="1">
      <alignment horizontal="center" vertical="center" wrapText="1"/>
    </xf>
    <xf numFmtId="197" fontId="40" fillId="0" borderId="23" xfId="107" applyNumberFormat="1" applyFont="1" applyFill="1" applyBorder="1" applyAlignment="1" applyProtection="1">
      <alignment horizontal="center" vertical="center" wrapText="1"/>
    </xf>
    <xf numFmtId="197" fontId="40" fillId="0" borderId="22" xfId="107" applyNumberFormat="1" applyFont="1" applyFill="1" applyBorder="1" applyAlignment="1" applyProtection="1">
      <alignment horizontal="center" vertical="center" wrapText="1"/>
    </xf>
    <xf numFmtId="49" fontId="40" fillId="0" borderId="131" xfId="107" applyNumberFormat="1" applyFont="1" applyFill="1" applyBorder="1" applyAlignment="1" applyProtection="1">
      <alignment horizontal="center" vertical="center" wrapText="1"/>
    </xf>
    <xf numFmtId="49" fontId="40" fillId="0" borderId="68" xfId="107" applyNumberFormat="1" applyFont="1" applyFill="1" applyBorder="1" applyAlignment="1" applyProtection="1">
      <alignment horizontal="center" vertical="center" wrapText="1"/>
    </xf>
    <xf numFmtId="0" fontId="27" fillId="0" borderId="146" xfId="93" applyFont="1" applyFill="1" applyBorder="1" applyAlignment="1">
      <alignment horizontal="left" vertical="center" wrapText="1"/>
    </xf>
    <xf numFmtId="0" fontId="27" fillId="0" borderId="209" xfId="93" applyFont="1" applyFill="1" applyBorder="1" applyAlignment="1">
      <alignment horizontal="left" vertical="center" wrapText="1"/>
    </xf>
    <xf numFmtId="0" fontId="27" fillId="0" borderId="66" xfId="93" applyFont="1" applyFill="1" applyBorder="1" applyAlignment="1">
      <alignment horizontal="left" vertical="center" wrapText="1"/>
    </xf>
    <xf numFmtId="0" fontId="27" fillId="0" borderId="146" xfId="93" applyFont="1" applyFill="1" applyBorder="1" applyAlignment="1">
      <alignment horizontal="left" vertical="center"/>
    </xf>
    <xf numFmtId="0" fontId="27" fillId="0" borderId="209" xfId="93" applyFont="1" applyFill="1" applyBorder="1" applyAlignment="1">
      <alignment horizontal="left" vertical="center"/>
    </xf>
    <xf numFmtId="0" fontId="27" fillId="0" borderId="66" xfId="93" applyFont="1" applyFill="1" applyBorder="1" applyAlignment="1">
      <alignment horizontal="left" vertical="center"/>
    </xf>
    <xf numFmtId="0" fontId="40" fillId="0" borderId="19" xfId="93" applyFont="1" applyFill="1" applyBorder="1" applyAlignment="1" applyProtection="1">
      <alignment horizontal="center" vertical="center" wrapText="1"/>
    </xf>
    <xf numFmtId="0" fontId="39" fillId="0" borderId="19" xfId="106" applyFont="1" applyFill="1" applyBorder="1" applyAlignment="1" applyProtection="1">
      <alignment horizontal="center" vertical="center"/>
    </xf>
    <xf numFmtId="0" fontId="27" fillId="0" borderId="0" xfId="98" applyFont="1" applyBorder="1" applyAlignment="1" applyProtection="1">
      <alignment horizontal="left" vertical="center" wrapText="1"/>
    </xf>
    <xf numFmtId="0" fontId="27" fillId="0" borderId="16" xfId="98" applyFont="1" applyFill="1" applyBorder="1" applyAlignment="1" applyProtection="1">
      <alignment horizontal="left" vertical="center" wrapText="1"/>
    </xf>
    <xf numFmtId="0" fontId="27" fillId="0" borderId="14" xfId="98" applyFont="1" applyFill="1" applyBorder="1" applyAlignment="1" applyProtection="1">
      <alignment horizontal="left" vertical="center" wrapText="1"/>
    </xf>
    <xf numFmtId="0" fontId="27" fillId="0" borderId="15" xfId="98" applyFont="1" applyFill="1" applyBorder="1" applyAlignment="1" applyProtection="1">
      <alignment horizontal="left" vertical="center" wrapText="1"/>
    </xf>
    <xf numFmtId="0" fontId="27" fillId="0" borderId="16" xfId="98" applyFont="1" applyFill="1" applyBorder="1" applyAlignment="1" applyProtection="1">
      <alignment horizontal="left" vertical="center"/>
    </xf>
    <xf numFmtId="0" fontId="27" fillId="0" borderId="14" xfId="98" applyFont="1" applyFill="1" applyBorder="1" applyAlignment="1" applyProtection="1">
      <alignment horizontal="left" vertical="center"/>
    </xf>
    <xf numFmtId="0" fontId="27" fillId="0" borderId="15" xfId="98" applyFont="1" applyFill="1" applyBorder="1" applyAlignment="1" applyProtection="1">
      <alignment horizontal="left" vertical="center"/>
    </xf>
    <xf numFmtId="0" fontId="27" fillId="0" borderId="0" xfId="98" applyFont="1" applyFill="1" applyBorder="1" applyAlignment="1" applyProtection="1">
      <alignment horizontal="left" vertical="center" wrapText="1"/>
    </xf>
    <xf numFmtId="0" fontId="27" fillId="0" borderId="133" xfId="98" applyFont="1" applyBorder="1" applyAlignment="1" applyProtection="1">
      <alignment horizontal="center" vertical="center"/>
    </xf>
    <xf numFmtId="0" fontId="27" fillId="0" borderId="66" xfId="98" applyFont="1" applyBorder="1" applyAlignment="1" applyProtection="1">
      <alignment horizontal="center" vertical="center"/>
    </xf>
    <xf numFmtId="0" fontId="40" fillId="0" borderId="22" xfId="124" applyFont="1" applyFill="1" applyBorder="1" applyAlignment="1">
      <alignment horizontal="center" vertical="center" wrapText="1"/>
    </xf>
    <xf numFmtId="0" fontId="40" fillId="0" borderId="68" xfId="124" applyFont="1" applyFill="1" applyBorder="1" applyAlignment="1">
      <alignment horizontal="center" vertical="center" wrapText="1"/>
    </xf>
    <xf numFmtId="0" fontId="27" fillId="0" borderId="65" xfId="107" applyFont="1" applyFill="1" applyBorder="1" applyAlignment="1" applyProtection="1">
      <alignment horizontal="center" vertical="center" wrapText="1"/>
    </xf>
    <xf numFmtId="0" fontId="27" fillId="0" borderId="57" xfId="107" applyFont="1" applyFill="1" applyBorder="1" applyAlignment="1" applyProtection="1">
      <alignment horizontal="center" vertical="center" wrapText="1"/>
    </xf>
    <xf numFmtId="0" fontId="27" fillId="0" borderId="59" xfId="107" applyFont="1" applyFill="1" applyBorder="1" applyAlignment="1" applyProtection="1">
      <alignment horizontal="center" vertical="center" wrapText="1"/>
    </xf>
    <xf numFmtId="0" fontId="27" fillId="0" borderId="235" xfId="107" applyFont="1" applyFill="1" applyBorder="1" applyAlignment="1" applyProtection="1">
      <alignment horizontal="center" vertical="center" wrapText="1"/>
    </xf>
    <xf numFmtId="0" fontId="27" fillId="0" borderId="55" xfId="92" applyFont="1" applyFill="1" applyBorder="1" applyAlignment="1">
      <alignment horizontal="center" vertical="center"/>
    </xf>
    <xf numFmtId="0" fontId="27" fillId="0" borderId="56" xfId="92" applyFont="1" applyFill="1" applyBorder="1" applyAlignment="1">
      <alignment horizontal="center" vertical="center"/>
    </xf>
    <xf numFmtId="0" fontId="27" fillId="0" borderId="24" xfId="107" applyFont="1" applyFill="1" applyBorder="1" applyAlignment="1">
      <alignment horizontal="center" vertical="center" wrapText="1"/>
    </xf>
    <xf numFmtId="0" fontId="27" fillId="0" borderId="24" xfId="92" applyFont="1" applyBorder="1" applyAlignment="1">
      <alignment horizontal="center" vertical="center"/>
    </xf>
    <xf numFmtId="0" fontId="27" fillId="0" borderId="18" xfId="92" applyFont="1" applyBorder="1" applyAlignment="1">
      <alignment horizontal="center" vertical="center"/>
    </xf>
    <xf numFmtId="197" fontId="27" fillId="0" borderId="59" xfId="107" applyNumberFormat="1" applyFont="1" applyFill="1" applyBorder="1" applyAlignment="1" applyProtection="1">
      <alignment horizontal="center" vertical="center" wrapText="1"/>
    </xf>
    <xf numFmtId="197" fontId="27" fillId="0" borderId="235" xfId="107" applyNumberFormat="1" applyFont="1" applyFill="1" applyBorder="1" applyAlignment="1" applyProtection="1">
      <alignment horizontal="center" vertical="center" wrapText="1"/>
    </xf>
    <xf numFmtId="0" fontId="27" fillId="0" borderId="65" xfId="92" applyFont="1" applyBorder="1" applyAlignment="1">
      <alignment horizontal="center" vertical="center"/>
    </xf>
    <xf numFmtId="0" fontId="27" fillId="0" borderId="57" xfId="92" applyFont="1" applyBorder="1" applyAlignment="1">
      <alignment horizontal="center" vertical="center"/>
    </xf>
    <xf numFmtId="0" fontId="80" fillId="0" borderId="157" xfId="124" applyFont="1" applyFill="1" applyBorder="1" applyAlignment="1">
      <alignment horizontal="center" vertical="center" wrapText="1"/>
    </xf>
    <xf numFmtId="0" fontId="80" fillId="0" borderId="25" xfId="124" applyFont="1" applyFill="1" applyBorder="1" applyAlignment="1">
      <alignment horizontal="center" vertical="center" wrapText="1"/>
    </xf>
    <xf numFmtId="49" fontId="9" fillId="0" borderId="33" xfId="124" applyNumberFormat="1" applyFont="1" applyFill="1" applyBorder="1" applyAlignment="1">
      <alignment horizontal="center" wrapText="1"/>
    </xf>
    <xf numFmtId="49" fontId="9" fillId="0" borderId="34" xfId="124" applyNumberFormat="1" applyFont="1" applyFill="1" applyBorder="1" applyAlignment="1">
      <alignment horizontal="center" wrapText="1"/>
    </xf>
    <xf numFmtId="49" fontId="9" fillId="0" borderId="266" xfId="124" applyNumberFormat="1" applyFont="1" applyFill="1" applyBorder="1" applyAlignment="1">
      <alignment horizontal="center" wrapText="1"/>
    </xf>
    <xf numFmtId="49" fontId="9" fillId="0" borderId="267" xfId="124" applyNumberFormat="1" applyFont="1" applyFill="1" applyBorder="1" applyAlignment="1">
      <alignment horizontal="center" wrapText="1"/>
    </xf>
    <xf numFmtId="49" fontId="9" fillId="0" borderId="268" xfId="124" applyNumberFormat="1" applyFont="1" applyFill="1" applyBorder="1" applyAlignment="1">
      <alignment horizontal="center" wrapText="1"/>
    </xf>
  </cellXfs>
  <cellStyles count="257">
    <cellStyle name="_x000a_shell=progma" xfId="1"/>
    <cellStyle name="20% - 輔色1" xfId="2" builtinId="30" customBuiltin="1"/>
    <cellStyle name="20% - 輔色2" xfId="3" builtinId="34" customBuiltin="1"/>
    <cellStyle name="20% - 輔色3" xfId="4" builtinId="38" customBuiltin="1"/>
    <cellStyle name="20% - 輔色4" xfId="5" builtinId="42" customBuiltin="1"/>
    <cellStyle name="20% - 輔色5" xfId="6" builtinId="46" customBuiltin="1"/>
    <cellStyle name="20% - 輔色6" xfId="7" builtinId="50" customBuiltin="1"/>
    <cellStyle name="40% - 輔色1" xfId="8" builtinId="31" customBuiltin="1"/>
    <cellStyle name="40% - 輔色2" xfId="9" builtinId="35" customBuiltin="1"/>
    <cellStyle name="40% - 輔色3" xfId="10" builtinId="39" customBuiltin="1"/>
    <cellStyle name="40% - 輔色4" xfId="11" builtinId="43" customBuiltin="1"/>
    <cellStyle name="40% - 輔色5" xfId="12" builtinId="47" customBuiltin="1"/>
    <cellStyle name="40% - 輔色6" xfId="13" builtinId="51" customBuiltin="1"/>
    <cellStyle name="60% - 輔色1" xfId="14" builtinId="32" customBuiltin="1"/>
    <cellStyle name="60% - 輔色2" xfId="15" builtinId="36" customBuiltin="1"/>
    <cellStyle name="60% - 輔色3" xfId="16" builtinId="40" customBuiltin="1"/>
    <cellStyle name="60% - 輔色4" xfId="17" builtinId="44" customBuiltin="1"/>
    <cellStyle name="60% - 輔色5" xfId="18" builtinId="48" customBuiltin="1"/>
    <cellStyle name="60% - 輔色6" xfId="19" builtinId="52" customBuiltin="1"/>
    <cellStyle name="Centered Heading" xfId="20"/>
    <cellStyle name="Comma [0]_EQ(Asia)" xfId="21"/>
    <cellStyle name="Comma_Capital Model Draft 022005" xfId="22"/>
    <cellStyle name="CR Comma" xfId="23"/>
    <cellStyle name="Credit" xfId="24"/>
    <cellStyle name="Credit subtotal" xfId="25"/>
    <cellStyle name="Credit Total" xfId="26"/>
    <cellStyle name="Debit" xfId="27"/>
    <cellStyle name="Debit subtotal" xfId="28"/>
    <cellStyle name="Debit Total" xfId="29"/>
    <cellStyle name="Euro" xfId="30"/>
    <cellStyle name="Footnote" xfId="31"/>
    <cellStyle name="Heading" xfId="32"/>
    <cellStyle name="Heading No Underline" xfId="33"/>
    <cellStyle name="Normal_A" xfId="34"/>
    <cellStyle name="oft Excel]_x000d__x000a_Comment=The open=/f lines load custom functions into the Paste Function list._x000d__x000a_Maximized=3_x000d__x000a_AutoFormat=" xfId="35"/>
    <cellStyle name="Percent (0)" xfId="36"/>
    <cellStyle name="Table Heading" xfId="37"/>
    <cellStyle name="Table Title" xfId="38"/>
    <cellStyle name="Table Units" xfId="39"/>
    <cellStyle name="Tickmark" xfId="40"/>
    <cellStyle name="一月" xfId="41"/>
    <cellStyle name="一般" xfId="0" builtinId="0"/>
    <cellStyle name="一般 10" xfId="42"/>
    <cellStyle name="一般 10 2" xfId="43"/>
    <cellStyle name="一般 11" xfId="44"/>
    <cellStyle name="一般 11 2" xfId="45"/>
    <cellStyle name="一般 11 3" xfId="46"/>
    <cellStyle name="一般 12" xfId="47"/>
    <cellStyle name="一般 13" xfId="48"/>
    <cellStyle name="一般 14" xfId="49"/>
    <cellStyle name="一般 15" xfId="50"/>
    <cellStyle name="一般 16" xfId="51"/>
    <cellStyle name="一般 2" xfId="52"/>
    <cellStyle name="一般 2 2" xfId="53"/>
    <cellStyle name="一般 2 2 2" xfId="54"/>
    <cellStyle name="一般 2 2 3" xfId="55"/>
    <cellStyle name="一般 2 2 4" xfId="56"/>
    <cellStyle name="一般 2 2 5" xfId="57"/>
    <cellStyle name="一般 2 2 6" xfId="58"/>
    <cellStyle name="一般 2 2 7" xfId="59"/>
    <cellStyle name="一般 2 2 8" xfId="60"/>
    <cellStyle name="一般 2 3" xfId="61"/>
    <cellStyle name="一般 2 4" xfId="62"/>
    <cellStyle name="一般 2 5" xfId="63"/>
    <cellStyle name="一般 2 6" xfId="64"/>
    <cellStyle name="一般 2 7" xfId="65"/>
    <cellStyle name="一般 2 8" xfId="66"/>
    <cellStyle name="一般 2 9" xfId="67"/>
    <cellStyle name="一般 2_RBC相關報表-產險" xfId="68"/>
    <cellStyle name="一般 3" xfId="69"/>
    <cellStyle name="一般 3 2" xfId="70"/>
    <cellStyle name="一般 3 2 2" xfId="71"/>
    <cellStyle name="一般 3 3" xfId="72"/>
    <cellStyle name="一般 3 3 2" xfId="73"/>
    <cellStyle name="一般 4" xfId="74"/>
    <cellStyle name="一般 4 2" xfId="75"/>
    <cellStyle name="一般 4 3" xfId="76"/>
    <cellStyle name="一般 5" xfId="77"/>
    <cellStyle name="一般 5 2" xfId="78"/>
    <cellStyle name="一般 5 3" xfId="79"/>
    <cellStyle name="一般 6" xfId="80"/>
    <cellStyle name="一般 6 2" xfId="81"/>
    <cellStyle name="一般 6 3" xfId="82"/>
    <cellStyle name="一般 7" xfId="83"/>
    <cellStyle name="一般 7 2" xfId="84"/>
    <cellStyle name="一般 7 3" xfId="85"/>
    <cellStyle name="一般 8" xfId="86"/>
    <cellStyle name="一般 8 2" xfId="87"/>
    <cellStyle name="一般 8 3" xfId="88"/>
    <cellStyle name="一般 9" xfId="89"/>
    <cellStyle name="一般 9 2" xfId="90"/>
    <cellStyle name="一般 9 3" xfId="91"/>
    <cellStyle name="一般_~3692007" xfId="92"/>
    <cellStyle name="一般_1.人身保險業資本適足性報告" xfId="93"/>
    <cellStyle name="一般_1.人身保險業資本適足性報告_產險年度檢表930428-1" xfId="94"/>
    <cellStyle name="一般_1.人身保險業資本適足性報告_壽險年度檢表930428-1" xfId="95"/>
    <cellStyle name="一般_1.財產保險業資本適足性報告" xfId="96"/>
    <cellStyle name="一般_1.財產保險業資本適足性報告_RBC相關暨修訂報表-產險0811" xfId="97"/>
    <cellStyle name="一般_2.人身保險業資本適足性報告相關填報表格" xfId="98"/>
    <cellStyle name="一般_2.人身保險業資本適足性報告相關填報表格_19-4&amp;5 (1)_再保險資產表draft_0704" xfId="99"/>
    <cellStyle name="一般_2.人身保險業資本適足性報告相關填報表格_19-4&amp;5 (1)_再保險資產表draft_0825" xfId="100"/>
    <cellStyle name="一般_2.人身保險業資本適足性報告相關填報表格_RBC相關報表-產險970527" xfId="101"/>
    <cellStyle name="一般_2.人身保險業資本適足性報告相關填報表格_年度檢查報表表19-930521產壽公會版" xfId="102"/>
    <cellStyle name="一般_2.人身保險業資本適足性報告相關填報表格_檢查報表_壽_951129" xfId="103"/>
    <cellStyle name="一般_2006產險年度檢表RBC" xfId="104"/>
    <cellStyle name="一般_91再保險業資本適足性報告" xfId="105"/>
    <cellStyle name="一般_91再保險業資本適足性報告_R00001_964" xfId="106"/>
    <cellStyle name="一般_921002保險業月報yaotung" xfId="107"/>
    <cellStyle name="一般_921002保險業月報yaotung 2" xfId="108"/>
    <cellStyle name="一般_921002保險業月報yaotung_RBC相關報表-再保險970530_1" xfId="109"/>
    <cellStyle name="一般_921002保險業月報yaotung_RBC相關報表-再保險970530_1_RBC相關報表-再保險970602" xfId="110"/>
    <cellStyle name="一般_921002保險業月報yaotung_RBC相關報表-壽險(100.11.10)" xfId="111"/>
    <cellStyle name="一般_921002保險業月報yaotung_年度檢查報表表19-930521產壽公會版" xfId="112"/>
    <cellStyle name="一般_921002保險業月報yaotung_年度檢查報表表19-930521產壽公會版_RBC相關報表-產險970527" xfId="113"/>
    <cellStyle name="一般_921002保險業月報yaotung_檢查報表_壽_951129" xfId="114"/>
    <cellStyle name="一般_921002保險業月報yaotung_檢查報表_壽_951129_96年RBC相關報表_產險970508" xfId="115"/>
    <cellStyle name="一般_921002保險業月報yaotung_檢查報表_壽_951129_檢查報表-產960306" xfId="116"/>
    <cellStyle name="一般_921118公債有價證券借貸表" xfId="117"/>
    <cellStyle name="一般_921118投資型保險投資餘額明細表" xfId="118"/>
    <cellStyle name="一般_921118表外交易" xfId="119"/>
    <cellStyle name="一般_930120中再提供物保險公司年度檢查報表19.1,19.2,19.3" xfId="120"/>
    <cellStyle name="一般_930120中再提供物保險公司年度檢查報表19.1,19.2,19.3_R00001_974" xfId="121"/>
    <cellStyle name="一般_930120中再提供物保險公司年度檢查報表19.1,19.2,19.3_RBC相關報表-再保險970530" xfId="122"/>
    <cellStyle name="一般_930120中再提供物保險公司年度檢查報表19.1,19.2,19.3_RBC相關報表-再保險970602" xfId="123"/>
    <cellStyle name="一般_94RBC報表修改-壽險(2修 )" xfId="124"/>
    <cellStyle name="一般_94RBC報表修改-壽險(2修 )_檢查報表_壽_951129" xfId="125"/>
    <cellStyle name="一般_95年度RBC衍生性商品報表1214 " xfId="126"/>
    <cellStyle name="一般_Book2" xfId="127"/>
    <cellStyle name="一般_Book2_1" xfId="128"/>
    <cellStyle name="一般_RBC_961115" xfId="129"/>
    <cellStyle name="一般_RBCFB89" xfId="130"/>
    <cellStyle name="一般_RBC相關報表-壽險(100.11.10)" xfId="131"/>
    <cellStyle name="一般_RISReport(1)" xfId="132"/>
    <cellStyle name="一般_人身保險業資本適足性相關填報表格(910517草案)--修正版_RBC相關報表-再保險970530_1" xfId="133"/>
    <cellStyle name="一般_人身保險業資本適足性相關填報表格(910517草案)--修正版_RBC相關報表-再保險970530_1_RBC相關報表-再保險970530" xfId="134"/>
    <cellStyle name="一般_人身保險業資本適足性相關填報表格(910517草案)--修正版_RBC相關報表-再保險970530_1_RBC相關報表-再保險970602" xfId="135"/>
    <cellStyle name="一般_分出再保費用相關報表(0413)" xfId="136"/>
    <cellStyle name="一般_半年報檢查報表-壽險" xfId="137"/>
    <cellStyle name="一般_再保險公司年度檢表-RBC-公布版" xfId="138"/>
    <cellStyle name="一般_再保險相關報表" xfId="139"/>
    <cellStyle name="一般_再保險資產表_100年適用11.21" xfId="140"/>
    <cellStyle name="一般_年報-五科意見911016" xfId="141"/>
    <cellStyle name="一般_年報-五科意見911016_RBC相關報表-再保險970530_1" xfId="142"/>
    <cellStyle name="一般_年報-五科意見911016_RBC相關報表-再保險970530_1_RBC相關報表-再保險970530" xfId="143"/>
    <cellStyle name="一般_年報-五科意見911220" xfId="144"/>
    <cellStyle name="一般_成本VS市價明細表-Life(0430)" xfId="145"/>
    <cellStyle name="一般_成本VS市價明細表-Property(0430)" xfId="146"/>
    <cellStyle name="一般_非RBC相關報表-壽險(100.11.10)" xfId="147"/>
    <cellStyle name="一般_建議" xfId="148"/>
    <cellStyle name="一般_建議_RBC相關報表-壽險(100.11.10)" xfId="149"/>
    <cellStyle name="一般_建議_檢查報表_壽_951129" xfId="150"/>
    <cellStyle name="一般_建議_檢查報表_壽_951129_96年RBC相關報表_產險970508" xfId="151"/>
    <cellStyle name="一般_建議_檢查報表_壽_951129_檢查報表-產960306" xfId="152"/>
    <cellStyle name="一般_新產險檢查報表(含頁碼)(910204)" xfId="153"/>
    <cellStyle name="一般_壽險年度檢表930428-1" xfId="154"/>
    <cellStyle name="一般_壽險年度檢查報表空白表格" xfId="155"/>
    <cellStyle name="一般_壽險檢表-基本資料Output" xfId="156"/>
    <cellStyle name="一般_複本96年RBC相關報表_產險970221" xfId="157"/>
    <cellStyle name="一般_檢查報表_再(不含C0調整)_連結修正951227" xfId="158"/>
    <cellStyle name="一般_檢查報表_壽(不含Co調整)_951201" xfId="159"/>
    <cellStyle name="一般_檢查報表_壽(不含Co調整)_951205" xfId="160"/>
    <cellStyle name="一般_檢查報表_壽_951129" xfId="161"/>
    <cellStyle name="一般_檢查報表16表" xfId="162"/>
    <cellStyle name="一般_檢查報表16表_檢查報表_壽(不含Co調整)_951205" xfId="163"/>
    <cellStyle name="一般_檢查報表-產險1217" xfId="164"/>
    <cellStyle name="一般_檢查報表-產險980120(不含與RBC相關) 2" xfId="165"/>
    <cellStyle name="一般_檢查報表-壽險1217(修)" xfId="166"/>
    <cellStyle name="千分位" xfId="167" builtinId="3"/>
    <cellStyle name="千分位 2" xfId="168"/>
    <cellStyle name="千分位 2 2" xfId="169"/>
    <cellStyle name="千分位 2 3" xfId="170"/>
    <cellStyle name="千分位 2 3 2" xfId="171"/>
    <cellStyle name="千分位 2 3 3" xfId="172"/>
    <cellStyle name="千分位 2 4" xfId="173"/>
    <cellStyle name="千分位 2 4 2" xfId="174"/>
    <cellStyle name="千分位 2 4 3" xfId="175"/>
    <cellStyle name="千分位 2 5" xfId="176"/>
    <cellStyle name="千分位 2 6" xfId="177"/>
    <cellStyle name="千分位 2 7" xfId="178"/>
    <cellStyle name="千分位 3" xfId="179"/>
    <cellStyle name="千分位 3 2" xfId="180"/>
    <cellStyle name="千分位 3 3" xfId="181"/>
    <cellStyle name="千分位 4" xfId="182"/>
    <cellStyle name="千分位 5" xfId="183"/>
    <cellStyle name="千分位 6" xfId="184"/>
    <cellStyle name="千分位 7" xfId="185"/>
    <cellStyle name="千分位 8" xfId="186"/>
    <cellStyle name="千分位 8 2" xfId="187"/>
    <cellStyle name="千分位[0] 2" xfId="188"/>
    <cellStyle name="千分位[0] 2 2" xfId="189"/>
    <cellStyle name="千分位[0] 2 3" xfId="190"/>
    <cellStyle name="千分位[0]_921002保險業月報yaotung" xfId="191"/>
    <cellStyle name="千分位[0]_再保險公司年度檢表-RBC-公布版" xfId="192"/>
    <cellStyle name="千分位[0]_新產險檢查報表(含頁碼)(910204)" xfId="193"/>
    <cellStyle name="千分位[0]_檢查報表_再(不含C0調整)_連結修正951227" xfId="194"/>
    <cellStyle name="千分位_94RBC報表修改-壽險(2修 )" xfId="195"/>
    <cellStyle name="千分位_95年度RBC衍生性商品報表1214 " xfId="196"/>
    <cellStyle name="千分位_檢查報表_再(不含C0調整)_連結修正951227" xfId="197"/>
    <cellStyle name="中等" xfId="198" builtinId="28" customBuiltin="1"/>
    <cellStyle name="合計" xfId="199" builtinId="25" customBuiltin="1"/>
    <cellStyle name="好" xfId="200" builtinId="26" customBuiltin="1"/>
    <cellStyle name="好_40911201 12~1月明細" xfId="201"/>
    <cellStyle name="好_RBC相關報表-產險" xfId="202"/>
    <cellStyle name="好_RBC相關報表-壽險(100.11.10)" xfId="203"/>
    <cellStyle name="好_RBC相關暨修訂報表-產險0811" xfId="204"/>
    <cellStyle name="好_半年報檢查報表-業務類強制車險-產險" xfId="205"/>
    <cellStyle name="好_再保險資產表_100年適用11.21" xfId="206"/>
    <cellStyle name="好_年報檢查報表-業務類強制車險-產險-修正1129" xfId="207"/>
    <cellStyle name="好_非RBC相關報表-產險" xfId="208"/>
    <cellStyle name="好_非RBC相關報表-產險(0512)" xfId="209"/>
    <cellStyle name="百分比" xfId="210" builtinId="5"/>
    <cellStyle name="百分比 2" xfId="211"/>
    <cellStyle name="百分比 2 2" xfId="212"/>
    <cellStyle name="百分比 2 2 2" xfId="213"/>
    <cellStyle name="百分比 2 3" xfId="214"/>
    <cellStyle name="百分比 2 4" xfId="215"/>
    <cellStyle name="百分比 3" xfId="216"/>
    <cellStyle name="百分比 4" xfId="217"/>
    <cellStyle name="百分比 5" xfId="218"/>
    <cellStyle name="百分比 6" xfId="219"/>
    <cellStyle name="百分比 7" xfId="220"/>
    <cellStyle name="計算方式" xfId="221" builtinId="22" customBuiltin="1"/>
    <cellStyle name="桁区切り 2" xfId="222"/>
    <cellStyle name="貨幣[0]" xfId="223"/>
    <cellStyle name="連結的儲存格" xfId="224" builtinId="24" customBuiltin="1"/>
    <cellStyle name="備註" xfId="225" builtinId="10" customBuiltin="1"/>
    <cellStyle name="超連結 2" xfId="226"/>
    <cellStyle name="說明文字" xfId="227" builtinId="53" customBuiltin="1"/>
    <cellStyle name="輔色1" xfId="228" builtinId="29" customBuiltin="1"/>
    <cellStyle name="輔色2" xfId="229" builtinId="33" customBuiltin="1"/>
    <cellStyle name="輔色3" xfId="230" builtinId="37" customBuiltin="1"/>
    <cellStyle name="輔色4" xfId="231" builtinId="41" customBuiltin="1"/>
    <cellStyle name="輔色5" xfId="232" builtinId="45" customBuiltin="1"/>
    <cellStyle name="輔色6" xfId="233" builtinId="49" customBuiltin="1"/>
    <cellStyle name="標準_01 Per Risk Info 20080229" xfId="234"/>
    <cellStyle name="標題" xfId="235" builtinId="15" customBuiltin="1"/>
    <cellStyle name="標題 1" xfId="236" builtinId="16" customBuiltin="1"/>
    <cellStyle name="標題 2" xfId="237" builtinId="17" customBuiltin="1"/>
    <cellStyle name="標題 3" xfId="238" builtinId="18" customBuiltin="1"/>
    <cellStyle name="標題 4" xfId="239" builtinId="19" customBuiltin="1"/>
    <cellStyle name="輸入" xfId="240" builtinId="20" customBuiltin="1"/>
    <cellStyle name="輸出" xfId="241" builtinId="21" customBuiltin="1"/>
    <cellStyle name="檢查儲存格" xfId="242" builtinId="23" customBuiltin="1"/>
    <cellStyle name="壞" xfId="243" builtinId="27" customBuiltin="1"/>
    <cellStyle name="壞_40911201 12~1月明細" xfId="244"/>
    <cellStyle name="壞_RBC相關報表-產險" xfId="245"/>
    <cellStyle name="壞_RBC相關報表-壽險(100.11.10)" xfId="246"/>
    <cellStyle name="壞_RBC相關暨修訂報表-產險0811" xfId="247"/>
    <cellStyle name="壞_火險合約" xfId="248"/>
    <cellStyle name="壞_火險臨分" xfId="249"/>
    <cellStyle name="壞_半年報檢查報表-業務類強制車險-產險" xfId="250"/>
    <cellStyle name="壞_再保險資產表_100年適用11.21" xfId="251"/>
    <cellStyle name="壞_年報檢查報表-業務類強制車險-產險-修正1129" xfId="252"/>
    <cellStyle name="壞_非RBC相關報表-產險" xfId="253"/>
    <cellStyle name="壞_非RBC相關報表-產險(0512)" xfId="254"/>
    <cellStyle name="壞_莫拉克颱風 (臨分業務)" xfId="255"/>
    <cellStyle name="警告文字" xfId="256"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5.xml"/><Relationship Id="rId89" Type="http://schemas.openxmlformats.org/officeDocument/2006/relationships/externalLink" Target="externalLinks/externalLink10.xml"/><Relationship Id="rId97" Type="http://schemas.openxmlformats.org/officeDocument/2006/relationships/externalLink" Target="externalLinks/externalLink1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8.xml"/><Relationship Id="rId102"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90" Type="http://schemas.openxmlformats.org/officeDocument/2006/relationships/externalLink" Target="externalLinks/externalLink11.xml"/><Relationship Id="rId95" Type="http://schemas.openxmlformats.org/officeDocument/2006/relationships/externalLink" Target="externalLinks/externalLink1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externalLink" Target="externalLinks/externalLink6.xml"/><Relationship Id="rId93" Type="http://schemas.openxmlformats.org/officeDocument/2006/relationships/externalLink" Target="externalLinks/externalLink14.xml"/><Relationship Id="rId98" Type="http://schemas.openxmlformats.org/officeDocument/2006/relationships/externalLink" Target="externalLinks/externalLink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88" Type="http://schemas.openxmlformats.org/officeDocument/2006/relationships/externalLink" Target="externalLinks/externalLink9.xml"/><Relationship Id="rId91" Type="http://schemas.openxmlformats.org/officeDocument/2006/relationships/externalLink" Target="externalLinks/externalLink12.xml"/><Relationship Id="rId96"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externalLink" Target="externalLinks/externalLink7.xml"/><Relationship Id="rId94" Type="http://schemas.openxmlformats.org/officeDocument/2006/relationships/externalLink" Target="externalLinks/externalLink15.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1533525</xdr:colOff>
      <xdr:row>4</xdr:row>
      <xdr:rowOff>104775</xdr:rowOff>
    </xdr:from>
    <xdr:ext cx="6657975" cy="414985"/>
    <mc:AlternateContent xmlns:mc="http://schemas.openxmlformats.org/markup-compatibility/2006" xmlns:a14="http://schemas.microsoft.com/office/drawing/2010/main">
      <mc:Choice Requires="a14">
        <xdr:sp macro="" textlink="">
          <xdr:nvSpPr>
            <xdr:cNvPr id="3" name="文字方塊 2"/>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altLang="zh-TW" sz="1200" i="1">
                        <a:solidFill>
                          <a:schemeClr val="tx1"/>
                        </a:solidFill>
                        <a:latin typeface="Cambria Math" panose="02040503050406030204" pitchFamily="18" charset="0"/>
                      </a:rPr>
                      <m:t>0.5</m:t>
                    </m:r>
                    <m:r>
                      <a:rPr lang="en-US" altLang="zh-TW" sz="1200" i="1">
                        <a:solidFill>
                          <a:schemeClr val="tx1"/>
                        </a:solidFill>
                        <a:latin typeface="Cambria Math" panose="02040503050406030204" pitchFamily="18" charset="0"/>
                        <a:ea typeface="Cambria Math" panose="02040503050406030204" pitchFamily="18" charset="0"/>
                      </a:rPr>
                      <m:t>×</m:t>
                    </m:r>
                    <m:d>
                      <m:dPr>
                        <m:ctrlPr>
                          <a:rPr lang="en-US" altLang="zh-TW" sz="1200" i="1">
                            <a:solidFill>
                              <a:schemeClr val="tx1"/>
                            </a:solidFill>
                            <a:latin typeface="Cambria Math" panose="02040503050406030204" pitchFamily="18" charset="0"/>
                            <a:ea typeface="Cambria Math" panose="02040503050406030204" pitchFamily="18" charset="0"/>
                          </a:rPr>
                        </m:ctrlPr>
                      </m:dPr>
                      <m:e>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0</m:t>
                            </m:r>
                            <m:r>
                              <m:rPr>
                                <m:sty m:val="p"/>
                              </m:rPr>
                              <a:rPr lang="en-US" altLang="zh-TW" sz="1200" i="1">
                                <a:solidFill>
                                  <a:schemeClr val="tx1"/>
                                </a:solidFill>
                                <a:effectLst/>
                                <a:latin typeface="Cambria Math" panose="02040503050406030204" pitchFamily="18" charset="0"/>
                                <a:ea typeface="+mn-ea"/>
                                <a:cs typeface="+mn-cs"/>
                              </a:rPr>
                              <m:t>O</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5</m:t>
                            </m:r>
                          </m:sub>
                        </m:sSub>
                        <m:r>
                          <a:rPr lang="en-US" altLang="zh-TW" sz="1200" i="1">
                            <a:solidFill>
                              <a:schemeClr val="tx1"/>
                            </a:solidFill>
                            <a:effectLst/>
                            <a:latin typeface="Cambria Math" panose="02040503050406030204" pitchFamily="18" charset="0"/>
                            <a:ea typeface="+mn-ea"/>
                            <a:cs typeface="+mn-cs"/>
                          </a:rPr>
                          <m:t>+</m:t>
                        </m:r>
                        <m:rad>
                          <m:radPr>
                            <m:degHide m:val="on"/>
                            <m:ctrlPr>
                              <a:rPr lang="en-US" altLang="zh-TW" sz="1200" i="1">
                                <a:solidFill>
                                  <a:schemeClr val="tx1"/>
                                </a:solidFill>
                                <a:effectLst/>
                                <a:latin typeface="Cambria Math" panose="02040503050406030204" pitchFamily="18" charset="0"/>
                                <a:ea typeface="+mn-ea"/>
                                <a:cs typeface="+mn-cs"/>
                              </a:rPr>
                            </m:ctrlPr>
                          </m:radPr>
                          <m:deg/>
                          <m:e>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10</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4</m:t>
                                    </m:r>
                                  </m:sub>
                                </m:sSub>
                                <m:r>
                                  <a:rPr lang="en-US" altLang="zh-TW" sz="1200" i="1">
                                    <a:solidFill>
                                      <a:schemeClr val="tx1"/>
                                    </a:solidFill>
                                    <a:effectLst/>
                                    <a:latin typeface="Cambria Math" panose="02040503050406030204" pitchFamily="18" charset="0"/>
                                    <a:ea typeface="+mn-ea"/>
                                    <a:cs typeface="+mn-cs"/>
                                  </a:rPr>
                                  <m:t>)</m:t>
                                </m:r>
                              </m:e>
                              <m:sup>
                                <m:r>
                                  <a:rPr lang="en-US" altLang="zh-TW" sz="1200" i="1">
                                    <a:solidFill>
                                      <a:schemeClr val="tx1"/>
                                    </a:solidFill>
                                    <a:effectLst/>
                                    <a:latin typeface="Cambria Math" panose="02040503050406030204" pitchFamily="18" charset="0"/>
                                    <a:ea typeface="+mn-ea"/>
                                    <a:cs typeface="+mn-cs"/>
                                  </a:rPr>
                                  <m:t>2</m:t>
                                </m:r>
                              </m:sup>
                            </m:sSup>
                            <m:r>
                              <a:rPr lang="en-US" altLang="zh-TW" sz="1200" i="1">
                                <a:solidFill>
                                  <a:schemeClr val="tx1"/>
                                </a:solidFill>
                                <a:effectLst/>
                                <a:latin typeface="Cambria Math" panose="02040503050406030204" pitchFamily="18" charset="0"/>
                                <a:ea typeface="+mn-ea"/>
                                <a:cs typeface="+mn-cs"/>
                              </a:rPr>
                              <m:t>+</m:t>
                            </m:r>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0</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e>
                              <m:sup>
                                <m:r>
                                  <a:rPr lang="en-US" altLang="zh-TW" sz="1200" b="0" i="1">
                                    <a:solidFill>
                                      <a:schemeClr val="tx1"/>
                                    </a:solidFill>
                                    <a:effectLst/>
                                    <a:latin typeface="Cambria Math" panose="02040503050406030204" pitchFamily="18" charset="0"/>
                                    <a:ea typeface="+mn-ea"/>
                                    <a:cs typeface="+mn-cs"/>
                                  </a:rPr>
                                  <m:t>2</m:t>
                                </m:r>
                              </m:sup>
                            </m:s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𝑆</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2</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3</m:t>
                                </m:r>
                                <m:r>
                                  <a:rPr lang="en-US" altLang="zh-TW" sz="1200" b="0" i="1">
                                    <a:solidFill>
                                      <a:schemeClr val="tx1"/>
                                    </a:solidFill>
                                    <a:effectLst/>
                                    <a:latin typeface="Cambria Math" panose="02040503050406030204" pitchFamily="18" charset="0"/>
                                    <a:ea typeface="+mn-ea"/>
                                    <a:cs typeface="+mn-cs"/>
                                  </a:rPr>
                                  <m:t>𝑎</m:t>
                                </m:r>
                              </m:sub>
                              <m:sup>
                                <m:r>
                                  <a:rPr lang="en-US" altLang="zh-TW" sz="1200" b="0" i="1">
                                    <a:solidFill>
                                      <a:schemeClr val="tx1"/>
                                    </a:solidFill>
                                    <a:effectLst/>
                                    <a:latin typeface="Cambria Math" panose="02040503050406030204" pitchFamily="18" charset="0"/>
                                    <a:ea typeface="+mn-ea"/>
                                    <a:cs typeface="+mn-cs"/>
                                  </a:rPr>
                                  <m:t>2</m:t>
                                </m:r>
                              </m:sup>
                            </m:sSubSup>
                            <m:r>
                              <a:rPr lang="en-US" altLang="zh-TW" sz="1200" b="0" i="1">
                                <a:solidFill>
                                  <a:schemeClr val="tx1"/>
                                </a:solidFill>
                                <a:effectLst/>
                                <a:latin typeface="Cambria Math" panose="02040503050406030204" pitchFamily="18" charset="0"/>
                                <a:ea typeface="+mn-ea"/>
                                <a:cs typeface="+mn-cs"/>
                              </a:rPr>
                              <m:t>+</m:t>
                            </m:r>
                            <m:sSubSup>
                              <m:sSubSupPr>
                                <m:ctrlPr>
                                  <a:rPr lang="en-US" altLang="zh-TW" sz="1200" b="0" i="1">
                                    <a:solidFill>
                                      <a:schemeClr val="tx1"/>
                                    </a:solidFill>
                                    <a:effectLst/>
                                    <a:latin typeface="Cambria Math" panose="02040503050406030204" pitchFamily="18" charset="0"/>
                                    <a:ea typeface="+mn-ea"/>
                                    <a:cs typeface="+mn-cs"/>
                                  </a:rPr>
                                </m:ctrlPr>
                              </m:sSubSup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3</m:t>
                                </m:r>
                                <m:r>
                                  <a:rPr lang="en-US" altLang="zh-TW" sz="1200" b="0" i="1">
                                    <a:solidFill>
                                      <a:schemeClr val="tx1"/>
                                    </a:solidFill>
                                    <a:effectLst/>
                                    <a:latin typeface="Cambria Math" panose="02040503050406030204" pitchFamily="18" charset="0"/>
                                    <a:ea typeface="+mn-ea"/>
                                    <a:cs typeface="+mn-cs"/>
                                  </a:rPr>
                                  <m:t>𝑏</m:t>
                                </m:r>
                              </m:sub>
                              <m:sup>
                                <m:r>
                                  <a:rPr lang="en-US" altLang="zh-TW" sz="1200" b="0" i="1">
                                    <a:solidFill>
                                      <a:schemeClr val="tx1"/>
                                    </a:solidFill>
                                    <a:effectLst/>
                                    <a:latin typeface="Cambria Math" panose="02040503050406030204" pitchFamily="18" charset="0"/>
                                    <a:ea typeface="+mn-ea"/>
                                    <a:cs typeface="+mn-cs"/>
                                  </a:rPr>
                                  <m:t>2</m:t>
                                </m:r>
                              </m:sup>
                            </m:sSubSup>
                          </m:e>
                        </m:rad>
                      </m:e>
                    </m:d>
                  </m:oMath>
                </m:oMathPara>
              </a14:m>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Choice>
      <mc:Fallback xmlns="">
        <xdr:sp macro="" textlink="">
          <xdr:nvSpPr>
            <xdr:cNvPr id="3" name="文字方塊 2"/>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200" i="0">
                  <a:solidFill>
                    <a:schemeClr val="tx1"/>
                  </a:solidFill>
                  <a:latin typeface="Cambria Math" panose="02040503050406030204" pitchFamily="18" charset="0"/>
                </a:rPr>
                <a:t>0.5</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i="0">
                  <a:solidFill>
                    <a:schemeClr val="tx1"/>
                  </a:solidFill>
                  <a:effectLst/>
                  <a:latin typeface="Cambria Math" panose="02040503050406030204" pitchFamily="18" charset="0"/>
                  <a:ea typeface="+mn-ea"/>
                  <a:cs typeface="+mn-cs"/>
                </a:rPr>
                <a:t>R_0O+R_5+√(〖(</a:t>
              </a:r>
              <a:r>
                <a:rPr lang="en-US" altLang="zh-TW" sz="1200" b="0" i="0">
                  <a:solidFill>
                    <a:schemeClr val="tx1"/>
                  </a:solidFill>
                  <a:effectLst/>
                  <a:latin typeface="Cambria Math" panose="02040503050406030204" pitchFamily="18" charset="0"/>
                  <a:ea typeface="+mn-ea"/>
                  <a:cs typeface="+mn-cs"/>
                </a:rPr>
                <a:t>R_10</a:t>
              </a:r>
              <a:r>
                <a:rPr lang="en-US" altLang="zh-TW" sz="1200" i="0">
                  <a:solidFill>
                    <a:schemeClr val="tx1"/>
                  </a:solidFill>
                  <a:effectLst/>
                  <a:latin typeface="Cambria Math" panose="02040503050406030204" pitchFamily="18" charset="0"/>
                  <a:ea typeface="+mn-ea"/>
                  <a:cs typeface="+mn-cs"/>
                </a:rPr>
                <a:t>+</a:t>
              </a:r>
              <a:r>
                <a:rPr lang="en-US" altLang="zh-TW" sz="1200" b="0" i="0">
                  <a:solidFill>
                    <a:schemeClr val="tx1"/>
                  </a:solidFill>
                  <a:effectLst/>
                  <a:latin typeface="Cambria Math" panose="02040503050406030204" pitchFamily="18" charset="0"/>
                  <a:ea typeface="+mn-ea"/>
                  <a:cs typeface="+mn-cs"/>
                </a:rPr>
                <a:t>R_4</a:t>
              </a:r>
              <a:r>
                <a:rPr lang="en-US" altLang="zh-TW" sz="1200" i="0">
                  <a:solidFill>
                    <a:schemeClr val="tx1"/>
                  </a:solidFill>
                  <a:effectLst/>
                  <a:latin typeface="Cambria Math" panose="02040503050406030204" pitchFamily="18" charset="0"/>
                  <a:ea typeface="+mn-ea"/>
                  <a:cs typeface="+mn-cs"/>
                </a:rPr>
                <a:t>)〗^2+〖</a:t>
              </a:r>
              <a:r>
                <a:rPr lang="en-US" altLang="zh-TW" sz="1200" b="0" i="0">
                  <a:solidFill>
                    <a:schemeClr val="tx1"/>
                  </a:solidFill>
                  <a:effectLst/>
                  <a:latin typeface="Cambria Math" panose="02040503050406030204" pitchFamily="18" charset="0"/>
                  <a:ea typeface="+mn-ea"/>
                  <a:cs typeface="+mn-cs"/>
                </a:rPr>
                <a:t>(R_0𝐶+R_1𝐶)〗^2+R_1𝑆^2+R_2^2+R_3𝑎^2+R_3𝑏^2 ))</a:t>
              </a:r>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200025</xdr:rowOff>
        </xdr:to>
        <xdr:sp macro="" textlink="">
          <xdr:nvSpPr>
            <xdr:cNvPr id="13313" name="Object 1" hidden="1">
              <a:extLst>
                <a:ext uri="{63B3BB69-23CF-44E3-9099-C40C66FF867C}">
                  <a14:compatExt spid="_x0000_s1331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200025</xdr:rowOff>
        </xdr:to>
        <xdr:sp macro="" textlink="">
          <xdr:nvSpPr>
            <xdr:cNvPr id="13314" name="Object 2" hidden="1">
              <a:extLst>
                <a:ext uri="{63B3BB69-23CF-44E3-9099-C40C66FF867C}">
                  <a14:compatExt spid="_x0000_s1331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200025</xdr:rowOff>
        </xdr:to>
        <xdr:sp macro="" textlink="">
          <xdr:nvSpPr>
            <xdr:cNvPr id="13315" name="Object 3" hidden="1">
              <a:extLst>
                <a:ext uri="{63B3BB69-23CF-44E3-9099-C40C66FF867C}">
                  <a14:compatExt spid="_x0000_s1331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200025</xdr:rowOff>
        </xdr:to>
        <xdr:sp macro="" textlink="">
          <xdr:nvSpPr>
            <xdr:cNvPr id="13316" name="Object 4" hidden="1">
              <a:extLst>
                <a:ext uri="{63B3BB69-23CF-44E3-9099-C40C66FF867C}">
                  <a14:compatExt spid="_x0000_s13316"/>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200025</xdr:colOff>
          <xdr:row>30</xdr:row>
          <xdr:rowOff>0</xdr:rowOff>
        </xdr:from>
        <xdr:to>
          <xdr:col>2</xdr:col>
          <xdr:colOff>1685925</xdr:colOff>
          <xdr:row>31</xdr:row>
          <xdr:rowOff>171450</xdr:rowOff>
        </xdr:to>
        <xdr:sp macro="" textlink="">
          <xdr:nvSpPr>
            <xdr:cNvPr id="16385" name="Object 1" hidden="1">
              <a:extLst>
                <a:ext uri="{63B3BB69-23CF-44E3-9099-C40C66FF867C}">
                  <a14:compatExt spid="_x0000_s16385"/>
                </a:ext>
              </a:extLst>
            </xdr:cNvPr>
            <xdr:cNvSpPr/>
          </xdr:nvSpPr>
          <xdr:spPr bwMode="auto">
            <a:xfrm>
              <a:off x="0" y="0"/>
              <a:ext cx="0" cy="0"/>
            </a:xfrm>
            <a:prstGeom prst="rect">
              <a:avLst/>
            </a:prstGeom>
            <a:noFill/>
            <a:effectLst/>
            <a:extLst>
              <a:ext uri="{909E8E84-426E-40DD-AFC4-6F175D3DCCD1}">
                <a14:hiddenFill>
                  <a:solidFill>
                    <a:srgbClr val="FFFFCC"/>
                  </a:solidFill>
                </a14:hiddenFill>
              </a:ext>
              <a:ext uri="{AF507438-7753-43E0-B8FC-AC1667EBCBE1}">
                <a14:hiddenEffects>
                  <a:effectLst>
                    <a:outerShdw dist="35921" dir="2700000" algn="ctr" rotWithShape="0">
                      <a:srgbClr val="FFFFFF"/>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INDOWS\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Book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is_fs_nt1\LIA\Project\120%20RBC&#22577;&#34920;\2010\99&#19978;&#21322;&#24180;&#24230;\0_&#22635;&#22577;&#25163;&#20874;&#21450;&#22577;&#34920;\99&#21322;&#24180;&#22577;&#27298;&#26597;&#22577;&#34920;-&#21547;&#21246;&#31293;&#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f02\usr\Project\120%20RBC&#22577;&#34920;\2010\99&#19978;&#21322;&#24180;&#24230;\0_&#22635;&#22577;&#25163;&#20874;&#21450;&#22577;&#34920;\99&#21322;&#24180;&#22577;&#27298;&#26597;&#22577;&#34920;-&#21547;&#21246;&#31293;&#34920;.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22781;&#38570;&#26376;&#22577;&#31684;&#26412;&#27284;1"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s_fs_nt1\users\AiuiTw\NyExitTy\ExTy01q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s_fs_nt1\LIA\Documents%20and%20Settings\user\&#26700;&#38754;\RBC\100&#24180;&#24213;RBC\&#26989;&#21209;&#37325;&#35201;&#25991;&#20214;\RBC\982QRBC\Documents%20and%20Settings\b06\My%20Documents\Book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is_fs_nt1\act\Documents%20and%20Settings\iiroc194\&#26700;&#38754;\96RBC&#22577;&#34920;\96RBC&#20462;&#27491;_961015\&#22781;&#38570;\&#22522;&#26412;&#36039;&#260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om_fs_nt2\RES\Documents%20and%20Settings\a08\Local%20Settings\Temporary%20Internet%20Files\OLK143\9206&#22283;&#27888;&#19990;&#32000;&#26376;&#2257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om_fs_nt2\RES\Documents%20and%20Settings\a09\Local%20Settings\Temporary%20Internet%20Files\OLK115\930212&#22781;&#38570;&#26989;&#24180;&#24230;&#27298;&#26597;&#22577;&#34920;--&#35498;&#26126;&#26371;&#29256;%20(1)-&#26356;&#26032;&#34920;30-3-&#21034;&#27298;&#26597;&#23383;-&#21034;&#37325;&#2282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is_fs_nt1\users\Documents%20and%20Settings\Owner\Local%20Settings\Temporary%20Internet%20Files\OLK5\&#31805;&#21934;&#20445;&#360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s_fs_nt1\LIA\WINDOWS\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INDOWS/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s_fs_nt1\LIA\Project\120%20RBC&#22577;&#34920;\2010\99&#24180;&#24230;\4_&#38515;&#22577;&#38468;&#20214;\&#26989;&#21209;&#37325;&#35201;&#25991;&#20214;\RBC\982QRBC\Documents%20and%20Settings\b06\My%20Documents\Book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_fs_nt2\RES\WINDOWS\TEMP\921002&#20445;&#38570;&#26989;&#26376;&#22577;yaotu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s_fs_nt1\LIA\Book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is_fs_nt1\act\Book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billy.kwan/My%20Documents/Work/Template/Universal%20BCAR%20V5.3%20for%20YE%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is_fs_nt1\LIA\Documents%20and%20Settings\billy.kwan\My%20Documents\Work\Template\Universal%20BCAR%20V5.3%20for%20YE%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表30-16X"/>
      <sheetName val="OCI"/>
      <sheetName val="匯率"/>
      <sheetName val="5DAYRPT "/>
      <sheetName val="?????"/>
      <sheetName val="未滿期保費"/>
      <sheetName val="ACT MONTH"/>
      <sheetName val="ACT CASH"/>
      <sheetName val="VARIANCE"/>
      <sheetName val="DATABASE"/>
      <sheetName val="YEAR TO DATE"/>
      <sheetName val="LIMIT"/>
      <sheetName val="CURRENT MONTH"/>
      <sheetName val="ASSIST"/>
      <sheetName val="mos-main"/>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3"/>
      <sheetName val="表04"/>
      <sheetName val="表05-1"/>
      <sheetName val="表05-2"/>
      <sheetName val="表05-2(續)"/>
      <sheetName val="表06"/>
      <sheetName val="表07-1"/>
      <sheetName val="表07-2"/>
      <sheetName val="表08-1"/>
      <sheetName val="表08-2"/>
      <sheetName val="表09-1"/>
      <sheetName val="表09-2"/>
      <sheetName val="表10-1"/>
      <sheetName val="表10-2"/>
      <sheetName val="表10-3"/>
      <sheetName val="表10-4"/>
      <sheetName val="表11-1"/>
      <sheetName val="表11-2"/>
      <sheetName val="表12-1"/>
      <sheetName val="表12-2"/>
      <sheetName val="表13-1"/>
      <sheetName val="表13-2"/>
      <sheetName val="表14-1"/>
      <sheetName val="表14-2"/>
      <sheetName val="表14-4"/>
      <sheetName val="表16-1-1"/>
      <sheetName val="表16-1-2"/>
      <sheetName val="表16-1-3"/>
      <sheetName val="表16-1-4"/>
      <sheetName val="表16-1-5"/>
      <sheetName val="表16-2-1"/>
      <sheetName val="表16-2-2"/>
      <sheetName val="表16-2-3"/>
      <sheetName val="表19-1-1-1"/>
      <sheetName val="表19-1-1-2"/>
      <sheetName val="表19-1-2 -1"/>
      <sheetName val="表19-1-2-2"/>
      <sheetName val="表19-2-1"/>
      <sheetName val="表19-2-2"/>
      <sheetName val="表19-3-1"/>
      <sheetName val="表19-3-2"/>
      <sheetName val="表20-1"/>
      <sheetName val="表20-2"/>
      <sheetName val="表21-1"/>
      <sheetName val="表21-2"/>
      <sheetName val="表22-1"/>
      <sheetName val="表22-2"/>
      <sheetName val="表22-3"/>
      <sheetName val="表22-4"/>
      <sheetName val="表23-1"/>
      <sheetName val="表23-2"/>
      <sheetName val="表24-1"/>
      <sheetName val="表24-2"/>
      <sheetName val="表25-1"/>
      <sheetName val="表25-2"/>
      <sheetName val="表26-1"/>
      <sheetName val="表26-2"/>
      <sheetName val="表26-3"/>
      <sheetName val="表26-4"/>
      <sheetName val="表26-5"/>
      <sheetName val="表30-1"/>
      <sheetName val="表30-2"/>
      <sheetName val="表30-3"/>
      <sheetName val="表30-3-1"/>
      <sheetName val="表30-3-2"/>
      <sheetName val="表30-3-3"/>
      <sheetName val="表30-4"/>
      <sheetName val="表30-5"/>
      <sheetName val="表30-6"/>
      <sheetName val="表30-7"/>
      <sheetName val="表30-7-1"/>
      <sheetName val="表30-8"/>
      <sheetName val="表30-8-1 "/>
      <sheetName val="表30-8-2"/>
      <sheetName val="表30-8-3"/>
      <sheetName val="表30-9"/>
      <sheetName val="表30-10"/>
      <sheetName val="表30-11"/>
      <sheetName val="表30-12"/>
      <sheetName val="表30-13"/>
      <sheetName val="表30-14"/>
      <sheetName val="表30-15"/>
      <sheetName val="表30-16"/>
      <sheetName val="上市股票及基金beta值計算表"/>
      <sheetName val="上櫃股票beta值計算"/>
      <sheetName val="勾稽表"/>
    </sheetNames>
    <sheetDataSet>
      <sheetData sheetId="0"/>
      <sheetData sheetId="1"/>
      <sheetData sheetId="2"/>
      <sheetData sheetId="3"/>
      <sheetData sheetId="4" refreshError="1">
        <row r="221">
          <cell r="D221">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3"/>
      <sheetName val="表04"/>
      <sheetName val="表05-1"/>
      <sheetName val="表05-2"/>
      <sheetName val="表05-2(續)"/>
      <sheetName val="表06"/>
      <sheetName val="表07-1"/>
      <sheetName val="表07-2"/>
      <sheetName val="表08-1"/>
      <sheetName val="表08-2"/>
      <sheetName val="表09-1"/>
      <sheetName val="表09-2"/>
      <sheetName val="表10-1"/>
      <sheetName val="表10-2"/>
      <sheetName val="表10-3"/>
      <sheetName val="表10-4"/>
      <sheetName val="表11-1"/>
      <sheetName val="表11-2"/>
      <sheetName val="表12-1"/>
      <sheetName val="表12-2"/>
      <sheetName val="表13-1"/>
      <sheetName val="表13-2"/>
      <sheetName val="表14-1"/>
      <sheetName val="表14-2"/>
      <sheetName val="表14-4"/>
      <sheetName val="表16-1-1"/>
      <sheetName val="表16-1-2"/>
      <sheetName val="表16-1-3"/>
      <sheetName val="表16-1-4"/>
      <sheetName val="表16-1-5"/>
      <sheetName val="表16-2-1"/>
      <sheetName val="表16-2-2"/>
      <sheetName val="表16-2-3"/>
      <sheetName val="表19-1-1-1"/>
      <sheetName val="表19-1-1-2"/>
      <sheetName val="表19-1-2 -1"/>
      <sheetName val="表19-1-2-2"/>
      <sheetName val="表19-2-1"/>
      <sheetName val="表19-2-2"/>
      <sheetName val="表19-3-1"/>
      <sheetName val="表19-3-2"/>
      <sheetName val="表20-1"/>
      <sheetName val="表20-2"/>
      <sheetName val="表21-1"/>
      <sheetName val="表21-2"/>
      <sheetName val="表22-1"/>
      <sheetName val="表22-2"/>
      <sheetName val="表22-3"/>
      <sheetName val="表22-4"/>
      <sheetName val="表23-1"/>
      <sheetName val="表23-2"/>
      <sheetName val="表24-1"/>
      <sheetName val="表24-2"/>
      <sheetName val="表25-1"/>
      <sheetName val="表25-2"/>
      <sheetName val="表26-1"/>
      <sheetName val="表26-2"/>
      <sheetName val="表26-3"/>
      <sheetName val="表26-4"/>
      <sheetName val="表26-5"/>
      <sheetName val="表30-1"/>
      <sheetName val="表30-2"/>
      <sheetName val="表30-3"/>
      <sheetName val="表30-3-1"/>
      <sheetName val="表30-3-2"/>
      <sheetName val="表30-3-3"/>
      <sheetName val="表30-4"/>
      <sheetName val="表30-5"/>
      <sheetName val="表30-6"/>
      <sheetName val="表30-7"/>
      <sheetName val="表30-7-1"/>
      <sheetName val="表30-8"/>
      <sheetName val="表30-8-1 "/>
      <sheetName val="表30-8-2"/>
      <sheetName val="表30-8-3"/>
      <sheetName val="表30-9"/>
      <sheetName val="表30-10"/>
      <sheetName val="表30-11"/>
      <sheetName val="表30-12"/>
      <sheetName val="表30-13"/>
      <sheetName val="表30-14"/>
      <sheetName val="表30-15"/>
      <sheetName val="表30-16"/>
      <sheetName val="上市股票及基金beta值計算表"/>
      <sheetName val="上櫃股票beta值計算"/>
      <sheetName val="勾稽表"/>
    </sheetNames>
    <sheetDataSet>
      <sheetData sheetId="0"/>
      <sheetData sheetId="1"/>
      <sheetData sheetId="2"/>
      <sheetData sheetId="3"/>
      <sheetData sheetId="4" refreshError="1">
        <row r="221">
          <cell r="D221">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表01"/>
      <sheetName val="表02(資產)"/>
      <sheetName val="表02(資產附表)"/>
      <sheetName val="表02(負債業主權益)"/>
      <sheetName val="表03"/>
      <sheetName val="表04"/>
      <sheetName val="表05(個人契約)"/>
      <sheetName val="表05(團體契約)"/>
      <sheetName val="表06"/>
      <sheetName val="表07(個人契約)"/>
      <sheetName val="表07(團體契約)"/>
      <sheetName val="表08"/>
      <sheetName val="表09"/>
      <sheetName val="表10"/>
      <sheetName val="表11"/>
      <sheetName val="表11(總計)"/>
      <sheetName val="表12"/>
      <sheetName val="表13"/>
      <sheetName val="表13(總計)"/>
      <sheetName val="表14"/>
      <sheetName val="表14(總計)"/>
      <sheetName val="表15"/>
      <sheetName val="表15(合併列示及總計)"/>
      <sheetName val="表16"/>
      <sheetName val="表16(總計)"/>
      <sheetName val="表17"/>
      <sheetName val="表17(總計)"/>
      <sheetName val="表18"/>
      <sheetName val="表18(總計)"/>
      <sheetName val="表19"/>
      <sheetName val="表19-1"/>
      <sheetName val="表20"/>
      <sheetName val="表20(總計)"/>
      <sheetName val="表21"/>
      <sheetName val="格式檢查"/>
      <sheetName val="數學勾稽"/>
      <sheetName val="適法性稽核"/>
      <sheetName val="合理性稽核"/>
      <sheetName val="引申變數"/>
      <sheetName val="代碼資料"/>
      <sheetName val="轉檔資訊"/>
      <sheetName val="表02_資產_"/>
      <sheetName val="表02_資產附表_"/>
      <sheetName val="表02_負債業主權益_"/>
      <sheetName val="表11_總計_"/>
      <sheetName val="表15_合併列示及總計_"/>
      <sheetName val="9602"/>
      <sheetName val="Sheet2"/>
      <sheetName val="Data"/>
      <sheetName val="表06(保費收入)"/>
      <sheetName val="表06(負債)"/>
      <sheetName val="表22"/>
      <sheetName val="Main"/>
      <sheetName val="Cover"/>
      <sheetName val="mappingtable"/>
      <sheetName val="Currency"/>
      <sheetName val="2006(JPY)"/>
      <sheetName val="AIGUS 2Q 2008 (REVISED)"/>
      <sheetName val="參數及變數"/>
      <sheetName val="Sheet3"/>
      <sheetName val="9812"/>
      <sheetName val="dimension"/>
      <sheetName val="89TSO"/>
      <sheetName val="Cal"/>
      <sheetName val="Input"/>
      <sheetName val="Load"/>
      <sheetName val="General"/>
      <sheetName val="KPMG函證控制表總表"/>
      <sheetName val="表10-1"/>
      <sheetName val="表10-2"/>
      <sheetName val="表10-3"/>
      <sheetName val="表23"/>
      <sheetName val="表24"/>
      <sheetName val="表25"/>
      <sheetName val="param"/>
      <sheetName val="Cal_Factor"/>
      <sheetName val="Mxdx"/>
      <sheetName val="1. Main"/>
      <sheetName val="4. Limit Analysis"/>
      <sheetName val="ACTIF"/>
      <sheetName val="Intercal"/>
      <sheetName val="MARGES FI"/>
      <sheetName val="PASSIF"/>
      <sheetName val="Compare"/>
      <sheetName val="COI"/>
      <sheetName val="Prem"/>
      <sheetName val="UPRcap"/>
      <sheetName val="Mapping"/>
      <sheetName val="OSLR"/>
      <sheetName val="OSLR Adj"/>
      <sheetName val="Payment"/>
      <sheetName val="F表25-1"/>
      <sheetName val="89TSO_Table"/>
      <sheetName val="寬限期間扣減"/>
      <sheetName val="互保戶"/>
      <sheetName val="人工計算（每半年更新）"/>
      <sheetName val="ob"/>
      <sheetName val="工作表1"/>
      <sheetName val="IndExp-1996"/>
      <sheetName val="P&amp;L-Act-1997"/>
      <sheetName val="BS-1997"/>
      <sheetName val="財報TB-曆"/>
      <sheetName val="ASSETS_BONDS"/>
      <sheetName val="表07(總計)"/>
      <sheetName val="表13-1"/>
      <sheetName val="TB"/>
      <sheetName val="Date"/>
      <sheetName val="COMBINE_IN"/>
      <sheetName val="Control"/>
      <sheetName val="Config"/>
      <sheetName val="Temp"/>
      <sheetName val="表30-15"/>
      <sheetName val="表26-2"/>
      <sheetName val="已收息部分"/>
      <sheetName val="EXCHANGE RATE"/>
      <sheetName val="100Q2original事務所提供之匯出檔全選貼上值"/>
      <sheetName val="101Q2original事務所提供之匯出檔全選貼上值"/>
      <sheetName val="BNP"/>
      <sheetName val="CTC"/>
      <sheetName val="Dreser"/>
      <sheetName val="Chase Fleming"/>
      <sheetName val="GS"/>
      <sheetName val="ICBC"/>
      <sheetName val="RUG0"/>
      <sheetName val="SSGA"/>
      <sheetName val="A-2-1"/>
      <sheetName val="A-3-1"/>
      <sheetName val="A-3-2"/>
      <sheetName val="表10-2 表報"/>
      <sheetName val="DB_Equity"/>
      <sheetName val="9703"/>
      <sheetName val="Tables"/>
      <sheetName val="Highlights"/>
      <sheetName val="F表24"/>
      <sheetName val="F表25-2"/>
      <sheetName val="表26-1"/>
      <sheetName val="PaymentCap"/>
      <sheetName val="PremCap"/>
      <sheetName val="Interest Rates"/>
      <sheetName val="表10-4"/>
      <sheetName val="表10-5"/>
      <sheetName val="表26"/>
      <sheetName val="parameter"/>
      <sheetName val="CONTROL ACCOUNT LOAN FR ALLTEL"/>
      <sheetName val="損益表(88)"/>
      <sheetName val="BBG"/>
      <sheetName val="成本底稿"/>
      <sheetName val="市價底稿"/>
      <sheetName val="變動表"/>
      <sheetName val="匯率"/>
      <sheetName val="備抵(季)"/>
      <sheetName val="壽險業月報表"/>
      <sheetName val="股本"/>
      <sheetName val="表06-1"/>
      <sheetName val="表10-3-1"/>
      <sheetName val="表10-6"/>
      <sheetName val="操作封面"/>
      <sheetName val="8.限額表"/>
      <sheetName val="現金流量表(工作底稿-列印)"/>
      <sheetName val="SCH15-1"/>
      <sheetName val="Chile Exhibit A"/>
      <sheetName val="現金流量表(工作底稿列印仟元)"/>
      <sheetName val="0601"/>
      <sheetName val="small card 基本資料0216_04"/>
      <sheetName val="A saisir"/>
      <sheetName val="FX rsv"/>
      <sheetName val="Staff"/>
      <sheetName val="外15薪基84"/>
      <sheetName val="專案課(全部)"/>
      <sheetName val="效團當月"/>
      <sheetName val="Sheet1"/>
      <sheetName val="表25-7"/>
      <sheetName val="表13-2"/>
      <sheetName val="歷史CashFlow"/>
      <sheetName val="current on+off"/>
      <sheetName val="分析表_Asset"/>
      <sheetName val="分析表_Income"/>
      <sheetName val="分析表_USD"/>
      <sheetName val="Account Description"/>
      <sheetName val="C計算"/>
      <sheetName val="CL3"/>
      <sheetName val="DBDept"/>
      <sheetName val="Projection"/>
      <sheetName val="Asset Table"/>
      <sheetName val="底稿"/>
      <sheetName val="1"/>
      <sheetName val="2"/>
      <sheetName val="3"/>
      <sheetName val="4"/>
      <sheetName val="5-20%"/>
      <sheetName val="6"/>
      <sheetName val="7"/>
      <sheetName val="8"/>
      <sheetName val="9"/>
      <sheetName val="10"/>
      <sheetName val="11"/>
      <sheetName val="Data Conv"/>
      <sheetName val="Investment Summary"/>
      <sheetName val="Data, Period"/>
      <sheetName val="CD"/>
      <sheetName val="MTM report"/>
      <sheetName val="cover "/>
      <sheetName val="Investment Yield (10)"/>
      <sheetName val="Monthly_Data"/>
      <sheetName val="Access_1"/>
      <sheetName val="表24(UPR)"/>
      <sheetName val="表24(UPR)_USD"/>
      <sheetName val="表25-1(Catastraphic)"/>
      <sheetName val="表25-1(Catastraphic)_USD"/>
      <sheetName val="表25-2(RiskVolatility)"/>
      <sheetName val="表25-2(RiskVolatility)_USD"/>
      <sheetName val="財報TB"/>
      <sheetName val="總表(明細)"/>
      <sheetName val="資料表"/>
      <sheetName val="壽險月報範本檔1"/>
      <sheetName val="Bond"/>
      <sheetName val="OBU定存"/>
      <sheetName val="MF"/>
      <sheetName val="Menu"/>
      <sheetName val="parameters"/>
      <sheetName val="DatosCalc"/>
      <sheetName val="Por Concepto"/>
      <sheetName val="DatPpto"/>
      <sheetName val="DatosCalcSocio"/>
      <sheetName val="Link"/>
      <sheetName val="B-1-1"/>
      <sheetName val="DirIncd"/>
      <sheetName val="DirIncdALAE"/>
      <sheetName val="IBNR(Select)"/>
      <sheetName val="AsmPaid"/>
      <sheetName val="AsmIncd"/>
      <sheetName val="AsmPaidALAE"/>
      <sheetName val="AsmIncdALAE"/>
      <sheetName val="CedPaid"/>
      <sheetName val="CedIncd"/>
      <sheetName val="CedPaidALAE"/>
      <sheetName val="CedIncdALAE"/>
      <sheetName val="損失率法計算IBNR"/>
      <sheetName val="IBNR(Pd_Incd)"/>
      <sheetName val="IBNR合理上下限計算"/>
      <sheetName val="AsmCumPaid"/>
      <sheetName val="CedCumPaid"/>
      <sheetName val="AsmCumPaidALAE"/>
      <sheetName val="CedCumPaidALAE"/>
      <sheetName val="AsmCumIncd"/>
      <sheetName val="CedCumIncd"/>
      <sheetName val="AsmCumIncdALAE"/>
      <sheetName val="CedCumIncdALAE"/>
      <sheetName val="函證程序"/>
      <sheetName val="IA1"/>
      <sheetName val="本月試算表"/>
      <sheetName val="OH by Qtr"/>
      <sheetName val="2Q96"/>
      <sheetName val="OH-CODE"/>
      <sheetName val="Expense Schedule (4)"/>
      <sheetName val="Table"/>
      <sheetName val="all_MOP"/>
      <sheetName val="life_MOP"/>
      <sheetName val="06月Equity"/>
      <sheetName val="表02-2"/>
      <sheetName val="表02-6"/>
      <sheetName val="表02-7"/>
      <sheetName val="表02-5"/>
      <sheetName val="表02-3"/>
      <sheetName val="表02-4"/>
      <sheetName val="表01-1"/>
      <sheetName val="Fixed Income (Life Funds)"/>
      <sheetName val="Costs"/>
      <sheetName val="CC80函證程序"/>
      <sheetName val="100.4.01.0010 現金及約當現金變動分析"/>
      <sheetName val="單月"/>
      <sheetName val="匯兌累計"/>
      <sheetName val="已實現損益"/>
      <sheetName val="彙總"/>
      <sheetName val="20150430FX-FREX239C_臺灣銀行遠匯及換"/>
      <sheetName val="評價表"/>
      <sheetName val="依商品種類"/>
      <sheetName val="依交易對手"/>
      <sheetName val="CCS"/>
      <sheetName val="FX Swap"/>
      <sheetName val="NDF"/>
      <sheetName val="FXForward"/>
      <sheetName val="核對申報數"/>
      <sheetName val="表10-3-1 (2)"/>
      <sheetName val="Sheet7"/>
      <sheetName val="eee"/>
      <sheetName val="表30-10"/>
      <sheetName val="表30-13"/>
      <sheetName val="表30-9"/>
      <sheetName val="A_TWCD"/>
      <sheetName val="A_TWWP"/>
      <sheetName val="BS"/>
      <sheetName val="Asset Allocation"/>
      <sheetName val="BrokerName"/>
      <sheetName val="不動產"/>
      <sheetName val="分公司預估再保費"/>
      <sheetName val="長火自留保費"/>
      <sheetName val="FNV0019明細帳"/>
      <sheetName val="股東權益變動表(列印)"/>
      <sheetName val="CT"/>
      <sheetName val="report"/>
      <sheetName val="report-input"/>
      <sheetName val="02TSO"/>
      <sheetName val="SystemREF"/>
      <sheetName val="Macros"/>
      <sheetName val="表02-1"/>
      <sheetName val="11.年金底稿"/>
      <sheetName val="21.Health底稿"/>
      <sheetName val="10.Life底稿"/>
      <sheetName val="13.UL底稿"/>
      <sheetName val="表05-1"/>
      <sheetName val="Engineering Net Agg"/>
      <sheetName val="VUL"/>
      <sheetName val="HC"/>
      <sheetName val="Input Screen"/>
      <sheetName val="表30-5"/>
      <sheetName val="COMM"/>
      <sheetName val="trans_10"/>
      <sheetName val="trans_15"/>
      <sheetName val="trans_20"/>
      <sheetName val="trans_6"/>
      <sheetName val="BUDGET"/>
      <sheetName val="ACTUAL TO BUDGET"/>
      <sheetName val="DBRate"/>
      <sheetName val="Holding"/>
      <sheetName val="Capital"/>
      <sheetName val="건물"/>
      <sheetName val="U_PER13"/>
      <sheetName val="U_PER14"/>
      <sheetName val="U_PER15"/>
      <sheetName val="台股總表(不含ETF)"/>
      <sheetName val="Controls"/>
      <sheetName val="CDMN490_F"/>
      <sheetName val="CDMN490_M"/>
      <sheetName val="CDMN497_F"/>
      <sheetName val="CDMN497_M"/>
      <sheetName val="CDMN550_F"/>
      <sheetName val="CDMN550_M"/>
      <sheetName val="CDMN650_F"/>
      <sheetName val="CDMN650_M"/>
      <sheetName val="PLAN_CODE"/>
      <sheetName val="Result"/>
      <sheetName val="TB Output(group)"/>
      <sheetName val="Documentation"/>
      <sheetName val="陣列"/>
      <sheetName val="CPIMR9111"/>
      <sheetName val="Data(P)"/>
      <sheetName val="歷史檔 "/>
      <sheetName val="3.股東權益變動表"/>
      <sheetName val="CappedLoss"/>
      <sheetName val="FC_Input"/>
      <sheetName val="PreQ_Input"/>
      <sheetName val="Business"/>
      <sheetName val="Ceded WP"/>
      <sheetName val="misc calcs"/>
      <sheetName val="Credit"/>
      <sheetName val="Interest"/>
      <sheetName val="Investment"/>
      <sheetName val="Life Reserves"/>
      <sheetName val="Premium"/>
      <sheetName val="Req Cap"/>
      <sheetName val="NonLife Reserves"/>
      <sheetName val="Inputs"/>
      <sheetName val="10408分類"/>
      <sheetName val="上市股票及基金beta值計算表"/>
      <sheetName val="上櫃股票beta值計算"/>
      <sheetName val="國內基金"/>
      <sheetName val="成本中心"/>
      <sheetName val="Price List"/>
      <sheetName val="260.0090 產品別銷售明細"/>
      <sheetName val="260.0030 應收票據明細"/>
      <sheetName val="260.0040 應收明細(外銷)"/>
      <sheetName val="260.0101 產品別排名"/>
      <sheetName val="USI_上海__客"/>
      <sheetName val="166101-11.22"/>
      <sheetName val="110.4.01.0100 函證程序"/>
      <sheetName val="930812"/>
      <sheetName val="共通データ"/>
      <sheetName val="設定"/>
      <sheetName val="企业表一"/>
      <sheetName val="M-5A"/>
      <sheetName val="M-5C"/>
      <sheetName val="April-beer"/>
      <sheetName val="OPEN ITEN KEY"/>
      <sheetName val="BY Client &amp; Region Aug"/>
      <sheetName val="Raw Data"/>
      <sheetName val="各公司保費收入與業管費用比率"/>
      <sheetName val="綜合評析"/>
      <sheetName val="各公司資金運用一覽表-1"/>
      <sheetName val="各公司損益彙計一覽表-1"/>
      <sheetName val="各項財務指標1"/>
      <sheetName val="各項財務指標2"/>
      <sheetName val="各公司保單繼續率一覽表"/>
      <sheetName val="各公司資金運用一覽表-2"/>
      <sheetName val="1-5各公司總保費與躉繳保費比較一覽表"/>
      <sheetName val="1-1各公司總保費收入一覽表"/>
      <sheetName val="QR20-1101"/>
      <sheetName val="4.損益表"/>
      <sheetName val="Category"/>
      <sheetName val="合建保證金收付款明細表"/>
      <sheetName val="在建土地"/>
      <sheetName val="總表-現(分類)"/>
      <sheetName val="收盤價"/>
      <sheetName val="表11-2"/>
      <sheetName val="表30-3-1"/>
      <sheetName val="表30-14"/>
      <sheetName val="表16-2-1"/>
      <sheetName val="表30-8"/>
      <sheetName val="表30-7-3"/>
      <sheetName val="表30-7-4"/>
      <sheetName val="表30-3-4"/>
      <sheetName val="表30-3-5"/>
      <sheetName val="表30-3-2"/>
      <sheetName val="表12-2"/>
      <sheetName val="表13-4"/>
      <sheetName val="表30-3-3"/>
      <sheetName val="表30-16"/>
      <sheetName val="表16-2-2"/>
      <sheetName val="表16-2-3"/>
      <sheetName val="for toppan"/>
      <sheetName val="Register"/>
      <sheetName val="NetPaid"/>
      <sheetName val="NetIncd"/>
      <sheetName val="NetPaidALAE"/>
      <sheetName val="NetIncdALAE"/>
      <sheetName val="損失率選定"/>
      <sheetName val="DirCumPaid"/>
      <sheetName val="直接滿期保費"/>
      <sheetName val="Balance"/>
      <sheetName val="DirCumPaidALAE"/>
      <sheetName val="DirCumIncd"/>
      <sheetName val="DirCumIncdALAE"/>
      <sheetName val="NetCumPaid"/>
      <sheetName val="自留滿期保費"/>
      <sheetName val="NetCumIncd"/>
      <sheetName val="NetCumPaidALAE"/>
      <sheetName val="NetCumIncdALAE"/>
      <sheetName val="DirPaid"/>
      <sheetName val="DirPaidALAE"/>
      <sheetName val="C2彙整"/>
      <sheetName val="C3彙整"/>
      <sheetName val="AUTOFEED"/>
      <sheetName val="參數不可刪"/>
      <sheetName val="函證對象"/>
      <sheetName val="直接材料"/>
      <sheetName val="100.0022銀行存款明細表"/>
      <sheetName val="100.0010 現金及約當現金變動分析"/>
      <sheetName val="100.4.01.0010 BB100現金及約當現金變動分析"/>
      <sheetName val="基金"/>
      <sheetName val="申請更正表"/>
      <sheetName val="表27-1"/>
      <sheetName val="表27-2"/>
      <sheetName val="表27-3"/>
      <sheetName val="表28"/>
      <sheetName val="表29"/>
      <sheetName val="Code"/>
      <sheetName val="RBC月份&amp;Check list"/>
      <sheetName val="Pre-report"/>
      <sheetName val="OldBank"/>
      <sheetName val="Section"/>
      <sheetName val="表21 净利润调节表"/>
      <sheetName val="110.0100 函證程序(核閱不執行)-未用"/>
      <sheetName val="110.0011 基金變動表(財)"/>
      <sheetName val="발생집계"/>
      <sheetName val="Information"/>
      <sheetName val="Total"/>
      <sheetName val="PayrollDetail"/>
      <sheetName val="XLR_NoRangeSheet"/>
      <sheetName val="2聯往息(台幣)"/>
      <sheetName val="C1-1"/>
      <sheetName val="C1-2"/>
      <sheetName val="Eng Net Agg - All"/>
      <sheetName val="Cover Page"/>
      <sheetName val="Parm"/>
      <sheetName val="Data1"/>
      <sheetName val="Last year data"/>
      <sheetName val="Summary by Table"/>
      <sheetName val="Delete"/>
      <sheetName val="Claim_Data"/>
      <sheetName val="EL_Data"/>
      <sheetName val="2015年供应商进货"/>
      <sheetName val="轉換"/>
      <sheetName val="各年度IBNR"/>
      <sheetName val="Cash Flow"/>
      <sheetName val="土地鑑定表"/>
      <sheetName val="Reported_Res Group"/>
      <sheetName val="info"/>
      <sheetName val="TG56"/>
      <sheetName val="CLN"/>
      <sheetName val="Basic Data"/>
      <sheetName val="3_3年攤銷攤銷表"/>
      <sheetName val="表09-1"/>
      <sheetName val="表12-1"/>
      <sheetName val="表23 (行配後-刪除負債項IDMD準備金)"/>
      <sheetName val="Canada"/>
      <sheetName val="Sheet5"/>
      <sheetName val="Sheet4"/>
      <sheetName val="產量值-09"/>
      <sheetName val="產量值-01"/>
      <sheetName val="產量值-02"/>
      <sheetName val="產量值-03"/>
      <sheetName val="產量值-04"/>
      <sheetName val="產量值-05"/>
      <sheetName val="產量值-06"/>
      <sheetName val="產量值-07"/>
      <sheetName val="產量值-08"/>
      <sheetName val="產量值-10"/>
      <sheetName val="產量值-11"/>
      <sheetName val="產量值-12"/>
      <sheetName val="銷量值-01"/>
      <sheetName val="銷量值-02"/>
      <sheetName val="銷量值-03"/>
      <sheetName val="銷量值-04"/>
      <sheetName val="銷量值-05"/>
      <sheetName val="銷量值-06"/>
      <sheetName val="銷量值-07"/>
      <sheetName val="銷量值-08"/>
      <sheetName val="銷量值-09"/>
      <sheetName val="銷量值-10"/>
      <sheetName val="銷量值-11"/>
      <sheetName val="銷量值-12"/>
      <sheetName val="试算平衡表"/>
      <sheetName val="9m2w"/>
      <sheetName val="ASSIST"/>
      <sheetName val="DATA_Output"/>
      <sheetName val="一般資料GF-2-2"/>
      <sheetName val="不可刪除"/>
      <sheetName val="100.0010現金及約當現金變動分析"/>
      <sheetName val="TWD-PTD_Accounting"/>
      <sheetName val="D-1-1"/>
      <sheetName val="現金流量表(工作底稿列印)"/>
      <sheetName val="損益表(列印)"/>
      <sheetName val="資產負債表(列印)"/>
      <sheetName val="C2.POS(080)"/>
      <sheetName val="Period"/>
      <sheetName val="廣告費比較表"/>
      <sheetName val="費用比較表"/>
      <sheetName val="研究差異（一）"/>
      <sheetName val="製造差異（一）"/>
      <sheetName val="製造差異（二）"/>
      <sheetName val="製造差異（三）"/>
      <sheetName val="製造差異（四）"/>
      <sheetName val="營業差異（一）"/>
      <sheetName val="營業差異（二）"/>
      <sheetName val="list"/>
      <sheetName val="CAPA분석 360K"/>
      <sheetName val="基"/>
      <sheetName val="發行人信用評等"/>
      <sheetName val="100.0010 現金變動分析"/>
      <sheetName val="10月"/>
      <sheetName val="100.0011 外幣現金及銀行存款明細"/>
      <sheetName val="100.0011貨幣資金明細表"/>
      <sheetName val="260.0021 應收帳款明細表"/>
      <sheetName val="260.0030 備抵呆帳損失變動表"/>
      <sheetName val="CREDITS"/>
      <sheetName val="出荷データ"/>
      <sheetName val="完成データ"/>
    </sheetNames>
    <sheetDataSet>
      <sheetData sheetId="0" refreshError="1"/>
      <sheetData sheetId="1" refreshError="1"/>
      <sheetData sheetId="2" refreshError="1"/>
      <sheetData sheetId="3" refreshError="1">
        <row r="224">
          <cell r="A224" t="str">
            <v>評價合計</v>
          </cell>
        </row>
      </sheetData>
      <sheetData sheetId="4" refreshError="1">
        <row r="43">
          <cell r="A43" t="str">
            <v>科目代號</v>
          </cell>
        </row>
      </sheetData>
      <sheetData sheetId="5" refreshError="1">
        <row r="48">
          <cell r="A48" t="str">
            <v>科目代號</v>
          </cell>
        </row>
      </sheetData>
      <sheetData sheetId="6" refreshError="1">
        <row r="52">
          <cell r="A52" t="str">
            <v>科目代號</v>
          </cell>
        </row>
      </sheetData>
      <sheetData sheetId="7" refreshError="1">
        <row r="50">
          <cell r="A50" t="str">
            <v>科目代號</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row r="24">
          <cell r="A24">
            <v>0</v>
          </cell>
        </row>
      </sheetData>
      <sheetData sheetId="16" refreshError="1">
        <row r="38">
          <cell r="G38">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7">
          <cell r="E7">
            <v>0</v>
          </cell>
        </row>
        <row r="8">
          <cell r="E8">
            <v>0</v>
          </cell>
        </row>
        <row r="9">
          <cell r="E9">
            <v>0</v>
          </cell>
        </row>
        <row r="10">
          <cell r="E10">
            <v>0</v>
          </cell>
        </row>
        <row r="11">
          <cell r="E11">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
      <sheetName val="Ls Paid"/>
      <sheetName val="Ls Exp"/>
      <sheetName val="SOR"/>
      <sheetName val="UeprYb"/>
      <sheetName val="UeprYe"/>
      <sheetName val="OslrYb"/>
      <sheetName val="OslrYe"/>
      <sheetName val="PrmYtd"/>
      <sheetName val="UeprData"/>
      <sheetName val="BalOC"/>
      <sheetName val="Treaty Result"/>
      <sheetName val="3"/>
      <sheetName val="表02(負債業主權益)"/>
      <sheetName val="表03"/>
      <sheetName val="表09"/>
      <sheetName val="表11(總計)"/>
      <sheetName val="表01"/>
      <sheetName val="表02(資產附表)"/>
      <sheetName val="表02(資產)"/>
      <sheetName val="表10"/>
      <sheetName val="表15(合併列示及總計)"/>
      <sheetName val="Currency"/>
      <sheetName val="2006(JPY)"/>
      <sheetName val="死利差互抵增提"/>
    </sheetNames>
    <sheetDataSet>
      <sheetData sheetId="0" refreshError="1">
        <row r="3">
          <cell r="D3" t="str">
            <v>May 31, 2001</v>
          </cell>
        </row>
      </sheetData>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1-6"/>
      <sheetName val="表02-1"/>
      <sheetName val="表02-2"/>
      <sheetName val="表02-3"/>
      <sheetName val="表02-4"/>
      <sheetName val="表02-5"/>
      <sheetName val="表02-6"/>
      <sheetName val="表02-7"/>
      <sheetName val="Form2_2B"/>
      <sheetName val="表02(負債業主權益)"/>
      <sheetName val="表03"/>
      <sheetName val="表09"/>
      <sheetName val="表11(總計)"/>
      <sheetName val="表01"/>
      <sheetName val="表02(資產附表)"/>
      <sheetName val="表02(資產)"/>
      <sheetName val="表10"/>
      <sheetName val="表15(合併列示及總計)"/>
      <sheetName val="3.股東權益變動表"/>
      <sheetName val="Sheet1"/>
      <sheetName val="基金"/>
      <sheetName val="Sheet2"/>
      <sheetName val="申報書-17頁"/>
      <sheetName val="TB Output(group)"/>
      <sheetName val="Holidays"/>
      <sheetName val="210"/>
      <sheetName val="EXCHANGE RATE"/>
      <sheetName val="BNP"/>
      <sheetName val="CTC"/>
      <sheetName val="Dreser"/>
      <sheetName val="Chase Fleming"/>
      <sheetName val="GS"/>
      <sheetName val="ICBC"/>
      <sheetName val="RUG0"/>
      <sheetName val="SSGA"/>
      <sheetName val="1998 Ind. exp"/>
      <sheetName val="成本底稿"/>
      <sheetName val="市價底稿"/>
      <sheetName val="變動表"/>
      <sheetName val="9303N"/>
      <sheetName val="9304N"/>
      <sheetName val="9305N"/>
      <sheetName val="9306N"/>
      <sheetName val="9307N"/>
      <sheetName val="9308N"/>
      <sheetName val="9309N"/>
      <sheetName val="9310N"/>
      <sheetName val="9311N"/>
      <sheetName val="9312N (2)"/>
      <sheetName val="預定利率"/>
      <sheetName val="Prem"/>
      <sheetName val="明細表"/>
      <sheetName val="IndExp-1996"/>
      <sheetName val="P&amp;L-Act-1997"/>
      <sheetName val="BS-1997"/>
      <sheetName val="Compare"/>
      <sheetName val="AccumulateData"/>
      <sheetName val="MonthData"/>
      <sheetName val="不動產"/>
      <sheetName val="GLS306"/>
      <sheetName val="GLS333"/>
      <sheetName val="A11.15 附件cashflow(國壽)"/>
      <sheetName val="A-2-1"/>
      <sheetName val="A-3-1"/>
      <sheetName val="A-3-2"/>
      <sheetName val="89年下"/>
      <sheetName val="保費收入"/>
      <sheetName val="CTPL-12"/>
      <sheetName val="表07(總計)"/>
      <sheetName val="表06"/>
      <sheetName val="Hyperion"/>
      <sheetName val="Assumptions"/>
      <sheetName val="Risk Transfer"/>
      <sheetName val="Risk Finance"/>
      <sheetName val="Risk Management"/>
      <sheetName val="HY Public Only"/>
      <sheetName val="A1Data"/>
      <sheetName val="Fanta Honeydew"/>
      <sheetName val="Fanta pineapple"/>
      <sheetName val="02TSO"/>
      <sheetName val="13 - Treaty Result"/>
      <sheetName val="整理"/>
      <sheetName val="試算表"/>
      <sheetName val="HB1"/>
      <sheetName val="DBDept"/>
      <sheetName val="(Sum-F1)"/>
      <sheetName val="表05-1"/>
      <sheetName val="基本資料"/>
      <sheetName val="BS EX-RATE 2000.11 "/>
      <sheetName val="AIA"/>
      <sheetName val="FNV0019明細帳"/>
      <sheetName val="3_股東權益變動表"/>
      <sheetName val="1998_Ind__exp"/>
      <sheetName val="TB_Output(group)"/>
      <sheetName val="EXCHANGE_RATE"/>
      <sheetName val="Chase_Fleming"/>
      <sheetName val="9312N_(2)"/>
      <sheetName val="GDRY1(A)"/>
      <sheetName val="GDRY2(A)"/>
      <sheetName val="GDRQ1(A)"/>
      <sheetName val="GDRQ2(A)"/>
      <sheetName val="NP"/>
      <sheetName val="RV"/>
      <sheetName val="表13-1"/>
      <sheetName val="GMAP"/>
      <sheetName val="Summary"/>
      <sheetName val="General Parameters"/>
      <sheetName val="input"/>
      <sheetName val="TB"/>
      <sheetName val="GAAP"/>
      <sheetName val="Assump"/>
      <sheetName val="A11_15_附件cashflow(國壽)"/>
      <sheetName val="DATA"/>
      <sheetName val="#REF"/>
      <sheetName val="Parameters"/>
      <sheetName val="Account Description"/>
      <sheetName val="明細"/>
      <sheetName val="AB表"/>
      <sheetName val="Summary_ISA"/>
      <sheetName val="Summary_ISB"/>
      <sheetName val="89TSO"/>
      <sheetName val="Cal"/>
      <sheetName val="Load"/>
      <sheetName val="Calc_TM"/>
      <sheetName val="General"/>
      <sheetName val="Rapprochement"/>
      <sheetName val="Data source"/>
      <sheetName val="XLR_NoRangeSheet"/>
      <sheetName val="Pre-report"/>
      <sheetName val="Mapping"/>
      <sheetName val="COI"/>
      <sheetName val="UPRcap"/>
      <sheetName val="OSLR"/>
      <sheetName val="OSLR Adj"/>
      <sheetName val="Payment"/>
      <sheetName val="F表25-1"/>
      <sheetName val="資料規則表"/>
      <sheetName val="U_PER13"/>
      <sheetName val="U_PER14"/>
      <sheetName val="U_PER15"/>
      <sheetName val="Asset Table"/>
      <sheetName val="CA_58"/>
    </sheetNames>
    <sheetDataSet>
      <sheetData sheetId="0"/>
      <sheetData sheetId="1"/>
      <sheetData sheetId="2" refreshError="1">
        <row r="23">
          <cell r="B23" t="str">
            <v>註：本聲明書請於簽章後製成電子檔(.pdf),並請以另存新檔傳送,本表編檔格式如公司代號-092-01-1.pdf</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動態基本資料"/>
      <sheetName val="公司基本資料"/>
      <sheetName val="表01"/>
      <sheetName val="表02(資產)"/>
      <sheetName val="表02(資產附表)"/>
      <sheetName val="表02(負債業主權益)"/>
      <sheetName val="表03"/>
      <sheetName val="表04"/>
      <sheetName val="表04-1"/>
      <sheetName val="表04-2"/>
      <sheetName val="表04-3"/>
      <sheetName val="表05"/>
      <sheetName val="表06"/>
      <sheetName val="表07"/>
      <sheetName val="表07(總計)"/>
      <sheetName val="表08"/>
      <sheetName val="表09"/>
      <sheetName val="適法性稽核"/>
      <sheetName val="表09(總計)"/>
      <sheetName val="表10"/>
      <sheetName val="表10(總計)"/>
      <sheetName val="表11"/>
      <sheetName val="表11(合併列示及總計)"/>
      <sheetName val="表12"/>
      <sheetName val="表12(總計)"/>
      <sheetName val="表13"/>
      <sheetName val="表13(總計)"/>
      <sheetName val="表14"/>
      <sheetName val="表14(總計)"/>
      <sheetName val="表15"/>
      <sheetName val="表15-1"/>
      <sheetName val="表15圖示"/>
      <sheetName val="表16"/>
      <sheetName val="表16(總計)"/>
      <sheetName val="表17"/>
      <sheetName val="格式檢查"/>
      <sheetName val="數學勾稽"/>
      <sheetName val="合理性稽核"/>
      <sheetName val="引申變數"/>
      <sheetName val="代碼資料"/>
      <sheetName val="轉檔資訊"/>
      <sheetName val="CompD"/>
      <sheetName val="表01-1"/>
      <sheetName val="表02-1"/>
      <sheetName val="表02-2"/>
      <sheetName val="表02-3"/>
      <sheetName val="表02-4"/>
      <sheetName val="表02-5"/>
      <sheetName val="表02-6"/>
      <sheetName val="表02-7"/>
      <sheetName val="Sheet2"/>
      <sheetName val="表11(總計)"/>
      <sheetName val="表15(合併列示及總計)"/>
      <sheetName val="Sheet1"/>
      <sheetName val="sch15-1(Sep03)"/>
      <sheetName val="表07-2"/>
      <sheetName val="Summary"/>
      <sheetName val="死利差互抵增提"/>
      <sheetName val="A1Data"/>
      <sheetName val="9501"/>
      <sheetName val="CreditRate"/>
      <sheetName val="Prophet"/>
      <sheetName val="表9"/>
      <sheetName val="Index"/>
      <sheetName val="Input Actual"/>
      <sheetName val="Input Prior"/>
      <sheetName val="Adj"/>
      <sheetName val="表13-1"/>
      <sheetName val="TBForm"/>
      <sheetName val="1205-表28 "/>
      <sheetName val="月報簡表"/>
      <sheetName val="Main"/>
      <sheetName val="B-1-1"/>
      <sheetName val="P87426_Interest Credit"/>
      <sheetName val="P87428_Interest Credit"/>
      <sheetName val="P66058"/>
      <sheetName val="P66059"/>
      <sheetName val="P87427_Interest Credit"/>
      <sheetName val="P87429_Interest Credit"/>
      <sheetName val="P87430_Universal"/>
      <sheetName val="P87431"/>
      <sheetName val="P87432_Universal"/>
      <sheetName val="P87433"/>
      <sheetName val="P89957_GIMD(TSY)"/>
      <sheetName val="P89958"/>
      <sheetName val="P89959_GIMD(MBS)"/>
      <sheetName val="P89960"/>
      <sheetName val="P89975"/>
      <sheetName val="P89976"/>
      <sheetName val="P89977"/>
      <sheetName val="申報書-17頁"/>
      <sheetName val="初年損data"/>
      <sheetName val="General Parameters"/>
      <sheetName val="清單選項"/>
      <sheetName val="表12-1"/>
      <sheetName val="AB表"/>
      <sheetName val="不動產"/>
      <sheetName val="Temp"/>
      <sheetName val="SCR_UPR"/>
      <sheetName val="data_它項理賠準備"/>
      <sheetName val="E"/>
      <sheetName val="X"/>
      <sheetName val="新增商品資料"/>
      <sheetName val="ListData"/>
      <sheetName val="Treasury Ticket"/>
      <sheetName val="3.每日收盤維護"/>
      <sheetName val="BS EX-RATE 2000.11 "/>
      <sheetName val="Config"/>
      <sheetName val="Control"/>
      <sheetName val="Documentation"/>
      <sheetName val="Account Description"/>
      <sheetName val="LT"/>
      <sheetName val="CT"/>
      <sheetName val="W"/>
      <sheetName val="基金"/>
      <sheetName val="K001"/>
      <sheetName val="0-2.資料聯"/>
      <sheetName val="0-1.基本資料"/>
      <sheetName val="表06-3"/>
      <sheetName val="IA1"/>
      <sheetName val="plan"/>
      <sheetName val="0601"/>
      <sheetName val="3.股東權益變動表"/>
      <sheetName val="9404定存債券"/>
      <sheetName val="Figures"/>
      <sheetName val="分公司預估再保費"/>
      <sheetName val="長火自留保費"/>
      <sheetName val="Budget"/>
      <sheetName val="Data2003"/>
      <sheetName val="Pre-report"/>
      <sheetName val="Mapping"/>
      <sheetName val="Interest rate"/>
      <sheetName val="Query_Trad_IF"/>
      <sheetName val="Query_Trad_RPU"/>
      <sheetName val="Query_VUL"/>
      <sheetName val="9206國泰世紀月報"/>
      <sheetName val="TB Output"/>
      <sheetName val="Score Card"/>
      <sheetName val="Info"/>
      <sheetName val="Parameters"/>
      <sheetName val="Tables"/>
      <sheetName val="預定利率"/>
      <sheetName val="A11.15 附件cashflow(國壽)"/>
      <sheetName val="Prem"/>
      <sheetName val="FX_Swap"/>
      <sheetName val="check"/>
      <sheetName val="TSO_100"/>
      <sheetName val="GLS306"/>
      <sheetName val="URA"/>
      <sheetName val="TB"/>
      <sheetName val="表05(個人契約)"/>
      <sheetName val="Holidays"/>
      <sheetName val="Product Family"/>
      <sheetName val="assump"/>
      <sheetName val="未入帳分錄(財務部預估)"/>
      <sheetName val="PL"/>
      <sheetName val="Data"/>
      <sheetName val="zsdr82 Tab."/>
      <sheetName val="香港分公司-STOCK"/>
      <sheetName val="科目库"/>
      <sheetName val="COMM"/>
      <sheetName val="trans_10"/>
      <sheetName val="trans_15"/>
      <sheetName val="trans_20"/>
      <sheetName val="trans_6"/>
      <sheetName val="股權變動表"/>
      <sheetName val="6%. 8%佔率"/>
      <sheetName val="行動方案-稽核室(92年)"/>
      <sheetName val="Links"/>
      <sheetName val="Input_Actual"/>
      <sheetName val="Input_Prior"/>
      <sheetName val="TM"/>
      <sheetName val="表1"/>
      <sheetName val="CONTROL ACCOUNT LOAN FR ALLTEL"/>
      <sheetName val="values"/>
      <sheetName val="Mapping tables"/>
      <sheetName val="異動"/>
      <sheetName val="A2"/>
      <sheetName val="Reported_Res Group"/>
      <sheetName val="NR"/>
      <sheetName val="NP"/>
      <sheetName val="EDI"/>
      <sheetName val="Table"/>
      <sheetName val="agm STARR Bal"/>
      <sheetName val="dbase"/>
      <sheetName val="MER_EDW Map to PSoft"/>
      <sheetName val="資料規則表"/>
      <sheetName val="Cardif Leven Belgique"/>
      <sheetName val="TBFin KLVFG"/>
      <sheetName val="Hyperion"/>
      <sheetName val="02TSO"/>
      <sheetName val="RV"/>
      <sheetName val="Base"/>
      <sheetName val="Input"/>
      <sheetName val="Rapprochement"/>
      <sheetName val="XREF"/>
      <sheetName val="股東可扣抵稅額查核說明(簡式)"/>
      <sheetName val="Variance"/>
      <sheetName val="API"/>
      <sheetName val="Inv"/>
      <sheetName val="FS清单"/>
      <sheetName val="DM"/>
      <sheetName val="201209"/>
      <sheetName val="B4"/>
      <sheetName val="B3"/>
      <sheetName val="income_tax"/>
      <sheetName val="income_tax_06"/>
      <sheetName val="sales_tax"/>
      <sheetName val="sales_tax_06"/>
      <sheetName val="vat_input"/>
      <sheetName val="vat_output"/>
      <sheetName val="vat_input_transfer_out"/>
      <sheetName val="vat_paid"/>
      <sheetName val="进场保证金1"/>
      <sheetName val="其他應收款"/>
      <sheetName val="應付費用及其他應付款"/>
      <sheetName val="現金及約當現金"/>
      <sheetName val="管總費用"/>
      <sheetName val="備供出售金融資產-流動"/>
      <sheetName val="Statement of Ops 1"/>
      <sheetName val="表21 净利润调节表"/>
      <sheetName val="科目?"/>
      <sheetName val="2350-May'03"/>
      <sheetName val="L3-1 AR ageing list"/>
      <sheetName val="PRC 15"/>
      <sheetName val="9611"/>
      <sheetName val="9609"/>
      <sheetName val="9610"/>
      <sheetName val="9706"/>
      <sheetName val="9704"/>
      <sheetName val="9708"/>
      <sheetName val="9705"/>
      <sheetName val="9701"/>
      <sheetName val="9612"/>
      <sheetName val="企业表一"/>
      <sheetName val="M-5A"/>
      <sheetName val="M-5C"/>
      <sheetName val="84IS"/>
      <sheetName val="科目_"/>
      <sheetName val="價格"/>
      <sheetName val="rev03kh"/>
      <sheetName val="12月維修板"/>
      <sheetName val="USI_上海__客"/>
      <sheetName val="基"/>
      <sheetName val="股東權益變動表(列印)"/>
      <sheetName val="現金流量表(列印)"/>
      <sheetName val="#REF"/>
      <sheetName val="9401"/>
      <sheetName val="本月死差_不分通路_累計_"/>
      <sheetName val="表12(9102) "/>
      <sheetName val="试算平衡表"/>
      <sheetName val="DBDept"/>
      <sheetName val="Menu"/>
      <sheetName val="專案課(全部)"/>
      <sheetName val="已收息部分"/>
      <sheetName val="表07_總計_"/>
      <sheetName val="產_表05"/>
      <sheetName val="產_表04-1"/>
      <sheetName val="HY Public Only"/>
      <sheetName val="AIA"/>
      <sheetName val="ScaleFac"/>
      <sheetName val="ICOS&amp;IBNR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5">
          <cell r="G35">
            <v>2691704966</v>
          </cell>
        </row>
      </sheetData>
      <sheetData sheetId="14" refreshError="1"/>
      <sheetData sheetId="15" refreshError="1">
        <row r="40">
          <cell r="E40">
            <v>3721458781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目錄"/>
      <sheetName val="表01-1"/>
      <sheetName val="表01-2"/>
      <sheetName val="表01-3"/>
      <sheetName val="表01-4"/>
      <sheetName val="表01-5"/>
      <sheetName val="表02-1"/>
      <sheetName val="表02-2"/>
      <sheetName val="表02-3"/>
      <sheetName val="表02-4"/>
      <sheetName val="表02-5"/>
      <sheetName val="表02-6"/>
      <sheetName val="表02-7"/>
      <sheetName val="表03 "/>
      <sheetName val="表04"/>
      <sheetName val="表05-1"/>
      <sheetName val="表05-2"/>
      <sheetName val="表06"/>
      <sheetName val="表07-1"/>
      <sheetName val="表07-2"/>
      <sheetName val="表08-1"/>
      <sheetName val="表08-2"/>
      <sheetName val="表09-1"/>
      <sheetName val="表09-2"/>
      <sheetName val="表10-1"/>
      <sheetName val="表10-2"/>
      <sheetName val="表10-3"/>
      <sheetName val="表10-4"/>
      <sheetName val="表10-5"/>
      <sheetName val="表11-1"/>
      <sheetName val="表11-2"/>
      <sheetName val=" 表12-1"/>
      <sheetName val="表12-2"/>
      <sheetName val="表12-3"/>
      <sheetName val="表12-4"/>
      <sheetName val="表13-1"/>
      <sheetName val="表13-2"/>
      <sheetName val="表13-3"/>
      <sheetName val="表14-1"/>
      <sheetName val="表14-2"/>
      <sheetName val="表14-3"/>
      <sheetName val="表14-4"/>
      <sheetName val="表14-5"/>
      <sheetName val="表15"/>
      <sheetName val="表16-1 "/>
      <sheetName val="表16-2"/>
      <sheetName val="表17"/>
      <sheetName val="表18"/>
      <sheetName val="表19-1"/>
      <sheetName val="表19-2"/>
      <sheetName val="表19-3 "/>
      <sheetName val="表19-4"/>
      <sheetName val="表19-5"/>
      <sheetName val="表20"/>
      <sheetName val="表21-1"/>
      <sheetName val="表21-2"/>
      <sheetName val="表21-3"/>
      <sheetName val="表21-4"/>
      <sheetName val="表21-5"/>
      <sheetName val="表21-6"/>
      <sheetName val="表21-7"/>
      <sheetName val="表21-8"/>
      <sheetName val="表22-1"/>
      <sheetName val="表22-2"/>
      <sheetName val="表23"/>
      <sheetName val="表24"/>
      <sheetName val="表25-1"/>
      <sheetName val="表25-2"/>
      <sheetName val="表25-3"/>
      <sheetName val="表26-1"/>
      <sheetName val="表26-2"/>
      <sheetName val="表27"/>
      <sheetName val="表28"/>
      <sheetName val="表29"/>
      <sheetName val="表30-1"/>
      <sheetName val="表30-2"/>
      <sheetName val="表30-3"/>
      <sheetName val="表30-4"/>
      <sheetName val="表30-5"/>
      <sheetName val="表30-6"/>
      <sheetName val="表30-7"/>
      <sheetName val="表30-8"/>
      <sheetName val="表30-9"/>
      <sheetName val="表30-10"/>
      <sheetName val="表30-11"/>
      <sheetName val="表30-12"/>
      <sheetName val="表07(總計)"/>
      <sheetName val="Sheet1"/>
      <sheetName val="表02(負債業主權益)"/>
      <sheetName val="表03"/>
      <sheetName val="表09"/>
      <sheetName val="表11(總計)"/>
      <sheetName val="表01"/>
      <sheetName val="表02(資產附表)"/>
      <sheetName val="表02(資產)"/>
      <sheetName val="表10"/>
      <sheetName val="表15(合併列示及總計)"/>
      <sheetName val="TBForm"/>
      <sheetName val="表14"/>
      <sheetName val="表12-債RP.TB"/>
      <sheetName val="表13-短票"/>
      <sheetName val="AB表"/>
      <sheetName val="Mof表12"/>
      <sheetName val="Mof表17"/>
      <sheetName val="C-1"/>
      <sheetName val="Input Actual"/>
      <sheetName val="Input Prior"/>
      <sheetName val="Sheet3"/>
      <sheetName val="5DAYRPT "/>
      <sheetName val="Sheet2"/>
      <sheetName val="清單選項"/>
      <sheetName val="表05(個人契約)"/>
      <sheetName val="表13"/>
      <sheetName val="sch15-1(Sep03)"/>
      <sheetName val="表12"/>
      <sheetName val="Adj"/>
      <sheetName val="1205-表28 "/>
      <sheetName val="Config"/>
      <sheetName val="Control"/>
      <sheetName val="Holidays"/>
      <sheetName val="月報簡表"/>
      <sheetName val="資料更新"/>
      <sheetName val="Main"/>
      <sheetName val="01_財企資產(貼值)&amp;資料更新output"/>
      <sheetName val="K001"/>
      <sheetName val="0-2.資料聯"/>
      <sheetName val="0-1.基本資料"/>
      <sheetName val="pcbo 工時"/>
      <sheetName val="MACRO"/>
      <sheetName val="LT"/>
      <sheetName val="CT"/>
      <sheetName val="W"/>
      <sheetName val="IA1"/>
      <sheetName val="check"/>
      <sheetName val="表06-3"/>
      <sheetName val="930212壽險業年度檢查報表--說明會版 (1)-更新表30"/>
      <sheetName val="9404定存債券"/>
      <sheetName val="不動產"/>
      <sheetName val="ref"/>
      <sheetName val="Data"/>
      <sheetName val="Mapping"/>
      <sheetName val="一般資料GF-2-2"/>
      <sheetName val="調整"/>
      <sheetName val="帳外調整"/>
      <sheetName val="Module1"/>
      <sheetName val="Module3"/>
      <sheetName val="資產負債表A-1"/>
      <sheetName val="損益表A-2"/>
      <sheetName val="管銷研費用明細A2-1"/>
      <sheetName val="用人費用等功能別彙總"/>
      <sheetName val="營業成本表A-3"/>
      <sheetName val="製造(工程)費用A-4"/>
      <sheetName val="其他成本加項A-4-1"/>
      <sheetName val="其他費用A-5"/>
      <sheetName val="營業外收入A-6"/>
      <sheetName val="營業外支出A-7"/>
      <sheetName val="投資抵減查核A-8"/>
      <sheetName val="BS分析A-300"/>
      <sheetName val="IS分析A-300-1"/>
      <sheetName val="TC發票"/>
      <sheetName val="401進項核算"/>
      <sheetName val="TE調節表"/>
      <sheetName val="TF-1限額"/>
      <sheetName val="TF-2限額"/>
      <sheetName val="b"/>
      <sheetName val="C"/>
      <sheetName val="d"/>
      <sheetName val="E"/>
      <sheetName val="F"/>
      <sheetName val="F-100"/>
      <sheetName val="G"/>
      <sheetName val="利息資本化"/>
      <sheetName val="J"/>
      <sheetName val="J-1"/>
      <sheetName val="J2"/>
      <sheetName val="I"/>
      <sheetName val="K"/>
      <sheetName val="L"/>
      <sheetName val="M、M-200"/>
      <sheetName val="M-100"/>
      <sheetName val="資產負債表 "/>
      <sheetName val="損益表"/>
      <sheetName val="股東權益變動表"/>
      <sheetName val="現金流量表"/>
      <sheetName val="財務比例分析"/>
      <sheetName val="Module2"/>
      <sheetName val="s03"/>
      <sheetName val="雜項設備"/>
      <sheetName val="辦公設備"/>
      <sheetName val="機械設備"/>
      <sheetName val="機械設備-(臺購)"/>
      <sheetName val="運輸設備"/>
      <sheetName val="租賃改良"/>
      <sheetName val="930812"/>
      <sheetName val="Tables"/>
      <sheetName val="CompD"/>
      <sheetName val="評価書"/>
      <sheetName val="Documentation"/>
      <sheetName val="股東可扣抵稅額查核說明(簡式)"/>
      <sheetName val="資產區隔代碼及說明"/>
      <sheetName val="Summary"/>
      <sheetName val="Form2_2B"/>
      <sheetName val="PL"/>
      <sheetName val="100.0010 現金及約當現金變動分析"/>
      <sheetName val="100.0012銀行存款明細表"/>
      <sheetName val="100.0060 外幣評價彙總"/>
      <sheetName val="100.0071 利息合理性分析"/>
      <sheetName val="PRC 13"/>
      <sheetName val="Sum-by bgt center"/>
      <sheetName val="assump"/>
      <sheetName val="表03_"/>
      <sheetName val="_表12-1"/>
      <sheetName val="表16-1_"/>
      <sheetName val="表19-3_"/>
      <sheetName val="表12-債RP_TB"/>
      <sheetName val="Input_Actual"/>
      <sheetName val="Input_Prior"/>
      <sheetName val="5DAYRPT_"/>
      <sheetName val="1205-表28_"/>
      <sheetName val="0-2_資料聯"/>
      <sheetName val="0-1_基本資料"/>
      <sheetName val="pcbo_工時"/>
      <sheetName val="2-11-8(10312)"/>
      <sheetName val="2-11-8(10412)"/>
      <sheetName val="2-11-8(10512)"/>
      <sheetName val="Input"/>
      <sheetName val="02TSO"/>
      <sheetName val="#45 G&amp;A Expense (YTD)"/>
      <sheetName val="TB"/>
      <sheetName val="B-1-1"/>
      <sheetName val="表9"/>
      <sheetName val="表10-3-1"/>
      <sheetName val="TSO_100"/>
      <sheetName val="債務商品分類判斷選單選項"/>
      <sheetName val="表12-1"/>
      <sheetName val="函證程序"/>
      <sheetName val="贴入资产负债表"/>
      <sheetName val="BS"/>
      <sheetName val="贴入损益表"/>
      <sheetName val="贴入现金流量表"/>
      <sheetName val="损益计算表 "/>
      <sheetName val="固定资产变动表"/>
      <sheetName val="应收帐款帐龄分析表"/>
      <sheetName val="【A】Construction - Incomplete"/>
      <sheetName val="【B】Construction - Complete"/>
      <sheetName val="股票"/>
      <sheetName val="基金"/>
      <sheetName val="GB"/>
      <sheetName val="待交割GB"/>
      <sheetName val="FD&amp;CPB"/>
      <sheetName val="CBO"/>
      <sheetName val="ABCP"/>
      <sheetName val="CLN"/>
      <sheetName val="CMS"/>
      <sheetName val="CMS_Q"/>
      <sheetName val="CP Link"/>
      <sheetName val="FCD"/>
      <sheetName val="RAD"/>
      <sheetName val="外幣資產"/>
      <sheetName val="IRS"/>
      <sheetName val="FX Swap"/>
      <sheetName val="Issue FD"/>
      <sheetName val="彙總_產品別"/>
      <sheetName val="彙總_調整前"/>
      <sheetName val="彙總_調整後"/>
      <sheetName val="FX Swap (2)"/>
      <sheetName val="LAND-E"/>
      <sheetName val="AJE#"/>
      <sheetName val="精算報告(表5)971231三井"/>
      <sheetName val="精算報告(表五)971231IFRS三井"/>
      <sheetName val="9104-9106"/>
      <sheetName val="101012分離帳-零期公債"/>
      <sheetName val="外匯評價表"/>
      <sheetName val="10112大表"/>
      <sheetName val="其塅䕃⹌塅EA-4-1"/>
      <sheetName val="資產負債表_"/>
      <sheetName val="KPMG函證控制表總表"/>
      <sheetName val="表21_净利润调节表"/>
      <sheetName val="表21 净利润调节表"/>
      <sheetName val="350.3201_其他應付款"/>
      <sheetName val="合併 (SGP)"/>
      <sheetName val="合併 (API)"/>
      <sheetName val="BS分析A-30_x0002_"/>
      <sheetName val=""/>
      <sheetName val="BS分析A-30_x005f_x0002_"/>
      <sheetName val="Iɓ_x0000_렀㏀_x0000__x0000_Ā_x0000__x0008_1"/>
      <sheetName val="_x0000__x0000_E_x0006__x0012_"/>
      <sheetName val="100.0025銀行往來帳戶用途"/>
      <sheetName val="公司動態基本資料"/>
      <sheetName val="公司基本資料"/>
      <sheetName val="0504"/>
      <sheetName val="企业表一"/>
      <sheetName val="M-5C"/>
      <sheetName val="M-5A"/>
      <sheetName val="19.長期待攤費用增減變動表"/>
      <sheetName val="KK20盈餘分配表"/>
      <sheetName val="調節表 220.0200"/>
      <sheetName val="遞延所得稅 220.0150"/>
      <sheetName val="Iɓ"/>
      <sheetName val="270.3.1 APG"/>
      <sheetName val="100.4.01.0010 現金及約當現金變動分析"/>
      <sheetName val="90_批"/>
      <sheetName val="加工成本圖-抽纱5"/>
      <sheetName val="加工成本图-织布7"/>
      <sheetName val="參數不可刪除"/>
      <sheetName val="基本"/>
      <sheetName val="8"/>
      <sheetName val="9"/>
      <sheetName val="10"/>
      <sheetName val="11"/>
      <sheetName val="12"/>
      <sheetName val="1"/>
      <sheetName val="2"/>
      <sheetName val="3"/>
      <sheetName val="4"/>
      <sheetName val="5"/>
      <sheetName val="6"/>
      <sheetName val="7"/>
      <sheetName val="資料規則表"/>
      <sheetName val="X"/>
      <sheetName val="異動"/>
      <sheetName val="匯率"/>
      <sheetName val="表08"/>
      <sheetName val="Rapprochement"/>
      <sheetName val="Base"/>
      <sheetName val="NP"/>
      <sheetName val="RV"/>
      <sheetName val="Assets"/>
      <sheetName val="科目库"/>
      <sheetName val="Statement of Ops 1"/>
      <sheetName val="BLLP-GL Link"/>
      <sheetName val="BLLP3-GL Link"/>
      <sheetName val="BPC-GL Link"/>
      <sheetName val="BLLPC-GL Link"/>
      <sheetName val="9611"/>
      <sheetName val="9609"/>
      <sheetName val="9610"/>
      <sheetName val="9706"/>
      <sheetName val="9704"/>
      <sheetName val="9708"/>
      <sheetName val="9705"/>
      <sheetName val="9701"/>
      <sheetName val="9612"/>
      <sheetName val="環境設定"/>
      <sheetName val="NEWH股權變動102"/>
      <sheetName val="IFRS_Tax Proof V1"/>
      <sheetName val="進貨趨勢"/>
      <sheetName val="[WP-M0813青雲93-old.xls⸭_x0000_⸭_x0000__x0000_"/>
      <sheetName val="_x0000_WP-M08"/>
      <sheetName val="Q1"/>
      <sheetName val="rev03kh"/>
      <sheetName val="Links"/>
      <sheetName val="Iɓ_x0000_렀㏀_x0000__x0000_Ā_x000"/>
      <sheetName val="18"/>
      <sheetName val="BS分析A-30_x005f_x005f_x005f_x0002_"/>
      <sheetName val="Iɓ_x005f_x0000_렀㏀_x005f_x0000__x005f_x0000_Ā_x000"/>
      <sheetName val="_x005f_x0000__x005f_x0000_E_x005f_x0006__x005f_x0012_"/>
      <sheetName val="股東權益變動表(列印)"/>
      <sheetName val="現金流量表(列印)"/>
      <sheetName val="#REF"/>
      <sheetName val="總表-現(分類)"/>
      <sheetName val="A1Data"/>
      <sheetName val="專案課(全部)"/>
      <sheetName val="Mof表12old"/>
      <sheetName val="dbase"/>
      <sheetName val="Index"/>
      <sheetName val="ScaleFac"/>
      <sheetName val="110.0135 國外債核帳"/>
      <sheetName val="110.0021公平CA股票"/>
      <sheetName val="110.0031AFS CA股票"/>
      <sheetName val="110.0080 備供CA國內ETF"/>
      <sheetName val="110.0033 CA國外股票"/>
      <sheetName val="110.0040 借券"/>
      <sheetName val="110.0034 CA國外股票QFII"/>
      <sheetName val="110.0070 AFS CA 股票基金"/>
      <sheetName val="110.0073 AFS CA 貨幣基金"/>
      <sheetName val="110.0084 備供CA國外ETF"/>
      <sheetName val="110.0086 備供CA國外QFII ETF"/>
      <sheetName val="110.0082 備供CA國外股票型基金"/>
      <sheetName val="110.0100  備供NC上市受益憑證 REIT"/>
      <sheetName val="110.0085 備供CA國外存託憑證-"/>
      <sheetName val="110.0081 備供國外貨幣基金"/>
      <sheetName val="110.0102 備供NC受益證券-SS"/>
      <sheetName val="110.0110 AFS 公債-GB"/>
      <sheetName val="110.0113 AFS 公司債-CORP"/>
      <sheetName val="110.0116 AFS 金融債-FIN"/>
      <sheetName val="110.0114  無活絡國內債"/>
      <sheetName val="103.06.30百元價格"/>
      <sheetName val="110.0032 特別股"/>
      <sheetName val="AA-300"/>
      <sheetName val="103.6.30證交所收盤價"/>
      <sheetName val="表页_1"/>
      <sheetName val="130.0070-2廈門國貿換算報表10403"/>
      <sheetName val="10401IS"/>
      <sheetName val="10402IS"/>
      <sheetName val="10403IS"/>
      <sheetName val="10404IS"/>
      <sheetName val="10405IS"/>
      <sheetName val="10406IS"/>
      <sheetName val="130.0070-2廈門國貿換算報表10404"/>
      <sheetName val="130.0070-2廈門國貿換算報表10405"/>
      <sheetName val="130.0070-2廈門國貿換算報表10406"/>
      <sheetName val="合併子公司"/>
      <sheetName val="December ODM Sales Summary"/>
      <sheetName val="員工分紅費用化"/>
      <sheetName val="攤銷表by月份(合計) (2)"/>
      <sheetName val="102年投資損益-NTD"/>
      <sheetName val="IS"/>
      <sheetName val="備抵呆帳限額計算JJ-11"/>
      <sheetName val="備抵變動"/>
      <sheetName val="退休金變動表 (2)"/>
      <sheetName val="匯兌JJ-8"/>
      <sheetName val="遞延所得稅JJ-2"/>
      <sheetName val="WG-1-99.6.30"/>
      <sheetName val="盈餘分配"/>
      <sheetName val="產_表05"/>
      <sheetName val="產_表04-1"/>
      <sheetName val="[WP-M0813青雲93-old.xls⸭"/>
      <sheetName val="表13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公司別"/>
      <sheetName val="參數"/>
      <sheetName val="資料表"/>
      <sheetName val="LOB"/>
      <sheetName val="B1_2004（Org_crcy)"/>
      <sheetName val="子目"/>
      <sheetName val="科目"/>
      <sheetName val="ListBox"/>
      <sheetName val="總表-現(分類)"/>
      <sheetName val="收盤價"/>
      <sheetName val="收金人件"/>
      <sheetName val="Prem"/>
    </sheetNames>
    <sheetDataSet>
      <sheetData sheetId="0" refreshError="1"/>
      <sheetData sheetId="1" refreshError="1"/>
      <sheetData sheetId="2" refreshError="1">
        <row r="1">
          <cell r="A1" t="str">
            <v>代號</v>
          </cell>
          <cell r="B1" t="str">
            <v>公司名稱</v>
          </cell>
        </row>
        <row r="2">
          <cell r="A2" t="str">
            <v>00</v>
          </cell>
          <cell r="B2" t="str">
            <v>請在左方輸入公司代號</v>
          </cell>
        </row>
        <row r="3">
          <cell r="A3" t="str">
            <v>01</v>
          </cell>
          <cell r="B3" t="str">
            <v>台產</v>
          </cell>
        </row>
        <row r="4">
          <cell r="A4" t="str">
            <v>02</v>
          </cell>
          <cell r="B4" t="str">
            <v>中國</v>
          </cell>
        </row>
        <row r="5">
          <cell r="A5" t="str">
            <v>03</v>
          </cell>
          <cell r="B5" t="str">
            <v>太平</v>
          </cell>
        </row>
        <row r="6">
          <cell r="A6" t="str">
            <v>04</v>
          </cell>
          <cell r="B6" t="str">
            <v>中國航聯</v>
          </cell>
        </row>
        <row r="7">
          <cell r="A7" t="str">
            <v>05</v>
          </cell>
          <cell r="B7" t="str">
            <v>富邦</v>
          </cell>
        </row>
        <row r="8">
          <cell r="A8" t="str">
            <v>06</v>
          </cell>
          <cell r="B8" t="str">
            <v>蘇黎世</v>
          </cell>
        </row>
        <row r="9">
          <cell r="A9" t="str">
            <v>07</v>
          </cell>
          <cell r="B9" t="str">
            <v>泰安</v>
          </cell>
        </row>
        <row r="10">
          <cell r="A10" t="str">
            <v>08</v>
          </cell>
          <cell r="B10" t="str">
            <v>明台</v>
          </cell>
        </row>
        <row r="11">
          <cell r="A11" t="str">
            <v>09</v>
          </cell>
          <cell r="B11" t="str">
            <v>中央</v>
          </cell>
        </row>
        <row r="12">
          <cell r="A12" t="str">
            <v>10</v>
          </cell>
          <cell r="B12" t="str">
            <v>第一</v>
          </cell>
        </row>
        <row r="13">
          <cell r="A13" t="str">
            <v>11</v>
          </cell>
          <cell r="B13" t="str">
            <v>國華</v>
          </cell>
        </row>
        <row r="14">
          <cell r="A14" t="str">
            <v>12</v>
          </cell>
          <cell r="B14" t="str">
            <v>友聯</v>
          </cell>
        </row>
        <row r="15">
          <cell r="A15" t="str">
            <v>13</v>
          </cell>
          <cell r="B15" t="str">
            <v>新光</v>
          </cell>
        </row>
        <row r="16">
          <cell r="A16" t="str">
            <v>14</v>
          </cell>
          <cell r="B16" t="str">
            <v>華南</v>
          </cell>
        </row>
        <row r="17">
          <cell r="A17" t="str">
            <v>15</v>
          </cell>
          <cell r="B17" t="str">
            <v>國泰世紀</v>
          </cell>
        </row>
        <row r="18">
          <cell r="A18" t="str">
            <v>16</v>
          </cell>
          <cell r="B18" t="str">
            <v>統一安聯</v>
          </cell>
        </row>
        <row r="19">
          <cell r="A19" t="str">
            <v>17</v>
          </cell>
          <cell r="B19" t="str">
            <v>新安</v>
          </cell>
        </row>
        <row r="20">
          <cell r="A20">
            <v>31</v>
          </cell>
          <cell r="B20" t="str">
            <v>環球</v>
          </cell>
        </row>
        <row r="21">
          <cell r="A21">
            <v>32</v>
          </cell>
          <cell r="B21" t="str">
            <v>北美洲</v>
          </cell>
        </row>
        <row r="22">
          <cell r="A22">
            <v>33</v>
          </cell>
          <cell r="B22" t="str">
            <v>聯邦</v>
          </cell>
        </row>
        <row r="23">
          <cell r="A23">
            <v>36</v>
          </cell>
          <cell r="B23" t="str">
            <v>恒福</v>
          </cell>
        </row>
        <row r="24">
          <cell r="A24">
            <v>37</v>
          </cell>
          <cell r="B24" t="str">
            <v>宏泰</v>
          </cell>
        </row>
        <row r="25">
          <cell r="A25">
            <v>41</v>
          </cell>
          <cell r="B25" t="str">
            <v>皇家太陽</v>
          </cell>
        </row>
        <row r="26">
          <cell r="A26">
            <v>42</v>
          </cell>
          <cell r="B26" t="str">
            <v>亞洲</v>
          </cell>
        </row>
        <row r="27">
          <cell r="A27">
            <v>43</v>
          </cell>
          <cell r="B27" t="str">
            <v>安盛</v>
          </cell>
        </row>
        <row r="28">
          <cell r="A28" t="str">
            <v>44</v>
          </cell>
          <cell r="B28" t="str">
            <v>三井</v>
          </cell>
        </row>
        <row r="29">
          <cell r="A29" t="str">
            <v>45</v>
          </cell>
          <cell r="B29" t="str">
            <v>保留</v>
          </cell>
        </row>
        <row r="30">
          <cell r="A30" t="str">
            <v>46</v>
          </cell>
          <cell r="B30" t="str">
            <v>保留</v>
          </cell>
        </row>
        <row r="31">
          <cell r="A31" t="str">
            <v>47</v>
          </cell>
          <cell r="B31" t="str">
            <v>保留</v>
          </cell>
        </row>
        <row r="32">
          <cell r="A32" t="str">
            <v>48</v>
          </cell>
          <cell r="B32" t="str">
            <v>保留</v>
          </cell>
        </row>
        <row r="33">
          <cell r="A33" t="str">
            <v>49</v>
          </cell>
          <cell r="B33" t="str">
            <v>保留</v>
          </cell>
        </row>
        <row r="34">
          <cell r="A34" t="str">
            <v>50</v>
          </cell>
          <cell r="B34" t="str">
            <v>保留</v>
          </cell>
        </row>
        <row r="35">
          <cell r="A35" t="str">
            <v>51</v>
          </cell>
          <cell r="B35" t="str">
            <v>保留</v>
          </cell>
        </row>
        <row r="36">
          <cell r="A36" t="str">
            <v>52</v>
          </cell>
          <cell r="B36" t="str">
            <v>保留</v>
          </cell>
        </row>
        <row r="37">
          <cell r="A37" t="str">
            <v>53</v>
          </cell>
          <cell r="B37" t="str">
            <v>保留</v>
          </cell>
        </row>
        <row r="38">
          <cell r="A38" t="str">
            <v>54</v>
          </cell>
          <cell r="B38" t="str">
            <v>保留</v>
          </cell>
        </row>
        <row r="39">
          <cell r="A39" t="str">
            <v>55</v>
          </cell>
          <cell r="B39" t="str">
            <v>保留</v>
          </cell>
        </row>
        <row r="40">
          <cell r="A40" t="str">
            <v>56</v>
          </cell>
          <cell r="B40" t="str">
            <v>保留</v>
          </cell>
        </row>
        <row r="41">
          <cell r="A41" t="str">
            <v>57</v>
          </cell>
          <cell r="B41" t="str">
            <v>保留</v>
          </cell>
        </row>
        <row r="42">
          <cell r="A42" t="str">
            <v>58</v>
          </cell>
          <cell r="B42" t="str">
            <v>保留</v>
          </cell>
        </row>
        <row r="43">
          <cell r="A43" t="str">
            <v>59</v>
          </cell>
          <cell r="B43" t="str">
            <v>保留</v>
          </cell>
        </row>
        <row r="44">
          <cell r="A44" t="str">
            <v>60</v>
          </cell>
          <cell r="B44" t="str">
            <v>保留</v>
          </cell>
        </row>
        <row r="45">
          <cell r="A45" t="str">
            <v>61</v>
          </cell>
          <cell r="B45" t="str">
            <v>保留</v>
          </cell>
        </row>
        <row r="46">
          <cell r="A46" t="str">
            <v>62</v>
          </cell>
          <cell r="B46" t="str">
            <v>保留</v>
          </cell>
        </row>
        <row r="47">
          <cell r="A47" t="str">
            <v>63</v>
          </cell>
          <cell r="B47" t="str">
            <v>保留</v>
          </cell>
        </row>
        <row r="48">
          <cell r="A48" t="str">
            <v>64</v>
          </cell>
          <cell r="B48" t="str">
            <v>保留</v>
          </cell>
        </row>
        <row r="49">
          <cell r="A49" t="str">
            <v>65</v>
          </cell>
          <cell r="B49" t="str">
            <v>保留</v>
          </cell>
        </row>
        <row r="50">
          <cell r="A50" t="str">
            <v>66</v>
          </cell>
          <cell r="B50" t="str">
            <v>保留</v>
          </cell>
        </row>
        <row r="51">
          <cell r="A51" t="str">
            <v>67</v>
          </cell>
          <cell r="B51" t="str">
            <v>保留</v>
          </cell>
        </row>
        <row r="52">
          <cell r="A52" t="str">
            <v>68</v>
          </cell>
          <cell r="B52" t="str">
            <v>保留</v>
          </cell>
        </row>
        <row r="53">
          <cell r="A53" t="str">
            <v>69</v>
          </cell>
          <cell r="B53" t="str">
            <v>保留</v>
          </cell>
        </row>
        <row r="54">
          <cell r="A54" t="str">
            <v>70</v>
          </cell>
          <cell r="B54" t="str">
            <v>保留</v>
          </cell>
        </row>
        <row r="55">
          <cell r="A55" t="str">
            <v>71</v>
          </cell>
          <cell r="B55" t="str">
            <v>保留</v>
          </cell>
        </row>
        <row r="56">
          <cell r="A56" t="str">
            <v>72</v>
          </cell>
          <cell r="B56" t="str">
            <v>保留</v>
          </cell>
        </row>
        <row r="57">
          <cell r="A57" t="str">
            <v>73</v>
          </cell>
          <cell r="B57" t="str">
            <v>保留</v>
          </cell>
        </row>
        <row r="58">
          <cell r="A58" t="str">
            <v>74</v>
          </cell>
          <cell r="B58" t="str">
            <v>保留</v>
          </cell>
        </row>
        <row r="59">
          <cell r="A59" t="str">
            <v>75</v>
          </cell>
          <cell r="B59" t="str">
            <v>保留</v>
          </cell>
        </row>
        <row r="60">
          <cell r="A60" t="str">
            <v>76</v>
          </cell>
          <cell r="B60" t="str">
            <v>保留</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Res-9912"/>
      <sheetName val="附表3-檢核表"/>
      <sheetName val="表21-7"/>
      <sheetName val="表26-1"/>
      <sheetName val="公司別"/>
      <sheetName val="表01-1"/>
      <sheetName val="表02(負債業主權益)"/>
      <sheetName val="表03"/>
      <sheetName val="CTPL-12"/>
      <sheetName val="表09"/>
      <sheetName val="表11(總計)"/>
      <sheetName val="表01"/>
      <sheetName val="表02(資產附表)"/>
      <sheetName val="表02(資產)"/>
      <sheetName val="表10"/>
      <sheetName val="表15(合併列示及總計)"/>
      <sheetName val="表06"/>
      <sheetName val="表30-8-5"/>
      <sheetName val="表05-1"/>
      <sheetName val="表30-2"/>
      <sheetName val="表30-3"/>
      <sheetName val="表30-4"/>
      <sheetName val="表30-5"/>
      <sheetName val="表30-5-1"/>
      <sheetName val="表30-6"/>
      <sheetName val="表30-7"/>
      <sheetName val="表30-8"/>
      <sheetName val="表10-3"/>
      <sheetName val="表13-4"/>
      <sheetName val="表30-9"/>
      <sheetName val="表11-2"/>
      <sheetName val="上市股票及基金beta值計算表"/>
      <sheetName val="表30-14"/>
      <sheetName val="表12-2"/>
      <sheetName val="表13-2"/>
      <sheetName val="表30-8-3"/>
      <sheetName val="表30-8-4"/>
      <sheetName val="表30-3-3"/>
      <sheetName val="表30-3-1"/>
      <sheetName val="表10-4"/>
      <sheetName val="表16-2-1"/>
      <sheetName val="表10-2"/>
      <sheetName val="表30-10"/>
      <sheetName val="表30-3-2"/>
      <sheetName val="表30-16"/>
      <sheetName val="表16-2-2"/>
      <sheetName val="表16-2-3"/>
      <sheetName val="表30-4-1"/>
      <sheetName val="表30-11"/>
      <sheetName val="表30-12"/>
      <sheetName val="表21-4"/>
      <sheetName val="表30-8-6"/>
      <sheetName val="表21-1"/>
      <sheetName val="表21-3"/>
      <sheetName val="表25-2"/>
      <sheetName val="表30-8-1 "/>
      <sheetName val="表30-8-2"/>
      <sheetName val="表25-1"/>
      <sheetName val="主表"/>
      <sheetName val="表13-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RECORD"/>
      <sheetName val="2REPORT"/>
      <sheetName val="4ACCOUN"/>
      <sheetName val="5DAYRPT "/>
      <sheetName val="Res-9912"/>
      <sheetName val="附表3-檢核表"/>
    </sheetNames>
    <sheetDataSet>
      <sheetData sheetId="0" refreshError="1"/>
      <sheetData sheetId="1" refreshError="1"/>
      <sheetData sheetId="2" refreshError="1"/>
      <sheetData sheetId="3"/>
      <sheetData sheetId="4" refreshError="1"/>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封面"/>
      <sheetName val="公司基本資料"/>
      <sheetName val="公司動態基本資料"/>
      <sheetName val="保費及責任準備金表"/>
      <sheetName val="未滿期準備金"/>
      <sheetName val="危險變動特準金"/>
      <sheetName val="未適格再保險準備計算表"/>
      <sheetName val="往來再保險人概況表"/>
      <sheetName val="再保及轉再保報告表"/>
      <sheetName val="資產負債表(資產)"/>
      <sheetName val="損益表"/>
      <sheetName val="投資淨收益"/>
      <sheetName val="存款"/>
      <sheetName val="政府公債庫券儲蓄"/>
      <sheetName val="金融債券"/>
      <sheetName val="股票"/>
      <sheetName val="公司債"/>
      <sheetName val="受益憑證"/>
      <sheetName val="不動產"/>
      <sheetName val="放款"/>
      <sheetName val="表外交易"/>
      <sheetName val="委操資產"/>
      <sheetName val="主要股東"/>
      <sheetName val="逾放債權轉銷"/>
      <sheetName val="利害關係人"/>
      <sheetName val="關係人交易"/>
      <sheetName val="表12-3-2013"/>
      <sheetName val="表12-4 (2)"/>
      <sheetName val="SOP"/>
      <sheetName val="表12-3 "/>
      <sheetName val="表12-4"/>
      <sheetName val="12-3-明細-Local"/>
      <sheetName val="12-3_SUM_F+I(2013)"/>
      <sheetName val="12-3-明細-F+I(2013)"/>
      <sheetName val="12-3-明細-F+I 樞紐(2013)"/>
      <sheetName val="12-3-F-明細(2013)"/>
      <sheetName val="12-3-ILP-明細(2013)"/>
      <sheetName val="表30-1"/>
      <sheetName val="表30-2"/>
      <sheetName val="表30-3"/>
      <sheetName val="表30-3-1"/>
      <sheetName val="表30-3-2"/>
      <sheetName val="表30-3-3"/>
      <sheetName val="表30-3-4"/>
      <sheetName val="表30-4"/>
      <sheetName val="表30-5"/>
      <sheetName val="表30-6"/>
      <sheetName val="表30-7"/>
      <sheetName val="表30-7-1"/>
      <sheetName val="表30-7-2"/>
      <sheetName val="表30-7-3"/>
      <sheetName val="表30-7-4"/>
      <sheetName val="表30-8"/>
      <sheetName val="表30-9"/>
      <sheetName val="表30-10"/>
      <sheetName val="表30-11"/>
      <sheetName val="表30-12"/>
      <sheetName val="表30-13"/>
      <sheetName val="表30-14"/>
      <sheetName val="表30-15"/>
      <sheetName val="表30-16"/>
      <sheetName val="上市股票及基金beta值計算表"/>
      <sheetName val="上櫃股票beta值計算"/>
      <sheetName val="表30-1(100年暫行措施)"/>
      <sheetName val="表31-30-2"/>
      <sheetName val="表31-30-3"/>
      <sheetName val="表31-30-3-1"/>
      <sheetName val="表31-30-3-2"/>
      <sheetName val="表31-10-1"/>
      <sheetName val="表31-12-1"/>
      <sheetName val="表31-30-5"/>
      <sheetName val="表31-30-7"/>
      <sheetName val="表31-30-7-5"/>
      <sheetName val="表31-30-7-6"/>
      <sheetName val="表31-05-1"/>
      <sheetName val="表31-9-1"/>
      <sheetName val="表31-10-3"/>
      <sheetName val="表31-10-4"/>
      <sheetName val="當年營(經紀人)"/>
      <sheetName val="PD comm by line"/>
      <sheetName val="QuerySQL"/>
      <sheetName val="XLR_NoRangeSheet"/>
      <sheetName val="資產負債表"/>
      <sheetName val="表13-1"/>
      <sheetName val="表9"/>
      <sheetName val="專案競賽"/>
      <sheetName val="APE(SMT)"/>
      <sheetName val="Table"/>
      <sheetName val="5DAYRPT "/>
      <sheetName val="評価書"/>
      <sheetName val="Sheet2"/>
      <sheetName val="表07(總計)"/>
      <sheetName val="表04-1"/>
      <sheetName val="表06"/>
      <sheetName val="before reclass"/>
      <sheetName val="概算報告書"/>
      <sheetName val="#REF"/>
      <sheetName val="H91"/>
      <sheetName val="H85"/>
      <sheetName val="Sheet5"/>
      <sheetName val="TG11 "/>
      <sheetName val="表12-4_(2)"/>
      <sheetName val="表12-3_"/>
      <sheetName val="12-3-明細-F+I_樞紐(2013)"/>
      <sheetName val="檢核"/>
      <sheetName val="clm"/>
      <sheetName val="clmacc"/>
      <sheetName val="clm_USD"/>
      <sheetName val="clmacc_USD"/>
      <sheetName val="clm_CNY"/>
      <sheetName val="clmacc_CNY"/>
      <sheetName val="clm_AUD"/>
      <sheetName val="clmacc_AUD"/>
      <sheetName val="105 (01)"/>
      <sheetName val="clm105 (01)"/>
      <sheetName val="clmacct105 (01)"/>
      <sheetName val="105 (01)_USD"/>
      <sheetName val="clm105(01)_USD"/>
      <sheetName val="clmacct105 (01)_USD"/>
      <sheetName val="105 (01)_CNY"/>
      <sheetName val="clm105(01)_CNY"/>
      <sheetName val="clmacct105 (01)_CNY"/>
      <sheetName val="105 (01)_AUD"/>
      <sheetName val="clm105(01)_AUD"/>
      <sheetName val="clmacct105 (01)_AUD"/>
      <sheetName val="105 (00)"/>
      <sheetName val="clmacct105 (00)"/>
      <sheetName val="105 (00)_USD"/>
      <sheetName val="clmacct105 (00)_USD"/>
      <sheetName val="105 (00)_CNY"/>
      <sheetName val="clmacct105 (00)_CNY"/>
      <sheetName val="105 (00)_AUD"/>
      <sheetName val="clmacct105 (00)_AUD"/>
      <sheetName val="104 (00)"/>
      <sheetName val="clmacct104 (00)"/>
      <sheetName val="104 (00)_USD"/>
      <sheetName val="clmacct104 (00)_USD"/>
      <sheetName val="104 (00)_CNY"/>
      <sheetName val="clmacct104 (00)_CNY"/>
      <sheetName val="104 (00)_AUD"/>
      <sheetName val="clmacct104 (00)_AUD"/>
      <sheetName val="MATCH"/>
      <sheetName val="Commission IO "/>
      <sheetName val="Elim"/>
      <sheetName val="DEF"/>
      <sheetName val="AC data"/>
      <sheetName val="RV"/>
      <sheetName val="INFO"/>
      <sheetName val="TSO"/>
      <sheetName val="6%. 8%佔率"/>
      <sheetName val="目錄"/>
      <sheetName val="表03"/>
      <sheetName val="表05-1"/>
      <sheetName val="表09-1"/>
      <sheetName val="表10-1"/>
      <sheetName val="表10-2"/>
      <sheetName val="表10-3"/>
      <sheetName val="表10-4"/>
      <sheetName val="表11-1"/>
      <sheetName val="表11-2"/>
      <sheetName val="表12-1"/>
      <sheetName val="表12-2"/>
      <sheetName val="表13-2"/>
      <sheetName val="表13-4"/>
      <sheetName val="表16-1-1"/>
      <sheetName val="表16-1-2"/>
      <sheetName val="表16-1-3"/>
      <sheetName val="表16-1-4"/>
      <sheetName val="表16-1-5"/>
      <sheetName val="表16-2-1"/>
      <sheetName val="表16-2-2"/>
      <sheetName val="表16-2-3"/>
      <sheetName val="表19-3"/>
      <sheetName val="表19-4"/>
      <sheetName val="表19-5"/>
      <sheetName val="表19-6"/>
      <sheetName val="表21-1"/>
      <sheetName val="表21-2"/>
      <sheetName val="表21-3"/>
      <sheetName val="表21-4"/>
      <sheetName val="表21-7"/>
      <sheetName val="表25-1"/>
      <sheetName val="表25-2"/>
      <sheetName val="表25-8"/>
      <sheetName val="表26-1"/>
      <sheetName val="表28-1"/>
      <sheetName val="表28-1-1"/>
      <sheetName val="表28-1-2"/>
      <sheetName val="表28-1-3"/>
      <sheetName val="表28-1-4"/>
      <sheetName val="表28-2"/>
      <sheetName val="表28-2-1"/>
      <sheetName val="表28-2-2"/>
      <sheetName val="表28-2-3"/>
      <sheetName val="表28-3"/>
      <sheetName val="表28-4"/>
      <sheetName val="表30-4-1"/>
      <sheetName val="表30-5-1"/>
      <sheetName val="表30-8-1 "/>
      <sheetName val="表30-8-2"/>
      <sheetName val="表30-8-3"/>
      <sheetName val="表30-8-4"/>
      <sheetName val="表30-8-5"/>
      <sheetName val="表30-8-6"/>
      <sheetName val="表39"/>
      <sheetName val="for bond hld01"/>
      <sheetName val="Hyper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A6" t="str">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5DAYRPT "/>
      <sheetName val="_Command not available__Command"/>
      <sheetName val="____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3.vml"/><Relationship Id="rId7" Type="http://schemas.openxmlformats.org/officeDocument/2006/relationships/oleObject" Target="../embeddings/oleObject3.bin"/><Relationship Id="rId2" Type="http://schemas.openxmlformats.org/officeDocument/2006/relationships/drawing" Target="../drawings/drawing2.xml"/><Relationship Id="rId1" Type="http://schemas.openxmlformats.org/officeDocument/2006/relationships/printerSettings" Target="../printerSettings/printerSettings5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73.bin"/><Relationship Id="rId5" Type="http://schemas.openxmlformats.org/officeDocument/2006/relationships/image" Target="../media/image2.emf"/><Relationship Id="rId4" Type="http://schemas.openxmlformats.org/officeDocument/2006/relationships/oleObject" Target="../embeddings/oleObject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E9"/>
  <sheetViews>
    <sheetView showGridLines="0" view="pageBreakPreview" zoomScale="60" zoomScaleNormal="60" workbookViewId="0">
      <selection activeCell="B5" sqref="B5"/>
    </sheetView>
  </sheetViews>
  <sheetFormatPr defaultRowHeight="16.5"/>
  <cols>
    <col min="1" max="1" width="50.625" style="277" customWidth="1"/>
    <col min="2" max="2" width="59.25" style="277" customWidth="1"/>
    <col min="3" max="16384" width="9" style="277"/>
  </cols>
  <sheetData>
    <row r="1" spans="1:5" ht="159" customHeight="1">
      <c r="A1" s="275" t="s">
        <v>243</v>
      </c>
      <c r="B1" s="276"/>
    </row>
    <row r="2" spans="1:5" ht="69.95" customHeight="1">
      <c r="A2" s="2503" t="s">
        <v>692</v>
      </c>
      <c r="B2" s="2503"/>
    </row>
    <row r="3" spans="1:5" ht="60.6" customHeight="1">
      <c r="A3" s="2504" t="s">
        <v>469</v>
      </c>
      <c r="B3" s="2505"/>
    </row>
    <row r="4" spans="1:5" ht="60.6" customHeight="1">
      <c r="A4" s="278" t="s">
        <v>244</v>
      </c>
      <c r="B4" s="276"/>
    </row>
    <row r="5" spans="1:5" ht="149.44999999999999" customHeight="1">
      <c r="A5" s="279" t="s">
        <v>693</v>
      </c>
      <c r="B5" s="276"/>
    </row>
    <row r="9" spans="1:5" ht="21">
      <c r="E9" s="280"/>
    </row>
  </sheetData>
  <mergeCells count="2">
    <mergeCell ref="A2:B2"/>
    <mergeCell ref="A3:B3"/>
  </mergeCells>
  <phoneticPr fontId="29" type="noConversion"/>
  <printOptions horizontalCentered="1" gridLinesSet="0"/>
  <pageMargins left="0.47244094488188981" right="0.47244094488188981" top="0.39370078740157483" bottom="0.39370078740157483" header="0" footer="0"/>
  <pageSetup paperSize="9" scale="84" orientation="portrait" horizontalDpi="4294967295" verticalDpi="4294967295"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A1:AB111"/>
  <sheetViews>
    <sheetView zoomScaleNormal="100" zoomScaleSheetLayoutView="100" workbookViewId="0">
      <selection activeCell="H3" sqref="H3"/>
    </sheetView>
  </sheetViews>
  <sheetFormatPr defaultColWidth="15.625" defaultRowHeight="0" customHeight="1" zeroHeight="1"/>
  <cols>
    <col min="1" max="1" width="5.625" style="1943" customWidth="1"/>
    <col min="2" max="2" width="45.625" style="1943" customWidth="1"/>
    <col min="3" max="9" width="20.625" style="1943" customWidth="1"/>
    <col min="10" max="16384" width="15.625" style="1943"/>
  </cols>
  <sheetData>
    <row r="1" spans="1:11" ht="16.5">
      <c r="A1" s="2408" t="s">
        <v>7070</v>
      </c>
      <c r="C1" s="1944"/>
      <c r="D1" s="1944"/>
      <c r="E1" s="1944"/>
      <c r="F1" s="1944"/>
      <c r="G1" s="1944"/>
      <c r="H1" s="1944"/>
      <c r="I1" s="1945"/>
      <c r="J1" s="1945"/>
      <c r="K1" s="1945"/>
    </row>
    <row r="2" spans="1:11" ht="16.5">
      <c r="A2" s="1946" t="s">
        <v>3562</v>
      </c>
      <c r="B2" s="1947"/>
      <c r="C2" s="1948"/>
      <c r="D2" s="1948"/>
      <c r="E2" s="1948"/>
      <c r="F2" s="1948"/>
      <c r="G2" s="1949"/>
      <c r="I2" s="1950" t="s">
        <v>3914</v>
      </c>
      <c r="J2" s="1945"/>
      <c r="K2" s="1945"/>
    </row>
    <row r="3" spans="1:11" ht="33">
      <c r="A3" s="2577" t="s">
        <v>2343</v>
      </c>
      <c r="B3" s="2578" t="s">
        <v>3903</v>
      </c>
      <c r="C3" s="2577" t="s">
        <v>3628</v>
      </c>
      <c r="D3" s="2577"/>
      <c r="E3" s="2577" t="s">
        <v>3904</v>
      </c>
      <c r="F3" s="2577"/>
      <c r="G3" s="2219" t="s">
        <v>3910</v>
      </c>
      <c r="H3" s="1951" t="s">
        <v>7301</v>
      </c>
      <c r="I3" s="1951" t="s">
        <v>3905</v>
      </c>
      <c r="J3" s="1945"/>
      <c r="K3" s="1945"/>
    </row>
    <row r="4" spans="1:11" ht="16.5">
      <c r="A4" s="2577"/>
      <c r="B4" s="2578"/>
      <c r="C4" s="2219" t="s">
        <v>3906</v>
      </c>
      <c r="D4" s="2219" t="s">
        <v>3907</v>
      </c>
      <c r="E4" s="2219" t="s">
        <v>3906</v>
      </c>
      <c r="F4" s="2219" t="s">
        <v>3908</v>
      </c>
      <c r="G4" s="2219" t="s">
        <v>3907</v>
      </c>
      <c r="H4" s="1951" t="s">
        <v>3906</v>
      </c>
      <c r="I4" s="1951" t="s">
        <v>3906</v>
      </c>
      <c r="J4" s="1945"/>
      <c r="K4" s="1945"/>
    </row>
    <row r="5" spans="1:11" ht="15.75">
      <c r="A5" s="2577"/>
      <c r="B5" s="1952" t="s">
        <v>66</v>
      </c>
      <c r="C5" s="1952" t="s">
        <v>187</v>
      </c>
      <c r="D5" s="1952" t="s">
        <v>308</v>
      </c>
      <c r="E5" s="1952" t="s">
        <v>309</v>
      </c>
      <c r="F5" s="1952" t="s">
        <v>70</v>
      </c>
      <c r="G5" s="1952" t="s">
        <v>71</v>
      </c>
      <c r="H5" s="1953" t="s">
        <v>3909</v>
      </c>
      <c r="I5" s="1953" t="s">
        <v>470</v>
      </c>
      <c r="J5" s="1945"/>
      <c r="K5" s="1945"/>
    </row>
    <row r="6" spans="1:11" ht="16.5">
      <c r="A6" s="1954">
        <v>1</v>
      </c>
      <c r="B6" s="1976" t="s">
        <v>3915</v>
      </c>
      <c r="C6" s="1955"/>
      <c r="D6" s="1955"/>
      <c r="E6" s="1955"/>
      <c r="F6" s="1955"/>
      <c r="G6" s="1955"/>
      <c r="H6" s="1956"/>
      <c r="I6" s="1956"/>
      <c r="J6" s="1945"/>
      <c r="K6" s="1945"/>
    </row>
    <row r="7" spans="1:11" ht="16.5">
      <c r="A7" s="1954">
        <f t="shared" ref="A7:A42" si="0">A6+1</f>
        <v>2</v>
      </c>
      <c r="B7" s="1977" t="s">
        <v>3916</v>
      </c>
      <c r="C7" s="1957"/>
      <c r="D7" s="1957"/>
      <c r="E7" s="1957"/>
      <c r="F7" s="1957"/>
      <c r="G7" s="1957"/>
      <c r="H7" s="1958">
        <f>H8+H12</f>
        <v>0</v>
      </c>
      <c r="I7" s="1958">
        <f>I8</f>
        <v>0</v>
      </c>
      <c r="J7" s="1959"/>
      <c r="K7" s="1959"/>
    </row>
    <row r="8" spans="1:11" ht="16.5">
      <c r="A8" s="1954">
        <f t="shared" si="0"/>
        <v>3</v>
      </c>
      <c r="B8" s="1978" t="s">
        <v>3917</v>
      </c>
      <c r="C8" s="1957"/>
      <c r="D8" s="1957"/>
      <c r="E8" s="1957"/>
      <c r="F8" s="1957"/>
      <c r="G8" s="1957"/>
      <c r="H8" s="1958">
        <f>H9+H10+H11</f>
        <v>0</v>
      </c>
      <c r="I8" s="1958">
        <f>I9+I10+I11</f>
        <v>0</v>
      </c>
      <c r="J8" s="1945"/>
      <c r="K8" s="1945"/>
    </row>
    <row r="9" spans="1:11" ht="16.5">
      <c r="A9" s="1954">
        <f t="shared" si="0"/>
        <v>4</v>
      </c>
      <c r="B9" s="1979" t="s">
        <v>3918</v>
      </c>
      <c r="C9" s="1957"/>
      <c r="D9" s="1957"/>
      <c r="E9" s="1957"/>
      <c r="F9" s="1957"/>
      <c r="G9" s="1957"/>
      <c r="H9" s="1960"/>
      <c r="I9" s="1960"/>
      <c r="J9" s="1945"/>
      <c r="K9" s="1945"/>
    </row>
    <row r="10" spans="1:11" ht="16.5">
      <c r="A10" s="1954">
        <f t="shared" si="0"/>
        <v>5</v>
      </c>
      <c r="B10" s="1979" t="s">
        <v>3919</v>
      </c>
      <c r="C10" s="1957"/>
      <c r="D10" s="1957"/>
      <c r="E10" s="1957"/>
      <c r="F10" s="1957"/>
      <c r="G10" s="1957"/>
      <c r="H10" s="1960"/>
      <c r="I10" s="1960"/>
      <c r="J10" s="1945"/>
      <c r="K10" s="1945"/>
    </row>
    <row r="11" spans="1:11" ht="16.5">
      <c r="A11" s="1954">
        <f t="shared" si="0"/>
        <v>6</v>
      </c>
      <c r="B11" s="1979" t="s">
        <v>3920</v>
      </c>
      <c r="C11" s="1957"/>
      <c r="D11" s="1957"/>
      <c r="E11" s="1957"/>
      <c r="F11" s="1957"/>
      <c r="G11" s="1957"/>
      <c r="H11" s="1960"/>
      <c r="I11" s="1960"/>
      <c r="J11" s="1945"/>
      <c r="K11" s="1945"/>
    </row>
    <row r="12" spans="1:11" ht="16.5">
      <c r="A12" s="1954">
        <f>A11+1</f>
        <v>7</v>
      </c>
      <c r="B12" s="1978" t="s">
        <v>3921</v>
      </c>
      <c r="C12" s="1957"/>
      <c r="D12" s="1957"/>
      <c r="E12" s="1957"/>
      <c r="F12" s="1957"/>
      <c r="G12" s="1957"/>
      <c r="H12" s="1958">
        <f>+H13+H14+H15+H16</f>
        <v>0</v>
      </c>
      <c r="I12" s="1961"/>
      <c r="J12" s="1945"/>
      <c r="K12" s="1945"/>
    </row>
    <row r="13" spans="1:11" ht="49.5">
      <c r="A13" s="1954">
        <f t="shared" si="0"/>
        <v>8</v>
      </c>
      <c r="B13" s="1979" t="s">
        <v>3922</v>
      </c>
      <c r="C13" s="1957"/>
      <c r="D13" s="1957"/>
      <c r="E13" s="1957"/>
      <c r="F13" s="1957"/>
      <c r="G13" s="1957"/>
      <c r="H13" s="1960"/>
      <c r="I13" s="1961"/>
      <c r="J13" s="1945"/>
      <c r="K13" s="1945"/>
    </row>
    <row r="14" spans="1:11" ht="16.5">
      <c r="A14" s="1954">
        <f t="shared" si="0"/>
        <v>9</v>
      </c>
      <c r="B14" s="1980" t="s">
        <v>3923</v>
      </c>
      <c r="C14" s="1957"/>
      <c r="D14" s="1957"/>
      <c r="E14" s="1957"/>
      <c r="F14" s="1957"/>
      <c r="G14" s="1957"/>
      <c r="H14" s="1960"/>
      <c r="I14" s="1961"/>
      <c r="J14" s="1945"/>
      <c r="K14" s="1945"/>
    </row>
    <row r="15" spans="1:11" ht="33">
      <c r="A15" s="1954">
        <f t="shared" si="0"/>
        <v>10</v>
      </c>
      <c r="B15" s="1980" t="s">
        <v>3924</v>
      </c>
      <c r="C15" s="1957"/>
      <c r="D15" s="1957"/>
      <c r="E15" s="1957"/>
      <c r="F15" s="1957"/>
      <c r="G15" s="1957"/>
      <c r="H15" s="1960"/>
      <c r="I15" s="1961"/>
      <c r="J15" s="1945"/>
      <c r="K15" s="1945"/>
    </row>
    <row r="16" spans="1:11" ht="16.5">
      <c r="A16" s="1954">
        <f t="shared" si="0"/>
        <v>11</v>
      </c>
      <c r="B16" s="1980" t="s">
        <v>3752</v>
      </c>
      <c r="C16" s="1957"/>
      <c r="D16" s="1957"/>
      <c r="E16" s="1957"/>
      <c r="F16" s="1957"/>
      <c r="G16" s="1957"/>
      <c r="H16" s="1960"/>
      <c r="I16" s="1961"/>
      <c r="J16" s="1945"/>
      <c r="K16" s="1945"/>
    </row>
    <row r="17" spans="1:28" ht="16.5">
      <c r="A17" s="1954">
        <f t="shared" si="0"/>
        <v>12</v>
      </c>
      <c r="B17" s="1977" t="s">
        <v>3925</v>
      </c>
      <c r="C17" s="1957"/>
      <c r="D17" s="1957"/>
      <c r="E17" s="1957"/>
      <c r="F17" s="1957"/>
      <c r="G17" s="1957"/>
      <c r="H17" s="1958">
        <f>+H18+H22</f>
        <v>0</v>
      </c>
      <c r="I17" s="1958">
        <f>+I18</f>
        <v>0</v>
      </c>
      <c r="J17" s="1945"/>
      <c r="K17" s="1945"/>
    </row>
    <row r="18" spans="1:28" ht="16.5">
      <c r="A18" s="1954">
        <f t="shared" si="0"/>
        <v>13</v>
      </c>
      <c r="B18" s="1978" t="s">
        <v>3917</v>
      </c>
      <c r="C18" s="1957"/>
      <c r="D18" s="1957"/>
      <c r="E18" s="1957"/>
      <c r="F18" s="1957"/>
      <c r="G18" s="1957"/>
      <c r="H18" s="1958">
        <f>+H19+H20+H21</f>
        <v>0</v>
      </c>
      <c r="I18" s="1958">
        <f>+I19+I20+I21</f>
        <v>0</v>
      </c>
      <c r="J18" s="1945"/>
      <c r="K18" s="1945"/>
    </row>
    <row r="19" spans="1:28" ht="16.5">
      <c r="A19" s="1954">
        <f t="shared" si="0"/>
        <v>14</v>
      </c>
      <c r="B19" s="1979" t="s">
        <v>3918</v>
      </c>
      <c r="C19" s="1957"/>
      <c r="D19" s="1957"/>
      <c r="E19" s="1957"/>
      <c r="F19" s="1957"/>
      <c r="G19" s="1957"/>
      <c r="H19" s="1960"/>
      <c r="I19" s="1960"/>
      <c r="J19" s="1945"/>
      <c r="K19" s="1945"/>
    </row>
    <row r="20" spans="1:28" ht="16.5">
      <c r="A20" s="1954">
        <f t="shared" si="0"/>
        <v>15</v>
      </c>
      <c r="B20" s="1979" t="s">
        <v>3919</v>
      </c>
      <c r="C20" s="1957"/>
      <c r="D20" s="1957"/>
      <c r="E20" s="1957"/>
      <c r="F20" s="1957"/>
      <c r="G20" s="1957"/>
      <c r="H20" s="1960"/>
      <c r="I20" s="1960"/>
      <c r="J20" s="1945"/>
      <c r="K20" s="1945"/>
    </row>
    <row r="21" spans="1:28" ht="16.5">
      <c r="A21" s="1954">
        <f t="shared" si="0"/>
        <v>16</v>
      </c>
      <c r="B21" s="1979" t="s">
        <v>3920</v>
      </c>
      <c r="C21" s="1957"/>
      <c r="D21" s="1957"/>
      <c r="E21" s="1957"/>
      <c r="F21" s="1957"/>
      <c r="G21" s="1957"/>
      <c r="H21" s="1960"/>
      <c r="I21" s="1960"/>
      <c r="J21" s="1945"/>
      <c r="K21" s="1945"/>
    </row>
    <row r="22" spans="1:28" ht="16.5">
      <c r="A22" s="1954">
        <f>A21+1</f>
        <v>17</v>
      </c>
      <c r="B22" s="1978" t="s">
        <v>3921</v>
      </c>
      <c r="C22" s="1957"/>
      <c r="D22" s="1957"/>
      <c r="E22" s="1957" t="s">
        <v>2427</v>
      </c>
      <c r="F22" s="1957"/>
      <c r="G22" s="1957"/>
      <c r="H22" s="1958">
        <f>+H23+H24+H25+H26+H27</f>
        <v>0</v>
      </c>
      <c r="I22" s="1961"/>
      <c r="J22" s="1945"/>
      <c r="K22" s="1945"/>
    </row>
    <row r="23" spans="1:28" ht="49.5">
      <c r="A23" s="1954">
        <f t="shared" si="0"/>
        <v>18</v>
      </c>
      <c r="B23" s="1979" t="s">
        <v>3922</v>
      </c>
      <c r="C23" s="1957"/>
      <c r="D23" s="1957"/>
      <c r="E23" s="1957"/>
      <c r="F23" s="1957"/>
      <c r="G23" s="1957"/>
      <c r="H23" s="1960"/>
      <c r="I23" s="1961"/>
      <c r="J23" s="1945"/>
      <c r="K23" s="1945"/>
    </row>
    <row r="24" spans="1:28" ht="16.5">
      <c r="A24" s="1954">
        <f t="shared" si="0"/>
        <v>19</v>
      </c>
      <c r="B24" s="1980" t="s">
        <v>3923</v>
      </c>
      <c r="C24" s="1957"/>
      <c r="D24" s="1957"/>
      <c r="E24" s="1957"/>
      <c r="F24" s="1957"/>
      <c r="G24" s="1957"/>
      <c r="H24" s="1960"/>
      <c r="I24" s="1961"/>
      <c r="J24" s="1945"/>
      <c r="K24" s="1945"/>
    </row>
    <row r="25" spans="1:28" ht="16.5">
      <c r="A25" s="1954">
        <f t="shared" si="0"/>
        <v>20</v>
      </c>
      <c r="B25" s="1980" t="s">
        <v>3926</v>
      </c>
      <c r="C25" s="1957"/>
      <c r="D25" s="1957"/>
      <c r="E25" s="1957"/>
      <c r="F25" s="1957"/>
      <c r="G25" s="1957"/>
      <c r="H25" s="1960"/>
      <c r="I25" s="1961"/>
      <c r="J25" s="1945"/>
      <c r="K25" s="1945"/>
    </row>
    <row r="26" spans="1:28" ht="33">
      <c r="A26" s="1954">
        <f t="shared" si="0"/>
        <v>21</v>
      </c>
      <c r="B26" s="1980" t="s">
        <v>3924</v>
      </c>
      <c r="C26" s="1957"/>
      <c r="D26" s="1957"/>
      <c r="E26" s="1957"/>
      <c r="F26" s="1957"/>
      <c r="G26" s="1957"/>
      <c r="H26" s="1960"/>
      <c r="I26" s="1961"/>
      <c r="J26" s="1945"/>
      <c r="K26" s="1945"/>
      <c r="AB26" s="1962"/>
    </row>
    <row r="27" spans="1:28" ht="16.5">
      <c r="A27" s="1954">
        <f t="shared" si="0"/>
        <v>22</v>
      </c>
      <c r="B27" s="1980" t="s">
        <v>3752</v>
      </c>
      <c r="C27" s="1957"/>
      <c r="D27" s="1957"/>
      <c r="E27" s="1957"/>
      <c r="F27" s="1957"/>
      <c r="G27" s="1957"/>
      <c r="H27" s="1960"/>
      <c r="I27" s="1961"/>
      <c r="J27" s="1945"/>
      <c r="K27" s="1945"/>
    </row>
    <row r="28" spans="1:28" ht="16.5">
      <c r="A28" s="1954">
        <f t="shared" si="0"/>
        <v>23</v>
      </c>
      <c r="B28" s="1976" t="s">
        <v>3859</v>
      </c>
      <c r="C28" s="1957"/>
      <c r="D28" s="1957"/>
      <c r="E28" s="1957"/>
      <c r="F28" s="1957"/>
      <c r="G28" s="1957"/>
      <c r="H28" s="1958">
        <f>+H7+H17</f>
        <v>0</v>
      </c>
      <c r="I28" s="1958">
        <f>+I7+I17</f>
        <v>0</v>
      </c>
      <c r="J28" s="1945"/>
      <c r="K28" s="1945"/>
    </row>
    <row r="29" spans="1:28" ht="15.75">
      <c r="A29" s="1954">
        <f t="shared" si="0"/>
        <v>24</v>
      </c>
      <c r="B29" s="1981"/>
      <c r="C29" s="1963"/>
      <c r="D29" s="1963"/>
      <c r="E29" s="1963"/>
      <c r="F29" s="1963"/>
      <c r="G29" s="1963"/>
      <c r="H29" s="1961"/>
      <c r="I29" s="1961"/>
      <c r="J29" s="1945"/>
      <c r="K29" s="1945"/>
    </row>
    <row r="30" spans="1:28" ht="16.5">
      <c r="A30" s="1954">
        <f t="shared" si="0"/>
        <v>25</v>
      </c>
      <c r="B30" s="1976" t="s">
        <v>3927</v>
      </c>
      <c r="C30" s="1957"/>
      <c r="D30" s="1957"/>
      <c r="E30" s="1957"/>
      <c r="F30" s="1957"/>
      <c r="G30" s="1957"/>
      <c r="H30" s="1961"/>
      <c r="I30" s="1961"/>
      <c r="J30" s="1959"/>
      <c r="K30" s="1959"/>
    </row>
    <row r="31" spans="1:28" ht="16.5">
      <c r="A31" s="1954">
        <f t="shared" si="0"/>
        <v>26</v>
      </c>
      <c r="B31" s="1977" t="s">
        <v>3916</v>
      </c>
      <c r="C31" s="1964"/>
      <c r="D31" s="1957"/>
      <c r="E31" s="1957"/>
      <c r="F31" s="1957"/>
      <c r="G31" s="1964"/>
      <c r="H31" s="1958">
        <f>+H32+H35</f>
        <v>0</v>
      </c>
      <c r="I31" s="1958">
        <f>+I32</f>
        <v>0</v>
      </c>
      <c r="J31" s="1945"/>
      <c r="K31" s="1945"/>
    </row>
    <row r="32" spans="1:28" ht="16.5">
      <c r="A32" s="1954">
        <f t="shared" si="0"/>
        <v>27</v>
      </c>
      <c r="B32" s="1978" t="s">
        <v>3928</v>
      </c>
      <c r="C32" s="1957"/>
      <c r="D32" s="1957"/>
      <c r="E32" s="1957"/>
      <c r="F32" s="1957"/>
      <c r="G32" s="1957"/>
      <c r="H32" s="1958">
        <f>H33+H34</f>
        <v>0</v>
      </c>
      <c r="I32" s="1958">
        <f>I33+I34</f>
        <v>0</v>
      </c>
      <c r="J32" s="1945"/>
      <c r="K32" s="1945"/>
    </row>
    <row r="33" spans="1:11" ht="16.5">
      <c r="A33" s="1954">
        <f t="shared" si="0"/>
        <v>28</v>
      </c>
      <c r="B33" s="1979" t="s">
        <v>3918</v>
      </c>
      <c r="C33" s="1957"/>
      <c r="D33" s="1957"/>
      <c r="E33" s="1957"/>
      <c r="F33" s="1957"/>
      <c r="G33" s="1957"/>
      <c r="H33" s="1960"/>
      <c r="I33" s="1960"/>
      <c r="J33" s="1945"/>
      <c r="K33" s="1945"/>
    </row>
    <row r="34" spans="1:11" s="1962" customFormat="1" ht="16.5">
      <c r="A34" s="1954">
        <f t="shared" si="0"/>
        <v>29</v>
      </c>
      <c r="B34" s="1979" t="s">
        <v>3920</v>
      </c>
      <c r="C34" s="1957"/>
      <c r="D34" s="1957"/>
      <c r="E34" s="1957"/>
      <c r="F34" s="1957"/>
      <c r="G34" s="1957"/>
      <c r="H34" s="1960"/>
      <c r="I34" s="1960"/>
      <c r="J34" s="1959"/>
      <c r="K34" s="1959"/>
    </row>
    <row r="35" spans="1:11" s="1962" customFormat="1" ht="16.5">
      <c r="A35" s="1954">
        <f t="shared" si="0"/>
        <v>30</v>
      </c>
      <c r="B35" s="1978" t="s">
        <v>3929</v>
      </c>
      <c r="C35" s="1957"/>
      <c r="D35" s="1957"/>
      <c r="E35" s="1957"/>
      <c r="F35" s="1957"/>
      <c r="G35" s="1957"/>
      <c r="H35" s="1965"/>
      <c r="I35" s="1961"/>
      <c r="J35" s="1959"/>
      <c r="K35" s="1959"/>
    </row>
    <row r="36" spans="1:11" s="1962" customFormat="1" ht="33">
      <c r="A36" s="1954">
        <f t="shared" si="0"/>
        <v>31</v>
      </c>
      <c r="B36" s="1979" t="s">
        <v>3930</v>
      </c>
      <c r="C36" s="1957"/>
      <c r="D36" s="1957"/>
      <c r="E36" s="1957"/>
      <c r="F36" s="1957"/>
      <c r="G36" s="1957"/>
      <c r="H36" s="1960"/>
      <c r="I36" s="1961"/>
      <c r="J36" s="1959"/>
      <c r="K36" s="1959"/>
    </row>
    <row r="37" spans="1:11" s="1962" customFormat="1" ht="16.5">
      <c r="A37" s="1954">
        <f t="shared" si="0"/>
        <v>32</v>
      </c>
      <c r="B37" s="1979" t="s">
        <v>3752</v>
      </c>
      <c r="C37" s="1957"/>
      <c r="D37" s="1957"/>
      <c r="E37" s="1957"/>
      <c r="F37" s="1957"/>
      <c r="G37" s="1957"/>
      <c r="H37" s="1965"/>
      <c r="I37" s="1961"/>
      <c r="J37" s="1959"/>
      <c r="K37" s="1959"/>
    </row>
    <row r="38" spans="1:11" s="1962" customFormat="1" ht="16.5">
      <c r="A38" s="1954">
        <f t="shared" si="0"/>
        <v>33</v>
      </c>
      <c r="B38" s="1977" t="s">
        <v>3931</v>
      </c>
      <c r="C38" s="1957"/>
      <c r="D38" s="1957"/>
      <c r="E38" s="1957"/>
      <c r="F38" s="1957"/>
      <c r="G38" s="1957"/>
      <c r="H38" s="1958">
        <f>+H39+H40</f>
        <v>0</v>
      </c>
      <c r="I38" s="1958">
        <f>+I39</f>
        <v>0</v>
      </c>
      <c r="J38" s="1959"/>
      <c r="K38" s="1959"/>
    </row>
    <row r="39" spans="1:11" s="1962" customFormat="1" ht="16.5">
      <c r="A39" s="1954">
        <f t="shared" si="0"/>
        <v>34</v>
      </c>
      <c r="B39" s="1978" t="s">
        <v>3928</v>
      </c>
      <c r="C39" s="1957"/>
      <c r="D39" s="1957"/>
      <c r="E39" s="1957"/>
      <c r="F39" s="1957"/>
      <c r="G39" s="1957"/>
      <c r="H39" s="1960"/>
      <c r="I39" s="1960"/>
      <c r="J39" s="1959"/>
      <c r="K39" s="1959"/>
    </row>
    <row r="40" spans="1:11" s="1962" customFormat="1" ht="16.5">
      <c r="A40" s="1954">
        <f t="shared" si="0"/>
        <v>35</v>
      </c>
      <c r="B40" s="1978" t="s">
        <v>3929</v>
      </c>
      <c r="C40" s="1957"/>
      <c r="D40" s="1957"/>
      <c r="E40" s="1957"/>
      <c r="F40" s="1957"/>
      <c r="G40" s="1957"/>
      <c r="H40" s="1960"/>
      <c r="I40" s="1961"/>
      <c r="J40" s="1959"/>
      <c r="K40" s="1959"/>
    </row>
    <row r="41" spans="1:11" s="1962" customFormat="1" ht="16.5">
      <c r="A41" s="1954">
        <f t="shared" si="0"/>
        <v>36</v>
      </c>
      <c r="B41" s="1976" t="s">
        <v>3859</v>
      </c>
      <c r="C41" s="1957"/>
      <c r="D41" s="1957"/>
      <c r="E41" s="1957"/>
      <c r="F41" s="1957"/>
      <c r="G41" s="1957"/>
      <c r="H41" s="1958">
        <f>H31+H38</f>
        <v>0</v>
      </c>
      <c r="I41" s="1958">
        <f>I31+I38</f>
        <v>0</v>
      </c>
      <c r="J41" s="1959"/>
      <c r="K41" s="1959"/>
    </row>
    <row r="42" spans="1:11" s="1962" customFormat="1" ht="16.5">
      <c r="A42" s="1954">
        <f t="shared" si="0"/>
        <v>37</v>
      </c>
      <c r="B42" s="1982" t="s">
        <v>3911</v>
      </c>
      <c r="C42" s="1966"/>
      <c r="D42" s="1966"/>
      <c r="E42" s="1966"/>
      <c r="F42" s="1966"/>
      <c r="G42" s="1966"/>
      <c r="H42" s="1967">
        <f>+H41+H28</f>
        <v>0</v>
      </c>
      <c r="I42" s="1967">
        <f>+I41+I28</f>
        <v>0</v>
      </c>
      <c r="J42" s="1959"/>
      <c r="K42" s="1959"/>
    </row>
    <row r="43" spans="1:11" s="1962" customFormat="1" ht="15.75">
      <c r="A43" s="1968"/>
      <c r="B43" s="1969"/>
      <c r="C43" s="1970"/>
      <c r="D43" s="1970"/>
      <c r="E43" s="1970"/>
      <c r="F43" s="1970"/>
      <c r="G43" s="1970"/>
      <c r="H43" s="1971"/>
      <c r="I43" s="1959"/>
      <c r="J43" s="1959"/>
      <c r="K43" s="1959"/>
    </row>
    <row r="44" spans="1:11" s="1962" customFormat="1" ht="16.5">
      <c r="A44" s="1972" t="s">
        <v>3295</v>
      </c>
      <c r="B44" s="1505" t="s">
        <v>7030</v>
      </c>
      <c r="C44" s="1973"/>
      <c r="D44" s="1973"/>
      <c r="E44" s="1973"/>
      <c r="F44" s="1973"/>
      <c r="G44" s="1973"/>
      <c r="H44" s="1971"/>
      <c r="I44" s="1959"/>
      <c r="J44" s="1959"/>
      <c r="K44" s="1959"/>
    </row>
    <row r="45" spans="1:11" s="1962" customFormat="1" ht="16.5">
      <c r="A45" s="1972" t="s">
        <v>3235</v>
      </c>
      <c r="B45" s="1505" t="s">
        <v>7031</v>
      </c>
      <c r="C45" s="1973"/>
      <c r="D45" s="1973"/>
      <c r="E45" s="1973"/>
      <c r="F45" s="1973"/>
      <c r="G45" s="1973"/>
      <c r="H45" s="1971"/>
      <c r="I45" s="1959"/>
      <c r="J45" s="1959"/>
      <c r="K45" s="1959"/>
    </row>
    <row r="46" spans="1:11" s="1962" customFormat="1" ht="16.5">
      <c r="A46" s="1972" t="s">
        <v>3236</v>
      </c>
      <c r="B46" s="1505" t="s">
        <v>7032</v>
      </c>
      <c r="C46" s="1973"/>
      <c r="D46" s="1973"/>
      <c r="E46" s="1973"/>
      <c r="F46" s="1973"/>
      <c r="G46" s="1973"/>
      <c r="H46" s="1971"/>
      <c r="I46" s="1959"/>
      <c r="J46" s="1959"/>
      <c r="K46" s="1959"/>
    </row>
    <row r="47" spans="1:11" s="1962" customFormat="1" ht="16.5">
      <c r="A47" s="1972" t="s">
        <v>3256</v>
      </c>
      <c r="B47" s="1505" t="s">
        <v>7033</v>
      </c>
      <c r="C47" s="1974"/>
      <c r="D47" s="1974"/>
      <c r="E47" s="1974"/>
      <c r="F47" s="1974"/>
      <c r="G47" s="1974"/>
      <c r="H47" s="1971"/>
      <c r="I47" s="1959"/>
      <c r="J47" s="1959"/>
      <c r="K47" s="1959"/>
    </row>
    <row r="48" spans="1:11" s="1962" customFormat="1" ht="16.5">
      <c r="A48" s="1896" t="s">
        <v>3978</v>
      </c>
      <c r="B48" s="1505" t="s">
        <v>7034</v>
      </c>
      <c r="C48" s="1974"/>
      <c r="D48" s="1974"/>
      <c r="E48" s="1974"/>
      <c r="F48" s="1974"/>
      <c r="G48" s="1974"/>
      <c r="H48" s="1971"/>
      <c r="I48" s="1959"/>
      <c r="J48" s="1959"/>
      <c r="K48" s="1959"/>
    </row>
    <row r="49" spans="1:7" ht="16.5">
      <c r="A49" s="1972" t="s">
        <v>3912</v>
      </c>
      <c r="B49" s="1974" t="s">
        <v>7035</v>
      </c>
      <c r="C49" s="1974"/>
      <c r="D49" s="1974"/>
      <c r="E49" s="1974"/>
      <c r="F49" s="1974"/>
      <c r="G49" s="1974"/>
    </row>
    <row r="50" spans="1:7" ht="16.5">
      <c r="A50" s="1972" t="s">
        <v>3913</v>
      </c>
      <c r="B50" s="1775" t="s">
        <v>3932</v>
      </c>
      <c r="C50" s="1975"/>
      <c r="D50" s="1975"/>
      <c r="E50" s="1975"/>
      <c r="F50" s="1975"/>
      <c r="G50" s="1974"/>
    </row>
    <row r="51" spans="1:7" ht="15.75"/>
    <row r="52" spans="1:7" ht="15.75"/>
    <row r="53" spans="1:7" ht="15.75"/>
    <row r="54" spans="1:7" ht="15.75"/>
    <row r="55" spans="1:7" ht="15.75"/>
    <row r="56" spans="1:7" ht="15.75"/>
    <row r="57" spans="1:7" ht="15.75"/>
    <row r="58" spans="1:7" ht="15.75"/>
    <row r="59" spans="1:7" ht="15.75"/>
    <row r="60" spans="1:7" ht="15.75"/>
    <row r="61" spans="1:7" ht="15.75"/>
    <row r="62" spans="1:7" ht="15.75"/>
    <row r="63" spans="1:7" ht="15.75"/>
    <row r="64" spans="1:7"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sheetData>
  <mergeCells count="4">
    <mergeCell ref="C3:D3"/>
    <mergeCell ref="E3:F3"/>
    <mergeCell ref="A3:A5"/>
    <mergeCell ref="B3:B4"/>
  </mergeCells>
  <phoneticPr fontId="26" type="noConversion"/>
  <printOptions horizontalCentered="1"/>
  <pageMargins left="0.39370078740157483" right="0.39370078740157483" top="0.39370078740157483" bottom="0.39370078740157483" header="0.19685039370078741" footer="0.19685039370078741"/>
  <pageSetup paperSize="9" scale="59" orientation="landscape" horizontalDpi="4294967295" verticalDpi="4294967295" r:id="rId1"/>
  <headerFooter alignWithMargins="0">
    <oddFooter>&amp;C&amp;"Times New Roman,標準"42&amp;R&amp;"Times New Roman,標準"&amp;A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C72"/>
  <sheetViews>
    <sheetView zoomScaleNormal="100" zoomScaleSheetLayoutView="70" workbookViewId="0"/>
  </sheetViews>
  <sheetFormatPr defaultColWidth="15.625" defaultRowHeight="15.75"/>
  <cols>
    <col min="1" max="1" width="5.625" style="1989" customWidth="1"/>
    <col min="2" max="2" width="60.625" style="1989" customWidth="1"/>
    <col min="3" max="7" width="20.625" style="1989" customWidth="1"/>
    <col min="8" max="16384" width="15.625" style="1989"/>
  </cols>
  <sheetData>
    <row r="1" spans="1:7" ht="16.5">
      <c r="A1" s="2407" t="s">
        <v>7070</v>
      </c>
      <c r="B1" s="1988"/>
      <c r="C1" s="1988"/>
      <c r="D1" s="1988"/>
      <c r="E1" s="1988"/>
      <c r="F1" s="1988"/>
    </row>
    <row r="2" spans="1:7" ht="16.5">
      <c r="A2" s="1983" t="s">
        <v>3563</v>
      </c>
      <c r="B2" s="1948"/>
      <c r="C2" s="1990"/>
      <c r="D2" s="1990"/>
      <c r="F2" s="1990"/>
      <c r="G2" s="1984" t="s">
        <v>3914</v>
      </c>
    </row>
    <row r="3" spans="1:7" ht="33">
      <c r="A3" s="2577" t="s">
        <v>2343</v>
      </c>
      <c r="B3" s="2220" t="s">
        <v>3903</v>
      </c>
      <c r="C3" s="2219" t="s">
        <v>3936</v>
      </c>
      <c r="D3" s="2219" t="s">
        <v>3937</v>
      </c>
      <c r="E3" s="2219" t="s">
        <v>3904</v>
      </c>
      <c r="F3" s="2219" t="s">
        <v>3910</v>
      </c>
      <c r="G3" s="1951" t="s">
        <v>3938</v>
      </c>
    </row>
    <row r="4" spans="1:7">
      <c r="A4" s="2577"/>
      <c r="B4" s="1952" t="s">
        <v>66</v>
      </c>
      <c r="C4" s="1952" t="s">
        <v>187</v>
      </c>
      <c r="D4" s="1952" t="s">
        <v>68</v>
      </c>
      <c r="E4" s="1952" t="s">
        <v>309</v>
      </c>
      <c r="F4" s="1953" t="s">
        <v>125</v>
      </c>
      <c r="G4" s="1953" t="s">
        <v>460</v>
      </c>
    </row>
    <row r="5" spans="1:7" ht="16.5">
      <c r="A5" s="1991">
        <v>1</v>
      </c>
      <c r="B5" s="1992" t="s">
        <v>3939</v>
      </c>
      <c r="C5" s="1993"/>
      <c r="D5" s="1993"/>
      <c r="E5" s="1993"/>
      <c r="F5" s="1993"/>
      <c r="G5" s="1994"/>
    </row>
    <row r="6" spans="1:7" ht="16.5">
      <c r="A6" s="1995">
        <f t="shared" ref="A6:A56" si="0">A5+1</f>
        <v>2</v>
      </c>
      <c r="B6" s="1996" t="s">
        <v>3940</v>
      </c>
      <c r="C6" s="1997"/>
      <c r="D6" s="1997"/>
      <c r="E6" s="1997"/>
      <c r="F6" s="1997"/>
      <c r="G6" s="1998">
        <f>+G7+G8</f>
        <v>0</v>
      </c>
    </row>
    <row r="7" spans="1:7" ht="16.5">
      <c r="A7" s="1995">
        <f t="shared" si="0"/>
        <v>3</v>
      </c>
      <c r="B7" s="1999" t="s">
        <v>3941</v>
      </c>
      <c r="C7" s="1997"/>
      <c r="D7" s="1997"/>
      <c r="E7" s="2000"/>
      <c r="F7" s="2000"/>
      <c r="G7" s="2001"/>
    </row>
    <row r="8" spans="1:7" ht="16.5">
      <c r="A8" s="2002">
        <f t="shared" si="0"/>
        <v>4</v>
      </c>
      <c r="B8" s="2003" t="s">
        <v>3942</v>
      </c>
      <c r="C8" s="2004"/>
      <c r="D8" s="2004"/>
      <c r="E8" s="2005"/>
      <c r="F8" s="2005"/>
      <c r="G8" s="2006"/>
    </row>
    <row r="9" spans="1:7" ht="16.5">
      <c r="A9" s="1991">
        <f t="shared" si="0"/>
        <v>5</v>
      </c>
      <c r="B9" s="1996" t="s">
        <v>3943</v>
      </c>
      <c r="C9" s="1993"/>
      <c r="D9" s="1993"/>
      <c r="E9" s="1993"/>
      <c r="F9" s="1993"/>
      <c r="G9" s="2007">
        <f>+G10+G11</f>
        <v>0</v>
      </c>
    </row>
    <row r="10" spans="1:7" ht="16.5">
      <c r="A10" s="1995">
        <f t="shared" si="0"/>
        <v>6</v>
      </c>
      <c r="B10" s="1999" t="s">
        <v>3941</v>
      </c>
      <c r="C10" s="1997"/>
      <c r="D10" s="1997"/>
      <c r="E10" s="2000"/>
      <c r="F10" s="2000"/>
      <c r="G10" s="2001"/>
    </row>
    <row r="11" spans="1:7" ht="16.5">
      <c r="A11" s="2008">
        <f t="shared" si="0"/>
        <v>7</v>
      </c>
      <c r="B11" s="2009" t="s">
        <v>3942</v>
      </c>
      <c r="C11" s="2010"/>
      <c r="D11" s="2010"/>
      <c r="E11" s="2011"/>
      <c r="F11" s="2011"/>
      <c r="G11" s="2012"/>
    </row>
    <row r="12" spans="1:7" ht="16.5">
      <c r="A12" s="2013">
        <f t="shared" si="0"/>
        <v>8</v>
      </c>
      <c r="B12" s="2014" t="s">
        <v>3944</v>
      </c>
      <c r="C12" s="2015"/>
      <c r="D12" s="2015"/>
      <c r="E12" s="2015"/>
      <c r="F12" s="2015"/>
      <c r="G12" s="2016"/>
    </row>
    <row r="13" spans="1:7" ht="16.5">
      <c r="A13" s="1991">
        <f t="shared" si="0"/>
        <v>9</v>
      </c>
      <c r="B13" s="1996" t="s">
        <v>3945</v>
      </c>
      <c r="C13" s="1993"/>
      <c r="D13" s="1993"/>
      <c r="E13" s="1993"/>
      <c r="F13" s="1993"/>
      <c r="G13" s="2007">
        <f>+G14+G15</f>
        <v>0</v>
      </c>
    </row>
    <row r="14" spans="1:7" ht="16.5">
      <c r="A14" s="1995">
        <f t="shared" si="0"/>
        <v>10</v>
      </c>
      <c r="B14" s="1999" t="s">
        <v>3946</v>
      </c>
      <c r="C14" s="1997"/>
      <c r="D14" s="2000"/>
      <c r="E14" s="2000"/>
      <c r="F14" s="2000"/>
      <c r="G14" s="2001"/>
    </row>
    <row r="15" spans="1:7" ht="16.5">
      <c r="A15" s="1995">
        <f t="shared" si="0"/>
        <v>11</v>
      </c>
      <c r="B15" s="1999" t="s">
        <v>3947</v>
      </c>
      <c r="C15" s="1997"/>
      <c r="D15" s="1997"/>
      <c r="E15" s="1997"/>
      <c r="F15" s="1997"/>
      <c r="G15" s="1998">
        <f>+G16+G17</f>
        <v>0</v>
      </c>
    </row>
    <row r="16" spans="1:7" ht="16.5">
      <c r="A16" s="1995">
        <f t="shared" si="0"/>
        <v>12</v>
      </c>
      <c r="B16" s="2017" t="s">
        <v>3948</v>
      </c>
      <c r="C16" s="1997"/>
      <c r="D16" s="1997"/>
      <c r="E16" s="2000"/>
      <c r="F16" s="2000"/>
      <c r="G16" s="2001"/>
    </row>
    <row r="17" spans="1:29" ht="16.5">
      <c r="A17" s="2002">
        <f t="shared" si="0"/>
        <v>13</v>
      </c>
      <c r="B17" s="2018" t="s">
        <v>3949</v>
      </c>
      <c r="C17" s="2004"/>
      <c r="D17" s="2004"/>
      <c r="E17" s="2004"/>
      <c r="F17" s="2004"/>
      <c r="G17" s="2019"/>
    </row>
    <row r="18" spans="1:29" ht="16.5">
      <c r="A18" s="1991">
        <f t="shared" si="0"/>
        <v>14</v>
      </c>
      <c r="B18" s="1996" t="s">
        <v>3950</v>
      </c>
      <c r="C18" s="1993"/>
      <c r="D18" s="1993"/>
      <c r="E18" s="1993"/>
      <c r="F18" s="1993"/>
      <c r="G18" s="2007">
        <f>+G19+G20+G21</f>
        <v>0</v>
      </c>
    </row>
    <row r="19" spans="1:29" ht="16.5">
      <c r="A19" s="1995">
        <f t="shared" si="0"/>
        <v>15</v>
      </c>
      <c r="B19" s="1999" t="s">
        <v>3951</v>
      </c>
      <c r="C19" s="1997"/>
      <c r="D19" s="1997"/>
      <c r="E19" s="1997"/>
      <c r="F19" s="1997"/>
      <c r="G19" s="2001"/>
    </row>
    <row r="20" spans="1:29" ht="16.5">
      <c r="A20" s="1995">
        <f t="shared" si="0"/>
        <v>16</v>
      </c>
      <c r="B20" s="1999" t="s">
        <v>3952</v>
      </c>
      <c r="C20" s="1997"/>
      <c r="D20" s="1997"/>
      <c r="E20" s="1997"/>
      <c r="F20" s="1997"/>
      <c r="G20" s="2020"/>
    </row>
    <row r="21" spans="1:29" ht="33">
      <c r="A21" s="1995">
        <f t="shared" si="0"/>
        <v>17</v>
      </c>
      <c r="B21" s="1999" t="s">
        <v>3953</v>
      </c>
      <c r="C21" s="1997"/>
      <c r="D21" s="1997"/>
      <c r="E21" s="1997"/>
      <c r="F21" s="1997"/>
      <c r="G21" s="1998">
        <f>+G22+G25+G28+G29</f>
        <v>0</v>
      </c>
    </row>
    <row r="22" spans="1:29" ht="16.5">
      <c r="A22" s="1995">
        <f t="shared" si="0"/>
        <v>18</v>
      </c>
      <c r="B22" s="2017" t="s">
        <v>3954</v>
      </c>
      <c r="C22" s="1997"/>
      <c r="D22" s="1997"/>
      <c r="E22" s="1997"/>
      <c r="F22" s="1997"/>
      <c r="G22" s="1998">
        <f>+G23+G24</f>
        <v>0</v>
      </c>
    </row>
    <row r="23" spans="1:29" ht="16.5">
      <c r="A23" s="1995">
        <f t="shared" si="0"/>
        <v>19</v>
      </c>
      <c r="B23" s="2021" t="s">
        <v>3955</v>
      </c>
      <c r="C23" s="1997"/>
      <c r="D23" s="1997"/>
      <c r="E23" s="1997"/>
      <c r="F23" s="1997"/>
      <c r="G23" s="2001"/>
    </row>
    <row r="24" spans="1:29" ht="16.5">
      <c r="A24" s="1995">
        <f t="shared" si="0"/>
        <v>20</v>
      </c>
      <c r="B24" s="2021" t="s">
        <v>3956</v>
      </c>
      <c r="C24" s="1997"/>
      <c r="D24" s="1997"/>
      <c r="E24" s="1997"/>
      <c r="F24" s="1997"/>
      <c r="G24" s="2001"/>
    </row>
    <row r="25" spans="1:29" ht="16.5">
      <c r="A25" s="1995">
        <f t="shared" si="0"/>
        <v>21</v>
      </c>
      <c r="B25" s="2017" t="s">
        <v>3957</v>
      </c>
      <c r="C25" s="1997"/>
      <c r="D25" s="1997"/>
      <c r="E25" s="1997"/>
      <c r="F25" s="1997"/>
      <c r="G25" s="1998">
        <f>+G26+G27</f>
        <v>0</v>
      </c>
    </row>
    <row r="26" spans="1:29" ht="16.5">
      <c r="A26" s="1995">
        <f t="shared" si="0"/>
        <v>22</v>
      </c>
      <c r="B26" s="2021" t="s">
        <v>3955</v>
      </c>
      <c r="C26" s="1997"/>
      <c r="D26" s="1997"/>
      <c r="E26" s="1997"/>
      <c r="F26" s="1997"/>
      <c r="G26" s="2001"/>
      <c r="AC26" s="1481"/>
    </row>
    <row r="27" spans="1:29" ht="16.5">
      <c r="A27" s="1995">
        <f t="shared" si="0"/>
        <v>23</v>
      </c>
      <c r="B27" s="2021" t="s">
        <v>3956</v>
      </c>
      <c r="C27" s="1997"/>
      <c r="D27" s="1997"/>
      <c r="E27" s="1997"/>
      <c r="F27" s="1997"/>
      <c r="G27" s="2001"/>
    </row>
    <row r="28" spans="1:29" ht="16.5">
      <c r="A28" s="1995">
        <f t="shared" si="0"/>
        <v>24</v>
      </c>
      <c r="B28" s="2017" t="s">
        <v>3958</v>
      </c>
      <c r="C28" s="1997"/>
      <c r="D28" s="1997"/>
      <c r="E28" s="1997"/>
      <c r="F28" s="1997"/>
      <c r="G28" s="2020"/>
    </row>
    <row r="29" spans="1:29" ht="16.5">
      <c r="A29" s="1995">
        <f t="shared" si="0"/>
        <v>25</v>
      </c>
      <c r="B29" s="2017" t="s">
        <v>3959</v>
      </c>
      <c r="C29" s="1997"/>
      <c r="D29" s="1997"/>
      <c r="E29" s="1997"/>
      <c r="F29" s="1997"/>
      <c r="G29" s="1998">
        <f>+G30+G31</f>
        <v>0</v>
      </c>
    </row>
    <row r="30" spans="1:29" ht="16.5">
      <c r="A30" s="1995">
        <f t="shared" si="0"/>
        <v>26</v>
      </c>
      <c r="B30" s="2021" t="s">
        <v>3960</v>
      </c>
      <c r="C30" s="1997"/>
      <c r="D30" s="1997"/>
      <c r="E30" s="1997"/>
      <c r="F30" s="1997"/>
      <c r="G30" s="2001"/>
    </row>
    <row r="31" spans="1:29" ht="16.5">
      <c r="A31" s="1995">
        <f t="shared" si="0"/>
        <v>27</v>
      </c>
      <c r="B31" s="2021" t="s">
        <v>3961</v>
      </c>
      <c r="C31" s="1997"/>
      <c r="D31" s="1997"/>
      <c r="E31" s="1997"/>
      <c r="F31" s="1997"/>
      <c r="G31" s="1998">
        <f>+G32+G33</f>
        <v>0</v>
      </c>
    </row>
    <row r="32" spans="1:29" ht="16.5">
      <c r="A32" s="1995">
        <f t="shared" si="0"/>
        <v>28</v>
      </c>
      <c r="B32" s="2022" t="s">
        <v>3962</v>
      </c>
      <c r="C32" s="1997"/>
      <c r="D32" s="1997"/>
      <c r="E32" s="1997"/>
      <c r="F32" s="1997"/>
      <c r="G32" s="2001"/>
    </row>
    <row r="33" spans="1:7" ht="16.5">
      <c r="A33" s="2002">
        <f t="shared" si="0"/>
        <v>29</v>
      </c>
      <c r="B33" s="2023" t="s">
        <v>3963</v>
      </c>
      <c r="C33" s="2004"/>
      <c r="D33" s="2004"/>
      <c r="E33" s="2004"/>
      <c r="F33" s="2004"/>
      <c r="G33" s="2019"/>
    </row>
    <row r="34" spans="1:7">
      <c r="A34" s="2383">
        <f t="shared" si="0"/>
        <v>30</v>
      </c>
      <c r="B34" s="1996" t="s">
        <v>4169</v>
      </c>
      <c r="C34" s="1993"/>
      <c r="D34" s="1993"/>
      <c r="E34" s="1993"/>
      <c r="F34" s="1993"/>
      <c r="G34" s="2007"/>
    </row>
    <row r="35" spans="1:7" ht="16.5">
      <c r="A35" s="2384">
        <f t="shared" si="0"/>
        <v>31</v>
      </c>
      <c r="B35" s="1999" t="s">
        <v>7015</v>
      </c>
      <c r="C35" s="1997"/>
      <c r="D35" s="1997"/>
      <c r="E35" s="2385"/>
      <c r="F35" s="2385"/>
      <c r="G35" s="2001"/>
    </row>
    <row r="36" spans="1:7" ht="16.5">
      <c r="A36" s="2386">
        <f t="shared" si="0"/>
        <v>32</v>
      </c>
      <c r="B36" s="2009" t="s">
        <v>7016</v>
      </c>
      <c r="C36" s="2010"/>
      <c r="D36" s="2010"/>
      <c r="E36" s="2387"/>
      <c r="F36" s="2387"/>
      <c r="G36" s="2012"/>
    </row>
    <row r="37" spans="1:7" ht="16.5">
      <c r="A37" s="2013">
        <f>A36+1</f>
        <v>33</v>
      </c>
      <c r="B37" s="2024" t="s">
        <v>3964</v>
      </c>
      <c r="C37" s="2015"/>
      <c r="D37" s="2015"/>
      <c r="E37" s="2015"/>
      <c r="F37" s="2015"/>
      <c r="G37" s="2030">
        <f>+G6+G9+G12+G13+G18</f>
        <v>0</v>
      </c>
    </row>
    <row r="38" spans="1:7" ht="16.5">
      <c r="A38" s="2013">
        <f t="shared" si="0"/>
        <v>34</v>
      </c>
      <c r="B38" s="2024" t="s">
        <v>3933</v>
      </c>
      <c r="C38" s="2015"/>
      <c r="D38" s="2015"/>
      <c r="E38" s="2015"/>
      <c r="F38" s="2015"/>
      <c r="G38" s="2016"/>
    </row>
    <row r="39" spans="1:7" ht="16.5">
      <c r="A39" s="1991">
        <f t="shared" si="0"/>
        <v>35</v>
      </c>
      <c r="B39" s="2025" t="s">
        <v>3965</v>
      </c>
      <c r="C39" s="1993"/>
      <c r="D39" s="1993"/>
      <c r="E39" s="1993"/>
      <c r="F39" s="1993"/>
      <c r="G39" s="2007">
        <f>+G40+G41+G42</f>
        <v>0</v>
      </c>
    </row>
    <row r="40" spans="1:7" ht="16.5">
      <c r="A40" s="1995">
        <f t="shared" si="0"/>
        <v>36</v>
      </c>
      <c r="B40" s="2026" t="s">
        <v>3966</v>
      </c>
      <c r="C40" s="1997"/>
      <c r="D40" s="1997"/>
      <c r="E40" s="2000"/>
      <c r="F40" s="2000"/>
      <c r="G40" s="2001"/>
    </row>
    <row r="41" spans="1:7" ht="16.5">
      <c r="A41" s="2388">
        <f t="shared" si="0"/>
        <v>37</v>
      </c>
      <c r="B41" s="2026" t="s">
        <v>3967</v>
      </c>
      <c r="C41" s="1997"/>
      <c r="D41" s="1997"/>
      <c r="E41" s="1997"/>
      <c r="F41" s="1997"/>
      <c r="G41" s="2020"/>
    </row>
    <row r="42" spans="1:7" ht="16.5">
      <c r="A42" s="2388">
        <f t="shared" si="0"/>
        <v>38</v>
      </c>
      <c r="B42" s="1999" t="s">
        <v>3968</v>
      </c>
      <c r="C42" s="1997"/>
      <c r="D42" s="1997"/>
      <c r="E42" s="1997"/>
      <c r="F42" s="1997"/>
      <c r="G42" s="1998">
        <f>+G43+G44</f>
        <v>0</v>
      </c>
    </row>
    <row r="43" spans="1:7" ht="16.5">
      <c r="A43" s="2388">
        <f t="shared" si="0"/>
        <v>39</v>
      </c>
      <c r="B43" s="2017" t="s">
        <v>3969</v>
      </c>
      <c r="C43" s="1997"/>
      <c r="D43" s="2000"/>
      <c r="E43" s="2000"/>
      <c r="F43" s="2000"/>
      <c r="G43" s="2001"/>
    </row>
    <row r="44" spans="1:7" ht="16.5">
      <c r="A44" s="2388">
        <f t="shared" si="0"/>
        <v>40</v>
      </c>
      <c r="B44" s="2017" t="s">
        <v>3970</v>
      </c>
      <c r="C44" s="1997"/>
      <c r="D44" s="1997"/>
      <c r="E44" s="1997"/>
      <c r="F44" s="1997"/>
      <c r="G44" s="1998">
        <f>+G45+G46</f>
        <v>0</v>
      </c>
    </row>
    <row r="45" spans="1:7" ht="16.5">
      <c r="A45" s="2388">
        <f t="shared" si="0"/>
        <v>41</v>
      </c>
      <c r="B45" s="2021" t="s">
        <v>3971</v>
      </c>
      <c r="C45" s="1997"/>
      <c r="D45" s="1997"/>
      <c r="E45" s="2000"/>
      <c r="F45" s="2000"/>
      <c r="G45" s="2001"/>
    </row>
    <row r="46" spans="1:7" ht="16.5">
      <c r="A46" s="2389">
        <f t="shared" si="0"/>
        <v>42</v>
      </c>
      <c r="B46" s="2027" t="s">
        <v>3972</v>
      </c>
      <c r="C46" s="2004"/>
      <c r="D46" s="2004"/>
      <c r="E46" s="2004"/>
      <c r="F46" s="2004"/>
      <c r="G46" s="2019"/>
    </row>
    <row r="47" spans="1:7" ht="16.5">
      <c r="A47" s="2390">
        <f t="shared" si="0"/>
        <v>43</v>
      </c>
      <c r="B47" s="2025" t="s">
        <v>3973</v>
      </c>
      <c r="C47" s="1993"/>
      <c r="D47" s="1993"/>
      <c r="E47" s="1993"/>
      <c r="F47" s="1993"/>
      <c r="G47" s="2007">
        <f>+G48+G49+G50</f>
        <v>0</v>
      </c>
    </row>
    <row r="48" spans="1:7" ht="16.5">
      <c r="A48" s="2388">
        <f t="shared" si="0"/>
        <v>44</v>
      </c>
      <c r="B48" s="2026" t="s">
        <v>3966</v>
      </c>
      <c r="C48" s="1997"/>
      <c r="D48" s="1997"/>
      <c r="E48" s="2000"/>
      <c r="F48" s="2000"/>
      <c r="G48" s="2001"/>
    </row>
    <row r="49" spans="1:8" ht="16.5">
      <c r="A49" s="2388">
        <f t="shared" si="0"/>
        <v>45</v>
      </c>
      <c r="B49" s="2026" t="s">
        <v>3967</v>
      </c>
      <c r="C49" s="1997"/>
      <c r="D49" s="1997"/>
      <c r="E49" s="1997"/>
      <c r="F49" s="1997"/>
      <c r="G49" s="2020"/>
    </row>
    <row r="50" spans="1:8" ht="16.5">
      <c r="A50" s="2388">
        <f t="shared" si="0"/>
        <v>46</v>
      </c>
      <c r="B50" s="1999" t="s">
        <v>3968</v>
      </c>
      <c r="C50" s="1997"/>
      <c r="D50" s="1997"/>
      <c r="E50" s="1997"/>
      <c r="F50" s="1997"/>
      <c r="G50" s="1998">
        <f>+G51+G52</f>
        <v>0</v>
      </c>
    </row>
    <row r="51" spans="1:8" ht="16.5">
      <c r="A51" s="2388">
        <f t="shared" si="0"/>
        <v>47</v>
      </c>
      <c r="B51" s="2017" t="s">
        <v>3969</v>
      </c>
      <c r="C51" s="1997"/>
      <c r="D51" s="2000"/>
      <c r="E51" s="2000"/>
      <c r="F51" s="2000"/>
      <c r="G51" s="2001"/>
    </row>
    <row r="52" spans="1:8" ht="16.5">
      <c r="A52" s="2388">
        <f t="shared" si="0"/>
        <v>48</v>
      </c>
      <c r="B52" s="2017" t="s">
        <v>3970</v>
      </c>
      <c r="C52" s="1997"/>
      <c r="D52" s="1997"/>
      <c r="E52" s="1997"/>
      <c r="F52" s="1997"/>
      <c r="G52" s="1998">
        <f>+G53+G54</f>
        <v>0</v>
      </c>
    </row>
    <row r="53" spans="1:8" ht="16.5">
      <c r="A53" s="2388">
        <f t="shared" si="0"/>
        <v>49</v>
      </c>
      <c r="B53" s="2021" t="s">
        <v>3971</v>
      </c>
      <c r="C53" s="1997"/>
      <c r="D53" s="1997"/>
      <c r="E53" s="2000"/>
      <c r="F53" s="2000"/>
      <c r="G53" s="2001"/>
    </row>
    <row r="54" spans="1:8" ht="16.5">
      <c r="A54" s="2391">
        <f t="shared" si="0"/>
        <v>50</v>
      </c>
      <c r="B54" s="2028" t="s">
        <v>3972</v>
      </c>
      <c r="C54" s="2010"/>
      <c r="D54" s="2010"/>
      <c r="E54" s="2010"/>
      <c r="F54" s="2010"/>
      <c r="G54" s="2029"/>
    </row>
    <row r="55" spans="1:8" ht="16.5">
      <c r="A55" s="2392">
        <f t="shared" si="0"/>
        <v>51</v>
      </c>
      <c r="B55" s="2024" t="s">
        <v>3974</v>
      </c>
      <c r="C55" s="2015"/>
      <c r="D55" s="2015"/>
      <c r="E55" s="2015"/>
      <c r="F55" s="2015"/>
      <c r="G55" s="2030">
        <f>+G39+G47</f>
        <v>0</v>
      </c>
    </row>
    <row r="56" spans="1:8" ht="16.5">
      <c r="A56" s="2393">
        <f t="shared" si="0"/>
        <v>52</v>
      </c>
      <c r="B56" s="2031" t="s">
        <v>3934</v>
      </c>
      <c r="C56" s="2032"/>
      <c r="D56" s="2032"/>
      <c r="E56" s="2032"/>
      <c r="F56" s="2032"/>
      <c r="G56" s="2033">
        <f>+G37+G55</f>
        <v>0</v>
      </c>
    </row>
    <row r="57" spans="1:8">
      <c r="A57" s="2394"/>
      <c r="B57" s="1985"/>
      <c r="C57" s="1971"/>
      <c r="D57" s="1971"/>
      <c r="E57" s="1971"/>
      <c r="F57" s="1971"/>
      <c r="G57" s="2034"/>
    </row>
    <row r="58" spans="1:8" ht="16.5">
      <c r="A58" s="1987" t="s">
        <v>3975</v>
      </c>
      <c r="B58" s="1974" t="s">
        <v>7017</v>
      </c>
      <c r="C58" s="2035"/>
      <c r="D58" s="2035"/>
      <c r="E58" s="2035"/>
      <c r="F58" s="1986"/>
      <c r="G58" s="1986"/>
      <c r="H58" s="1986"/>
    </row>
    <row r="59" spans="1:8" ht="16.5">
      <c r="A59" s="1987" t="s">
        <v>3976</v>
      </c>
      <c r="B59" s="1974" t="s">
        <v>7018</v>
      </c>
      <c r="C59" s="2035"/>
      <c r="D59" s="2035"/>
      <c r="E59" s="2035"/>
      <c r="F59" s="1986"/>
      <c r="G59" s="1986"/>
      <c r="H59" s="1986"/>
    </row>
    <row r="60" spans="1:8" ht="16.5">
      <c r="A60" s="1987" t="s">
        <v>3977</v>
      </c>
      <c r="B60" s="1974" t="s">
        <v>7019</v>
      </c>
      <c r="C60" s="2035"/>
      <c r="D60" s="2035"/>
      <c r="E60" s="2035"/>
      <c r="F60" s="1986"/>
      <c r="G60" s="1986"/>
      <c r="H60" s="1986"/>
    </row>
    <row r="61" spans="1:8" ht="16.5">
      <c r="A61" s="1987" t="s">
        <v>3256</v>
      </c>
      <c r="B61" s="1974" t="s">
        <v>7020</v>
      </c>
      <c r="C61" s="2035"/>
      <c r="D61" s="2035"/>
      <c r="E61" s="2035"/>
      <c r="F61" s="1986"/>
      <c r="G61" s="1986"/>
      <c r="H61" s="1986"/>
    </row>
    <row r="62" spans="1:8" ht="16.5">
      <c r="A62" s="1987" t="s">
        <v>3978</v>
      </c>
      <c r="B62" s="1974" t="s">
        <v>7021</v>
      </c>
      <c r="C62" s="2035"/>
      <c r="D62" s="2035"/>
      <c r="E62" s="2035"/>
      <c r="F62" s="1986"/>
      <c r="G62" s="1986"/>
      <c r="H62" s="1986"/>
    </row>
    <row r="63" spans="1:8" ht="16.5">
      <c r="A63" s="1987" t="s">
        <v>3912</v>
      </c>
      <c r="B63" s="1974" t="s">
        <v>7022</v>
      </c>
      <c r="C63" s="2035"/>
      <c r="D63" s="2035"/>
      <c r="E63" s="2035"/>
      <c r="F63" s="1986"/>
      <c r="G63" s="1986"/>
      <c r="H63" s="1986"/>
    </row>
    <row r="64" spans="1:8" ht="16.5">
      <c r="A64" s="1987" t="s">
        <v>3913</v>
      </c>
      <c r="B64" s="1974" t="s">
        <v>7023</v>
      </c>
      <c r="C64" s="2035"/>
      <c r="D64" s="2035"/>
      <c r="E64" s="2035"/>
      <c r="F64" s="1986"/>
      <c r="G64" s="1986"/>
      <c r="H64" s="1986"/>
    </row>
    <row r="65" spans="1:8" ht="16.5">
      <c r="A65" s="1987" t="s">
        <v>3979</v>
      </c>
      <c r="B65" s="1974" t="s">
        <v>7024</v>
      </c>
      <c r="C65" s="2035"/>
      <c r="D65" s="2035"/>
      <c r="E65" s="2035"/>
      <c r="F65" s="1986"/>
      <c r="G65" s="1986"/>
      <c r="H65" s="1986"/>
    </row>
    <row r="66" spans="1:8" ht="16.5">
      <c r="A66" s="1987" t="s">
        <v>3980</v>
      </c>
      <c r="B66" s="1974" t="s">
        <v>7025</v>
      </c>
      <c r="C66" s="2035"/>
      <c r="D66" s="2035"/>
      <c r="E66" s="2035"/>
      <c r="F66" s="1986"/>
      <c r="G66" s="1986"/>
      <c r="H66" s="1986"/>
    </row>
    <row r="67" spans="1:8" ht="16.5">
      <c r="A67" s="1987" t="s">
        <v>3981</v>
      </c>
      <c r="B67" s="1974" t="s">
        <v>7026</v>
      </c>
      <c r="C67" s="2035"/>
      <c r="D67" s="2035"/>
      <c r="E67" s="2035"/>
      <c r="F67" s="1986"/>
      <c r="G67" s="1986"/>
      <c r="H67" s="1986"/>
    </row>
    <row r="68" spans="1:8" ht="16.5">
      <c r="A68" s="1987" t="s">
        <v>3982</v>
      </c>
      <c r="B68" s="1974" t="s">
        <v>7027</v>
      </c>
      <c r="C68" s="2035"/>
      <c r="D68" s="2035"/>
      <c r="E68" s="2035"/>
      <c r="F68" s="1986"/>
      <c r="G68" s="1986"/>
      <c r="H68" s="1986"/>
    </row>
    <row r="69" spans="1:8" ht="16.5">
      <c r="A69" s="1987" t="s">
        <v>3983</v>
      </c>
      <c r="B69" s="1975" t="s">
        <v>3935</v>
      </c>
      <c r="C69" s="1971"/>
      <c r="D69" s="1971"/>
      <c r="E69" s="1971"/>
      <c r="F69" s="1971"/>
    </row>
    <row r="70" spans="1:8" ht="16.5">
      <c r="A70" s="1987" t="s">
        <v>7028</v>
      </c>
      <c r="B70" s="1975" t="s">
        <v>7029</v>
      </c>
      <c r="C70" s="1971"/>
      <c r="D70" s="1971"/>
      <c r="E70" s="1971"/>
      <c r="F70" s="1971"/>
    </row>
    <row r="71" spans="1:8">
      <c r="A71" s="2035"/>
      <c r="B71" s="1969"/>
      <c r="C71" s="2036"/>
      <c r="D71" s="2036"/>
      <c r="E71" s="2036"/>
      <c r="F71" s="2036"/>
    </row>
    <row r="72" spans="1:8">
      <c r="A72" s="1968"/>
      <c r="B72" s="1969"/>
      <c r="C72" s="2036"/>
      <c r="D72" s="2036"/>
      <c r="E72" s="2036"/>
      <c r="F72" s="2036"/>
    </row>
  </sheetData>
  <mergeCells count="1">
    <mergeCell ref="A3:A4"/>
  </mergeCells>
  <phoneticPr fontId="26" type="noConversion"/>
  <printOptions horizontalCentered="1"/>
  <pageMargins left="0.39370078740157483" right="0.39370078740157483" top="0.39370078740157483" bottom="0.39370078740157483" header="0.19685039370078741" footer="0.19685039370078741"/>
  <pageSetup paperSize="9" scale="57" fitToHeight="2" orientation="portrait" cellComments="asDisplayed" horizontalDpi="4294967295" verticalDpi="4294967295" r:id="rId1"/>
  <headerFooter alignWithMargins="0">
    <oddFooter>&amp;C&amp;P+42&amp;R&amp;"Times New Roman,標準"&amp;A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G37"/>
  <sheetViews>
    <sheetView zoomScaleNormal="100" zoomScaleSheetLayoutView="100" workbookViewId="0"/>
  </sheetViews>
  <sheetFormatPr defaultColWidth="15.625" defaultRowHeight="15.75"/>
  <cols>
    <col min="1" max="1" width="5.625" style="2037" customWidth="1"/>
    <col min="2" max="16384" width="15.625" style="2037"/>
  </cols>
  <sheetData>
    <row r="1" spans="1:33" ht="16.5">
      <c r="A1" s="2397" t="s">
        <v>7072</v>
      </c>
      <c r="B1" s="1857"/>
      <c r="C1" s="1857"/>
      <c r="D1" s="1857"/>
      <c r="E1" s="1857"/>
      <c r="F1" s="1857"/>
      <c r="G1" s="1857"/>
      <c r="H1" s="1857"/>
      <c r="I1" s="1857"/>
      <c r="J1" s="1857"/>
      <c r="K1" s="1857"/>
      <c r="L1" s="1857"/>
      <c r="M1" s="1857"/>
      <c r="N1" s="1857"/>
      <c r="O1" s="1857"/>
      <c r="P1" s="1857"/>
      <c r="Q1" s="1857"/>
      <c r="R1" s="1857"/>
      <c r="S1" s="1857"/>
      <c r="T1" s="1857"/>
      <c r="U1" s="1857"/>
      <c r="V1" s="1857"/>
      <c r="W1" s="1857"/>
      <c r="X1" s="1857"/>
      <c r="Y1" s="1857"/>
      <c r="Z1" s="1857"/>
      <c r="AA1" s="1857"/>
      <c r="AB1" s="1857"/>
      <c r="AC1" s="1857"/>
      <c r="AD1" s="1857"/>
      <c r="AE1" s="1857"/>
      <c r="AF1" s="1857"/>
      <c r="AG1" s="1900"/>
    </row>
    <row r="2" spans="1:33" ht="16.5">
      <c r="A2" s="1503" t="s">
        <v>3984</v>
      </c>
      <c r="B2" s="1857"/>
      <c r="C2" s="1857"/>
      <c r="D2" s="1857"/>
      <c r="E2" s="1857"/>
      <c r="F2" s="1857"/>
      <c r="G2" s="1857"/>
      <c r="H2" s="1857"/>
      <c r="I2" s="1857"/>
      <c r="J2" s="1857"/>
      <c r="K2" s="1857"/>
      <c r="L2" s="1857"/>
      <c r="M2" s="1857"/>
      <c r="N2" s="1857"/>
      <c r="O2" s="1857"/>
      <c r="P2" s="1857"/>
      <c r="Q2" s="1857"/>
      <c r="R2" s="1857"/>
      <c r="S2" s="1857"/>
      <c r="T2" s="1857"/>
      <c r="U2" s="1857"/>
      <c r="V2" s="1857"/>
      <c r="W2" s="1857"/>
      <c r="X2" s="1857"/>
      <c r="Y2" s="1857"/>
      <c r="Z2" s="1857"/>
      <c r="AA2" s="1857"/>
      <c r="AC2" s="1857"/>
      <c r="AD2" s="1857"/>
      <c r="AE2" s="1857"/>
      <c r="AF2" s="1859" t="s">
        <v>3876</v>
      </c>
      <c r="AG2" s="1900"/>
    </row>
    <row r="3" spans="1:33" ht="15.75" customHeight="1">
      <c r="A3" s="2579" t="s">
        <v>2343</v>
      </c>
      <c r="B3" s="2582" t="s">
        <v>3985</v>
      </c>
      <c r="C3" s="2583"/>
      <c r="D3" s="2583"/>
      <c r="E3" s="2584"/>
      <c r="F3" s="2582" t="s">
        <v>3841</v>
      </c>
      <c r="G3" s="2583"/>
      <c r="H3" s="2583"/>
      <c r="I3" s="2583"/>
      <c r="J3" s="2584"/>
      <c r="K3" s="2579" t="s">
        <v>3772</v>
      </c>
      <c r="L3" s="2579" t="s">
        <v>3773</v>
      </c>
      <c r="M3" s="2579" t="s">
        <v>3774</v>
      </c>
      <c r="N3" s="2579" t="s">
        <v>3986</v>
      </c>
      <c r="O3" s="2579" t="s">
        <v>3987</v>
      </c>
      <c r="P3" s="2579" t="s">
        <v>7012</v>
      </c>
      <c r="Q3" s="2579" t="s">
        <v>3842</v>
      </c>
      <c r="R3" s="2579" t="s">
        <v>3988</v>
      </c>
      <c r="S3" s="2579" t="s">
        <v>3843</v>
      </c>
      <c r="T3" s="2579" t="s">
        <v>3778</v>
      </c>
      <c r="U3" s="2579" t="s">
        <v>3779</v>
      </c>
      <c r="V3" s="2579" t="s">
        <v>3780</v>
      </c>
      <c r="W3" s="2579" t="s">
        <v>3990</v>
      </c>
      <c r="X3" s="2579" t="s">
        <v>3781</v>
      </c>
      <c r="Y3" s="2579" t="s">
        <v>3782</v>
      </c>
      <c r="Z3" s="2579" t="s">
        <v>3989</v>
      </c>
      <c r="AA3" s="2579" t="s">
        <v>3784</v>
      </c>
      <c r="AB3" s="2585" t="s">
        <v>3785</v>
      </c>
      <c r="AC3" s="2586"/>
      <c r="AD3" s="2579" t="s">
        <v>3991</v>
      </c>
      <c r="AE3" s="2579" t="s">
        <v>3787</v>
      </c>
      <c r="AF3" s="2579" t="s">
        <v>2436</v>
      </c>
      <c r="AG3" s="1900"/>
    </row>
    <row r="4" spans="1:33" ht="33">
      <c r="A4" s="2581"/>
      <c r="B4" s="2212" t="s">
        <v>3792</v>
      </c>
      <c r="C4" s="2212" t="s">
        <v>3793</v>
      </c>
      <c r="D4" s="2212" t="s">
        <v>3790</v>
      </c>
      <c r="E4" s="2212" t="s">
        <v>3791</v>
      </c>
      <c r="F4" s="2212" t="s">
        <v>3792</v>
      </c>
      <c r="G4" s="2212" t="s">
        <v>3793</v>
      </c>
      <c r="H4" s="2212" t="s">
        <v>3790</v>
      </c>
      <c r="I4" s="2212" t="s">
        <v>3791</v>
      </c>
      <c r="J4" s="1902" t="s">
        <v>3794</v>
      </c>
      <c r="K4" s="2580"/>
      <c r="L4" s="2580"/>
      <c r="M4" s="2580"/>
      <c r="N4" s="2580"/>
      <c r="O4" s="2580"/>
      <c r="P4" s="2580"/>
      <c r="Q4" s="2580"/>
      <c r="R4" s="2580"/>
      <c r="S4" s="2580"/>
      <c r="T4" s="2580"/>
      <c r="U4" s="2580"/>
      <c r="V4" s="2580"/>
      <c r="W4" s="2580"/>
      <c r="X4" s="2580"/>
      <c r="Y4" s="2580"/>
      <c r="Z4" s="2580"/>
      <c r="AA4" s="2580"/>
      <c r="AB4" s="2213" t="s">
        <v>3795</v>
      </c>
      <c r="AC4" s="2213" t="s">
        <v>3796</v>
      </c>
      <c r="AD4" s="2580"/>
      <c r="AE4" s="2580"/>
      <c r="AF4" s="2580"/>
      <c r="AG4" s="1900"/>
    </row>
    <row r="5" spans="1:33">
      <c r="A5" s="2580"/>
      <c r="B5" s="2038" t="s">
        <v>66</v>
      </c>
      <c r="C5" s="2038" t="s">
        <v>67</v>
      </c>
      <c r="D5" s="2038" t="s">
        <v>68</v>
      </c>
      <c r="E5" s="2038" t="s">
        <v>69</v>
      </c>
      <c r="F5" s="2038" t="s">
        <v>70</v>
      </c>
      <c r="G5" s="2038" t="s">
        <v>71</v>
      </c>
      <c r="H5" s="2038" t="s">
        <v>72</v>
      </c>
      <c r="I5" s="2038" t="s">
        <v>73</v>
      </c>
      <c r="J5" s="2038" t="s">
        <v>74</v>
      </c>
      <c r="K5" s="2038" t="s">
        <v>464</v>
      </c>
      <c r="L5" s="2038" t="s">
        <v>3992</v>
      </c>
      <c r="M5" s="2038" t="s">
        <v>3993</v>
      </c>
      <c r="N5" s="2038" t="s">
        <v>3994</v>
      </c>
      <c r="O5" s="2038" t="s">
        <v>3995</v>
      </c>
      <c r="P5" s="2038" t="s">
        <v>3996</v>
      </c>
      <c r="Q5" s="2038" t="s">
        <v>289</v>
      </c>
      <c r="R5" s="2038" t="s">
        <v>290</v>
      </c>
      <c r="S5" s="2038" t="s">
        <v>138</v>
      </c>
      <c r="T5" s="2038" t="s">
        <v>139</v>
      </c>
      <c r="U5" s="2038" t="s">
        <v>140</v>
      </c>
      <c r="V5" s="2038" t="s">
        <v>141</v>
      </c>
      <c r="W5" s="2038" t="s">
        <v>142</v>
      </c>
      <c r="X5" s="2038" t="s">
        <v>253</v>
      </c>
      <c r="Y5" s="2038" t="s">
        <v>254</v>
      </c>
      <c r="Z5" s="2038" t="s">
        <v>255</v>
      </c>
      <c r="AA5" s="2038" t="s">
        <v>256</v>
      </c>
      <c r="AB5" s="2038" t="s">
        <v>257</v>
      </c>
      <c r="AC5" s="2038" t="s">
        <v>258</v>
      </c>
      <c r="AD5" s="2038" t="s">
        <v>259</v>
      </c>
      <c r="AE5" s="2038" t="s">
        <v>260</v>
      </c>
      <c r="AF5" s="2038" t="s">
        <v>3997</v>
      </c>
      <c r="AG5" s="1900"/>
    </row>
    <row r="6" spans="1:33">
      <c r="A6" s="2217">
        <v>1</v>
      </c>
      <c r="B6" s="2039"/>
      <c r="C6" s="2040"/>
      <c r="D6" s="2040"/>
      <c r="E6" s="2040"/>
      <c r="F6" s="2039"/>
      <c r="G6" s="2040"/>
      <c r="H6" s="2040"/>
      <c r="I6" s="2040"/>
      <c r="J6" s="2040"/>
      <c r="K6" s="2040"/>
      <c r="L6" s="2040"/>
      <c r="M6" s="2040"/>
      <c r="N6" s="2040"/>
      <c r="O6" s="2040"/>
      <c r="P6" s="2040"/>
      <c r="Q6" s="2040"/>
      <c r="R6" s="2040"/>
      <c r="S6" s="2040"/>
      <c r="T6" s="2040"/>
      <c r="U6" s="2040"/>
      <c r="V6" s="2041"/>
      <c r="W6" s="2041"/>
      <c r="X6" s="2040"/>
      <c r="Y6" s="2042"/>
      <c r="Z6" s="2042"/>
      <c r="AA6" s="2042"/>
      <c r="AB6" s="2043">
        <v>0</v>
      </c>
      <c r="AC6" s="2042"/>
      <c r="AD6" s="2041" t="e">
        <f>Z6/'表05-1'!$D$257</f>
        <v>#DIV/0!</v>
      </c>
      <c r="AE6" s="2040"/>
      <c r="AF6" s="2040"/>
      <c r="AG6" s="1900"/>
    </row>
    <row r="7" spans="1:33">
      <c r="A7" s="2217">
        <f>A6+1</f>
        <v>2</v>
      </c>
      <c r="B7" s="2039"/>
      <c r="C7" s="2040"/>
      <c r="D7" s="2040"/>
      <c r="E7" s="2040"/>
      <c r="F7" s="2039"/>
      <c r="G7" s="2040"/>
      <c r="H7" s="2040"/>
      <c r="I7" s="2040"/>
      <c r="J7" s="2040"/>
      <c r="K7" s="2040"/>
      <c r="L7" s="2040"/>
      <c r="M7" s="2040"/>
      <c r="N7" s="2040"/>
      <c r="O7" s="2040"/>
      <c r="P7" s="2040"/>
      <c r="Q7" s="2040"/>
      <c r="R7" s="2040"/>
      <c r="S7" s="2040"/>
      <c r="T7" s="2040"/>
      <c r="U7" s="2040"/>
      <c r="V7" s="2041"/>
      <c r="W7" s="2041"/>
      <c r="X7" s="2040"/>
      <c r="Y7" s="2042"/>
      <c r="Z7" s="2042"/>
      <c r="AA7" s="2042"/>
      <c r="AB7" s="2043">
        <v>0</v>
      </c>
      <c r="AC7" s="2042"/>
      <c r="AD7" s="2041" t="e">
        <f>Z7/'表05-1'!$D$257</f>
        <v>#DIV/0!</v>
      </c>
      <c r="AE7" s="2040"/>
      <c r="AF7" s="2040"/>
      <c r="AG7" s="1900"/>
    </row>
    <row r="8" spans="1:33">
      <c r="A8" s="2217">
        <f t="shared" ref="A8:A15" si="0">A7+1</f>
        <v>3</v>
      </c>
      <c r="B8" s="2039"/>
      <c r="C8" s="2040"/>
      <c r="D8" s="2040"/>
      <c r="E8" s="2040"/>
      <c r="F8" s="2039"/>
      <c r="G8" s="2040"/>
      <c r="H8" s="2040"/>
      <c r="I8" s="2040"/>
      <c r="J8" s="2040"/>
      <c r="K8" s="2040"/>
      <c r="L8" s="2040"/>
      <c r="M8" s="2040"/>
      <c r="N8" s="2040"/>
      <c r="O8" s="2040"/>
      <c r="P8" s="2040"/>
      <c r="Q8" s="2040"/>
      <c r="R8" s="2040"/>
      <c r="S8" s="2040"/>
      <c r="T8" s="2040"/>
      <c r="U8" s="2040"/>
      <c r="V8" s="2041"/>
      <c r="W8" s="2041"/>
      <c r="X8" s="2040"/>
      <c r="Y8" s="2042"/>
      <c r="Z8" s="2042"/>
      <c r="AA8" s="2042"/>
      <c r="AB8" s="2043">
        <v>0</v>
      </c>
      <c r="AC8" s="2042"/>
      <c r="AD8" s="2041" t="e">
        <f>Z8/'表05-1'!$D$257</f>
        <v>#DIV/0!</v>
      </c>
      <c r="AE8" s="2040"/>
      <c r="AF8" s="2040"/>
      <c r="AG8" s="1900"/>
    </row>
    <row r="9" spans="1:33">
      <c r="A9" s="2217">
        <f t="shared" si="0"/>
        <v>4</v>
      </c>
      <c r="B9" s="2039"/>
      <c r="C9" s="2040"/>
      <c r="D9" s="2040"/>
      <c r="E9" s="2040"/>
      <c r="F9" s="2039"/>
      <c r="G9" s="2040"/>
      <c r="H9" s="2040"/>
      <c r="I9" s="2040"/>
      <c r="J9" s="2040"/>
      <c r="K9" s="2040"/>
      <c r="L9" s="2040"/>
      <c r="M9" s="2040"/>
      <c r="N9" s="2040"/>
      <c r="O9" s="2040"/>
      <c r="P9" s="2040"/>
      <c r="Q9" s="2040"/>
      <c r="R9" s="2040"/>
      <c r="S9" s="2040"/>
      <c r="T9" s="2040"/>
      <c r="U9" s="2040"/>
      <c r="V9" s="2041"/>
      <c r="W9" s="2041"/>
      <c r="X9" s="2040"/>
      <c r="Y9" s="2042"/>
      <c r="Z9" s="2042"/>
      <c r="AA9" s="2042"/>
      <c r="AB9" s="2043">
        <v>0</v>
      </c>
      <c r="AC9" s="2042"/>
      <c r="AD9" s="2041" t="e">
        <f>Z9/'表05-1'!$D$257</f>
        <v>#DIV/0!</v>
      </c>
      <c r="AE9" s="2040"/>
      <c r="AF9" s="2040"/>
      <c r="AG9" s="1900"/>
    </row>
    <row r="10" spans="1:33">
      <c r="A10" s="2217">
        <f t="shared" si="0"/>
        <v>5</v>
      </c>
      <c r="B10" s="2039"/>
      <c r="C10" s="2040"/>
      <c r="D10" s="2040"/>
      <c r="E10" s="2040"/>
      <c r="F10" s="2039"/>
      <c r="G10" s="2040"/>
      <c r="H10" s="2040"/>
      <c r="I10" s="2040"/>
      <c r="J10" s="2040"/>
      <c r="K10" s="2040"/>
      <c r="L10" s="2040"/>
      <c r="M10" s="2040"/>
      <c r="N10" s="2040"/>
      <c r="O10" s="2040"/>
      <c r="P10" s="2040"/>
      <c r="Q10" s="2040"/>
      <c r="R10" s="2040"/>
      <c r="S10" s="2040"/>
      <c r="T10" s="2040"/>
      <c r="U10" s="2040"/>
      <c r="V10" s="2041"/>
      <c r="W10" s="2041"/>
      <c r="X10" s="2040"/>
      <c r="Y10" s="2042"/>
      <c r="Z10" s="2042"/>
      <c r="AA10" s="2042"/>
      <c r="AB10" s="2043"/>
      <c r="AC10" s="2042"/>
      <c r="AD10" s="2041" t="e">
        <f>Z10/'表05-1'!$D$257</f>
        <v>#DIV/0!</v>
      </c>
      <c r="AE10" s="2040"/>
      <c r="AF10" s="2040"/>
      <c r="AG10" s="1900"/>
    </row>
    <row r="11" spans="1:33">
      <c r="A11" s="2217">
        <f t="shared" si="0"/>
        <v>6</v>
      </c>
      <c r="B11" s="2039"/>
      <c r="C11" s="2040"/>
      <c r="D11" s="2040"/>
      <c r="E11" s="2040"/>
      <c r="F11" s="2039"/>
      <c r="G11" s="2040"/>
      <c r="H11" s="2040"/>
      <c r="I11" s="2040"/>
      <c r="J11" s="2040"/>
      <c r="K11" s="2040"/>
      <c r="L11" s="2040"/>
      <c r="M11" s="2040"/>
      <c r="N11" s="2040"/>
      <c r="O11" s="2040"/>
      <c r="P11" s="2040"/>
      <c r="Q11" s="2040"/>
      <c r="R11" s="2040"/>
      <c r="S11" s="2040"/>
      <c r="T11" s="2040"/>
      <c r="U11" s="2040"/>
      <c r="V11" s="2041"/>
      <c r="W11" s="2041"/>
      <c r="X11" s="2040"/>
      <c r="Y11" s="2042"/>
      <c r="Z11" s="2042"/>
      <c r="AA11" s="2042"/>
      <c r="AB11" s="2043">
        <v>0</v>
      </c>
      <c r="AC11" s="2042"/>
      <c r="AD11" s="2041" t="e">
        <f>Z11/'表05-1'!$D$257</f>
        <v>#DIV/0!</v>
      </c>
      <c r="AE11" s="2040"/>
      <c r="AF11" s="2040"/>
      <c r="AG11" s="1900"/>
    </row>
    <row r="12" spans="1:33">
      <c r="A12" s="2217">
        <f t="shared" si="0"/>
        <v>7</v>
      </c>
      <c r="B12" s="2039"/>
      <c r="C12" s="2040"/>
      <c r="D12" s="2040"/>
      <c r="E12" s="2040"/>
      <c r="F12" s="2039"/>
      <c r="G12" s="2040"/>
      <c r="H12" s="2040"/>
      <c r="I12" s="2040"/>
      <c r="J12" s="2040"/>
      <c r="K12" s="2040"/>
      <c r="L12" s="2040"/>
      <c r="M12" s="2040"/>
      <c r="N12" s="2040"/>
      <c r="O12" s="2040"/>
      <c r="P12" s="2040"/>
      <c r="Q12" s="2040"/>
      <c r="R12" s="2040"/>
      <c r="S12" s="2040"/>
      <c r="T12" s="2040"/>
      <c r="U12" s="2040"/>
      <c r="V12" s="2041"/>
      <c r="W12" s="2041"/>
      <c r="X12" s="2040"/>
      <c r="Y12" s="2042"/>
      <c r="Z12" s="2042"/>
      <c r="AA12" s="2042"/>
      <c r="AB12" s="2043"/>
      <c r="AC12" s="2042"/>
      <c r="AD12" s="2041" t="e">
        <f>Z12/'表05-1'!$D$257</f>
        <v>#DIV/0!</v>
      </c>
      <c r="AE12" s="2040"/>
      <c r="AF12" s="2040"/>
      <c r="AG12" s="1900"/>
    </row>
    <row r="13" spans="1:33">
      <c r="A13" s="2217">
        <f t="shared" si="0"/>
        <v>8</v>
      </c>
      <c r="B13" s="2039"/>
      <c r="C13" s="2040"/>
      <c r="D13" s="2040"/>
      <c r="E13" s="2040"/>
      <c r="F13" s="2039"/>
      <c r="G13" s="2040"/>
      <c r="H13" s="2040"/>
      <c r="I13" s="2040"/>
      <c r="J13" s="2040"/>
      <c r="K13" s="2040"/>
      <c r="L13" s="2040"/>
      <c r="M13" s="2040"/>
      <c r="N13" s="2040"/>
      <c r="O13" s="2040"/>
      <c r="P13" s="2040"/>
      <c r="Q13" s="2040"/>
      <c r="R13" s="2040"/>
      <c r="S13" s="2040"/>
      <c r="T13" s="2040"/>
      <c r="U13" s="2040"/>
      <c r="V13" s="2041"/>
      <c r="W13" s="2041"/>
      <c r="X13" s="2040"/>
      <c r="Y13" s="2042"/>
      <c r="Z13" s="2042"/>
      <c r="AA13" s="2042"/>
      <c r="AB13" s="2043"/>
      <c r="AC13" s="2042"/>
      <c r="AD13" s="2041" t="e">
        <f>Z13/'表05-1'!$D$257</f>
        <v>#DIV/0!</v>
      </c>
      <c r="AE13" s="2040"/>
      <c r="AF13" s="2040"/>
      <c r="AG13" s="1900"/>
    </row>
    <row r="14" spans="1:33">
      <c r="A14" s="2217">
        <f t="shared" si="0"/>
        <v>9</v>
      </c>
      <c r="B14" s="2039"/>
      <c r="C14" s="2040"/>
      <c r="D14" s="2040"/>
      <c r="E14" s="2040"/>
      <c r="F14" s="2039"/>
      <c r="G14" s="2040"/>
      <c r="H14" s="2040"/>
      <c r="I14" s="2040"/>
      <c r="J14" s="2040"/>
      <c r="K14" s="2040"/>
      <c r="L14" s="2040"/>
      <c r="M14" s="2040"/>
      <c r="N14" s="2040"/>
      <c r="O14" s="2040"/>
      <c r="P14" s="2040"/>
      <c r="Q14" s="2040"/>
      <c r="R14" s="2040"/>
      <c r="S14" s="2040"/>
      <c r="T14" s="2040"/>
      <c r="U14" s="2040"/>
      <c r="V14" s="2041"/>
      <c r="W14" s="2041"/>
      <c r="X14" s="2040"/>
      <c r="Y14" s="2042"/>
      <c r="Z14" s="2042"/>
      <c r="AA14" s="2042"/>
      <c r="AB14" s="2043"/>
      <c r="AC14" s="2042"/>
      <c r="AD14" s="2041" t="e">
        <f>Z14/'表05-1'!$D$257</f>
        <v>#DIV/0!</v>
      </c>
      <c r="AE14" s="2040"/>
      <c r="AF14" s="2040"/>
      <c r="AG14" s="1900"/>
    </row>
    <row r="15" spans="1:33">
      <c r="A15" s="2217">
        <f t="shared" si="0"/>
        <v>10</v>
      </c>
      <c r="B15" s="2039"/>
      <c r="C15" s="2040"/>
      <c r="D15" s="2040"/>
      <c r="E15" s="2040"/>
      <c r="F15" s="2039"/>
      <c r="G15" s="2040"/>
      <c r="H15" s="2040"/>
      <c r="I15" s="2040"/>
      <c r="J15" s="2040"/>
      <c r="K15" s="2040"/>
      <c r="L15" s="2040"/>
      <c r="M15" s="2040"/>
      <c r="N15" s="2040"/>
      <c r="O15" s="2040"/>
      <c r="P15" s="2040"/>
      <c r="Q15" s="2040"/>
      <c r="R15" s="2040"/>
      <c r="S15" s="2040"/>
      <c r="T15" s="2040"/>
      <c r="U15" s="2040"/>
      <c r="V15" s="2041"/>
      <c r="W15" s="2041"/>
      <c r="X15" s="2040"/>
      <c r="Y15" s="2042"/>
      <c r="Z15" s="2042"/>
      <c r="AA15" s="2042"/>
      <c r="AB15" s="2043"/>
      <c r="AC15" s="2042"/>
      <c r="AD15" s="2041" t="e">
        <f>Z15/'表05-1'!$D$257</f>
        <v>#DIV/0!</v>
      </c>
      <c r="AE15" s="2040"/>
      <c r="AF15" s="2040"/>
      <c r="AG15" s="1900"/>
    </row>
    <row r="16" spans="1:33">
      <c r="A16" s="1893"/>
      <c r="B16" s="2044"/>
      <c r="C16" s="2045"/>
      <c r="D16" s="2045"/>
      <c r="E16" s="2045"/>
      <c r="F16" s="2044"/>
      <c r="G16" s="2045"/>
      <c r="H16" s="2045"/>
      <c r="I16" s="2045"/>
      <c r="J16" s="2045"/>
      <c r="K16" s="2045"/>
      <c r="L16" s="2045"/>
      <c r="M16" s="2045"/>
      <c r="N16" s="2045"/>
      <c r="O16" s="2045"/>
      <c r="P16" s="2045"/>
      <c r="Q16" s="2045"/>
      <c r="R16" s="2045"/>
      <c r="S16" s="2045"/>
      <c r="T16" s="2045"/>
      <c r="U16" s="2045"/>
      <c r="V16" s="2046"/>
      <c r="W16" s="2046"/>
      <c r="X16" s="2045"/>
      <c r="Y16" s="2047"/>
      <c r="Z16" s="2047"/>
      <c r="AA16" s="2047"/>
      <c r="AB16" s="2048"/>
      <c r="AC16" s="2047"/>
      <c r="AD16" s="2046"/>
      <c r="AE16" s="2045"/>
      <c r="AF16" s="2045"/>
      <c r="AG16" s="1900"/>
    </row>
    <row r="17" spans="1:33" ht="16.5">
      <c r="A17" s="1918" t="s">
        <v>3538</v>
      </c>
      <c r="B17" s="1503"/>
      <c r="C17" s="1857"/>
      <c r="D17" s="1857"/>
      <c r="E17" s="1857"/>
      <c r="F17" s="1857"/>
      <c r="G17" s="1857"/>
      <c r="H17" s="1857"/>
      <c r="I17" s="1857"/>
      <c r="J17" s="1857"/>
      <c r="K17" s="1857"/>
      <c r="L17" s="1857"/>
      <c r="M17" s="1857"/>
      <c r="N17" s="1857"/>
      <c r="O17" s="1857"/>
      <c r="P17" s="1857"/>
      <c r="Q17" s="1857"/>
      <c r="R17" s="1857"/>
      <c r="S17" s="1857"/>
      <c r="T17" s="1857"/>
      <c r="U17" s="1857"/>
      <c r="V17" s="1857"/>
      <c r="W17" s="1857"/>
      <c r="X17" s="1857"/>
      <c r="Y17" s="1857"/>
      <c r="Z17" s="1857"/>
      <c r="AA17" s="1857"/>
      <c r="AB17" s="1857"/>
      <c r="AC17" s="1857"/>
      <c r="AD17" s="1857"/>
      <c r="AE17" s="1857"/>
      <c r="AF17" s="1857"/>
      <c r="AG17" s="1900"/>
    </row>
    <row r="18" spans="1:33" ht="16.5">
      <c r="A18" s="1918">
        <v>1</v>
      </c>
      <c r="B18" s="1503" t="s">
        <v>3998</v>
      </c>
      <c r="C18" s="1848"/>
      <c r="D18" s="1848"/>
      <c r="E18" s="1848"/>
      <c r="F18" s="1848"/>
      <c r="G18" s="1848"/>
      <c r="H18" s="1848"/>
      <c r="I18" s="1848"/>
      <c r="J18" s="1848"/>
      <c r="K18" s="1848"/>
      <c r="L18" s="1848"/>
      <c r="M18" s="1848"/>
      <c r="N18" s="1848"/>
      <c r="O18" s="1848"/>
      <c r="P18" s="1848"/>
      <c r="Q18" s="1848"/>
      <c r="R18" s="1848"/>
      <c r="S18" s="1848"/>
      <c r="T18" s="1848"/>
      <c r="U18" s="1848"/>
      <c r="V18" s="1848"/>
      <c r="W18" s="1848"/>
      <c r="X18" s="1848"/>
      <c r="Y18" s="1848"/>
      <c r="Z18" s="1848"/>
      <c r="AA18" s="1848"/>
      <c r="AB18" s="1848"/>
      <c r="AC18" s="1848"/>
      <c r="AD18" s="1848"/>
      <c r="AE18" s="1848"/>
      <c r="AF18" s="1848"/>
      <c r="AG18" s="1900"/>
    </row>
    <row r="19" spans="1:33" ht="16.5">
      <c r="A19" s="1918">
        <v>2</v>
      </c>
      <c r="B19" s="1894" t="s">
        <v>3999</v>
      </c>
      <c r="C19" s="1848"/>
      <c r="D19" s="1848"/>
      <c r="E19" s="1848"/>
      <c r="F19" s="1848"/>
      <c r="G19" s="1848"/>
      <c r="H19" s="1848"/>
      <c r="I19" s="1848"/>
      <c r="J19" s="1848"/>
      <c r="K19" s="1848"/>
      <c r="L19" s="1848"/>
      <c r="M19" s="1848"/>
      <c r="N19" s="1848"/>
      <c r="O19" s="1848"/>
      <c r="P19" s="1848"/>
      <c r="Q19" s="1848"/>
      <c r="R19" s="1848"/>
      <c r="S19" s="1848"/>
      <c r="T19" s="1848"/>
      <c r="U19" s="1848"/>
      <c r="V19" s="1848"/>
      <c r="W19" s="1848"/>
      <c r="X19" s="1848"/>
      <c r="Y19" s="1848"/>
      <c r="Z19" s="1848"/>
      <c r="AA19" s="1848"/>
      <c r="AB19" s="1848"/>
      <c r="AC19" s="1848"/>
      <c r="AD19" s="1848"/>
      <c r="AE19" s="1848"/>
      <c r="AF19" s="1848"/>
      <c r="AG19" s="1900"/>
    </row>
    <row r="20" spans="1:33" ht="16.5">
      <c r="A20" s="1918">
        <v>3</v>
      </c>
      <c r="B20" s="1894" t="s">
        <v>4000</v>
      </c>
      <c r="C20" s="1848"/>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900"/>
    </row>
    <row r="21" spans="1:33" ht="16.5">
      <c r="A21" s="1918">
        <v>4</v>
      </c>
      <c r="B21" s="1503" t="s">
        <v>3808</v>
      </c>
      <c r="C21" s="1848"/>
      <c r="D21" s="1848"/>
      <c r="E21" s="1848"/>
      <c r="F21" s="1848"/>
      <c r="G21" s="1848"/>
      <c r="H21" s="1848"/>
      <c r="I21" s="1848"/>
      <c r="J21" s="1848"/>
      <c r="K21" s="1848"/>
      <c r="L21" s="1848"/>
      <c r="M21" s="1848"/>
      <c r="N21" s="1848"/>
      <c r="O21" s="1848"/>
      <c r="P21" s="1848"/>
      <c r="Q21" s="1848"/>
      <c r="R21" s="1848"/>
      <c r="S21" s="1848"/>
      <c r="T21" s="1848"/>
      <c r="U21" s="1848"/>
      <c r="V21" s="1848"/>
      <c r="W21" s="1848"/>
      <c r="X21" s="1848"/>
      <c r="Y21" s="1848"/>
      <c r="Z21" s="1848"/>
      <c r="AA21" s="1848"/>
      <c r="AB21" s="1848"/>
      <c r="AC21" s="1848"/>
      <c r="AD21" s="1848"/>
      <c r="AE21" s="1848"/>
      <c r="AF21" s="1848"/>
      <c r="AG21" s="1900"/>
    </row>
    <row r="22" spans="1:33" ht="16.5">
      <c r="A22" s="1918"/>
      <c r="B22" s="1503" t="s">
        <v>3809</v>
      </c>
      <c r="C22" s="1848"/>
      <c r="D22" s="1848"/>
      <c r="E22" s="1848"/>
      <c r="F22" s="1848"/>
      <c r="G22" s="1848"/>
      <c r="H22" s="1848"/>
      <c r="I22" s="1848"/>
      <c r="J22" s="1848"/>
      <c r="K22" s="1848"/>
      <c r="L22" s="1848"/>
      <c r="M22" s="1848"/>
      <c r="N22" s="1848"/>
      <c r="O22" s="1848"/>
      <c r="P22" s="1848"/>
      <c r="Q22" s="1848"/>
      <c r="R22" s="1848"/>
      <c r="S22" s="1848"/>
      <c r="T22" s="1848"/>
      <c r="U22" s="1848"/>
      <c r="V22" s="1848"/>
      <c r="W22" s="1848"/>
      <c r="X22" s="1848"/>
      <c r="Y22" s="1848"/>
      <c r="Z22" s="1848"/>
      <c r="AA22" s="1848"/>
      <c r="AB22" s="1848"/>
      <c r="AC22" s="1848"/>
      <c r="AD22" s="1848"/>
      <c r="AE22" s="1848"/>
      <c r="AF22" s="1848"/>
      <c r="AG22" s="1900"/>
    </row>
    <row r="23" spans="1:33" ht="16.5">
      <c r="A23" s="1918">
        <v>5</v>
      </c>
      <c r="B23" s="1894" t="s">
        <v>3893</v>
      </c>
      <c r="C23" s="1848"/>
      <c r="D23" s="1848"/>
      <c r="E23" s="1848"/>
      <c r="F23" s="1848"/>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48"/>
      <c r="AF23" s="1848"/>
      <c r="AG23" s="1900"/>
    </row>
    <row r="24" spans="1:33" ht="16.5">
      <c r="A24" s="1918">
        <v>6</v>
      </c>
      <c r="B24" s="1894" t="s">
        <v>4001</v>
      </c>
      <c r="C24" s="1848"/>
      <c r="D24" s="1848"/>
      <c r="E24" s="1848"/>
      <c r="F24" s="1848"/>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48"/>
      <c r="AF24" s="1848"/>
      <c r="AG24" s="1900"/>
    </row>
    <row r="25" spans="1:33" ht="16.5">
      <c r="A25" s="1918">
        <v>7</v>
      </c>
      <c r="B25" s="1894" t="s">
        <v>3852</v>
      </c>
      <c r="C25" s="1848"/>
      <c r="D25" s="1848"/>
      <c r="E25" s="1848"/>
      <c r="F25" s="1848"/>
      <c r="G25" s="1848"/>
      <c r="H25" s="1848"/>
      <c r="I25" s="1848"/>
      <c r="J25" s="1848"/>
      <c r="K25" s="1848"/>
      <c r="L25" s="1848"/>
      <c r="M25" s="1848"/>
      <c r="N25" s="1848"/>
      <c r="O25" s="1848"/>
      <c r="P25" s="1848"/>
      <c r="Q25" s="1848"/>
      <c r="R25" s="1848"/>
      <c r="S25" s="1848"/>
      <c r="T25" s="1848"/>
      <c r="U25" s="1848"/>
      <c r="V25" s="1848"/>
      <c r="W25" s="1848"/>
      <c r="X25" s="1848"/>
      <c r="Y25" s="1848"/>
      <c r="Z25" s="1848"/>
      <c r="AA25" s="1848"/>
      <c r="AB25" s="1848"/>
      <c r="AC25" s="1848"/>
      <c r="AD25" s="1848"/>
      <c r="AE25" s="1848"/>
      <c r="AF25" s="1848"/>
      <c r="AG25" s="1900"/>
    </row>
    <row r="26" spans="1:33" ht="16.5">
      <c r="A26" s="1692"/>
      <c r="B26" s="1503" t="s">
        <v>4002</v>
      </c>
      <c r="C26" s="1848"/>
      <c r="D26" s="1848"/>
      <c r="E26" s="1848"/>
      <c r="F26" s="1848"/>
      <c r="G26" s="1848"/>
      <c r="H26" s="1848"/>
      <c r="I26" s="1848"/>
      <c r="J26" s="1848"/>
      <c r="K26" s="1848"/>
      <c r="L26" s="1848"/>
      <c r="M26" s="1848"/>
      <c r="N26" s="1848"/>
      <c r="O26" s="1848"/>
      <c r="P26" s="1848"/>
      <c r="Q26" s="1848"/>
      <c r="R26" s="1848"/>
      <c r="S26" s="1848"/>
      <c r="T26" s="1848"/>
      <c r="U26" s="1848"/>
      <c r="V26" s="1848"/>
      <c r="W26" s="1848"/>
      <c r="X26" s="1848"/>
      <c r="Y26" s="1848"/>
      <c r="Z26" s="1848"/>
      <c r="AA26" s="1848"/>
      <c r="AB26" s="1848"/>
      <c r="AC26" s="1848"/>
      <c r="AD26" s="1848"/>
      <c r="AE26" s="1848"/>
      <c r="AF26" s="1848"/>
      <c r="AG26" s="1900"/>
    </row>
    <row r="27" spans="1:33" ht="16.5">
      <c r="A27" s="1918">
        <v>8</v>
      </c>
      <c r="B27" s="1894" t="s">
        <v>4003</v>
      </c>
      <c r="C27" s="1848"/>
      <c r="D27" s="1848"/>
      <c r="E27" s="1848"/>
      <c r="F27" s="1848"/>
      <c r="G27" s="1848"/>
      <c r="H27" s="1848"/>
      <c r="I27" s="1848"/>
      <c r="J27" s="1848"/>
      <c r="K27" s="1848"/>
      <c r="L27" s="1848"/>
      <c r="M27" s="1848"/>
      <c r="N27" s="1848"/>
      <c r="O27" s="1848"/>
      <c r="P27" s="1848"/>
      <c r="Q27" s="1848"/>
      <c r="R27" s="1848"/>
      <c r="S27" s="1848"/>
      <c r="T27" s="1848"/>
      <c r="U27" s="1848"/>
      <c r="V27" s="1848"/>
      <c r="W27" s="1848"/>
      <c r="X27" s="1848"/>
      <c r="Y27" s="1848"/>
      <c r="Z27" s="1848"/>
      <c r="AA27" s="1848"/>
      <c r="AB27" s="1848"/>
      <c r="AC27" s="1848"/>
      <c r="AD27" s="1848"/>
      <c r="AE27" s="1848"/>
      <c r="AF27" s="1848"/>
      <c r="AG27" s="1900"/>
    </row>
    <row r="28" spans="1:33" ht="16.5">
      <c r="A28" s="1918">
        <v>9</v>
      </c>
      <c r="B28" s="1894" t="s">
        <v>4004</v>
      </c>
      <c r="C28" s="1848"/>
      <c r="D28" s="1848"/>
      <c r="E28" s="1848"/>
      <c r="F28" s="1848"/>
      <c r="G28" s="1848"/>
      <c r="H28" s="1848"/>
      <c r="I28" s="1848"/>
      <c r="J28" s="1848"/>
      <c r="K28" s="1848"/>
      <c r="L28" s="1848"/>
      <c r="M28" s="1848"/>
      <c r="N28" s="1848"/>
      <c r="O28" s="1848"/>
      <c r="P28" s="1848"/>
      <c r="Q28" s="1848"/>
      <c r="R28" s="1848"/>
      <c r="S28" s="1848"/>
      <c r="T28" s="1848"/>
      <c r="U28" s="1848"/>
      <c r="V28" s="1848"/>
      <c r="W28" s="1848"/>
      <c r="X28" s="1848"/>
      <c r="Y28" s="1848"/>
      <c r="Z28" s="1848"/>
      <c r="AA28" s="1848"/>
      <c r="AB28" s="1848"/>
      <c r="AC28" s="1848"/>
      <c r="AD28" s="1848"/>
      <c r="AE28" s="1848"/>
      <c r="AF28" s="1848"/>
      <c r="AG28" s="1900"/>
    </row>
    <row r="29" spans="1:33" ht="16.5">
      <c r="A29" s="1918">
        <v>10</v>
      </c>
      <c r="B29" s="1894" t="s">
        <v>3897</v>
      </c>
      <c r="C29" s="1848"/>
      <c r="D29" s="1848"/>
      <c r="E29" s="1848"/>
      <c r="F29" s="1848"/>
      <c r="G29" s="1848"/>
      <c r="H29" s="1848"/>
      <c r="I29" s="1848"/>
      <c r="J29" s="1848"/>
      <c r="K29" s="1848"/>
      <c r="L29" s="1848"/>
      <c r="M29" s="1848"/>
      <c r="N29" s="1848"/>
      <c r="O29" s="1848"/>
      <c r="P29" s="1848"/>
      <c r="Q29" s="1848"/>
      <c r="R29" s="1848"/>
      <c r="S29" s="1848"/>
      <c r="T29" s="1848"/>
      <c r="U29" s="1848"/>
      <c r="V29" s="1848"/>
      <c r="W29" s="1848"/>
      <c r="X29" s="1848"/>
      <c r="Y29" s="1848"/>
      <c r="Z29" s="1848"/>
      <c r="AA29" s="1848"/>
      <c r="AB29" s="1848"/>
      <c r="AC29" s="1848"/>
      <c r="AD29" s="1848"/>
      <c r="AE29" s="1848"/>
      <c r="AF29" s="1848"/>
      <c r="AG29" s="1900"/>
    </row>
    <row r="30" spans="1:33" ht="16.5">
      <c r="A30" s="1918">
        <v>11</v>
      </c>
      <c r="B30" s="1894" t="s">
        <v>4005</v>
      </c>
      <c r="C30" s="1848"/>
      <c r="D30" s="1848"/>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48"/>
      <c r="AF30" s="1848"/>
      <c r="AG30" s="1900"/>
    </row>
    <row r="31" spans="1:33" ht="16.5">
      <c r="A31" s="1918">
        <v>12</v>
      </c>
      <c r="B31" s="1894" t="s">
        <v>4006</v>
      </c>
      <c r="C31" s="1848"/>
      <c r="D31" s="1848"/>
      <c r="E31" s="1848"/>
      <c r="F31" s="1848"/>
      <c r="G31" s="1848"/>
      <c r="H31" s="1848"/>
      <c r="I31" s="1848"/>
      <c r="J31" s="1848"/>
      <c r="K31" s="1848"/>
      <c r="L31" s="1848"/>
      <c r="M31" s="1848"/>
      <c r="N31" s="1848"/>
      <c r="O31" s="1848"/>
      <c r="P31" s="1848"/>
      <c r="Q31" s="1848"/>
      <c r="R31" s="1848"/>
      <c r="S31" s="1848"/>
      <c r="T31" s="1848"/>
      <c r="U31" s="1848"/>
      <c r="V31" s="1848"/>
      <c r="W31" s="1848"/>
      <c r="X31" s="1848"/>
      <c r="Y31" s="1848"/>
      <c r="Z31" s="1848"/>
      <c r="AA31" s="1848"/>
      <c r="AB31" s="1848"/>
      <c r="AC31" s="1848"/>
      <c r="AD31" s="1848"/>
      <c r="AE31" s="1848"/>
      <c r="AF31" s="1848"/>
      <c r="AG31" s="1900"/>
    </row>
    <row r="32" spans="1:33" ht="16.5">
      <c r="A32" s="1918">
        <v>13</v>
      </c>
      <c r="B32" s="1894" t="s">
        <v>3812</v>
      </c>
      <c r="C32" s="1848"/>
      <c r="D32" s="1848"/>
      <c r="E32" s="1848"/>
      <c r="F32" s="1848"/>
      <c r="G32" s="1848"/>
      <c r="H32" s="1848"/>
      <c r="I32" s="1848"/>
      <c r="J32" s="1848"/>
      <c r="K32" s="1848"/>
      <c r="L32" s="1848"/>
      <c r="M32" s="1848"/>
      <c r="N32" s="1848"/>
      <c r="O32" s="1848"/>
      <c r="P32" s="1848"/>
      <c r="Q32" s="1848"/>
      <c r="R32" s="1848"/>
      <c r="S32" s="1848"/>
      <c r="T32" s="1848"/>
      <c r="U32" s="1848"/>
      <c r="V32" s="1848"/>
      <c r="W32" s="1848"/>
      <c r="X32" s="1848"/>
      <c r="Y32" s="1848"/>
      <c r="Z32" s="1848"/>
      <c r="AA32" s="1848"/>
      <c r="AB32" s="1848"/>
      <c r="AC32" s="1848"/>
      <c r="AD32" s="1848"/>
      <c r="AE32" s="1848"/>
      <c r="AF32" s="1848"/>
      <c r="AG32" s="1900"/>
    </row>
    <row r="33" spans="1:33" ht="16.5">
      <c r="A33" s="1918">
        <v>14</v>
      </c>
      <c r="B33" s="1503" t="s">
        <v>4007</v>
      </c>
      <c r="C33" s="1857"/>
      <c r="D33" s="1857"/>
      <c r="E33" s="1857"/>
      <c r="F33" s="1857"/>
      <c r="G33" s="1857"/>
      <c r="H33" s="1857"/>
      <c r="I33" s="1857"/>
      <c r="J33" s="1857"/>
      <c r="K33" s="1857"/>
      <c r="L33" s="1857"/>
      <c r="M33" s="1857"/>
      <c r="N33" s="1857"/>
      <c r="O33" s="1857"/>
      <c r="P33" s="1857"/>
      <c r="Q33" s="1857"/>
      <c r="R33" s="1857"/>
      <c r="S33" s="1857"/>
      <c r="T33" s="1857"/>
      <c r="U33" s="1857"/>
      <c r="V33" s="1857"/>
      <c r="W33" s="1857"/>
      <c r="X33" s="1857"/>
      <c r="Y33" s="1857"/>
      <c r="Z33" s="1857"/>
      <c r="AA33" s="1857"/>
      <c r="AB33" s="1857"/>
      <c r="AC33" s="1857"/>
      <c r="AD33" s="1857"/>
      <c r="AE33" s="1857"/>
      <c r="AF33" s="1857"/>
      <c r="AG33" s="1900"/>
    </row>
    <row r="34" spans="1:33" ht="16.5">
      <c r="A34" s="1918">
        <v>15</v>
      </c>
      <c r="B34" s="1503" t="s">
        <v>3813</v>
      </c>
      <c r="C34" s="1900"/>
      <c r="D34" s="1900"/>
      <c r="E34" s="1900"/>
      <c r="F34" s="1900"/>
      <c r="G34" s="1900"/>
      <c r="H34" s="1900"/>
      <c r="I34" s="1900"/>
      <c r="J34" s="1900"/>
      <c r="K34" s="1900"/>
      <c r="L34" s="1900"/>
      <c r="M34" s="1900"/>
      <c r="N34" s="1900"/>
      <c r="O34" s="1900"/>
      <c r="P34" s="1900"/>
      <c r="Q34" s="1900"/>
      <c r="R34" s="1900"/>
      <c r="S34" s="1900"/>
      <c r="T34" s="1900"/>
      <c r="U34" s="1900"/>
      <c r="V34" s="1900"/>
      <c r="W34" s="1900"/>
      <c r="X34" s="1900"/>
      <c r="Y34" s="1900"/>
      <c r="Z34" s="1900"/>
      <c r="AA34" s="1900"/>
      <c r="AB34" s="1900"/>
      <c r="AC34" s="1900"/>
      <c r="AD34" s="1900"/>
      <c r="AE34" s="1900"/>
      <c r="AF34" s="1900"/>
      <c r="AG34" s="1900"/>
    </row>
    <row r="35" spans="1:33" ht="16.5">
      <c r="A35" s="1918">
        <v>16</v>
      </c>
      <c r="B35" s="1515" t="s">
        <v>4008</v>
      </c>
    </row>
    <row r="36" spans="1:33" ht="16.5">
      <c r="A36" s="1870">
        <v>17</v>
      </c>
      <c r="B36" s="1897" t="s">
        <v>7013</v>
      </c>
    </row>
    <row r="37" spans="1:33" ht="16.5">
      <c r="A37" s="2049"/>
      <c r="B37" s="1897" t="s">
        <v>7014</v>
      </c>
    </row>
  </sheetData>
  <mergeCells count="24">
    <mergeCell ref="W3:W4"/>
    <mergeCell ref="X3:X4"/>
    <mergeCell ref="AD3:AD4"/>
    <mergeCell ref="AF3:AF4"/>
    <mergeCell ref="Y3:Y4"/>
    <mergeCell ref="Z3:Z4"/>
    <mergeCell ref="AA3:AA4"/>
    <mergeCell ref="AE3:AE4"/>
    <mergeCell ref="AB3:AC3"/>
    <mergeCell ref="N3:N4"/>
    <mergeCell ref="Q3:Q4"/>
    <mergeCell ref="R3:R4"/>
    <mergeCell ref="V3:V4"/>
    <mergeCell ref="S3:S4"/>
    <mergeCell ref="T3:T4"/>
    <mergeCell ref="U3:U4"/>
    <mergeCell ref="O3:O4"/>
    <mergeCell ref="P3:P4"/>
    <mergeCell ref="M3:M4"/>
    <mergeCell ref="A3:A5"/>
    <mergeCell ref="B3:E3"/>
    <mergeCell ref="F3:J3"/>
    <mergeCell ref="K3:K4"/>
    <mergeCell ref="L3:L4"/>
  </mergeCells>
  <phoneticPr fontId="29" type="noConversion"/>
  <printOptions horizontalCentered="1"/>
  <pageMargins left="0.39370078740157483" right="0.39370078740157483" top="0.39370078740157483" bottom="0.39370078740157483" header="0.19685039370078741" footer="0.19685039370078741"/>
  <pageSetup paperSize="9" scale="28" orientation="landscape" horizontalDpi="4294967295" verticalDpi="4294967295" r:id="rId1"/>
  <headerFooter alignWithMargins="0">
    <oddFooter>&amp;C&amp;"Times New Roman,標準"45&amp;R&amp;"Times New Roman,標準"&amp;A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51"/>
  <sheetViews>
    <sheetView zoomScaleNormal="100" workbookViewId="0">
      <pane xSplit="3" topLeftCell="D1" activePane="topRight" state="frozen"/>
      <selection pane="topRight"/>
    </sheetView>
  </sheetViews>
  <sheetFormatPr defaultColWidth="15.625" defaultRowHeight="15.75"/>
  <cols>
    <col min="1" max="1" width="5.625" style="1891" customWidth="1"/>
    <col min="2" max="3" width="38.625" style="1891" customWidth="1"/>
    <col min="4" max="16384" width="15.625" style="1891"/>
  </cols>
  <sheetData>
    <row r="1" spans="1:16" s="1834" customFormat="1" ht="16.5">
      <c r="A1" s="2406" t="s">
        <v>679</v>
      </c>
      <c r="B1" s="1877"/>
      <c r="C1" s="1877"/>
      <c r="D1" s="1877"/>
      <c r="E1" s="1877"/>
      <c r="F1" s="1877"/>
      <c r="G1" s="1877"/>
      <c r="H1" s="1877"/>
      <c r="I1" s="1877"/>
      <c r="J1" s="1877"/>
      <c r="K1" s="1877"/>
      <c r="L1" s="1877"/>
      <c r="M1" s="1877"/>
      <c r="N1" s="1877"/>
      <c r="O1" s="1877"/>
      <c r="P1" s="1877"/>
    </row>
    <row r="2" spans="1:16" s="1834" customFormat="1" ht="16.5">
      <c r="A2" s="2050" t="s">
        <v>4029</v>
      </c>
      <c r="B2" s="2055"/>
      <c r="C2" s="1877"/>
      <c r="D2" s="1877"/>
      <c r="E2" s="1877"/>
      <c r="F2" s="1877"/>
      <c r="G2" s="1877"/>
      <c r="H2" s="1877"/>
      <c r="I2" s="1877"/>
      <c r="J2" s="1877"/>
      <c r="K2" s="1877"/>
      <c r="L2" s="1877"/>
      <c r="N2" s="1877"/>
      <c r="O2" s="1877"/>
      <c r="P2" s="2065" t="s">
        <v>3798</v>
      </c>
    </row>
    <row r="3" spans="1:16" s="1834" customFormat="1" ht="16.5">
      <c r="A3" s="2556" t="s">
        <v>3763</v>
      </c>
      <c r="B3" s="2557" t="s">
        <v>3764</v>
      </c>
      <c r="C3" s="2557"/>
      <c r="D3" s="2056" t="s">
        <v>4009</v>
      </c>
      <c r="E3" s="2056"/>
      <c r="F3" s="2056"/>
      <c r="G3" s="2056"/>
      <c r="H3" s="2056" t="s">
        <v>4010</v>
      </c>
      <c r="I3" s="2056"/>
      <c r="J3" s="2056"/>
      <c r="K3" s="2056"/>
      <c r="L3" s="2056" t="s">
        <v>4011</v>
      </c>
      <c r="M3" s="2056"/>
      <c r="N3" s="2056"/>
      <c r="O3" s="2056"/>
      <c r="P3" s="2557" t="s">
        <v>2422</v>
      </c>
    </row>
    <row r="4" spans="1:16" s="1834" customFormat="1" ht="33">
      <c r="A4" s="2556"/>
      <c r="B4" s="2557"/>
      <c r="C4" s="2557"/>
      <c r="D4" s="2214" t="s">
        <v>3621</v>
      </c>
      <c r="E4" s="2213" t="s">
        <v>3767</v>
      </c>
      <c r="F4" s="2213" t="s">
        <v>4013</v>
      </c>
      <c r="G4" s="2213" t="s">
        <v>4012</v>
      </c>
      <c r="H4" s="2213" t="s">
        <v>3621</v>
      </c>
      <c r="I4" s="2213" t="s">
        <v>3767</v>
      </c>
      <c r="J4" s="2213" t="s">
        <v>4013</v>
      </c>
      <c r="K4" s="2213" t="s">
        <v>4012</v>
      </c>
      <c r="L4" s="2213" t="s">
        <v>3621</v>
      </c>
      <c r="M4" s="2213" t="s">
        <v>3767</v>
      </c>
      <c r="N4" s="2213" t="s">
        <v>4013</v>
      </c>
      <c r="O4" s="2213" t="s">
        <v>4012</v>
      </c>
      <c r="P4" s="2564"/>
    </row>
    <row r="5" spans="1:16" s="1834" customFormat="1">
      <c r="A5" s="2556"/>
      <c r="B5" s="2561" t="s">
        <v>66</v>
      </c>
      <c r="C5" s="2561"/>
      <c r="D5" s="2215" t="s">
        <v>67</v>
      </c>
      <c r="E5" s="2215" t="s">
        <v>68</v>
      </c>
      <c r="F5" s="1883" t="s">
        <v>69</v>
      </c>
      <c r="G5" s="1883" t="s">
        <v>2093</v>
      </c>
      <c r="H5" s="1883" t="s">
        <v>71</v>
      </c>
      <c r="I5" s="1883" t="s">
        <v>72</v>
      </c>
      <c r="J5" s="1883" t="s">
        <v>73</v>
      </c>
      <c r="K5" s="1883" t="s">
        <v>74</v>
      </c>
      <c r="L5" s="1883" t="s">
        <v>75</v>
      </c>
      <c r="M5" s="1883" t="s">
        <v>234</v>
      </c>
      <c r="N5" s="1883" t="s">
        <v>235</v>
      </c>
      <c r="O5" s="1883" t="s">
        <v>286</v>
      </c>
      <c r="P5" s="1883" t="s">
        <v>287</v>
      </c>
    </row>
    <row r="6" spans="1:16" s="1834" customFormat="1" ht="16.5">
      <c r="A6" s="2216">
        <v>1</v>
      </c>
      <c r="B6" s="2553" t="s">
        <v>3834</v>
      </c>
      <c r="C6" s="1904" t="s">
        <v>4014</v>
      </c>
      <c r="D6" s="2057"/>
      <c r="E6" s="2057"/>
      <c r="F6" s="2057"/>
      <c r="G6" s="2057"/>
      <c r="H6" s="2057"/>
      <c r="I6" s="2057"/>
      <c r="J6" s="2057"/>
      <c r="K6" s="2057"/>
      <c r="L6" s="2057"/>
      <c r="M6" s="2057"/>
      <c r="N6" s="2057"/>
      <c r="O6" s="2057"/>
      <c r="P6" s="2058"/>
    </row>
    <row r="7" spans="1:16" s="1834" customFormat="1" ht="33">
      <c r="A7" s="2216">
        <f t="shared" ref="A7:A45" si="0">A6+1</f>
        <v>2</v>
      </c>
      <c r="B7" s="2553"/>
      <c r="C7" s="2066" t="s">
        <v>4030</v>
      </c>
      <c r="D7" s="2057"/>
      <c r="E7" s="2057"/>
      <c r="F7" s="2057"/>
      <c r="G7" s="2057"/>
      <c r="H7" s="2057"/>
      <c r="I7" s="2057"/>
      <c r="J7" s="2057"/>
      <c r="K7" s="2057"/>
      <c r="L7" s="2057"/>
      <c r="M7" s="2057"/>
      <c r="N7" s="2057"/>
      <c r="O7" s="2057"/>
      <c r="P7" s="2058"/>
    </row>
    <row r="8" spans="1:16" s="1834" customFormat="1" ht="33">
      <c r="A8" s="2216">
        <f t="shared" si="0"/>
        <v>3</v>
      </c>
      <c r="B8" s="2553"/>
      <c r="C8" s="2066" t="s">
        <v>4028</v>
      </c>
      <c r="D8" s="2057"/>
      <c r="E8" s="2057"/>
      <c r="F8" s="2057"/>
      <c r="G8" s="2057"/>
      <c r="H8" s="2057"/>
      <c r="I8" s="2057"/>
      <c r="J8" s="2057"/>
      <c r="K8" s="2057"/>
      <c r="L8" s="2057"/>
      <c r="M8" s="2057"/>
      <c r="N8" s="2057"/>
      <c r="O8" s="2057"/>
      <c r="P8" s="2058"/>
    </row>
    <row r="9" spans="1:16" s="1834" customFormat="1" ht="33">
      <c r="A9" s="2216">
        <f t="shared" si="0"/>
        <v>4</v>
      </c>
      <c r="B9" s="2553"/>
      <c r="C9" s="2066" t="s">
        <v>4031</v>
      </c>
      <c r="D9" s="2057"/>
      <c r="E9" s="2057"/>
      <c r="F9" s="2057"/>
      <c r="G9" s="2057"/>
      <c r="H9" s="2057"/>
      <c r="I9" s="2057"/>
      <c r="J9" s="2057"/>
      <c r="K9" s="2057"/>
      <c r="L9" s="2057"/>
      <c r="M9" s="2057"/>
      <c r="N9" s="2057"/>
      <c r="O9" s="2057"/>
      <c r="P9" s="2058"/>
    </row>
    <row r="10" spans="1:16" s="1834" customFormat="1" ht="16.5">
      <c r="A10" s="2216">
        <f t="shared" si="0"/>
        <v>5</v>
      </c>
      <c r="B10" s="2553"/>
      <c r="C10" s="2066" t="s">
        <v>4032</v>
      </c>
      <c r="D10" s="2057"/>
      <c r="E10" s="2057"/>
      <c r="F10" s="2057"/>
      <c r="G10" s="2057"/>
      <c r="H10" s="2057"/>
      <c r="I10" s="2057"/>
      <c r="J10" s="2057"/>
      <c r="K10" s="2057"/>
      <c r="L10" s="2057"/>
      <c r="M10" s="2057"/>
      <c r="N10" s="2057"/>
      <c r="O10" s="2057"/>
      <c r="P10" s="2058"/>
    </row>
    <row r="11" spans="1:16" s="1834" customFormat="1" ht="16.5">
      <c r="A11" s="2216">
        <f t="shared" si="0"/>
        <v>6</v>
      </c>
      <c r="B11" s="2553"/>
      <c r="C11" s="1885" t="s">
        <v>4033</v>
      </c>
      <c r="D11" s="2057"/>
      <c r="E11" s="2057"/>
      <c r="F11" s="2057"/>
      <c r="G11" s="2057"/>
      <c r="H11" s="2057"/>
      <c r="I11" s="2057"/>
      <c r="J11" s="2057"/>
      <c r="K11" s="2057"/>
      <c r="L11" s="2057"/>
      <c r="M11" s="2057"/>
      <c r="N11" s="2057"/>
      <c r="O11" s="2057"/>
      <c r="P11" s="2058"/>
    </row>
    <row r="12" spans="1:16" s="1834" customFormat="1" ht="33">
      <c r="A12" s="2216">
        <f t="shared" si="0"/>
        <v>7</v>
      </c>
      <c r="B12" s="2553"/>
      <c r="C12" s="2066" t="s">
        <v>4030</v>
      </c>
      <c r="D12" s="2057"/>
      <c r="E12" s="2057"/>
      <c r="F12" s="2057"/>
      <c r="G12" s="2057"/>
      <c r="H12" s="2057"/>
      <c r="I12" s="2057"/>
      <c r="J12" s="2057"/>
      <c r="K12" s="2057"/>
      <c r="L12" s="2057"/>
      <c r="M12" s="2057"/>
      <c r="N12" s="2057"/>
      <c r="O12" s="2057"/>
      <c r="P12" s="2058"/>
    </row>
    <row r="13" spans="1:16" s="1834" customFormat="1" ht="33">
      <c r="A13" s="2216">
        <f t="shared" si="0"/>
        <v>8</v>
      </c>
      <c r="B13" s="2553"/>
      <c r="C13" s="2066" t="s">
        <v>4028</v>
      </c>
      <c r="D13" s="2057"/>
      <c r="E13" s="2057"/>
      <c r="F13" s="2057"/>
      <c r="G13" s="2057"/>
      <c r="H13" s="2057"/>
      <c r="I13" s="2057"/>
      <c r="J13" s="2057"/>
      <c r="K13" s="2057"/>
      <c r="L13" s="2057"/>
      <c r="M13" s="2057"/>
      <c r="N13" s="2057"/>
      <c r="O13" s="2057"/>
      <c r="P13" s="2058"/>
    </row>
    <row r="14" spans="1:16" s="1834" customFormat="1" ht="33">
      <c r="A14" s="2216">
        <f t="shared" si="0"/>
        <v>9</v>
      </c>
      <c r="B14" s="2553"/>
      <c r="C14" s="2066" t="s">
        <v>4031</v>
      </c>
      <c r="D14" s="2057"/>
      <c r="E14" s="2057"/>
      <c r="F14" s="2057"/>
      <c r="G14" s="2057"/>
      <c r="H14" s="2057"/>
      <c r="I14" s="2057"/>
      <c r="J14" s="2057"/>
      <c r="K14" s="2057"/>
      <c r="L14" s="2057"/>
      <c r="M14" s="2057"/>
      <c r="N14" s="2057"/>
      <c r="O14" s="2057"/>
      <c r="P14" s="2058"/>
    </row>
    <row r="15" spans="1:16" s="1834" customFormat="1" ht="16.5">
      <c r="A15" s="2216">
        <f t="shared" si="0"/>
        <v>10</v>
      </c>
      <c r="B15" s="2553"/>
      <c r="C15" s="2066" t="s">
        <v>4032</v>
      </c>
      <c r="D15" s="2057"/>
      <c r="E15" s="2057"/>
      <c r="F15" s="2057"/>
      <c r="G15" s="2057"/>
      <c r="H15" s="2057"/>
      <c r="I15" s="2057"/>
      <c r="J15" s="2057"/>
      <c r="K15" s="2057"/>
      <c r="L15" s="2057"/>
      <c r="M15" s="2057"/>
      <c r="N15" s="2057"/>
      <c r="O15" s="2057"/>
      <c r="P15" s="2058"/>
    </row>
    <row r="16" spans="1:16" s="1834" customFormat="1" ht="16.5">
      <c r="A16" s="2216">
        <f t="shared" si="0"/>
        <v>11</v>
      </c>
      <c r="B16" s="2553"/>
      <c r="C16" s="2051" t="s">
        <v>3859</v>
      </c>
      <c r="D16" s="2057"/>
      <c r="E16" s="2057"/>
      <c r="F16" s="2057"/>
      <c r="G16" s="2057"/>
      <c r="H16" s="2057"/>
      <c r="I16" s="2057"/>
      <c r="J16" s="2057"/>
      <c r="K16" s="2057"/>
      <c r="L16" s="2057"/>
      <c r="M16" s="2057"/>
      <c r="N16" s="2057"/>
      <c r="O16" s="2057"/>
      <c r="P16" s="2058"/>
    </row>
    <row r="17" spans="1:16" s="1834" customFormat="1" ht="16.5">
      <c r="A17" s="2216">
        <f t="shared" si="0"/>
        <v>12</v>
      </c>
      <c r="B17" s="2553" t="s">
        <v>3860</v>
      </c>
      <c r="C17" s="1885" t="s">
        <v>4015</v>
      </c>
      <c r="D17" s="2057"/>
      <c r="E17" s="2057"/>
      <c r="F17" s="2057"/>
      <c r="G17" s="2057"/>
      <c r="H17" s="2057"/>
      <c r="I17" s="2057"/>
      <c r="J17" s="2057"/>
      <c r="K17" s="2057"/>
      <c r="L17" s="2057"/>
      <c r="M17" s="2057"/>
      <c r="N17" s="2057"/>
      <c r="O17" s="2057"/>
      <c r="P17" s="2058"/>
    </row>
    <row r="18" spans="1:16" s="1834" customFormat="1" ht="16.5">
      <c r="A18" s="2216">
        <f t="shared" si="0"/>
        <v>13</v>
      </c>
      <c r="B18" s="2553"/>
      <c r="C18" s="1885" t="s">
        <v>4016</v>
      </c>
      <c r="D18" s="2057"/>
      <c r="E18" s="2057"/>
      <c r="F18" s="2057"/>
      <c r="G18" s="2057"/>
      <c r="H18" s="2057"/>
      <c r="I18" s="2057"/>
      <c r="J18" s="2057"/>
      <c r="K18" s="2057"/>
      <c r="L18" s="2057"/>
      <c r="M18" s="2057"/>
      <c r="N18" s="2057"/>
      <c r="O18" s="2057"/>
      <c r="P18" s="2058"/>
    </row>
    <row r="19" spans="1:16" s="1834" customFormat="1" ht="16.5">
      <c r="A19" s="2216">
        <f t="shared" si="0"/>
        <v>14</v>
      </c>
      <c r="B19" s="2553"/>
      <c r="C19" s="1885" t="s">
        <v>4017</v>
      </c>
      <c r="D19" s="2057"/>
      <c r="E19" s="2057"/>
      <c r="F19" s="2057"/>
      <c r="G19" s="2057"/>
      <c r="H19" s="2057"/>
      <c r="I19" s="2057"/>
      <c r="J19" s="2057"/>
      <c r="K19" s="2057"/>
      <c r="L19" s="2057"/>
      <c r="M19" s="2057"/>
      <c r="N19" s="2057"/>
      <c r="O19" s="2057"/>
      <c r="P19" s="2058"/>
    </row>
    <row r="20" spans="1:16" s="1834" customFormat="1" ht="16.5">
      <c r="A20" s="2216">
        <f t="shared" si="0"/>
        <v>15</v>
      </c>
      <c r="B20" s="2553"/>
      <c r="C20" s="1885" t="s">
        <v>4018</v>
      </c>
      <c r="D20" s="2057"/>
      <c r="E20" s="2057"/>
      <c r="F20" s="2057"/>
      <c r="G20" s="2057"/>
      <c r="H20" s="2057"/>
      <c r="I20" s="2057"/>
      <c r="J20" s="2057"/>
      <c r="K20" s="2057"/>
      <c r="L20" s="2057"/>
      <c r="M20" s="2057"/>
      <c r="N20" s="2057"/>
      <c r="O20" s="2057"/>
      <c r="P20" s="2058"/>
    </row>
    <row r="21" spans="1:16" s="1834" customFormat="1" ht="16.5">
      <c r="A21" s="2216">
        <f t="shared" si="0"/>
        <v>16</v>
      </c>
      <c r="B21" s="2553"/>
      <c r="C21" s="2051" t="s">
        <v>3859</v>
      </c>
      <c r="D21" s="2057"/>
      <c r="E21" s="2057"/>
      <c r="F21" s="2057"/>
      <c r="G21" s="2057"/>
      <c r="H21" s="2057"/>
      <c r="I21" s="2057"/>
      <c r="J21" s="2057"/>
      <c r="K21" s="2057"/>
      <c r="L21" s="2057"/>
      <c r="M21" s="2057"/>
      <c r="N21" s="2057"/>
      <c r="O21" s="2057"/>
      <c r="P21" s="2058"/>
    </row>
    <row r="22" spans="1:16" s="1834" customFormat="1" ht="15.75" customHeight="1">
      <c r="A22" s="2216">
        <f t="shared" si="0"/>
        <v>17</v>
      </c>
      <c r="B22" s="2592" t="s">
        <v>4026</v>
      </c>
      <c r="C22" s="2592"/>
      <c r="D22" s="2057"/>
      <c r="E22" s="2057"/>
      <c r="F22" s="2057"/>
      <c r="G22" s="2057"/>
      <c r="H22" s="2057"/>
      <c r="I22" s="2057"/>
      <c r="J22" s="2057"/>
      <c r="K22" s="2057"/>
      <c r="L22" s="2057"/>
      <c r="M22" s="2057"/>
      <c r="N22" s="2057"/>
      <c r="O22" s="2057"/>
      <c r="P22" s="2058"/>
    </row>
    <row r="23" spans="1:16" s="1834" customFormat="1" ht="15.75" customHeight="1">
      <c r="A23" s="2216">
        <f t="shared" si="0"/>
        <v>18</v>
      </c>
      <c r="B23" s="2592" t="s">
        <v>4034</v>
      </c>
      <c r="C23" s="2592"/>
      <c r="D23" s="2057"/>
      <c r="E23" s="2057"/>
      <c r="F23" s="2057"/>
      <c r="G23" s="2057"/>
      <c r="H23" s="2057"/>
      <c r="I23" s="2057"/>
      <c r="J23" s="2057"/>
      <c r="K23" s="2057"/>
      <c r="L23" s="2057"/>
      <c r="M23" s="2057"/>
      <c r="N23" s="2057"/>
      <c r="O23" s="2057"/>
      <c r="P23" s="2058"/>
    </row>
    <row r="24" spans="1:16" s="1834" customFormat="1" ht="15.75" customHeight="1">
      <c r="A24" s="2216">
        <f t="shared" si="0"/>
        <v>19</v>
      </c>
      <c r="B24" s="2590" t="s">
        <v>4027</v>
      </c>
      <c r="C24" s="2591"/>
      <c r="D24" s="2057"/>
      <c r="E24" s="2057"/>
      <c r="F24" s="2057"/>
      <c r="G24" s="2057"/>
      <c r="H24" s="2057"/>
      <c r="I24" s="2057"/>
      <c r="J24" s="2057"/>
      <c r="K24" s="2057"/>
      <c r="L24" s="2057"/>
      <c r="M24" s="2057"/>
      <c r="N24" s="2057"/>
      <c r="O24" s="2057"/>
      <c r="P24" s="2058"/>
    </row>
    <row r="25" spans="1:16" s="1834" customFormat="1" ht="15.75" customHeight="1">
      <c r="A25" s="2216">
        <f t="shared" si="0"/>
        <v>20</v>
      </c>
      <c r="B25" s="2590" t="s">
        <v>4019</v>
      </c>
      <c r="C25" s="2591"/>
      <c r="D25" s="2057"/>
      <c r="E25" s="2057"/>
      <c r="F25" s="2057"/>
      <c r="G25" s="2057"/>
      <c r="H25" s="2057"/>
      <c r="I25" s="2057"/>
      <c r="J25" s="2057"/>
      <c r="K25" s="2057"/>
      <c r="L25" s="2057"/>
      <c r="M25" s="2057"/>
      <c r="N25" s="2057"/>
      <c r="O25" s="2057"/>
      <c r="P25" s="2058"/>
    </row>
    <row r="26" spans="1:16" s="1834" customFormat="1" ht="15.75" customHeight="1">
      <c r="A26" s="2216">
        <f t="shared" si="0"/>
        <v>21</v>
      </c>
      <c r="B26" s="2593" t="s">
        <v>4035</v>
      </c>
      <c r="C26" s="2594"/>
      <c r="D26" s="2057"/>
      <c r="E26" s="2057"/>
      <c r="F26" s="2057"/>
      <c r="G26" s="2057"/>
      <c r="H26" s="2057"/>
      <c r="I26" s="2057"/>
      <c r="J26" s="2057"/>
      <c r="K26" s="2057"/>
      <c r="L26" s="2057"/>
      <c r="M26" s="2057"/>
      <c r="N26" s="2057"/>
      <c r="O26" s="2057"/>
      <c r="P26" s="2058"/>
    </row>
    <row r="27" spans="1:16" s="1834" customFormat="1" ht="15.75" customHeight="1">
      <c r="A27" s="2216">
        <f t="shared" si="0"/>
        <v>22</v>
      </c>
      <c r="B27" s="2593" t="s">
        <v>7007</v>
      </c>
      <c r="C27" s="2594"/>
      <c r="D27" s="2057"/>
      <c r="E27" s="2057"/>
      <c r="F27" s="2057"/>
      <c r="G27" s="2057"/>
      <c r="H27" s="2057"/>
      <c r="I27" s="2057"/>
      <c r="J27" s="2057"/>
      <c r="K27" s="2057"/>
      <c r="L27" s="2057"/>
      <c r="M27" s="2057"/>
      <c r="N27" s="2057"/>
      <c r="O27" s="2057"/>
      <c r="P27" s="2058"/>
    </row>
    <row r="28" spans="1:16" s="1709" customFormat="1" ht="16.5">
      <c r="A28" s="2216">
        <f t="shared" si="0"/>
        <v>23</v>
      </c>
      <c r="B28" s="2587" t="s">
        <v>4020</v>
      </c>
      <c r="C28" s="2196" t="s">
        <v>7008</v>
      </c>
      <c r="D28" s="1907"/>
      <c r="E28" s="1907"/>
      <c r="F28" s="1907"/>
      <c r="G28" s="1907"/>
      <c r="H28" s="1907"/>
      <c r="I28" s="1907"/>
      <c r="J28" s="1907"/>
      <c r="K28" s="1907"/>
      <c r="L28" s="1907">
        <f>L29+L34</f>
        <v>0</v>
      </c>
      <c r="M28" s="1907"/>
      <c r="N28" s="1907"/>
      <c r="O28" s="1907"/>
      <c r="P28" s="2059"/>
    </row>
    <row r="29" spans="1:16" s="1709" customFormat="1" ht="16.5">
      <c r="A29" s="2216">
        <f t="shared" si="0"/>
        <v>24</v>
      </c>
      <c r="B29" s="2588"/>
      <c r="C29" s="2053" t="s">
        <v>4021</v>
      </c>
      <c r="D29" s="1907"/>
      <c r="E29" s="1907"/>
      <c r="F29" s="1907"/>
      <c r="G29" s="1907"/>
      <c r="H29" s="1907"/>
      <c r="I29" s="1907"/>
      <c r="J29" s="1907"/>
      <c r="K29" s="1907"/>
      <c r="L29" s="1907"/>
      <c r="M29" s="1907"/>
      <c r="N29" s="1907"/>
      <c r="O29" s="1907"/>
      <c r="P29" s="2059"/>
    </row>
    <row r="30" spans="1:16" s="1709" customFormat="1" ht="16.5">
      <c r="A30" s="2216">
        <f t="shared" si="0"/>
        <v>25</v>
      </c>
      <c r="B30" s="2588"/>
      <c r="C30" s="2054" t="s">
        <v>4024</v>
      </c>
      <c r="D30" s="1907"/>
      <c r="E30" s="1907"/>
      <c r="F30" s="1907"/>
      <c r="G30" s="1907"/>
      <c r="H30" s="1907"/>
      <c r="I30" s="1907"/>
      <c r="J30" s="1907"/>
      <c r="K30" s="1907"/>
      <c r="L30" s="1907"/>
      <c r="M30" s="1907"/>
      <c r="N30" s="1907"/>
      <c r="O30" s="1907"/>
      <c r="P30" s="2059"/>
    </row>
    <row r="31" spans="1:16" s="1709" customFormat="1" ht="16.5">
      <c r="A31" s="2216">
        <f t="shared" si="0"/>
        <v>26</v>
      </c>
      <c r="B31" s="2588"/>
      <c r="C31" s="2195" t="s">
        <v>7009</v>
      </c>
      <c r="D31" s="1907"/>
      <c r="E31" s="1907"/>
      <c r="F31" s="1907"/>
      <c r="G31" s="1907"/>
      <c r="H31" s="1907"/>
      <c r="I31" s="1907"/>
      <c r="J31" s="1907"/>
      <c r="K31" s="1907"/>
      <c r="L31" s="2060"/>
      <c r="M31" s="1907"/>
      <c r="N31" s="1907"/>
      <c r="O31" s="1907"/>
      <c r="P31" s="2059"/>
    </row>
    <row r="32" spans="1:16" s="1709" customFormat="1" ht="16.5">
      <c r="A32" s="2216">
        <f t="shared" si="0"/>
        <v>27</v>
      </c>
      <c r="B32" s="2588"/>
      <c r="C32" s="2067" t="s">
        <v>4036</v>
      </c>
      <c r="D32" s="1907"/>
      <c r="E32" s="1907"/>
      <c r="F32" s="1907"/>
      <c r="G32" s="1907"/>
      <c r="H32" s="1907"/>
      <c r="I32" s="1907"/>
      <c r="J32" s="1907"/>
      <c r="K32" s="1907"/>
      <c r="L32" s="1907"/>
      <c r="M32" s="1907"/>
      <c r="N32" s="1907"/>
      <c r="O32" s="1907"/>
      <c r="P32" s="2059"/>
    </row>
    <row r="33" spans="1:16" s="1709" customFormat="1" ht="16.5">
      <c r="A33" s="2216">
        <f t="shared" si="0"/>
        <v>28</v>
      </c>
      <c r="B33" s="2588"/>
      <c r="C33" s="2054" t="s">
        <v>4022</v>
      </c>
      <c r="D33" s="1907"/>
      <c r="E33" s="1907"/>
      <c r="F33" s="1907"/>
      <c r="G33" s="1907"/>
      <c r="H33" s="1907"/>
      <c r="I33" s="1907"/>
      <c r="J33" s="1907"/>
      <c r="K33" s="1907"/>
      <c r="L33" s="1907"/>
      <c r="M33" s="1907"/>
      <c r="N33" s="1907"/>
      <c r="O33" s="1907"/>
      <c r="P33" s="2059"/>
    </row>
    <row r="34" spans="1:16" s="1709" customFormat="1" ht="16.5">
      <c r="A34" s="2216">
        <f t="shared" si="0"/>
        <v>29</v>
      </c>
      <c r="B34" s="2588"/>
      <c r="C34" s="2053" t="s">
        <v>4023</v>
      </c>
      <c r="D34" s="1907"/>
      <c r="E34" s="1907"/>
      <c r="F34" s="1907"/>
      <c r="G34" s="1907"/>
      <c r="H34" s="1907"/>
      <c r="I34" s="1907"/>
      <c r="J34" s="1907"/>
      <c r="K34" s="1907"/>
      <c r="L34" s="1907">
        <f>L35+L38</f>
        <v>0</v>
      </c>
      <c r="M34" s="1907"/>
      <c r="N34" s="1907"/>
      <c r="O34" s="1907"/>
      <c r="P34" s="2059"/>
    </row>
    <row r="35" spans="1:16" s="1709" customFormat="1" ht="16.5">
      <c r="A35" s="2216">
        <f t="shared" si="0"/>
        <v>30</v>
      </c>
      <c r="B35" s="2588"/>
      <c r="C35" s="2054" t="s">
        <v>4024</v>
      </c>
      <c r="D35" s="1907"/>
      <c r="E35" s="1907"/>
      <c r="F35" s="1907"/>
      <c r="G35" s="1907"/>
      <c r="H35" s="1907"/>
      <c r="I35" s="1907"/>
      <c r="J35" s="1907"/>
      <c r="K35" s="1907"/>
      <c r="L35" s="1907"/>
      <c r="M35" s="1907"/>
      <c r="N35" s="1907"/>
      <c r="O35" s="1907"/>
      <c r="P35" s="2059"/>
    </row>
    <row r="36" spans="1:16" s="1709" customFormat="1" ht="16.5">
      <c r="A36" s="2216">
        <f t="shared" si="0"/>
        <v>31</v>
      </c>
      <c r="B36" s="2588"/>
      <c r="C36" s="2195" t="s">
        <v>7009</v>
      </c>
      <c r="D36" s="1907"/>
      <c r="E36" s="1907"/>
      <c r="F36" s="1907"/>
      <c r="G36" s="1907"/>
      <c r="H36" s="1907"/>
      <c r="I36" s="1907"/>
      <c r="J36" s="1907"/>
      <c r="K36" s="1907"/>
      <c r="L36" s="2060"/>
      <c r="M36" s="1907"/>
      <c r="N36" s="1907"/>
      <c r="O36" s="1907"/>
      <c r="P36" s="2059"/>
    </row>
    <row r="37" spans="1:16" s="1709" customFormat="1" ht="16.5">
      <c r="A37" s="2216">
        <f t="shared" si="0"/>
        <v>32</v>
      </c>
      <c r="B37" s="2588"/>
      <c r="C37" s="2067" t="s">
        <v>4036</v>
      </c>
      <c r="D37" s="1907"/>
      <c r="E37" s="1907"/>
      <c r="F37" s="1907"/>
      <c r="G37" s="1907"/>
      <c r="H37" s="1907"/>
      <c r="I37" s="1907"/>
      <c r="J37" s="1907"/>
      <c r="K37" s="1907"/>
      <c r="L37" s="1907"/>
      <c r="M37" s="1907"/>
      <c r="N37" s="1907"/>
      <c r="O37" s="1907"/>
      <c r="P37" s="2059"/>
    </row>
    <row r="38" spans="1:16" s="1709" customFormat="1" ht="16.5">
      <c r="A38" s="2216">
        <f t="shared" si="0"/>
        <v>33</v>
      </c>
      <c r="B38" s="2588"/>
      <c r="C38" s="2054" t="s">
        <v>4022</v>
      </c>
      <c r="D38" s="1907"/>
      <c r="E38" s="1907"/>
      <c r="F38" s="1907"/>
      <c r="G38" s="1907"/>
      <c r="H38" s="1907"/>
      <c r="I38" s="1907"/>
      <c r="J38" s="1907"/>
      <c r="K38" s="1907"/>
      <c r="L38" s="1907"/>
      <c r="M38" s="1907"/>
      <c r="N38" s="1907"/>
      <c r="O38" s="1907"/>
      <c r="P38" s="2059"/>
    </row>
    <row r="39" spans="1:16" s="1709" customFormat="1" ht="16.5">
      <c r="A39" s="2216">
        <f t="shared" si="0"/>
        <v>34</v>
      </c>
      <c r="B39" s="2588"/>
      <c r="C39" s="2193" t="s">
        <v>7010</v>
      </c>
      <c r="D39" s="1907"/>
      <c r="E39" s="1907"/>
      <c r="F39" s="1907"/>
      <c r="G39" s="1907"/>
      <c r="H39" s="1907"/>
      <c r="I39" s="1907"/>
      <c r="J39" s="1907"/>
      <c r="K39" s="1907"/>
      <c r="L39" s="1907"/>
      <c r="M39" s="1907"/>
      <c r="N39" s="1907"/>
      <c r="O39" s="1907"/>
      <c r="P39" s="2059"/>
    </row>
    <row r="40" spans="1:16" s="1709" customFormat="1" ht="16.5">
      <c r="A40" s="2216">
        <f t="shared" si="0"/>
        <v>35</v>
      </c>
      <c r="B40" s="2588"/>
      <c r="C40" s="2053" t="s">
        <v>4024</v>
      </c>
      <c r="D40" s="1907"/>
      <c r="E40" s="1907"/>
      <c r="F40" s="1907"/>
      <c r="G40" s="1907"/>
      <c r="H40" s="1907"/>
      <c r="I40" s="1907"/>
      <c r="J40" s="1907"/>
      <c r="K40" s="1907"/>
      <c r="L40" s="1907"/>
      <c r="M40" s="1907"/>
      <c r="N40" s="1907"/>
      <c r="O40" s="1907"/>
      <c r="P40" s="2059"/>
    </row>
    <row r="41" spans="1:16" s="1709" customFormat="1" ht="16.5">
      <c r="A41" s="2216">
        <f t="shared" si="0"/>
        <v>36</v>
      </c>
      <c r="B41" s="2588"/>
      <c r="C41" s="2194" t="s">
        <v>7009</v>
      </c>
      <c r="D41" s="1907"/>
      <c r="E41" s="1907"/>
      <c r="F41" s="1907"/>
      <c r="G41" s="1907"/>
      <c r="H41" s="1907"/>
      <c r="I41" s="1907"/>
      <c r="J41" s="1907"/>
      <c r="K41" s="1907"/>
      <c r="L41" s="2060"/>
      <c r="M41" s="1907"/>
      <c r="N41" s="1907"/>
      <c r="O41" s="1907"/>
      <c r="P41" s="2059"/>
    </row>
    <row r="42" spans="1:16" s="1709" customFormat="1" ht="16.5">
      <c r="A42" s="2216">
        <f t="shared" si="0"/>
        <v>37</v>
      </c>
      <c r="B42" s="2588"/>
      <c r="C42" s="2054" t="s">
        <v>4036</v>
      </c>
      <c r="D42" s="1907"/>
      <c r="E42" s="1907"/>
      <c r="F42" s="1907"/>
      <c r="G42" s="1907"/>
      <c r="H42" s="1907"/>
      <c r="I42" s="1907"/>
      <c r="J42" s="1907"/>
      <c r="K42" s="1907"/>
      <c r="L42" s="1907"/>
      <c r="M42" s="1907"/>
      <c r="N42" s="1907"/>
      <c r="O42" s="1907"/>
      <c r="P42" s="2059"/>
    </row>
    <row r="43" spans="1:16" s="1709" customFormat="1" ht="16.5">
      <c r="A43" s="2216">
        <f t="shared" si="0"/>
        <v>38</v>
      </c>
      <c r="B43" s="2588"/>
      <c r="C43" s="2053" t="s">
        <v>4022</v>
      </c>
      <c r="D43" s="1907"/>
      <c r="E43" s="1907"/>
      <c r="F43" s="1907"/>
      <c r="G43" s="1907"/>
      <c r="H43" s="1907"/>
      <c r="I43" s="1907"/>
      <c r="J43" s="1907"/>
      <c r="K43" s="1907"/>
      <c r="L43" s="1907"/>
      <c r="M43" s="1907"/>
      <c r="N43" s="1907"/>
      <c r="O43" s="1907"/>
      <c r="P43" s="2059"/>
    </row>
    <row r="44" spans="1:16" s="1709" customFormat="1" ht="16.5">
      <c r="A44" s="2216">
        <f t="shared" si="0"/>
        <v>39</v>
      </c>
      <c r="B44" s="2589"/>
      <c r="C44" s="2052" t="s">
        <v>4025</v>
      </c>
      <c r="D44" s="1907"/>
      <c r="E44" s="1907"/>
      <c r="F44" s="1907"/>
      <c r="G44" s="1907"/>
      <c r="H44" s="1907"/>
      <c r="I44" s="1907"/>
      <c r="J44" s="1907"/>
      <c r="K44" s="1907"/>
      <c r="L44" s="1907"/>
      <c r="M44" s="1907"/>
      <c r="N44" s="1907"/>
      <c r="O44" s="1907"/>
      <c r="P44" s="2059"/>
    </row>
    <row r="45" spans="1:16" s="1709" customFormat="1" ht="15.75" customHeight="1">
      <c r="A45" s="2216">
        <f t="shared" si="0"/>
        <v>40</v>
      </c>
      <c r="B45" s="2590" t="s">
        <v>4170</v>
      </c>
      <c r="C45" s="2591"/>
      <c r="D45" s="1907"/>
      <c r="E45" s="1907"/>
      <c r="F45" s="1907"/>
      <c r="G45" s="1907"/>
      <c r="H45" s="1907"/>
      <c r="I45" s="1907"/>
      <c r="J45" s="1907"/>
      <c r="K45" s="1907"/>
      <c r="L45" s="1907"/>
      <c r="M45" s="1907"/>
      <c r="N45" s="1907"/>
      <c r="O45" s="1907"/>
      <c r="P45" s="2059"/>
    </row>
    <row r="46" spans="1:16" s="1709" customFormat="1" ht="16.5">
      <c r="A46" s="2061" t="s">
        <v>3538</v>
      </c>
      <c r="B46" s="1505"/>
      <c r="C46" s="2062"/>
      <c r="D46" s="2062"/>
      <c r="E46" s="2062"/>
      <c r="F46" s="2062"/>
      <c r="G46" s="2062"/>
      <c r="H46" s="2062"/>
      <c r="I46" s="2062"/>
      <c r="J46" s="2062"/>
      <c r="K46" s="2062"/>
      <c r="L46" s="2062"/>
      <c r="M46" s="2062"/>
      <c r="N46" s="2062"/>
      <c r="O46" s="2062"/>
      <c r="P46" s="2062"/>
    </row>
    <row r="47" spans="1:16" s="1709" customFormat="1" ht="16.5">
      <c r="A47" s="2063">
        <v>1</v>
      </c>
      <c r="B47" s="1853" t="s">
        <v>7011</v>
      </c>
      <c r="C47" s="2064"/>
      <c r="D47" s="2064"/>
      <c r="E47" s="2064"/>
      <c r="F47" s="2064"/>
      <c r="G47" s="2064"/>
      <c r="H47" s="2064"/>
      <c r="I47" s="2064"/>
      <c r="J47" s="2064"/>
      <c r="K47" s="2064"/>
      <c r="L47" s="2064"/>
      <c r="M47" s="2064"/>
      <c r="N47" s="2064"/>
      <c r="O47" s="2064"/>
      <c r="P47" s="2064"/>
    </row>
    <row r="48" spans="1:16" s="1709" customFormat="1" ht="16.5">
      <c r="A48" s="2063">
        <v>2</v>
      </c>
      <c r="B48" s="1505" t="s">
        <v>4037</v>
      </c>
      <c r="C48" s="2064"/>
      <c r="D48" s="2064"/>
      <c r="E48" s="2064"/>
      <c r="F48" s="2064"/>
      <c r="G48" s="2064"/>
      <c r="H48" s="2064"/>
      <c r="I48" s="2064"/>
      <c r="J48" s="2064"/>
      <c r="K48" s="2064"/>
      <c r="L48" s="2064"/>
      <c r="M48" s="2064"/>
      <c r="N48" s="2064"/>
      <c r="O48" s="2064"/>
      <c r="P48" s="2064"/>
    </row>
    <row r="49" spans="1:2">
      <c r="A49" s="2063"/>
      <c r="B49" s="1515"/>
    </row>
    <row r="50" spans="1:2">
      <c r="B50" s="1515"/>
    </row>
    <row r="51" spans="1:2">
      <c r="B51" s="1515"/>
    </row>
  </sheetData>
  <mergeCells count="14">
    <mergeCell ref="A3:A5"/>
    <mergeCell ref="B3:C4"/>
    <mergeCell ref="P3:P4"/>
    <mergeCell ref="B5:C5"/>
    <mergeCell ref="B26:C26"/>
    <mergeCell ref="B28:B44"/>
    <mergeCell ref="B45:C45"/>
    <mergeCell ref="B6:B16"/>
    <mergeCell ref="B17:B21"/>
    <mergeCell ref="B22:C22"/>
    <mergeCell ref="B23:C23"/>
    <mergeCell ref="B24:C24"/>
    <mergeCell ref="B25:C25"/>
    <mergeCell ref="B27:C27"/>
  </mergeCells>
  <phoneticPr fontId="29" type="noConversion"/>
  <dataValidations count="1">
    <dataValidation type="whole" allowBlank="1" showInputMessage="1" showErrorMessage="1" errorTitle="錯誤" error="輸入資料格式錯誤!!" sqref="D6:O27">
      <formula1>-9.99999999999999E+27</formula1>
      <formula2>9.99999999999999E+27</formula2>
    </dataValidation>
  </dataValidations>
  <printOptions horizontalCentered="1"/>
  <pageMargins left="0.39370078740157483" right="0" top="0.39370078740157483" bottom="0.39370078740157483" header="0.51181102362204722" footer="0.15748031496062992"/>
  <pageSetup paperSize="9" scale="54" orientation="landscape" horizontalDpi="4294967295" verticalDpi="4294967295" r:id="rId1"/>
  <headerFooter alignWithMargins="0">
    <oddFooter>&amp;C&amp;"Times New Roman,標準"45&amp;R&amp;"Times New Roman,標準"&amp;A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C30"/>
  <sheetViews>
    <sheetView zoomScaleNormal="100" workbookViewId="0">
      <selection activeCell="B20" sqref="B20"/>
    </sheetView>
  </sheetViews>
  <sheetFormatPr defaultColWidth="15.625" defaultRowHeight="15.75"/>
  <cols>
    <col min="1" max="1" width="5.625" style="2075" customWidth="1"/>
    <col min="2" max="16384" width="15.625" style="2075"/>
  </cols>
  <sheetData>
    <row r="1" spans="1:28" ht="16.5">
      <c r="A1" s="2405" t="s">
        <v>7071</v>
      </c>
      <c r="B1" s="2073"/>
      <c r="C1" s="2073"/>
      <c r="D1" s="2073"/>
      <c r="E1" s="2073"/>
      <c r="F1" s="2073"/>
      <c r="G1" s="2073"/>
      <c r="H1" s="2073"/>
      <c r="I1" s="2073"/>
      <c r="J1" s="2073"/>
      <c r="K1" s="2073"/>
      <c r="L1" s="2073"/>
      <c r="M1" s="2073"/>
      <c r="N1" s="2073"/>
      <c r="O1" s="2073"/>
      <c r="P1" s="2073"/>
      <c r="Q1" s="2073"/>
      <c r="R1" s="2073"/>
      <c r="S1" s="2073"/>
      <c r="T1" s="2073"/>
      <c r="U1" s="2073"/>
      <c r="V1" s="2073"/>
      <c r="W1" s="2073"/>
      <c r="X1" s="2073"/>
      <c r="Y1" s="2073"/>
      <c r="Z1" s="2076"/>
    </row>
    <row r="2" spans="1:28" ht="16.5">
      <c r="A2" s="2068" t="s">
        <v>4038</v>
      </c>
      <c r="B2" s="2073"/>
      <c r="C2" s="2073"/>
      <c r="D2" s="2073"/>
      <c r="E2" s="2073"/>
      <c r="F2" s="2073"/>
      <c r="G2" s="2073"/>
      <c r="H2" s="2073"/>
      <c r="I2" s="2073"/>
      <c r="J2" s="2073"/>
      <c r="K2" s="2073"/>
      <c r="L2" s="2073"/>
      <c r="M2" s="2073"/>
      <c r="N2" s="2073"/>
      <c r="O2" s="2073"/>
      <c r="P2" s="2073"/>
      <c r="Q2" s="2073"/>
      <c r="R2" s="2073"/>
      <c r="S2" s="2073"/>
      <c r="T2" s="2073"/>
      <c r="U2" s="2073"/>
      <c r="W2" s="2073"/>
      <c r="X2" s="2073"/>
      <c r="Y2" s="2073"/>
      <c r="Z2" s="2076"/>
      <c r="AB2" s="2084" t="s">
        <v>4056</v>
      </c>
    </row>
    <row r="3" spans="1:28" ht="15.75" customHeight="1">
      <c r="A3" s="2595" t="s">
        <v>2343</v>
      </c>
      <c r="B3" s="2595" t="s">
        <v>3768</v>
      </c>
      <c r="C3" s="2595" t="s">
        <v>3769</v>
      </c>
      <c r="D3" s="2595" t="s">
        <v>3770</v>
      </c>
      <c r="E3" s="2595" t="s">
        <v>3772</v>
      </c>
      <c r="F3" s="2595" t="s">
        <v>3776</v>
      </c>
      <c r="G3" s="2595"/>
      <c r="H3" s="2595"/>
      <c r="I3" s="2595" t="s">
        <v>3773</v>
      </c>
      <c r="J3" s="2595" t="s">
        <v>3774</v>
      </c>
      <c r="K3" s="2595" t="s">
        <v>4046</v>
      </c>
      <c r="L3" s="2595"/>
      <c r="M3" s="2595"/>
      <c r="N3" s="2595"/>
      <c r="O3" s="2595" t="s">
        <v>3778</v>
      </c>
      <c r="P3" s="2595" t="s">
        <v>4047</v>
      </c>
      <c r="Q3" s="2595" t="s">
        <v>4048</v>
      </c>
      <c r="R3" s="2595" t="s">
        <v>4049</v>
      </c>
      <c r="S3" s="2595" t="s">
        <v>4050</v>
      </c>
      <c r="T3" s="2597" t="s">
        <v>4051</v>
      </c>
      <c r="U3" s="2595" t="s">
        <v>4052</v>
      </c>
      <c r="V3" s="2550" t="s">
        <v>3785</v>
      </c>
      <c r="W3" s="2550"/>
      <c r="X3" s="2595" t="s">
        <v>3991</v>
      </c>
      <c r="Y3" s="2595" t="s">
        <v>3787</v>
      </c>
      <c r="Z3" s="2549" t="s">
        <v>3847</v>
      </c>
      <c r="AA3" s="2549" t="s">
        <v>4053</v>
      </c>
      <c r="AB3" s="2595" t="s">
        <v>2436</v>
      </c>
    </row>
    <row r="4" spans="1:28" ht="33">
      <c r="A4" s="2595"/>
      <c r="B4" s="2595"/>
      <c r="C4" s="2595"/>
      <c r="D4" s="2595"/>
      <c r="E4" s="2595"/>
      <c r="F4" s="2221" t="s">
        <v>3792</v>
      </c>
      <c r="G4" s="2221" t="s">
        <v>3793</v>
      </c>
      <c r="H4" s="2221" t="s">
        <v>3794</v>
      </c>
      <c r="I4" s="2595"/>
      <c r="J4" s="2595"/>
      <c r="K4" s="2221" t="s">
        <v>3792</v>
      </c>
      <c r="L4" s="2221" t="s">
        <v>3793</v>
      </c>
      <c r="M4" s="2221" t="s">
        <v>4054</v>
      </c>
      <c r="N4" s="2221" t="s">
        <v>4055</v>
      </c>
      <c r="O4" s="2595"/>
      <c r="P4" s="2595"/>
      <c r="Q4" s="2595"/>
      <c r="R4" s="2595"/>
      <c r="S4" s="2595"/>
      <c r="T4" s="2597"/>
      <c r="U4" s="2595"/>
      <c r="V4" s="2213" t="s">
        <v>3795</v>
      </c>
      <c r="W4" s="2213" t="s">
        <v>3796</v>
      </c>
      <c r="X4" s="2595"/>
      <c r="Y4" s="2595"/>
      <c r="Z4" s="2549"/>
      <c r="AA4" s="2549"/>
      <c r="AB4" s="2595"/>
    </row>
    <row r="5" spans="1:28">
      <c r="A5" s="2595"/>
      <c r="B5" s="2222" t="s">
        <v>66</v>
      </c>
      <c r="C5" s="2222" t="s">
        <v>67</v>
      </c>
      <c r="D5" s="2222" t="s">
        <v>68</v>
      </c>
      <c r="E5" s="2222" t="s">
        <v>69</v>
      </c>
      <c r="F5" s="2222" t="s">
        <v>70</v>
      </c>
      <c r="G5" s="2222" t="s">
        <v>71</v>
      </c>
      <c r="H5" s="2222" t="s">
        <v>72</v>
      </c>
      <c r="I5" s="2222" t="s">
        <v>73</v>
      </c>
      <c r="J5" s="2222" t="s">
        <v>74</v>
      </c>
      <c r="K5" s="2222" t="s">
        <v>75</v>
      </c>
      <c r="L5" s="2222" t="s">
        <v>234</v>
      </c>
      <c r="M5" s="2222" t="s">
        <v>235</v>
      </c>
      <c r="N5" s="2222" t="s">
        <v>286</v>
      </c>
      <c r="O5" s="2222" t="s">
        <v>287</v>
      </c>
      <c r="P5" s="2222" t="s">
        <v>288</v>
      </c>
      <c r="Q5" s="2222" t="s">
        <v>289</v>
      </c>
      <c r="R5" s="2222" t="s">
        <v>290</v>
      </c>
      <c r="S5" s="2222" t="s">
        <v>138</v>
      </c>
      <c r="T5" s="2222" t="s">
        <v>139</v>
      </c>
      <c r="U5" s="2222" t="s">
        <v>140</v>
      </c>
      <c r="V5" s="2077" t="s">
        <v>482</v>
      </c>
      <c r="W5" s="2222" t="s">
        <v>142</v>
      </c>
      <c r="X5" s="2222" t="s">
        <v>253</v>
      </c>
      <c r="Y5" s="2222" t="s">
        <v>254</v>
      </c>
      <c r="Z5" s="2222" t="s">
        <v>255</v>
      </c>
      <c r="AA5" s="2222" t="s">
        <v>256</v>
      </c>
      <c r="AB5" s="2222" t="s">
        <v>257</v>
      </c>
    </row>
    <row r="6" spans="1:28">
      <c r="A6" s="2069">
        <v>1</v>
      </c>
      <c r="B6" s="2078"/>
      <c r="C6" s="2071"/>
      <c r="D6" s="2071"/>
      <c r="E6" s="2071"/>
      <c r="F6" s="2078"/>
      <c r="G6" s="2071"/>
      <c r="H6" s="2071"/>
      <c r="I6" s="2071"/>
      <c r="J6" s="2071"/>
      <c r="K6" s="2078"/>
      <c r="L6" s="2071"/>
      <c r="M6" s="2071"/>
      <c r="N6" s="2071"/>
      <c r="O6" s="2071"/>
      <c r="P6" s="2070"/>
      <c r="Q6" s="2070"/>
      <c r="R6" s="2070"/>
      <c r="S6" s="2070"/>
      <c r="T6" s="2070"/>
      <c r="U6" s="2070"/>
      <c r="V6" s="2043"/>
      <c r="W6" s="2070"/>
      <c r="X6" s="2070"/>
      <c r="Y6" s="2071"/>
      <c r="Z6" s="2072"/>
      <c r="AA6" s="2072"/>
      <c r="AB6" s="2071"/>
    </row>
    <row r="7" spans="1:28">
      <c r="A7" s="2069">
        <v>2</v>
      </c>
      <c r="B7" s="2078"/>
      <c r="C7" s="2071"/>
      <c r="D7" s="2071"/>
      <c r="E7" s="2071"/>
      <c r="F7" s="2078"/>
      <c r="G7" s="2071"/>
      <c r="H7" s="2071"/>
      <c r="I7" s="2071"/>
      <c r="J7" s="2071"/>
      <c r="K7" s="2078"/>
      <c r="L7" s="2071"/>
      <c r="M7" s="2071"/>
      <c r="N7" s="2071"/>
      <c r="O7" s="2071"/>
      <c r="P7" s="2070"/>
      <c r="Q7" s="2070"/>
      <c r="R7" s="2070"/>
      <c r="S7" s="2070"/>
      <c r="T7" s="2070"/>
      <c r="U7" s="2070"/>
      <c r="V7" s="2043"/>
      <c r="W7" s="2070"/>
      <c r="X7" s="2070"/>
      <c r="Y7" s="2071"/>
      <c r="Z7" s="2072"/>
      <c r="AA7" s="2072"/>
      <c r="AB7" s="2071"/>
    </row>
    <row r="8" spans="1:28">
      <c r="A8" s="2069">
        <v>3</v>
      </c>
      <c r="B8" s="2078"/>
      <c r="C8" s="2071"/>
      <c r="D8" s="2071"/>
      <c r="E8" s="2071"/>
      <c r="F8" s="2078"/>
      <c r="G8" s="2071"/>
      <c r="H8" s="2071"/>
      <c r="I8" s="2071"/>
      <c r="J8" s="2071"/>
      <c r="K8" s="2078"/>
      <c r="L8" s="2071"/>
      <c r="M8" s="2071"/>
      <c r="N8" s="2071"/>
      <c r="O8" s="2071"/>
      <c r="P8" s="2070"/>
      <c r="Q8" s="2070"/>
      <c r="R8" s="2070"/>
      <c r="S8" s="2070"/>
      <c r="T8" s="2070"/>
      <c r="U8" s="2070"/>
      <c r="V8" s="2043"/>
      <c r="W8" s="2070"/>
      <c r="X8" s="2070"/>
      <c r="Y8" s="2071"/>
      <c r="Z8" s="2072"/>
      <c r="AA8" s="2072"/>
      <c r="AB8" s="2071"/>
    </row>
    <row r="9" spans="1:28">
      <c r="A9" s="2069">
        <v>4</v>
      </c>
      <c r="B9" s="2078"/>
      <c r="C9" s="2071"/>
      <c r="D9" s="2071"/>
      <c r="E9" s="2071"/>
      <c r="F9" s="2078"/>
      <c r="G9" s="2071"/>
      <c r="H9" s="2071"/>
      <c r="I9" s="2071"/>
      <c r="J9" s="2071"/>
      <c r="K9" s="2078"/>
      <c r="L9" s="2071"/>
      <c r="M9" s="2071"/>
      <c r="N9" s="2071"/>
      <c r="O9" s="2071"/>
      <c r="P9" s="2070"/>
      <c r="Q9" s="2070"/>
      <c r="R9" s="2070"/>
      <c r="S9" s="2070"/>
      <c r="T9" s="2070"/>
      <c r="U9" s="2070"/>
      <c r="V9" s="2043"/>
      <c r="W9" s="2070"/>
      <c r="X9" s="2070"/>
      <c r="Y9" s="2071"/>
      <c r="Z9" s="2072"/>
      <c r="AA9" s="2072"/>
      <c r="AB9" s="2071"/>
    </row>
    <row r="10" spans="1:28">
      <c r="A10" s="2069">
        <v>5</v>
      </c>
      <c r="B10" s="2078"/>
      <c r="C10" s="2071"/>
      <c r="D10" s="2071"/>
      <c r="E10" s="2071"/>
      <c r="F10" s="2078"/>
      <c r="G10" s="2071"/>
      <c r="H10" s="2071"/>
      <c r="I10" s="2071"/>
      <c r="J10" s="2071"/>
      <c r="K10" s="2078"/>
      <c r="L10" s="2071"/>
      <c r="M10" s="2071"/>
      <c r="N10" s="2071"/>
      <c r="O10" s="2071"/>
      <c r="P10" s="2070"/>
      <c r="Q10" s="2070"/>
      <c r="R10" s="2070"/>
      <c r="S10" s="2070"/>
      <c r="T10" s="2070"/>
      <c r="U10" s="2070"/>
      <c r="V10" s="2043"/>
      <c r="W10" s="2070"/>
      <c r="X10" s="2070"/>
      <c r="Y10" s="2071"/>
      <c r="Z10" s="2072"/>
      <c r="AA10" s="2072"/>
      <c r="AB10" s="2071"/>
    </row>
    <row r="11" spans="1:28">
      <c r="A11" s="2069">
        <v>6</v>
      </c>
      <c r="B11" s="2078"/>
      <c r="C11" s="2071"/>
      <c r="D11" s="2071"/>
      <c r="E11" s="2071"/>
      <c r="F11" s="2078"/>
      <c r="G11" s="2071"/>
      <c r="H11" s="2071"/>
      <c r="I11" s="2071"/>
      <c r="J11" s="2071"/>
      <c r="K11" s="2078"/>
      <c r="L11" s="2071"/>
      <c r="M11" s="2071"/>
      <c r="N11" s="2071"/>
      <c r="O11" s="2071"/>
      <c r="P11" s="2070"/>
      <c r="Q11" s="2070"/>
      <c r="R11" s="2070"/>
      <c r="S11" s="2070"/>
      <c r="T11" s="2070"/>
      <c r="U11" s="2070"/>
      <c r="V11" s="2043"/>
      <c r="W11" s="2070"/>
      <c r="X11" s="2070"/>
      <c r="Y11" s="2071"/>
      <c r="Z11" s="2072"/>
      <c r="AA11" s="2072"/>
      <c r="AB11" s="2071"/>
    </row>
    <row r="12" spans="1:28">
      <c r="A12" s="2069">
        <v>7</v>
      </c>
      <c r="B12" s="2078"/>
      <c r="C12" s="2071"/>
      <c r="D12" s="2071"/>
      <c r="E12" s="2071"/>
      <c r="F12" s="2078"/>
      <c r="G12" s="2071"/>
      <c r="H12" s="2071"/>
      <c r="I12" s="2071"/>
      <c r="J12" s="2071"/>
      <c r="K12" s="2078"/>
      <c r="L12" s="2071"/>
      <c r="M12" s="2071"/>
      <c r="N12" s="2071"/>
      <c r="O12" s="2071"/>
      <c r="P12" s="2070"/>
      <c r="Q12" s="2070"/>
      <c r="R12" s="2070"/>
      <c r="S12" s="2070"/>
      <c r="T12" s="2070"/>
      <c r="U12" s="2070"/>
      <c r="V12" s="2043"/>
      <c r="W12" s="2070"/>
      <c r="X12" s="2070"/>
      <c r="Y12" s="2071"/>
      <c r="Z12" s="2072"/>
      <c r="AA12" s="2072"/>
      <c r="AB12" s="2071"/>
    </row>
    <row r="13" spans="1:28">
      <c r="A13" s="2069">
        <v>8</v>
      </c>
      <c r="B13" s="2078"/>
      <c r="C13" s="2071"/>
      <c r="D13" s="2071"/>
      <c r="E13" s="2071"/>
      <c r="F13" s="2078"/>
      <c r="G13" s="2071"/>
      <c r="H13" s="2071"/>
      <c r="I13" s="2071"/>
      <c r="J13" s="2071"/>
      <c r="K13" s="2078"/>
      <c r="L13" s="2071"/>
      <c r="M13" s="2071"/>
      <c r="N13" s="2071"/>
      <c r="O13" s="2071"/>
      <c r="P13" s="2070"/>
      <c r="Q13" s="2070"/>
      <c r="R13" s="2070"/>
      <c r="S13" s="2070"/>
      <c r="T13" s="2070"/>
      <c r="U13" s="2070"/>
      <c r="V13" s="2043"/>
      <c r="W13" s="2070"/>
      <c r="X13" s="2070"/>
      <c r="Y13" s="2071"/>
      <c r="Z13" s="2072"/>
      <c r="AA13" s="2072"/>
      <c r="AB13" s="2071"/>
    </row>
    <row r="14" spans="1:28">
      <c r="A14" s="2069">
        <v>9</v>
      </c>
      <c r="B14" s="2078"/>
      <c r="C14" s="2071"/>
      <c r="D14" s="2071"/>
      <c r="E14" s="2071"/>
      <c r="F14" s="2078"/>
      <c r="G14" s="2071"/>
      <c r="H14" s="2071"/>
      <c r="I14" s="2071"/>
      <c r="J14" s="2071"/>
      <c r="K14" s="2078"/>
      <c r="L14" s="2071"/>
      <c r="M14" s="2071"/>
      <c r="N14" s="2071"/>
      <c r="O14" s="2071"/>
      <c r="P14" s="2070"/>
      <c r="Q14" s="2070"/>
      <c r="R14" s="2070"/>
      <c r="S14" s="2070"/>
      <c r="T14" s="2070"/>
      <c r="U14" s="2070"/>
      <c r="V14" s="2043"/>
      <c r="W14" s="2070"/>
      <c r="X14" s="2070"/>
      <c r="Y14" s="2071"/>
      <c r="Z14" s="2072"/>
      <c r="AA14" s="2072"/>
      <c r="AB14" s="2071"/>
    </row>
    <row r="15" spans="1:28">
      <c r="A15" s="2069">
        <v>10</v>
      </c>
      <c r="B15" s="2078"/>
      <c r="C15" s="2071"/>
      <c r="D15" s="2071"/>
      <c r="E15" s="2071"/>
      <c r="F15" s="2078"/>
      <c r="G15" s="2071"/>
      <c r="H15" s="2071"/>
      <c r="I15" s="2071"/>
      <c r="J15" s="2071"/>
      <c r="K15" s="2078"/>
      <c r="L15" s="2071"/>
      <c r="M15" s="2071"/>
      <c r="N15" s="2071"/>
      <c r="O15" s="2071"/>
      <c r="P15" s="2070"/>
      <c r="Q15" s="2070"/>
      <c r="R15" s="2070"/>
      <c r="S15" s="2070"/>
      <c r="T15" s="2070"/>
      <c r="U15" s="2070"/>
      <c r="V15" s="2043"/>
      <c r="W15" s="2070"/>
      <c r="X15" s="2070"/>
      <c r="Y15" s="2071"/>
      <c r="Z15" s="2072"/>
      <c r="AA15" s="2072"/>
      <c r="AB15" s="2071"/>
    </row>
    <row r="16" spans="1:28" ht="16.5">
      <c r="A16" s="2069">
        <v>11</v>
      </c>
      <c r="B16" s="2596" t="s">
        <v>7215</v>
      </c>
      <c r="C16" s="2479" t="s">
        <v>7216</v>
      </c>
      <c r="D16" s="2079"/>
      <c r="E16" s="2079"/>
      <c r="F16" s="2079"/>
      <c r="G16" s="2079"/>
      <c r="H16" s="2079"/>
      <c r="I16" s="2079"/>
      <c r="J16" s="2079"/>
      <c r="K16" s="2079"/>
      <c r="L16" s="2079"/>
      <c r="M16" s="2079"/>
      <c r="N16" s="2079"/>
      <c r="O16" s="2079"/>
      <c r="P16" s="2079"/>
      <c r="Q16" s="2079"/>
      <c r="R16" s="2079"/>
      <c r="S16" s="2079"/>
      <c r="T16" s="1907">
        <f>SUMIF($D$6:$D$15,"A",T6:T15)</f>
        <v>0</v>
      </c>
      <c r="U16" s="1907">
        <f>SUMIF($D$6:$D$15,"A",U6:U15)</f>
        <v>0</v>
      </c>
      <c r="V16" s="2079"/>
      <c r="W16" s="2079"/>
      <c r="X16" s="2079"/>
      <c r="Y16" s="2079"/>
      <c r="Z16" s="1907">
        <f>SUMIF($D$6:$D$15,"A",Z6:Z15)</f>
        <v>0</v>
      </c>
      <c r="AA16" s="1907">
        <f>SUMIF($D$6:$D$15,"A",AA6:AA15)</f>
        <v>0</v>
      </c>
      <c r="AB16" s="2079"/>
    </row>
    <row r="17" spans="1:29" ht="33">
      <c r="A17" s="2069">
        <v>12</v>
      </c>
      <c r="B17" s="2596"/>
      <c r="C17" s="2480" t="s">
        <v>7217</v>
      </c>
      <c r="D17" s="2079"/>
      <c r="E17" s="2079"/>
      <c r="F17" s="2079"/>
      <c r="G17" s="2079"/>
      <c r="H17" s="2079"/>
      <c r="I17" s="2079"/>
      <c r="J17" s="2079"/>
      <c r="K17" s="2079"/>
      <c r="L17" s="2079"/>
      <c r="M17" s="2079"/>
      <c r="N17" s="2079"/>
      <c r="O17" s="2079"/>
      <c r="P17" s="2079"/>
      <c r="Q17" s="2079"/>
      <c r="R17" s="2079"/>
      <c r="S17" s="2079"/>
      <c r="T17" s="1907">
        <f>SUMIF($D$6:$D$15,"C",T6:T15)</f>
        <v>0</v>
      </c>
      <c r="U17" s="1907">
        <f>SUMIF($D$6:$D$15,"C",U6:U15)</f>
        <v>0</v>
      </c>
      <c r="V17" s="2079"/>
      <c r="W17" s="2079"/>
      <c r="X17" s="2079"/>
      <c r="Y17" s="2079"/>
      <c r="Z17" s="1907">
        <f>SUMIF($D$6:$D$15,"C",Z6:Z15)</f>
        <v>0</v>
      </c>
      <c r="AA17" s="1907">
        <f>SUMIF($D$6:$D$15,"C",AA6:AA15)</f>
        <v>0</v>
      </c>
      <c r="AB17" s="2079"/>
    </row>
    <row r="18" spans="1:29" ht="16.5">
      <c r="A18" s="2080" t="s">
        <v>4039</v>
      </c>
      <c r="B18" s="1857"/>
      <c r="C18" s="2073"/>
      <c r="D18" s="2073"/>
      <c r="E18" s="2073"/>
      <c r="F18" s="2073"/>
      <c r="G18" s="2073"/>
      <c r="H18" s="2073"/>
      <c r="I18" s="2073"/>
      <c r="J18" s="2073"/>
      <c r="K18" s="2073"/>
      <c r="L18" s="2073"/>
      <c r="M18" s="2073"/>
      <c r="N18" s="2073"/>
      <c r="O18" s="2073"/>
      <c r="P18" s="2073"/>
      <c r="Q18" s="2073"/>
      <c r="R18" s="2073"/>
      <c r="S18" s="2081"/>
      <c r="T18" s="2081"/>
      <c r="U18" s="2081"/>
      <c r="V18" s="2073"/>
      <c r="W18" s="2073"/>
      <c r="X18" s="2081"/>
      <c r="Y18" s="2081"/>
      <c r="Z18" s="2076"/>
    </row>
    <row r="19" spans="1:29" ht="16.5">
      <c r="A19" s="1893">
        <v>1</v>
      </c>
      <c r="B19" s="1503" t="s">
        <v>4040</v>
      </c>
      <c r="C19" s="1899"/>
      <c r="D19" s="1899"/>
      <c r="E19" s="1899"/>
      <c r="F19" s="1899"/>
      <c r="G19" s="1899"/>
      <c r="H19" s="1899"/>
      <c r="I19" s="1899"/>
      <c r="J19" s="1899"/>
      <c r="K19" s="1899"/>
      <c r="L19" s="1899"/>
      <c r="M19" s="1899"/>
      <c r="N19" s="1899"/>
      <c r="O19" s="1899"/>
      <c r="P19" s="1899"/>
      <c r="Q19" s="1899"/>
      <c r="R19" s="1899"/>
      <c r="S19" s="2082"/>
      <c r="T19" s="2082"/>
      <c r="U19" s="2082"/>
      <c r="V19" s="2082"/>
      <c r="W19" s="2082"/>
      <c r="X19" s="2082"/>
      <c r="Y19" s="2082"/>
      <c r="Z19" s="2076"/>
    </row>
    <row r="20" spans="1:29" ht="16.5">
      <c r="A20" s="1893">
        <v>2</v>
      </c>
      <c r="B20" s="2481" t="s">
        <v>7218</v>
      </c>
      <c r="C20" s="1899"/>
      <c r="D20" s="1899"/>
      <c r="E20" s="1899"/>
      <c r="F20" s="1899"/>
      <c r="G20" s="1899"/>
      <c r="H20" s="1899"/>
      <c r="I20" s="1899"/>
      <c r="J20" s="1899"/>
      <c r="K20" s="1899"/>
      <c r="L20" s="1899"/>
      <c r="M20" s="1899"/>
      <c r="N20" s="1899"/>
      <c r="O20" s="1899"/>
      <c r="P20" s="1899"/>
      <c r="Q20" s="1899"/>
      <c r="R20" s="1899"/>
      <c r="S20" s="2082"/>
      <c r="T20" s="2082"/>
      <c r="U20" s="2082"/>
      <c r="V20" s="2082"/>
      <c r="W20" s="2082"/>
      <c r="X20" s="2082"/>
      <c r="Y20" s="2082"/>
      <c r="Z20" s="2076"/>
    </row>
    <row r="21" spans="1:29" ht="16.5">
      <c r="A21" s="1893"/>
      <c r="B21" s="2074" t="s">
        <v>7006</v>
      </c>
      <c r="C21" s="1899"/>
      <c r="D21" s="1899"/>
      <c r="E21" s="1899"/>
      <c r="F21" s="1899"/>
      <c r="G21" s="1899"/>
      <c r="H21" s="1899"/>
      <c r="I21" s="1899"/>
      <c r="J21" s="1899"/>
      <c r="K21" s="1899"/>
      <c r="L21" s="1899"/>
      <c r="M21" s="1899"/>
      <c r="N21" s="1899"/>
      <c r="O21" s="1899"/>
      <c r="P21" s="1899"/>
      <c r="Q21" s="1899"/>
      <c r="R21" s="1899"/>
      <c r="S21" s="2082"/>
      <c r="T21" s="2082"/>
      <c r="U21" s="2082"/>
      <c r="V21" s="2082"/>
      <c r="W21" s="2082"/>
      <c r="X21" s="2082"/>
      <c r="Y21" s="2082"/>
      <c r="Z21" s="2076"/>
    </row>
    <row r="22" spans="1:29" ht="16.5">
      <c r="A22" s="1893">
        <v>3</v>
      </c>
      <c r="B22" s="2074" t="s">
        <v>3893</v>
      </c>
      <c r="C22" s="1899"/>
      <c r="D22" s="1899"/>
      <c r="E22" s="1899"/>
      <c r="F22" s="1899"/>
      <c r="G22" s="1899"/>
      <c r="H22" s="1899"/>
      <c r="I22" s="1899"/>
      <c r="J22" s="1899"/>
      <c r="K22" s="1899"/>
      <c r="L22" s="1899"/>
      <c r="M22" s="1899"/>
      <c r="N22" s="1899"/>
      <c r="O22" s="1899"/>
      <c r="P22" s="1899"/>
      <c r="Q22" s="1899"/>
      <c r="R22" s="1899"/>
      <c r="S22" s="2082"/>
      <c r="T22" s="2082"/>
      <c r="U22" s="2082"/>
      <c r="V22" s="2082"/>
      <c r="W22" s="2082"/>
      <c r="X22" s="2082"/>
      <c r="Y22" s="2082"/>
      <c r="Z22" s="2076"/>
    </row>
    <row r="23" spans="1:29" ht="16.5">
      <c r="A23" s="1893">
        <v>4</v>
      </c>
      <c r="B23" s="1503" t="s">
        <v>4041</v>
      </c>
      <c r="C23" s="1899"/>
      <c r="D23" s="1899"/>
      <c r="E23" s="1899"/>
      <c r="F23" s="1899"/>
      <c r="G23" s="1899"/>
      <c r="H23" s="1899"/>
      <c r="I23" s="1899"/>
      <c r="J23" s="1899"/>
      <c r="K23" s="1899"/>
      <c r="L23" s="1899"/>
      <c r="M23" s="1899"/>
      <c r="N23" s="1899"/>
      <c r="O23" s="1899"/>
      <c r="P23" s="1899"/>
      <c r="Q23" s="1899"/>
      <c r="R23" s="1899"/>
      <c r="S23" s="2082"/>
      <c r="T23" s="2082"/>
      <c r="U23" s="2082"/>
      <c r="V23" s="2082"/>
      <c r="W23" s="2082"/>
      <c r="X23" s="2082"/>
      <c r="Y23" s="2082"/>
      <c r="Z23" s="2076"/>
    </row>
    <row r="24" spans="1:29" ht="16.5">
      <c r="A24" s="1893">
        <v>5</v>
      </c>
      <c r="B24" s="2074" t="s">
        <v>4001</v>
      </c>
      <c r="C24" s="1899"/>
      <c r="D24" s="1899"/>
      <c r="E24" s="1899"/>
      <c r="F24" s="1899"/>
      <c r="G24" s="1899"/>
      <c r="H24" s="1899"/>
      <c r="I24" s="1899"/>
      <c r="J24" s="1899"/>
      <c r="K24" s="1899"/>
      <c r="L24" s="1899"/>
      <c r="M24" s="1899"/>
      <c r="N24" s="1899"/>
      <c r="O24" s="1899"/>
      <c r="P24" s="1899"/>
      <c r="Q24" s="1899"/>
      <c r="R24" s="1899"/>
      <c r="S24" s="2082"/>
      <c r="T24" s="2082"/>
      <c r="U24" s="2082"/>
      <c r="V24" s="2082"/>
      <c r="W24" s="2082"/>
      <c r="X24" s="2082"/>
      <c r="Y24" s="2082"/>
      <c r="Z24" s="2076"/>
    </row>
    <row r="25" spans="1:29" ht="16.5">
      <c r="A25" s="1893">
        <v>6</v>
      </c>
      <c r="B25" s="1892" t="s">
        <v>4042</v>
      </c>
      <c r="C25" s="1873"/>
      <c r="D25" s="1873"/>
      <c r="E25" s="1873"/>
      <c r="F25" s="1873"/>
      <c r="G25" s="1873"/>
      <c r="H25" s="1873"/>
      <c r="I25" s="1873"/>
      <c r="J25" s="1873"/>
      <c r="K25" s="1873"/>
      <c r="L25" s="1873"/>
      <c r="M25" s="1873"/>
      <c r="N25" s="1873"/>
      <c r="O25" s="1873"/>
      <c r="P25" s="1873"/>
      <c r="Q25" s="1873"/>
      <c r="R25" s="1873"/>
      <c r="S25" s="2082"/>
      <c r="T25" s="2082"/>
      <c r="U25" s="2082"/>
      <c r="V25" s="2082"/>
      <c r="W25" s="2082"/>
      <c r="X25" s="2082"/>
      <c r="Y25" s="2082"/>
      <c r="Z25" s="2076"/>
    </row>
    <row r="26" spans="1:29" ht="16.5">
      <c r="A26" s="1893">
        <v>7</v>
      </c>
      <c r="B26" s="2074" t="s">
        <v>4043</v>
      </c>
      <c r="C26" s="1899"/>
      <c r="D26" s="1899"/>
      <c r="E26" s="1899"/>
      <c r="F26" s="1899"/>
      <c r="G26" s="1899"/>
      <c r="H26" s="1899"/>
      <c r="I26" s="1899"/>
      <c r="J26" s="1899"/>
      <c r="K26" s="1899"/>
      <c r="L26" s="1899"/>
      <c r="M26" s="1899"/>
      <c r="N26" s="1899"/>
      <c r="O26" s="1899"/>
      <c r="P26" s="1899"/>
      <c r="Q26" s="1899"/>
      <c r="R26" s="1899"/>
      <c r="S26" s="2082"/>
      <c r="T26" s="2082"/>
      <c r="U26" s="2082"/>
      <c r="V26" s="2082"/>
      <c r="W26" s="2082"/>
      <c r="X26" s="2082"/>
      <c r="Y26" s="2082"/>
      <c r="Z26" s="2076"/>
      <c r="AC26" s="2083"/>
    </row>
    <row r="27" spans="1:29" ht="16.5">
      <c r="A27" s="1893">
        <v>8</v>
      </c>
      <c r="B27" s="2074" t="s">
        <v>4044</v>
      </c>
      <c r="C27" s="1899"/>
      <c r="D27" s="1899"/>
      <c r="E27" s="1899"/>
      <c r="F27" s="1899"/>
      <c r="G27" s="1899"/>
      <c r="H27" s="1899"/>
      <c r="I27" s="1899"/>
      <c r="J27" s="1899"/>
      <c r="K27" s="1899"/>
      <c r="L27" s="1899"/>
      <c r="M27" s="1899"/>
      <c r="N27" s="1899"/>
      <c r="O27" s="1899"/>
      <c r="P27" s="1899"/>
      <c r="Q27" s="1899"/>
      <c r="R27" s="1899"/>
      <c r="S27" s="2073"/>
      <c r="T27" s="2073"/>
      <c r="U27" s="2073"/>
      <c r="V27" s="2073"/>
      <c r="W27" s="2073"/>
      <c r="X27" s="2073"/>
      <c r="Y27" s="2073"/>
      <c r="Z27" s="2076"/>
    </row>
    <row r="28" spans="1:29" ht="16.5">
      <c r="A28" s="1893">
        <v>9</v>
      </c>
      <c r="B28" s="1894" t="s">
        <v>4045</v>
      </c>
      <c r="C28" s="1857"/>
      <c r="D28" s="1857"/>
      <c r="E28" s="1857"/>
      <c r="F28" s="1857"/>
      <c r="G28" s="1857"/>
      <c r="H28" s="1857"/>
      <c r="I28" s="1857"/>
      <c r="J28" s="1857"/>
      <c r="K28" s="1857"/>
      <c r="L28" s="1857"/>
      <c r="M28" s="1857"/>
      <c r="N28" s="1857"/>
      <c r="O28" s="1857"/>
      <c r="P28" s="1857"/>
      <c r="Q28" s="1857"/>
      <c r="R28" s="1857"/>
      <c r="S28" s="2073"/>
      <c r="T28" s="2073"/>
      <c r="U28" s="2073"/>
      <c r="V28" s="2073"/>
      <c r="W28" s="2073"/>
      <c r="X28" s="2073"/>
      <c r="Y28" s="2073"/>
      <c r="Z28" s="2076"/>
    </row>
    <row r="29" spans="1:29" ht="16.5">
      <c r="A29" s="1893">
        <v>10</v>
      </c>
      <c r="B29" s="1503" t="s">
        <v>3813</v>
      </c>
      <c r="C29" s="1857"/>
      <c r="D29" s="1857"/>
      <c r="E29" s="1857"/>
      <c r="F29" s="1857"/>
      <c r="G29" s="1857"/>
      <c r="H29" s="1857"/>
      <c r="I29" s="1857"/>
      <c r="J29" s="1857"/>
      <c r="K29" s="1857"/>
      <c r="L29" s="1857"/>
      <c r="M29" s="1857"/>
      <c r="N29" s="1857"/>
      <c r="O29" s="1857"/>
      <c r="P29" s="1857"/>
      <c r="Q29" s="1857"/>
      <c r="R29" s="1857"/>
      <c r="S29" s="2076"/>
      <c r="T29" s="2076"/>
      <c r="U29" s="2076"/>
      <c r="V29" s="2076"/>
      <c r="W29" s="2076"/>
      <c r="X29" s="2076"/>
      <c r="Y29" s="2076"/>
      <c r="Z29" s="2076"/>
    </row>
    <row r="30" spans="1:29" ht="16.5">
      <c r="A30" s="1893">
        <v>11</v>
      </c>
      <c r="B30" s="1503" t="s">
        <v>3901</v>
      </c>
    </row>
  </sheetData>
  <mergeCells count="23">
    <mergeCell ref="Y3:Y4"/>
    <mergeCell ref="Z3:Z4"/>
    <mergeCell ref="A3:A5"/>
    <mergeCell ref="B3:B4"/>
    <mergeCell ref="C3:C4"/>
    <mergeCell ref="D3:D4"/>
    <mergeCell ref="E3:E4"/>
    <mergeCell ref="AB3:AB4"/>
    <mergeCell ref="B16:B17"/>
    <mergeCell ref="R3:R4"/>
    <mergeCell ref="S3:S4"/>
    <mergeCell ref="T3:T4"/>
    <mergeCell ref="U3:U4"/>
    <mergeCell ref="X3:X4"/>
    <mergeCell ref="O3:O4"/>
    <mergeCell ref="P3:P4"/>
    <mergeCell ref="Q3:Q4"/>
    <mergeCell ref="AA3:AA4"/>
    <mergeCell ref="V3:W3"/>
    <mergeCell ref="F3:H3"/>
    <mergeCell ref="I3:I4"/>
    <mergeCell ref="J3:J4"/>
    <mergeCell ref="K3:N3"/>
  </mergeCells>
  <phoneticPr fontId="26" type="noConversion"/>
  <pageMargins left="0.44" right="0.23" top="0.74803149606299213" bottom="0.74803149606299213" header="0.31496062992125984" footer="0.31496062992125984"/>
  <pageSetup paperSize="9" scale="62"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81"/>
  <sheetViews>
    <sheetView zoomScaleNormal="100" zoomScaleSheetLayoutView="100" workbookViewId="0">
      <selection activeCell="B65" sqref="B65"/>
    </sheetView>
  </sheetViews>
  <sheetFormatPr defaultColWidth="15.625" defaultRowHeight="15.75"/>
  <cols>
    <col min="1" max="1" width="5.625" style="2088" customWidth="1"/>
    <col min="2" max="2" width="50.625" style="2088" customWidth="1"/>
    <col min="3" max="16384" width="15.625" style="2088"/>
  </cols>
  <sheetData>
    <row r="1" spans="1:16" ht="16.5">
      <c r="A1" s="2397" t="s">
        <v>7070</v>
      </c>
      <c r="B1" s="1857"/>
      <c r="C1" s="2062"/>
      <c r="D1" s="2062"/>
      <c r="E1" s="2062"/>
      <c r="F1" s="2062"/>
      <c r="G1" s="2062"/>
      <c r="H1" s="2062"/>
      <c r="I1" s="2062"/>
      <c r="J1" s="2062"/>
      <c r="K1" s="2062"/>
      <c r="L1" s="2062"/>
      <c r="M1" s="2062"/>
      <c r="N1" s="2062"/>
      <c r="O1" s="2062"/>
      <c r="P1" s="2087"/>
    </row>
    <row r="2" spans="1:16" ht="16.5">
      <c r="A2" s="2085" t="s">
        <v>4058</v>
      </c>
      <c r="B2" s="1857"/>
      <c r="C2" s="2062"/>
      <c r="D2" s="2062"/>
      <c r="E2" s="2062"/>
      <c r="F2" s="2062"/>
      <c r="G2" s="2062"/>
      <c r="H2" s="2062"/>
      <c r="I2" s="2062"/>
      <c r="J2" s="2062"/>
      <c r="K2" s="2062"/>
      <c r="M2" s="2062"/>
      <c r="N2" s="2062"/>
      <c r="O2" s="2099" t="s">
        <v>3914</v>
      </c>
      <c r="P2" s="2087"/>
    </row>
    <row r="3" spans="1:16" ht="16.5">
      <c r="A3" s="2552" t="s">
        <v>2343</v>
      </c>
      <c r="B3" s="2549" t="s">
        <v>4063</v>
      </c>
      <c r="C3" s="2089" t="s">
        <v>3816</v>
      </c>
      <c r="D3" s="2089"/>
      <c r="E3" s="2089"/>
      <c r="F3" s="2089"/>
      <c r="G3" s="2089" t="s">
        <v>3817</v>
      </c>
      <c r="H3" s="2089"/>
      <c r="I3" s="2089"/>
      <c r="J3" s="2089"/>
      <c r="K3" s="2089" t="s">
        <v>3856</v>
      </c>
      <c r="L3" s="2089"/>
      <c r="M3" s="2089"/>
      <c r="N3" s="2089"/>
      <c r="O3" s="2550" t="s">
        <v>2436</v>
      </c>
      <c r="P3" s="2087"/>
    </row>
    <row r="4" spans="1:16" ht="49.5">
      <c r="A4" s="2552"/>
      <c r="B4" s="2549"/>
      <c r="C4" s="2213" t="s">
        <v>3632</v>
      </c>
      <c r="D4" s="2213" t="s">
        <v>3857</v>
      </c>
      <c r="E4" s="2213" t="s">
        <v>3820</v>
      </c>
      <c r="F4" s="2213" t="s">
        <v>3821</v>
      </c>
      <c r="G4" s="2213" t="s">
        <v>3632</v>
      </c>
      <c r="H4" s="2213" t="s">
        <v>3857</v>
      </c>
      <c r="I4" s="2213" t="s">
        <v>3820</v>
      </c>
      <c r="J4" s="2213" t="s">
        <v>3821</v>
      </c>
      <c r="K4" s="2213" t="s">
        <v>3632</v>
      </c>
      <c r="L4" s="2213" t="s">
        <v>3857</v>
      </c>
      <c r="M4" s="2213" t="s">
        <v>3820</v>
      </c>
      <c r="N4" s="2213" t="s">
        <v>3821</v>
      </c>
      <c r="O4" s="2550"/>
      <c r="P4" s="2087"/>
    </row>
    <row r="5" spans="1:16">
      <c r="A5" s="2552"/>
      <c r="B5" s="1860" t="s">
        <v>66</v>
      </c>
      <c r="C5" s="1883" t="s">
        <v>67</v>
      </c>
      <c r="D5" s="1883" t="s">
        <v>68</v>
      </c>
      <c r="E5" s="1883" t="s">
        <v>69</v>
      </c>
      <c r="F5" s="1883" t="s">
        <v>70</v>
      </c>
      <c r="G5" s="1883" t="s">
        <v>71</v>
      </c>
      <c r="H5" s="1883" t="s">
        <v>72</v>
      </c>
      <c r="I5" s="1883" t="s">
        <v>73</v>
      </c>
      <c r="J5" s="1883" t="s">
        <v>74</v>
      </c>
      <c r="K5" s="1883" t="s">
        <v>75</v>
      </c>
      <c r="L5" s="1883" t="s">
        <v>234</v>
      </c>
      <c r="M5" s="1883" t="s">
        <v>235</v>
      </c>
      <c r="N5" s="1883" t="s">
        <v>286</v>
      </c>
      <c r="O5" s="1883" t="s">
        <v>287</v>
      </c>
      <c r="P5" s="2087"/>
    </row>
    <row r="6" spans="1:16" ht="16.5">
      <c r="A6" s="1861">
        <v>1</v>
      </c>
      <c r="B6" s="1926" t="s">
        <v>7219</v>
      </c>
      <c r="C6" s="1906"/>
      <c r="D6" s="1906"/>
      <c r="E6" s="1906"/>
      <c r="F6" s="1906"/>
      <c r="G6" s="1906"/>
      <c r="H6" s="1906"/>
      <c r="I6" s="1906"/>
      <c r="J6" s="1906"/>
      <c r="K6" s="1906"/>
      <c r="L6" s="1906"/>
      <c r="M6" s="1906"/>
      <c r="N6" s="1906"/>
      <c r="O6" s="2086"/>
      <c r="P6" s="2087"/>
    </row>
    <row r="7" spans="1:16" ht="16.5">
      <c r="A7" s="1861">
        <v>2</v>
      </c>
      <c r="B7" s="1926" t="s">
        <v>7220</v>
      </c>
      <c r="C7" s="1906"/>
      <c r="D7" s="1906"/>
      <c r="E7" s="1906"/>
      <c r="F7" s="1906"/>
      <c r="G7" s="1906"/>
      <c r="H7" s="1906"/>
      <c r="I7" s="1906"/>
      <c r="J7" s="1906"/>
      <c r="K7" s="1906"/>
      <c r="L7" s="1906"/>
      <c r="M7" s="1906"/>
      <c r="N7" s="1906"/>
      <c r="O7" s="2086"/>
      <c r="P7" s="2087"/>
    </row>
    <row r="8" spans="1:16" ht="16.5">
      <c r="A8" s="1861">
        <v>3</v>
      </c>
      <c r="B8" s="1926" t="s">
        <v>7221</v>
      </c>
      <c r="C8" s="1906"/>
      <c r="D8" s="1906"/>
      <c r="E8" s="1906"/>
      <c r="F8" s="1906"/>
      <c r="G8" s="1906"/>
      <c r="H8" s="1906"/>
      <c r="I8" s="1906"/>
      <c r="J8" s="1906"/>
      <c r="K8" s="1906"/>
      <c r="L8" s="1906"/>
      <c r="M8" s="1906"/>
      <c r="N8" s="1906"/>
      <c r="O8" s="2086"/>
      <c r="P8" s="2087"/>
    </row>
    <row r="9" spans="1:16" ht="16.5">
      <c r="A9" s="1861">
        <v>4</v>
      </c>
      <c r="B9" s="1926" t="s">
        <v>7222</v>
      </c>
      <c r="C9" s="1906"/>
      <c r="D9" s="1906"/>
      <c r="E9" s="1906"/>
      <c r="F9" s="1906"/>
      <c r="G9" s="1906"/>
      <c r="H9" s="1906"/>
      <c r="I9" s="1906"/>
      <c r="J9" s="1906"/>
      <c r="K9" s="1906"/>
      <c r="L9" s="1906"/>
      <c r="M9" s="1906"/>
      <c r="N9" s="1906"/>
      <c r="O9" s="2086"/>
      <c r="P9" s="2087"/>
    </row>
    <row r="10" spans="1:16" ht="16.5">
      <c r="A10" s="1861">
        <v>5</v>
      </c>
      <c r="B10" s="1926" t="s">
        <v>4059</v>
      </c>
      <c r="C10" s="1906"/>
      <c r="D10" s="1906"/>
      <c r="E10" s="1906"/>
      <c r="F10" s="1906"/>
      <c r="G10" s="1906"/>
      <c r="H10" s="1906"/>
      <c r="I10" s="1906"/>
      <c r="J10" s="1906"/>
      <c r="K10" s="1906"/>
      <c r="L10" s="1906"/>
      <c r="M10" s="1906"/>
      <c r="N10" s="1906"/>
      <c r="O10" s="2086"/>
      <c r="P10" s="2087"/>
    </row>
    <row r="11" spans="1:16" ht="16.5">
      <c r="A11" s="1861">
        <v>6</v>
      </c>
      <c r="B11" s="1926" t="s">
        <v>7223</v>
      </c>
      <c r="C11" s="1906"/>
      <c r="D11" s="1906"/>
      <c r="E11" s="1906"/>
      <c r="F11" s="1906"/>
      <c r="G11" s="1906"/>
      <c r="H11" s="1906"/>
      <c r="I11" s="1906"/>
      <c r="J11" s="1906"/>
      <c r="K11" s="1906"/>
      <c r="L11" s="1906"/>
      <c r="M11" s="1906"/>
      <c r="N11" s="1906"/>
      <c r="O11" s="2086"/>
      <c r="P11" s="2087"/>
    </row>
    <row r="12" spans="1:16" ht="16.5">
      <c r="A12" s="1861">
        <v>7</v>
      </c>
      <c r="B12" s="1926" t="s">
        <v>7224</v>
      </c>
      <c r="C12" s="1906"/>
      <c r="D12" s="1906"/>
      <c r="E12" s="1906"/>
      <c r="F12" s="1906"/>
      <c r="G12" s="1906"/>
      <c r="H12" s="1906"/>
      <c r="I12" s="1906"/>
      <c r="J12" s="1906"/>
      <c r="K12" s="1906"/>
      <c r="L12" s="1906"/>
      <c r="M12" s="1906"/>
      <c r="N12" s="1906"/>
      <c r="O12" s="2086"/>
      <c r="P12" s="2087"/>
    </row>
    <row r="13" spans="1:16" ht="16.5">
      <c r="A13" s="1861">
        <v>8</v>
      </c>
      <c r="B13" s="1926" t="s">
        <v>7225</v>
      </c>
      <c r="C13" s="1906"/>
      <c r="D13" s="1906"/>
      <c r="E13" s="1906"/>
      <c r="F13" s="1906"/>
      <c r="G13" s="1906"/>
      <c r="H13" s="1906"/>
      <c r="I13" s="1906"/>
      <c r="J13" s="1906"/>
      <c r="K13" s="1906"/>
      <c r="L13" s="1906"/>
      <c r="M13" s="1906"/>
      <c r="N13" s="1906"/>
      <c r="O13" s="2086"/>
      <c r="P13" s="2087"/>
    </row>
    <row r="14" spans="1:16" ht="16.5">
      <c r="A14" s="1861">
        <v>9</v>
      </c>
      <c r="B14" s="1926" t="s">
        <v>4064</v>
      </c>
      <c r="C14" s="1906"/>
      <c r="D14" s="1906"/>
      <c r="E14" s="1906"/>
      <c r="F14" s="1906"/>
      <c r="G14" s="1906"/>
      <c r="H14" s="1906"/>
      <c r="I14" s="1906"/>
      <c r="J14" s="1906"/>
      <c r="K14" s="1906"/>
      <c r="L14" s="1906"/>
      <c r="M14" s="1906"/>
      <c r="N14" s="1906"/>
      <c r="O14" s="2086"/>
      <c r="P14" s="2087"/>
    </row>
    <row r="15" spans="1:16" ht="16.5">
      <c r="A15" s="1861">
        <v>10</v>
      </c>
      <c r="B15" s="1926" t="s">
        <v>7226</v>
      </c>
      <c r="C15" s="1906"/>
      <c r="D15" s="1906"/>
      <c r="E15" s="1906"/>
      <c r="F15" s="1906"/>
      <c r="G15" s="1906"/>
      <c r="H15" s="1906"/>
      <c r="I15" s="1906"/>
      <c r="J15" s="1906"/>
      <c r="K15" s="1906"/>
      <c r="L15" s="1906"/>
      <c r="M15" s="1906"/>
      <c r="N15" s="1906"/>
      <c r="O15" s="2086"/>
      <c r="P15" s="2087"/>
    </row>
    <row r="16" spans="1:16" ht="16.5">
      <c r="A16" s="1861">
        <v>11</v>
      </c>
      <c r="B16" s="1926" t="s">
        <v>4065</v>
      </c>
      <c r="C16" s="1906"/>
      <c r="D16" s="1906"/>
      <c r="E16" s="1906"/>
      <c r="F16" s="1906"/>
      <c r="G16" s="1906"/>
      <c r="H16" s="1906"/>
      <c r="I16" s="1906"/>
      <c r="J16" s="1906"/>
      <c r="K16" s="1906"/>
      <c r="L16" s="1906"/>
      <c r="M16" s="1906"/>
      <c r="N16" s="1906"/>
      <c r="O16" s="2086"/>
      <c r="P16" s="2087"/>
    </row>
    <row r="17" spans="1:16" ht="16.5">
      <c r="A17" s="1861">
        <v>12</v>
      </c>
      <c r="B17" s="1926" t="s">
        <v>7227</v>
      </c>
      <c r="C17" s="1906"/>
      <c r="D17" s="1906"/>
      <c r="E17" s="1906"/>
      <c r="F17" s="1906"/>
      <c r="G17" s="1906"/>
      <c r="H17" s="1906"/>
      <c r="I17" s="1906"/>
      <c r="J17" s="1906"/>
      <c r="K17" s="1906"/>
      <c r="L17" s="1906"/>
      <c r="M17" s="1906"/>
      <c r="N17" s="1906"/>
      <c r="O17" s="2086"/>
      <c r="P17" s="2087"/>
    </row>
    <row r="18" spans="1:16" ht="16.5">
      <c r="A18" s="1861">
        <v>13</v>
      </c>
      <c r="B18" s="1926" t="s">
        <v>4066</v>
      </c>
      <c r="C18" s="1906"/>
      <c r="D18" s="1906"/>
      <c r="E18" s="1906"/>
      <c r="F18" s="1906"/>
      <c r="G18" s="2090"/>
      <c r="H18" s="2090"/>
      <c r="I18" s="2090"/>
      <c r="J18" s="2090"/>
      <c r="K18" s="1906"/>
      <c r="L18" s="1906"/>
      <c r="M18" s="1906"/>
      <c r="N18" s="1906"/>
      <c r="O18" s="2086"/>
      <c r="P18" s="2087"/>
    </row>
    <row r="19" spans="1:16" ht="16.5">
      <c r="A19" s="1861">
        <v>14</v>
      </c>
      <c r="B19" s="1926" t="s">
        <v>4067</v>
      </c>
      <c r="C19" s="1906"/>
      <c r="D19" s="1906"/>
      <c r="E19" s="1906"/>
      <c r="F19" s="1906"/>
      <c r="G19" s="1906"/>
      <c r="H19" s="1906"/>
      <c r="I19" s="1906"/>
      <c r="J19" s="1906"/>
      <c r="K19" s="1906"/>
      <c r="L19" s="1906"/>
      <c r="M19" s="1906"/>
      <c r="N19" s="1906"/>
      <c r="O19" s="2086"/>
      <c r="P19" s="2087"/>
    </row>
    <row r="20" spans="1:16" s="2092" customFormat="1" ht="16.5">
      <c r="A20" s="2091" t="s">
        <v>2282</v>
      </c>
      <c r="B20" s="1926" t="s">
        <v>7228</v>
      </c>
      <c r="C20" s="1906"/>
      <c r="D20" s="1906"/>
      <c r="E20" s="1906"/>
      <c r="F20" s="1906"/>
      <c r="G20" s="2090"/>
      <c r="H20" s="2090"/>
      <c r="I20" s="2090"/>
      <c r="J20" s="2090"/>
      <c r="K20" s="1906"/>
      <c r="L20" s="1906"/>
      <c r="M20" s="1906"/>
      <c r="N20" s="1906"/>
      <c r="O20" s="2086"/>
      <c r="P20" s="1856"/>
    </row>
    <row r="21" spans="1:16" s="2092" customFormat="1" ht="33">
      <c r="A21" s="2091" t="s">
        <v>2283</v>
      </c>
      <c r="B21" s="1926" t="s">
        <v>7229</v>
      </c>
      <c r="C21" s="1906"/>
      <c r="D21" s="1906"/>
      <c r="E21" s="1906"/>
      <c r="F21" s="1906"/>
      <c r="G21" s="2090"/>
      <c r="H21" s="2090"/>
      <c r="I21" s="2090"/>
      <c r="J21" s="2090"/>
      <c r="K21" s="1906"/>
      <c r="L21" s="1906"/>
      <c r="M21" s="1906"/>
      <c r="N21" s="1906"/>
      <c r="O21" s="2086"/>
      <c r="P21" s="1856"/>
    </row>
    <row r="22" spans="1:16" ht="16.5">
      <c r="A22" s="2091" t="s">
        <v>2284</v>
      </c>
      <c r="B22" s="1930" t="s">
        <v>4060</v>
      </c>
      <c r="C22" s="1906"/>
      <c r="D22" s="1906"/>
      <c r="E22" s="1906"/>
      <c r="F22" s="1906"/>
      <c r="G22" s="2090"/>
      <c r="H22" s="2090"/>
      <c r="I22" s="2090"/>
      <c r="J22" s="2090"/>
      <c r="K22" s="1906"/>
      <c r="L22" s="1906"/>
      <c r="M22" s="1906"/>
      <c r="N22" s="1906"/>
      <c r="O22" s="2086"/>
      <c r="P22" s="2087"/>
    </row>
    <row r="23" spans="1:16" ht="16.5">
      <c r="A23" s="1861">
        <v>16</v>
      </c>
      <c r="B23" s="1930" t="s">
        <v>4068</v>
      </c>
      <c r="C23" s="1906"/>
      <c r="D23" s="1906"/>
      <c r="E23" s="1906"/>
      <c r="F23" s="1906"/>
      <c r="G23" s="1906"/>
      <c r="H23" s="1906"/>
      <c r="I23" s="1906"/>
      <c r="J23" s="1906"/>
      <c r="K23" s="1906"/>
      <c r="L23" s="1906"/>
      <c r="M23" s="1906"/>
      <c r="N23" s="1906"/>
      <c r="O23" s="2086"/>
      <c r="P23" s="2087"/>
    </row>
    <row r="24" spans="1:16" ht="16.5">
      <c r="A24" s="1861">
        <f t="shared" ref="A24:A32" si="0">A23+1</f>
        <v>17</v>
      </c>
      <c r="B24" s="1930" t="s">
        <v>7230</v>
      </c>
      <c r="C24" s="2090"/>
      <c r="D24" s="2090"/>
      <c r="E24" s="2090"/>
      <c r="F24" s="2090"/>
      <c r="G24" s="1906"/>
      <c r="H24" s="1906"/>
      <c r="I24" s="1906"/>
      <c r="J24" s="1906"/>
      <c r="K24" s="1906"/>
      <c r="L24" s="1906"/>
      <c r="M24" s="1906"/>
      <c r="N24" s="1906"/>
      <c r="O24" s="2086"/>
      <c r="P24" s="2087"/>
    </row>
    <row r="25" spans="1:16" ht="16.5">
      <c r="A25" s="1861">
        <f t="shared" si="0"/>
        <v>18</v>
      </c>
      <c r="B25" s="1930" t="s">
        <v>4057</v>
      </c>
      <c r="C25" s="2090"/>
      <c r="D25" s="2090"/>
      <c r="E25" s="2090"/>
      <c r="F25" s="2090"/>
      <c r="G25" s="1906"/>
      <c r="H25" s="1906"/>
      <c r="I25" s="1906"/>
      <c r="J25" s="1906"/>
      <c r="K25" s="1906"/>
      <c r="L25" s="1906"/>
      <c r="M25" s="1906"/>
      <c r="N25" s="1906"/>
      <c r="O25" s="2086"/>
      <c r="P25" s="2087"/>
    </row>
    <row r="26" spans="1:16" ht="16.5">
      <c r="A26" s="2093" t="s">
        <v>823</v>
      </c>
      <c r="B26" s="1930" t="s">
        <v>4061</v>
      </c>
      <c r="C26" s="2090"/>
      <c r="D26" s="2090"/>
      <c r="E26" s="2090"/>
      <c r="F26" s="2090"/>
      <c r="G26" s="1906"/>
      <c r="H26" s="1906"/>
      <c r="I26" s="1906"/>
      <c r="J26" s="1906"/>
      <c r="K26" s="1906"/>
      <c r="L26" s="1906"/>
      <c r="M26" s="1906"/>
      <c r="N26" s="1906"/>
      <c r="O26" s="2086"/>
      <c r="P26" s="2087"/>
    </row>
    <row r="27" spans="1:16" ht="16.5">
      <c r="A27" s="2093" t="s">
        <v>4069</v>
      </c>
      <c r="B27" s="1930" t="s">
        <v>4070</v>
      </c>
      <c r="C27" s="2090"/>
      <c r="D27" s="2090"/>
      <c r="E27" s="2090"/>
      <c r="F27" s="2090"/>
      <c r="G27" s="1906"/>
      <c r="H27" s="1906"/>
      <c r="I27" s="1906"/>
      <c r="J27" s="1906"/>
      <c r="K27" s="1906"/>
      <c r="L27" s="1906"/>
      <c r="M27" s="1906"/>
      <c r="N27" s="1906"/>
      <c r="O27" s="2086"/>
      <c r="P27" s="2087"/>
    </row>
    <row r="28" spans="1:16" ht="16.5">
      <c r="A28" s="2093" t="s">
        <v>4071</v>
      </c>
      <c r="B28" s="1930" t="s">
        <v>7231</v>
      </c>
      <c r="C28" s="2090"/>
      <c r="D28" s="2090"/>
      <c r="E28" s="2090"/>
      <c r="F28" s="2090"/>
      <c r="G28" s="1906"/>
      <c r="H28" s="1906"/>
      <c r="I28" s="1906"/>
      <c r="J28" s="1906"/>
      <c r="K28" s="1906"/>
      <c r="L28" s="1906"/>
      <c r="M28" s="1906"/>
      <c r="N28" s="1906"/>
      <c r="O28" s="2086"/>
      <c r="P28" s="2087"/>
    </row>
    <row r="29" spans="1:16" ht="16.5">
      <c r="A29" s="1861">
        <v>20</v>
      </c>
      <c r="B29" s="1930" t="s">
        <v>7232</v>
      </c>
      <c r="C29" s="2090"/>
      <c r="D29" s="2090"/>
      <c r="E29" s="2090"/>
      <c r="F29" s="2090"/>
      <c r="G29" s="1906"/>
      <c r="H29" s="1906"/>
      <c r="I29" s="1906"/>
      <c r="J29" s="1906"/>
      <c r="K29" s="1906"/>
      <c r="L29" s="1906"/>
      <c r="M29" s="1906"/>
      <c r="N29" s="1906"/>
      <c r="O29" s="2086"/>
      <c r="P29" s="2087"/>
    </row>
    <row r="30" spans="1:16" ht="16.5">
      <c r="A30" s="1861">
        <f t="shared" si="0"/>
        <v>21</v>
      </c>
      <c r="B30" s="1930" t="s">
        <v>7233</v>
      </c>
      <c r="C30" s="2090"/>
      <c r="D30" s="2090"/>
      <c r="E30" s="2090"/>
      <c r="F30" s="2090"/>
      <c r="G30" s="1906"/>
      <c r="H30" s="1906"/>
      <c r="I30" s="1906"/>
      <c r="J30" s="1906"/>
      <c r="K30" s="1906"/>
      <c r="L30" s="1906"/>
      <c r="M30" s="1906"/>
      <c r="N30" s="1906"/>
      <c r="O30" s="2086"/>
      <c r="P30" s="2087"/>
    </row>
    <row r="31" spans="1:16" ht="16.5">
      <c r="A31" s="1861">
        <f t="shared" si="0"/>
        <v>22</v>
      </c>
      <c r="B31" s="1930" t="s">
        <v>4072</v>
      </c>
      <c r="C31" s="1906"/>
      <c r="D31" s="1906"/>
      <c r="E31" s="1906"/>
      <c r="F31" s="1906"/>
      <c r="G31" s="1906"/>
      <c r="H31" s="1906"/>
      <c r="I31" s="1906"/>
      <c r="J31" s="1906"/>
      <c r="K31" s="1906"/>
      <c r="L31" s="1906"/>
      <c r="M31" s="1906"/>
      <c r="N31" s="1906"/>
      <c r="O31" s="2086"/>
      <c r="P31" s="2087"/>
    </row>
    <row r="32" spans="1:16" ht="16.5">
      <c r="A32" s="1861">
        <f t="shared" si="0"/>
        <v>23</v>
      </c>
      <c r="B32" s="1926" t="s">
        <v>4073</v>
      </c>
      <c r="C32" s="1906"/>
      <c r="D32" s="1906"/>
      <c r="E32" s="1906"/>
      <c r="F32" s="1906"/>
      <c r="G32" s="1906"/>
      <c r="H32" s="1906"/>
      <c r="I32" s="1906"/>
      <c r="J32" s="1906"/>
      <c r="K32" s="1906"/>
      <c r="L32" s="1906"/>
      <c r="M32" s="1906"/>
      <c r="N32" s="1906"/>
      <c r="O32" s="2086"/>
      <c r="P32" s="2087"/>
    </row>
    <row r="33" spans="1:16">
      <c r="A33" s="2094"/>
      <c r="B33" s="1857"/>
      <c r="C33" s="2062"/>
      <c r="D33" s="2062"/>
      <c r="E33" s="2062"/>
      <c r="F33" s="2062"/>
      <c r="G33" s="2062"/>
      <c r="H33" s="2062"/>
      <c r="I33" s="2062"/>
      <c r="J33" s="2062"/>
      <c r="K33" s="2062"/>
      <c r="L33" s="2062"/>
      <c r="M33" s="2062"/>
      <c r="N33" s="2062"/>
      <c r="O33" s="2062"/>
      <c r="P33" s="2087"/>
    </row>
    <row r="34" spans="1:16" ht="49.5">
      <c r="A34" s="2552" t="s">
        <v>4074</v>
      </c>
      <c r="B34" s="2212" t="s">
        <v>4063</v>
      </c>
      <c r="C34" s="2213" t="s">
        <v>3632</v>
      </c>
      <c r="D34" s="2213" t="s">
        <v>3857</v>
      </c>
      <c r="E34" s="2213" t="s">
        <v>3820</v>
      </c>
      <c r="F34" s="2213" t="s">
        <v>3821</v>
      </c>
      <c r="G34" s="2213" t="s">
        <v>4075</v>
      </c>
      <c r="H34" s="2062"/>
      <c r="I34" s="2062"/>
      <c r="J34" s="2062"/>
      <c r="K34" s="2062"/>
      <c r="L34" s="2062"/>
      <c r="M34" s="2062"/>
      <c r="N34" s="2062"/>
      <c r="O34" s="2062"/>
      <c r="P34" s="2087"/>
    </row>
    <row r="35" spans="1:16">
      <c r="A35" s="2552"/>
      <c r="B35" s="1860" t="s">
        <v>683</v>
      </c>
      <c r="C35" s="1883" t="s">
        <v>4076</v>
      </c>
      <c r="D35" s="1883" t="s">
        <v>290</v>
      </c>
      <c r="E35" s="1883" t="s">
        <v>138</v>
      </c>
      <c r="F35" s="1883" t="s">
        <v>139</v>
      </c>
      <c r="G35" s="1883" t="s">
        <v>207</v>
      </c>
      <c r="H35" s="2087"/>
      <c r="I35" s="2087"/>
      <c r="J35" s="2087"/>
      <c r="K35" s="2087"/>
      <c r="L35" s="2087"/>
      <c r="M35" s="2087"/>
      <c r="N35" s="2087"/>
      <c r="O35" s="2087"/>
      <c r="P35" s="2087"/>
    </row>
    <row r="36" spans="1:16" ht="16.5">
      <c r="A36" s="1861">
        <v>24</v>
      </c>
      <c r="B36" s="1926" t="s">
        <v>7234</v>
      </c>
      <c r="C36" s="1906"/>
      <c r="D36" s="1906"/>
      <c r="E36" s="1906"/>
      <c r="F36" s="1906"/>
      <c r="G36" s="1906"/>
    </row>
    <row r="37" spans="1:16" ht="16.5">
      <c r="A37" s="1861">
        <v>25</v>
      </c>
      <c r="B37" s="1929" t="s">
        <v>7235</v>
      </c>
      <c r="C37" s="1906"/>
      <c r="D37" s="1906"/>
      <c r="E37" s="1906"/>
      <c r="F37" s="1906"/>
      <c r="G37" s="1906"/>
    </row>
    <row r="38" spans="1:16" ht="16.5">
      <c r="A38" s="1861">
        <v>26</v>
      </c>
      <c r="B38" s="2482" t="s">
        <v>7236</v>
      </c>
      <c r="C38" s="1906"/>
      <c r="D38" s="1906"/>
      <c r="E38" s="1906"/>
      <c r="F38" s="1906"/>
      <c r="G38" s="1906"/>
    </row>
    <row r="39" spans="1:16" ht="16.5">
      <c r="A39" s="1861">
        <v>27</v>
      </c>
      <c r="B39" s="2482" t="s">
        <v>7237</v>
      </c>
      <c r="C39" s="1906"/>
      <c r="D39" s="1906"/>
      <c r="E39" s="1906"/>
      <c r="F39" s="1906"/>
      <c r="G39" s="2090"/>
    </row>
    <row r="40" spans="1:16" ht="16.5">
      <c r="A40" s="1861">
        <v>28</v>
      </c>
      <c r="B40" s="2482" t="s">
        <v>7238</v>
      </c>
      <c r="C40" s="1906"/>
      <c r="D40" s="1906"/>
      <c r="E40" s="1906"/>
      <c r="F40" s="1906"/>
      <c r="G40" s="1906"/>
    </row>
    <row r="41" spans="1:16" ht="16.5">
      <c r="A41" s="1861">
        <v>29</v>
      </c>
      <c r="B41" s="2482" t="s">
        <v>7239</v>
      </c>
      <c r="C41" s="1906"/>
      <c r="D41" s="1906"/>
      <c r="E41" s="1906"/>
      <c r="F41" s="1906"/>
      <c r="G41" s="2090"/>
    </row>
    <row r="42" spans="1:16" ht="16.5">
      <c r="A42" s="1861">
        <v>30</v>
      </c>
      <c r="B42" s="2482" t="s">
        <v>7240</v>
      </c>
      <c r="C42" s="1906"/>
      <c r="D42" s="1906"/>
      <c r="E42" s="1906"/>
      <c r="F42" s="1906"/>
      <c r="G42" s="2090"/>
    </row>
    <row r="43" spans="1:16" ht="16.5">
      <c r="A43" s="1861">
        <v>31</v>
      </c>
      <c r="B43" s="2482" t="s">
        <v>7241</v>
      </c>
      <c r="C43" s="1906"/>
      <c r="D43" s="1906"/>
      <c r="E43" s="1906"/>
      <c r="F43" s="1906"/>
      <c r="G43" s="2090"/>
    </row>
    <row r="44" spans="1:16" ht="16.5">
      <c r="A44" s="1861">
        <v>32</v>
      </c>
      <c r="B44" s="2482" t="s">
        <v>7242</v>
      </c>
      <c r="C44" s="1906"/>
      <c r="D44" s="1906"/>
      <c r="E44" s="1906"/>
      <c r="F44" s="1906"/>
      <c r="G44" s="2090"/>
    </row>
    <row r="45" spans="1:16" ht="16.5">
      <c r="A45" s="1861">
        <v>33</v>
      </c>
      <c r="B45" s="1929" t="s">
        <v>7243</v>
      </c>
      <c r="C45" s="1906"/>
      <c r="D45" s="1906"/>
      <c r="E45" s="1906"/>
      <c r="F45" s="1906"/>
      <c r="G45" s="1906"/>
    </row>
    <row r="46" spans="1:16" ht="16.5">
      <c r="A46" s="1861">
        <v>34</v>
      </c>
      <c r="B46" s="2482" t="s">
        <v>7244</v>
      </c>
      <c r="C46" s="1906"/>
      <c r="D46" s="1906"/>
      <c r="E46" s="1906"/>
      <c r="F46" s="1906"/>
      <c r="G46" s="1906"/>
    </row>
    <row r="47" spans="1:16" ht="16.5">
      <c r="A47" s="1861">
        <v>35</v>
      </c>
      <c r="B47" s="2482" t="s">
        <v>7237</v>
      </c>
      <c r="C47" s="1906"/>
      <c r="D47" s="1906"/>
      <c r="E47" s="1906"/>
      <c r="F47" s="1906"/>
      <c r="G47" s="2090"/>
    </row>
    <row r="48" spans="1:16" ht="16.5">
      <c r="A48" s="1861">
        <v>36</v>
      </c>
      <c r="B48" s="2482" t="s">
        <v>7238</v>
      </c>
      <c r="C48" s="1906"/>
      <c r="D48" s="1906"/>
      <c r="E48" s="1906"/>
      <c r="F48" s="1906"/>
      <c r="G48" s="1906"/>
    </row>
    <row r="49" spans="1:7" ht="16.5">
      <c r="A49" s="1861">
        <v>37</v>
      </c>
      <c r="B49" s="2482" t="s">
        <v>7239</v>
      </c>
      <c r="C49" s="1906"/>
      <c r="D49" s="1906"/>
      <c r="E49" s="1906"/>
      <c r="F49" s="1906"/>
      <c r="G49" s="2090"/>
    </row>
    <row r="50" spans="1:7" ht="16.5">
      <c r="A50" s="1861">
        <v>38</v>
      </c>
      <c r="B50" s="2482" t="s">
        <v>7240</v>
      </c>
      <c r="C50" s="1906"/>
      <c r="D50" s="1906"/>
      <c r="E50" s="1906"/>
      <c r="F50" s="1906"/>
      <c r="G50" s="2090"/>
    </row>
    <row r="51" spans="1:7" ht="16.5">
      <c r="A51" s="1861">
        <v>39</v>
      </c>
      <c r="B51" s="2482" t="s">
        <v>7241</v>
      </c>
      <c r="C51" s="1906"/>
      <c r="D51" s="1906"/>
      <c r="E51" s="1906"/>
      <c r="F51" s="1906"/>
      <c r="G51" s="2090"/>
    </row>
    <row r="52" spans="1:7" ht="16.5">
      <c r="A52" s="1861">
        <v>40</v>
      </c>
      <c r="B52" s="2482" t="s">
        <v>7242</v>
      </c>
      <c r="C52" s="1906"/>
      <c r="D52" s="1906"/>
      <c r="E52" s="1906"/>
      <c r="F52" s="1906"/>
      <c r="G52" s="2090"/>
    </row>
    <row r="53" spans="1:7" ht="16.5">
      <c r="A53" s="1861">
        <v>41</v>
      </c>
      <c r="B53" s="1926" t="s">
        <v>7245</v>
      </c>
      <c r="C53" s="1906"/>
      <c r="D53" s="1906"/>
      <c r="E53" s="1906"/>
      <c r="F53" s="1906"/>
      <c r="G53" s="1906"/>
    </row>
    <row r="54" spans="1:7" ht="16.5">
      <c r="A54" s="1861">
        <v>42</v>
      </c>
      <c r="B54" s="1929" t="s">
        <v>7246</v>
      </c>
      <c r="C54" s="1906"/>
      <c r="D54" s="1906"/>
      <c r="E54" s="1906"/>
      <c r="F54" s="1906"/>
      <c r="G54" s="1906"/>
    </row>
    <row r="55" spans="1:7" ht="16.5">
      <c r="A55" s="1861">
        <v>43</v>
      </c>
      <c r="B55" s="2482" t="s">
        <v>7236</v>
      </c>
      <c r="C55" s="1906"/>
      <c r="D55" s="1906"/>
      <c r="E55" s="1906"/>
      <c r="F55" s="1906"/>
      <c r="G55" s="1906"/>
    </row>
    <row r="56" spans="1:7" ht="16.5">
      <c r="A56" s="1861">
        <v>44</v>
      </c>
      <c r="B56" s="2482" t="s">
        <v>7237</v>
      </c>
      <c r="C56" s="1906"/>
      <c r="D56" s="1906"/>
      <c r="E56" s="1906"/>
      <c r="F56" s="1906"/>
      <c r="G56" s="2090"/>
    </row>
    <row r="57" spans="1:7" ht="16.5">
      <c r="A57" s="1861">
        <v>45</v>
      </c>
      <c r="B57" s="2482" t="s">
        <v>7227</v>
      </c>
      <c r="C57" s="1906"/>
      <c r="D57" s="1906"/>
      <c r="E57" s="1906"/>
      <c r="F57" s="1906"/>
      <c r="G57" s="1906"/>
    </row>
    <row r="58" spans="1:7" ht="16.5">
      <c r="A58" s="1861">
        <v>46</v>
      </c>
      <c r="B58" s="2482" t="s">
        <v>7239</v>
      </c>
      <c r="C58" s="2095"/>
      <c r="D58" s="2095"/>
      <c r="E58" s="2095"/>
      <c r="F58" s="2095"/>
      <c r="G58" s="2090"/>
    </row>
    <row r="59" spans="1:7" ht="16.5">
      <c r="A59" s="1861">
        <v>47</v>
      </c>
      <c r="B59" s="2482" t="s">
        <v>7240</v>
      </c>
      <c r="C59" s="1906"/>
      <c r="D59" s="1906"/>
      <c r="E59" s="1906"/>
      <c r="F59" s="1906"/>
      <c r="G59" s="2090"/>
    </row>
    <row r="60" spans="1:7" ht="16.5">
      <c r="A60" s="1861">
        <v>48</v>
      </c>
      <c r="B60" s="2482" t="s">
        <v>7241</v>
      </c>
      <c r="C60" s="1906"/>
      <c r="D60" s="1906"/>
      <c r="E60" s="1906"/>
      <c r="F60" s="1906"/>
      <c r="G60" s="2090"/>
    </row>
    <row r="61" spans="1:7" ht="16.5">
      <c r="A61" s="1861">
        <v>49</v>
      </c>
      <c r="B61" s="2482" t="s">
        <v>7242</v>
      </c>
      <c r="C61" s="1906"/>
      <c r="D61" s="1906"/>
      <c r="E61" s="1906"/>
      <c r="F61" s="1906"/>
      <c r="G61" s="2090"/>
    </row>
    <row r="62" spans="1:7" ht="16.5">
      <c r="A62" s="1861">
        <v>50</v>
      </c>
      <c r="B62" s="1929" t="s">
        <v>7247</v>
      </c>
      <c r="C62" s="2096"/>
      <c r="D62" s="2096"/>
      <c r="E62" s="2096"/>
      <c r="F62" s="2096"/>
      <c r="G62" s="2096"/>
    </row>
    <row r="63" spans="1:7" ht="16.5">
      <c r="A63" s="1861">
        <v>51</v>
      </c>
      <c r="B63" s="2482" t="s">
        <v>7236</v>
      </c>
      <c r="C63" s="2097"/>
      <c r="D63" s="2097"/>
      <c r="E63" s="2097"/>
      <c r="F63" s="2097"/>
      <c r="G63" s="1906"/>
    </row>
    <row r="64" spans="1:7" ht="16.5">
      <c r="A64" s="1861">
        <v>52</v>
      </c>
      <c r="B64" s="2482" t="s">
        <v>7237</v>
      </c>
      <c r="C64" s="2097"/>
      <c r="D64" s="2097"/>
      <c r="E64" s="2097"/>
      <c r="F64" s="2097"/>
      <c r="G64" s="2090"/>
    </row>
    <row r="65" spans="1:7" ht="16.5">
      <c r="A65" s="1861">
        <v>53</v>
      </c>
      <c r="B65" s="2482" t="s">
        <v>7238</v>
      </c>
      <c r="C65" s="2097"/>
      <c r="D65" s="2097"/>
      <c r="E65" s="2097"/>
      <c r="F65" s="2097"/>
      <c r="G65" s="1906"/>
    </row>
    <row r="66" spans="1:7" ht="16.5">
      <c r="A66" s="1861">
        <v>54</v>
      </c>
      <c r="B66" s="2482" t="s">
        <v>7239</v>
      </c>
      <c r="C66" s="2097"/>
      <c r="D66" s="2097"/>
      <c r="E66" s="2097"/>
      <c r="F66" s="2097"/>
      <c r="G66" s="2090"/>
    </row>
    <row r="67" spans="1:7" ht="16.5">
      <c r="A67" s="1861">
        <v>55</v>
      </c>
      <c r="B67" s="2482" t="s">
        <v>7240</v>
      </c>
      <c r="C67" s="1906"/>
      <c r="D67" s="1906"/>
      <c r="E67" s="1906"/>
      <c r="F67" s="1906"/>
      <c r="G67" s="2090"/>
    </row>
    <row r="68" spans="1:7" ht="16.5">
      <c r="A68" s="1861">
        <v>56</v>
      </c>
      <c r="B68" s="2482" t="s">
        <v>7241</v>
      </c>
      <c r="C68" s="1906"/>
      <c r="D68" s="1906"/>
      <c r="E68" s="1906"/>
      <c r="F68" s="1906"/>
      <c r="G68" s="2090"/>
    </row>
    <row r="69" spans="1:7" ht="16.5">
      <c r="A69" s="1861">
        <v>57</v>
      </c>
      <c r="B69" s="2482" t="s">
        <v>7242</v>
      </c>
      <c r="C69" s="1906"/>
      <c r="D69" s="1906"/>
      <c r="E69" s="1906"/>
      <c r="F69" s="1906"/>
      <c r="G69" s="2090"/>
    </row>
    <row r="70" spans="1:7">
      <c r="A70" s="2092"/>
      <c r="B70" s="2092"/>
      <c r="C70" s="2092"/>
      <c r="D70" s="2092"/>
      <c r="E70" s="2092"/>
      <c r="F70" s="2092"/>
      <c r="G70" s="2092"/>
    </row>
    <row r="71" spans="1:7" ht="16.5">
      <c r="A71" s="2049" t="s">
        <v>4077</v>
      </c>
      <c r="B71" s="2092"/>
      <c r="C71" s="2092"/>
      <c r="D71" s="2092"/>
      <c r="E71" s="2092"/>
      <c r="F71" s="2092"/>
      <c r="G71" s="2092"/>
    </row>
    <row r="72" spans="1:7" ht="16.5">
      <c r="A72" s="2098" t="s">
        <v>4078</v>
      </c>
      <c r="B72" s="1503" t="s">
        <v>4062</v>
      </c>
      <c r="C72" s="2092"/>
      <c r="D72" s="2092"/>
      <c r="E72" s="2092"/>
      <c r="F72" s="2092"/>
      <c r="G72" s="2092"/>
    </row>
    <row r="73" spans="1:7" ht="16.5">
      <c r="A73" s="2098" t="s">
        <v>76</v>
      </c>
      <c r="B73" s="1503" t="s">
        <v>4079</v>
      </c>
      <c r="C73" s="2092"/>
      <c r="D73" s="2092"/>
      <c r="E73" s="2092"/>
      <c r="F73" s="2092"/>
      <c r="G73" s="2092"/>
    </row>
    <row r="74" spans="1:7" ht="16.5">
      <c r="A74" s="2098" t="s">
        <v>77</v>
      </c>
      <c r="B74" s="1707" t="s">
        <v>6998</v>
      </c>
      <c r="C74" s="2092"/>
      <c r="D74" s="2092"/>
      <c r="E74" s="2092"/>
      <c r="F74" s="2092"/>
      <c r="G74" s="2092"/>
    </row>
    <row r="75" spans="1:7" ht="16.5">
      <c r="A75" s="2098" t="s">
        <v>78</v>
      </c>
      <c r="B75" s="1707" t="s">
        <v>6999</v>
      </c>
      <c r="C75" s="2092"/>
      <c r="D75" s="2092"/>
      <c r="E75" s="2092"/>
      <c r="F75" s="2092"/>
      <c r="G75" s="2092"/>
    </row>
    <row r="76" spans="1:7" ht="16.5">
      <c r="A76" s="2098" t="s">
        <v>79</v>
      </c>
      <c r="B76" s="1707" t="s">
        <v>7000</v>
      </c>
      <c r="C76" s="2092"/>
      <c r="D76" s="2092"/>
      <c r="E76" s="2092"/>
      <c r="F76" s="2092"/>
      <c r="G76" s="2092"/>
    </row>
    <row r="77" spans="1:7" ht="16.5">
      <c r="A77" s="2098" t="s">
        <v>80</v>
      </c>
      <c r="B77" s="1707" t="s">
        <v>7001</v>
      </c>
      <c r="C77" s="2092"/>
      <c r="D77" s="2092"/>
      <c r="E77" s="2092"/>
      <c r="F77" s="2092"/>
      <c r="G77" s="2092"/>
    </row>
    <row r="78" spans="1:7" ht="16.5">
      <c r="A78" s="2098">
        <v>7</v>
      </c>
      <c r="B78" s="1707" t="s">
        <v>7002</v>
      </c>
      <c r="C78" s="2092"/>
      <c r="D78" s="2092"/>
      <c r="E78" s="2092"/>
      <c r="F78" s="2092"/>
      <c r="G78" s="2092"/>
    </row>
    <row r="79" spans="1:7" ht="16.5">
      <c r="A79" s="2098">
        <v>8</v>
      </c>
      <c r="B79" s="1707" t="s">
        <v>7003</v>
      </c>
      <c r="C79" s="2092"/>
      <c r="D79" s="2092"/>
      <c r="E79" s="2092"/>
      <c r="F79" s="2092"/>
      <c r="G79" s="2092"/>
    </row>
    <row r="80" spans="1:7" ht="16.5">
      <c r="A80" s="2098">
        <v>9</v>
      </c>
      <c r="B80" s="1707" t="s">
        <v>7004</v>
      </c>
      <c r="C80" s="2092"/>
      <c r="D80" s="2092"/>
      <c r="E80" s="2092"/>
      <c r="F80" s="2092"/>
      <c r="G80" s="2092"/>
    </row>
    <row r="81" spans="1:7" ht="16.5">
      <c r="A81" s="2098">
        <v>10</v>
      </c>
      <c r="B81" s="1707" t="s">
        <v>7005</v>
      </c>
      <c r="C81" s="2092"/>
      <c r="D81" s="2092"/>
      <c r="E81" s="2092"/>
      <c r="F81" s="2092"/>
      <c r="G81" s="2092"/>
    </row>
  </sheetData>
  <mergeCells count="4">
    <mergeCell ref="O3:O4"/>
    <mergeCell ref="A34:A35"/>
    <mergeCell ref="A3:A5"/>
    <mergeCell ref="B3:B4"/>
  </mergeCells>
  <phoneticPr fontId="26" type="noConversion"/>
  <pageMargins left="0.7" right="0.7" top="0.75" bottom="0.75" header="0.3" footer="0.3"/>
  <pageSetup paperSize="9" scale="33"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U41"/>
  <sheetViews>
    <sheetView tabSelected="1" view="pageBreakPreview" topLeftCell="A19" zoomScale="110" zoomScaleNormal="100" zoomScaleSheetLayoutView="110" workbookViewId="0">
      <selection activeCell="F49" sqref="F49"/>
    </sheetView>
  </sheetViews>
  <sheetFormatPr defaultRowHeight="14.25" customHeight="1"/>
  <cols>
    <col min="1" max="1" width="5.125" style="757" customWidth="1"/>
    <col min="2" max="2" width="5.5" style="757" customWidth="1"/>
    <col min="3" max="3" width="44.5" style="757" customWidth="1"/>
    <col min="4" max="4" width="5.375" style="757" customWidth="1"/>
    <col min="5" max="5" width="10.625" style="757" customWidth="1"/>
    <col min="6" max="7" width="4.875" style="757" customWidth="1"/>
    <col min="8" max="8" width="11.5" style="757" customWidth="1"/>
    <col min="9" max="9" width="6.375" style="757" customWidth="1"/>
    <col min="10" max="10" width="6.25" style="757" customWidth="1"/>
    <col min="11" max="11" width="6.75" style="757" customWidth="1"/>
    <col min="12" max="12" width="5.625" style="757" customWidth="1"/>
    <col min="13" max="13" width="16" style="757" customWidth="1"/>
    <col min="14" max="14" width="14.375" style="757" customWidth="1"/>
    <col min="15" max="15" width="13.125" style="757" customWidth="1"/>
    <col min="16" max="16" width="12.625" style="757" customWidth="1"/>
    <col min="17" max="17" width="13.875" style="757" customWidth="1"/>
    <col min="18" max="18" width="6.75" style="757" customWidth="1"/>
    <col min="19" max="19" width="6.875" style="757" customWidth="1"/>
    <col min="20" max="20" width="8.625" style="757" customWidth="1"/>
    <col min="21" max="21" width="10.5" style="758" customWidth="1"/>
    <col min="22" max="22" width="7.125" style="758" customWidth="1"/>
    <col min="23" max="23" width="6.5" style="758" customWidth="1"/>
    <col min="24" max="24" width="9.25" style="758" customWidth="1"/>
    <col min="25" max="28" width="12.625" style="758" customWidth="1"/>
    <col min="29" max="29" width="15.125" style="758" customWidth="1"/>
    <col min="30" max="30" width="14.75" style="758" customWidth="1"/>
    <col min="31" max="31" width="12.625" style="758" customWidth="1"/>
    <col min="32" max="32" width="17.375" style="757" customWidth="1"/>
    <col min="33" max="16384" width="9" style="757"/>
  </cols>
  <sheetData>
    <row r="1" spans="1:255">
      <c r="A1" s="105" t="str">
        <f>表03!A1</f>
        <v xml:space="preserve"> 保險股份有限公司    年度(月)報表</v>
      </c>
      <c r="B1" s="756"/>
      <c r="C1" s="756"/>
      <c r="D1" s="756"/>
      <c r="E1" s="756"/>
      <c r="F1" s="756"/>
      <c r="G1" s="756"/>
      <c r="H1" s="756"/>
      <c r="I1" s="756"/>
      <c r="J1" s="756"/>
      <c r="K1" s="756"/>
      <c r="L1" s="756"/>
      <c r="M1" s="756"/>
      <c r="N1" s="756"/>
      <c r="O1" s="756"/>
      <c r="P1" s="756"/>
      <c r="Q1" s="756"/>
      <c r="R1" s="756"/>
      <c r="S1" s="756"/>
      <c r="T1" s="756"/>
      <c r="U1" s="756"/>
      <c r="V1" s="756"/>
      <c r="W1" s="756"/>
      <c r="X1" s="756"/>
      <c r="Y1" s="756"/>
      <c r="Z1" s="756"/>
      <c r="AA1" s="756"/>
      <c r="AB1" s="756"/>
      <c r="AC1" s="756"/>
      <c r="AD1" s="756"/>
      <c r="AE1" s="756"/>
      <c r="AF1" s="756"/>
    </row>
    <row r="2" spans="1:255">
      <c r="A2" s="756" t="s">
        <v>2358</v>
      </c>
      <c r="B2" s="756"/>
      <c r="C2" s="756"/>
      <c r="D2" s="756"/>
      <c r="E2" s="756"/>
      <c r="F2" s="756"/>
      <c r="G2" s="756"/>
      <c r="H2" s="756"/>
      <c r="I2" s="756"/>
      <c r="J2" s="756"/>
      <c r="K2" s="756"/>
      <c r="L2" s="756"/>
      <c r="M2" s="756"/>
      <c r="N2" s="756"/>
      <c r="O2" s="756"/>
      <c r="P2" s="756"/>
      <c r="Q2" s="756"/>
      <c r="R2" s="756" t="s">
        <v>1295</v>
      </c>
      <c r="S2" s="756"/>
      <c r="T2" s="756"/>
      <c r="U2" s="756"/>
      <c r="V2" s="756"/>
      <c r="W2" s="756"/>
      <c r="Z2" s="756"/>
      <c r="AA2" s="756"/>
      <c r="AB2" s="756"/>
      <c r="AC2" s="756"/>
      <c r="AD2" s="756"/>
      <c r="AE2" s="756"/>
      <c r="AF2" s="756"/>
    </row>
    <row r="3" spans="1:255" s="759" customFormat="1" ht="14.25" customHeight="1">
      <c r="A3" s="2612" t="s">
        <v>677</v>
      </c>
      <c r="B3" s="2601" t="s">
        <v>1296</v>
      </c>
      <c r="C3" s="2613" t="s">
        <v>1297</v>
      </c>
      <c r="D3" s="2602" t="s">
        <v>1298</v>
      </c>
      <c r="E3" s="2612" t="s">
        <v>1299</v>
      </c>
      <c r="F3" s="2601" t="s">
        <v>1300</v>
      </c>
      <c r="G3" s="2601" t="s">
        <v>1301</v>
      </c>
      <c r="H3" s="2601" t="s">
        <v>1302</v>
      </c>
      <c r="I3" s="2601" t="s">
        <v>1303</v>
      </c>
      <c r="J3" s="2601"/>
      <c r="K3" s="2615"/>
      <c r="L3" s="2601" t="s">
        <v>1304</v>
      </c>
      <c r="M3" s="2601" t="s">
        <v>1305</v>
      </c>
      <c r="N3" s="2601" t="s">
        <v>1306</v>
      </c>
      <c r="O3" s="2602" t="s">
        <v>2359</v>
      </c>
      <c r="P3" s="2602" t="s">
        <v>2360</v>
      </c>
      <c r="Q3" s="2601" t="s">
        <v>1288</v>
      </c>
      <c r="R3" s="2599" t="s">
        <v>1375</v>
      </c>
      <c r="S3" s="2600"/>
      <c r="T3" s="2601" t="s">
        <v>1289</v>
      </c>
      <c r="U3" s="2602" t="s">
        <v>6991</v>
      </c>
      <c r="V3" s="2602" t="s">
        <v>6992</v>
      </c>
      <c r="W3" s="2599" t="s">
        <v>1290</v>
      </c>
      <c r="X3" s="2604"/>
      <c r="Y3" s="2600"/>
      <c r="Z3" s="2599" t="s">
        <v>6993</v>
      </c>
      <c r="AA3" s="2604"/>
      <c r="AB3" s="2600"/>
      <c r="AC3" s="2605" t="s">
        <v>6994</v>
      </c>
      <c r="AD3" s="2599" t="s">
        <v>6995</v>
      </c>
      <c r="AE3" s="2604"/>
      <c r="AF3" s="2600"/>
      <c r="AG3" s="2605" t="s">
        <v>6996</v>
      </c>
      <c r="AH3" s="2605" t="s">
        <v>6997</v>
      </c>
      <c r="AI3" s="2605" t="s">
        <v>2361</v>
      </c>
      <c r="AJ3" s="2608"/>
      <c r="AK3" s="2607"/>
      <c r="AL3" s="2607"/>
      <c r="AM3" s="2607"/>
      <c r="AN3" s="2607"/>
      <c r="AO3" s="2607"/>
      <c r="AP3" s="2610"/>
      <c r="AQ3" s="2607"/>
      <c r="AR3" s="2607"/>
      <c r="AS3" s="2607"/>
      <c r="AT3" s="2607"/>
      <c r="AU3" s="2607"/>
      <c r="AV3" s="2607"/>
      <c r="AW3" s="2607"/>
      <c r="AX3" s="2608"/>
      <c r="AY3" s="2608"/>
      <c r="AZ3" s="2608"/>
      <c r="BA3" s="2608"/>
      <c r="BB3" s="2608"/>
      <c r="BC3" s="2608"/>
      <c r="BD3" s="2608"/>
      <c r="BE3" s="2608"/>
      <c r="BF3" s="2608"/>
      <c r="BG3" s="2608"/>
      <c r="BH3" s="2608"/>
      <c r="BI3" s="2608"/>
      <c r="BJ3" s="2608"/>
      <c r="BK3" s="2607"/>
      <c r="BL3" s="2608"/>
      <c r="BM3" s="2607"/>
      <c r="BN3" s="2607"/>
      <c r="BO3" s="2607"/>
      <c r="BP3" s="2608"/>
      <c r="BQ3" s="2607"/>
      <c r="BR3" s="2607"/>
      <c r="BS3" s="2607"/>
      <c r="BT3" s="2607"/>
      <c r="BU3" s="2607"/>
      <c r="BV3" s="2610"/>
      <c r="BW3" s="2607"/>
      <c r="BX3" s="2607"/>
      <c r="BY3" s="2607"/>
      <c r="BZ3" s="2607"/>
      <c r="CA3" s="2607"/>
      <c r="CB3" s="2607"/>
      <c r="CC3" s="2607"/>
      <c r="CD3" s="2608"/>
      <c r="CE3" s="2608"/>
      <c r="CF3" s="2608"/>
      <c r="CG3" s="2608"/>
      <c r="CH3" s="2608"/>
      <c r="CI3" s="2608"/>
      <c r="CJ3" s="2608"/>
      <c r="CK3" s="2608"/>
      <c r="CL3" s="2608"/>
      <c r="CM3" s="2608"/>
      <c r="CN3" s="2608"/>
      <c r="CO3" s="2608"/>
      <c r="CP3" s="2608"/>
      <c r="CQ3" s="2607"/>
      <c r="CR3" s="2608"/>
      <c r="CS3" s="2607"/>
      <c r="CT3" s="2607"/>
      <c r="CU3" s="2607"/>
      <c r="CV3" s="2608"/>
      <c r="CW3" s="2607"/>
      <c r="CX3" s="2607"/>
      <c r="CY3" s="2607"/>
      <c r="CZ3" s="2607"/>
      <c r="DA3" s="2607"/>
      <c r="DB3" s="2610"/>
      <c r="DC3" s="2607"/>
      <c r="DD3" s="2607"/>
      <c r="DE3" s="2607"/>
      <c r="DF3" s="2607"/>
      <c r="DG3" s="2607"/>
      <c r="DH3" s="2607"/>
      <c r="DI3" s="2607"/>
      <c r="DJ3" s="2608"/>
      <c r="DK3" s="2608"/>
      <c r="DL3" s="2608"/>
      <c r="DM3" s="2608"/>
      <c r="DN3" s="2608"/>
      <c r="DO3" s="2608"/>
      <c r="DP3" s="2608"/>
      <c r="DQ3" s="2608"/>
      <c r="DR3" s="2608"/>
      <c r="DS3" s="2608"/>
      <c r="DT3" s="2608"/>
      <c r="DU3" s="2608"/>
      <c r="DV3" s="2608"/>
      <c r="DW3" s="2607"/>
      <c r="DX3" s="2608"/>
      <c r="DY3" s="2607"/>
      <c r="DZ3" s="2607"/>
      <c r="EA3" s="2607"/>
      <c r="EB3" s="2608"/>
      <c r="EC3" s="2607"/>
      <c r="ED3" s="2607"/>
      <c r="EE3" s="2607"/>
      <c r="EF3" s="2607"/>
      <c r="EG3" s="2607"/>
      <c r="EH3" s="2610"/>
      <c r="EI3" s="2607"/>
      <c r="EJ3" s="2607"/>
      <c r="EK3" s="2607"/>
      <c r="EL3" s="2607"/>
      <c r="EM3" s="2607"/>
      <c r="EN3" s="2607"/>
      <c r="EO3" s="2607"/>
      <c r="EP3" s="2608"/>
      <c r="EQ3" s="2608"/>
      <c r="ER3" s="2608"/>
      <c r="ES3" s="2608"/>
      <c r="ET3" s="2608"/>
      <c r="EU3" s="2608"/>
      <c r="EV3" s="2608"/>
      <c r="EW3" s="2608"/>
      <c r="EX3" s="2608"/>
      <c r="EY3" s="2608"/>
      <c r="EZ3" s="2608"/>
      <c r="FA3" s="2608"/>
      <c r="FB3" s="2608"/>
      <c r="FC3" s="2607"/>
      <c r="FD3" s="2608"/>
      <c r="FE3" s="2607"/>
      <c r="FF3" s="2607"/>
      <c r="FG3" s="2607"/>
      <c r="FH3" s="2608"/>
      <c r="FI3" s="2607"/>
      <c r="FJ3" s="2607"/>
      <c r="FK3" s="2607"/>
      <c r="FL3" s="2607"/>
      <c r="FM3" s="2607"/>
      <c r="FN3" s="2610"/>
      <c r="FO3" s="2607"/>
      <c r="FP3" s="2607"/>
      <c r="FQ3" s="2607"/>
      <c r="FR3" s="2607"/>
      <c r="FS3" s="2607"/>
      <c r="FT3" s="2607"/>
      <c r="FU3" s="2607"/>
      <c r="FV3" s="2608"/>
      <c r="FW3" s="2608"/>
      <c r="FX3" s="2608"/>
      <c r="FY3" s="2608"/>
      <c r="FZ3" s="2608"/>
      <c r="GA3" s="2608"/>
      <c r="GB3" s="2608"/>
      <c r="GC3" s="2608"/>
      <c r="GD3" s="2608"/>
      <c r="GE3" s="2608"/>
      <c r="GF3" s="2608"/>
      <c r="GG3" s="2608"/>
      <c r="GH3" s="2608"/>
      <c r="GI3" s="2607"/>
      <c r="GJ3" s="2608"/>
      <c r="GK3" s="2607"/>
      <c r="GL3" s="2607"/>
      <c r="GM3" s="2607"/>
      <c r="GN3" s="2608"/>
      <c r="GO3" s="2607"/>
      <c r="GP3" s="2607"/>
      <c r="GQ3" s="2607"/>
      <c r="GR3" s="2607"/>
      <c r="GS3" s="2607"/>
      <c r="GT3" s="2610"/>
      <c r="GU3" s="2607"/>
      <c r="GV3" s="2607"/>
      <c r="GW3" s="2607"/>
      <c r="GX3" s="2607"/>
      <c r="GY3" s="2607"/>
      <c r="GZ3" s="2607"/>
      <c r="HA3" s="2607"/>
      <c r="HB3" s="2608"/>
      <c r="HC3" s="2608"/>
      <c r="HD3" s="2608"/>
      <c r="HE3" s="2608"/>
      <c r="HF3" s="2608"/>
      <c r="HG3" s="2608"/>
      <c r="HH3" s="2608"/>
      <c r="HI3" s="2608"/>
      <c r="HJ3" s="2608"/>
      <c r="HK3" s="2608"/>
      <c r="HL3" s="2608"/>
      <c r="HM3" s="2608"/>
      <c r="HN3" s="2608"/>
      <c r="HO3" s="2607"/>
      <c r="HP3" s="2608"/>
      <c r="HQ3" s="2607"/>
      <c r="HR3" s="2607"/>
      <c r="HS3" s="2607"/>
      <c r="HT3" s="2608"/>
      <c r="HU3" s="2607"/>
      <c r="HV3" s="2607"/>
      <c r="HW3" s="2607"/>
      <c r="HX3" s="2607"/>
      <c r="HY3" s="2607"/>
      <c r="HZ3" s="2610"/>
      <c r="IA3" s="2607"/>
      <c r="IB3" s="2607"/>
      <c r="IC3" s="2607"/>
      <c r="ID3" s="2607"/>
      <c r="IE3" s="2607"/>
      <c r="IF3" s="2607"/>
      <c r="IG3" s="2607"/>
      <c r="IH3" s="2608"/>
      <c r="II3" s="2608"/>
      <c r="IJ3" s="2608"/>
      <c r="IK3" s="2608"/>
      <c r="IL3" s="2608"/>
      <c r="IM3" s="2608"/>
      <c r="IN3" s="2608"/>
      <c r="IO3" s="2608"/>
      <c r="IP3" s="2608"/>
      <c r="IQ3" s="2608"/>
      <c r="IR3" s="2608"/>
      <c r="IS3" s="2608"/>
      <c r="IT3" s="2608"/>
      <c r="IU3" s="2607"/>
    </row>
    <row r="4" spans="1:255" s="759" customFormat="1" ht="85.5">
      <c r="A4" s="2612"/>
      <c r="B4" s="2602"/>
      <c r="C4" s="2614"/>
      <c r="D4" s="2603"/>
      <c r="E4" s="2605"/>
      <c r="F4" s="2602"/>
      <c r="G4" s="2602"/>
      <c r="H4" s="2602" t="s">
        <v>1307</v>
      </c>
      <c r="I4" s="2224" t="s">
        <v>1292</v>
      </c>
      <c r="J4" s="2224" t="s">
        <v>1293</v>
      </c>
      <c r="K4" s="2224" t="s">
        <v>1308</v>
      </c>
      <c r="L4" s="2602"/>
      <c r="M4" s="2602"/>
      <c r="N4" s="2602"/>
      <c r="O4" s="2603"/>
      <c r="P4" s="2603"/>
      <c r="Q4" s="2602"/>
      <c r="R4" s="2224" t="s">
        <v>1376</v>
      </c>
      <c r="S4" s="2224" t="s">
        <v>1377</v>
      </c>
      <c r="T4" s="2602"/>
      <c r="U4" s="2603"/>
      <c r="V4" s="2603"/>
      <c r="W4" s="755" t="s">
        <v>1292</v>
      </c>
      <c r="X4" s="2225" t="s">
        <v>1293</v>
      </c>
      <c r="Y4" s="2225" t="s">
        <v>1294</v>
      </c>
      <c r="Z4" s="755" t="s">
        <v>1292</v>
      </c>
      <c r="AA4" s="2225" t="s">
        <v>1293</v>
      </c>
      <c r="AB4" s="2225" t="s">
        <v>1294</v>
      </c>
      <c r="AC4" s="2606"/>
      <c r="AD4" s="755" t="s">
        <v>1292</v>
      </c>
      <c r="AE4" s="2225" t="s">
        <v>1293</v>
      </c>
      <c r="AF4" s="2225" t="s">
        <v>1294</v>
      </c>
      <c r="AG4" s="2611"/>
      <c r="AH4" s="2606"/>
      <c r="AI4" s="2606"/>
      <c r="AJ4" s="2608"/>
      <c r="AK4" s="2607"/>
      <c r="AL4" s="2607"/>
      <c r="AM4" s="2607"/>
      <c r="AN4" s="2223"/>
      <c r="AO4" s="2223"/>
      <c r="AP4" s="2223"/>
      <c r="AQ4" s="2607"/>
      <c r="AR4" s="2607"/>
      <c r="AS4" s="2607"/>
      <c r="AT4" s="2607"/>
      <c r="AU4" s="2607"/>
      <c r="AV4" s="2607"/>
      <c r="AW4" s="2607"/>
      <c r="AX4" s="760"/>
      <c r="AY4" s="2223"/>
      <c r="AZ4" s="2223"/>
      <c r="BA4" s="760"/>
      <c r="BB4" s="2223"/>
      <c r="BC4" s="2223"/>
      <c r="BD4" s="2609"/>
      <c r="BE4" s="760"/>
      <c r="BF4" s="2223"/>
      <c r="BG4" s="2223"/>
      <c r="BH4" s="2608"/>
      <c r="BI4" s="2609"/>
      <c r="BJ4" s="2609"/>
      <c r="BK4" s="2607"/>
      <c r="BL4" s="2608"/>
      <c r="BM4" s="2607"/>
      <c r="BN4" s="2607"/>
      <c r="BO4" s="2607"/>
      <c r="BP4" s="2608"/>
      <c r="BQ4" s="2607"/>
      <c r="BR4" s="2607"/>
      <c r="BS4" s="2607"/>
      <c r="BT4" s="2223"/>
      <c r="BU4" s="2223"/>
      <c r="BV4" s="2223"/>
      <c r="BW4" s="2607"/>
      <c r="BX4" s="2607"/>
      <c r="BY4" s="2607"/>
      <c r="BZ4" s="2607"/>
      <c r="CA4" s="2607"/>
      <c r="CB4" s="2607"/>
      <c r="CC4" s="2607"/>
      <c r="CD4" s="760"/>
      <c r="CE4" s="2223"/>
      <c r="CF4" s="2223"/>
      <c r="CG4" s="760"/>
      <c r="CH4" s="2223"/>
      <c r="CI4" s="2223"/>
      <c r="CJ4" s="2609"/>
      <c r="CK4" s="760"/>
      <c r="CL4" s="2223"/>
      <c r="CM4" s="2223"/>
      <c r="CN4" s="2608"/>
      <c r="CO4" s="2609"/>
      <c r="CP4" s="2609"/>
      <c r="CQ4" s="2607"/>
      <c r="CR4" s="2608"/>
      <c r="CS4" s="2607"/>
      <c r="CT4" s="2607"/>
      <c r="CU4" s="2607"/>
      <c r="CV4" s="2608"/>
      <c r="CW4" s="2607"/>
      <c r="CX4" s="2607"/>
      <c r="CY4" s="2607"/>
      <c r="CZ4" s="2223"/>
      <c r="DA4" s="2223"/>
      <c r="DB4" s="2223"/>
      <c r="DC4" s="2607"/>
      <c r="DD4" s="2607"/>
      <c r="DE4" s="2607"/>
      <c r="DF4" s="2607"/>
      <c r="DG4" s="2607"/>
      <c r="DH4" s="2607"/>
      <c r="DI4" s="2607"/>
      <c r="DJ4" s="760"/>
      <c r="DK4" s="2223"/>
      <c r="DL4" s="2223"/>
      <c r="DM4" s="760"/>
      <c r="DN4" s="2223"/>
      <c r="DO4" s="2223"/>
      <c r="DP4" s="2609"/>
      <c r="DQ4" s="760"/>
      <c r="DR4" s="2223"/>
      <c r="DS4" s="2223"/>
      <c r="DT4" s="2608"/>
      <c r="DU4" s="2609"/>
      <c r="DV4" s="2609"/>
      <c r="DW4" s="2607"/>
      <c r="DX4" s="2608"/>
      <c r="DY4" s="2607"/>
      <c r="DZ4" s="2607"/>
      <c r="EA4" s="2607"/>
      <c r="EB4" s="2608"/>
      <c r="EC4" s="2607"/>
      <c r="ED4" s="2607"/>
      <c r="EE4" s="2607"/>
      <c r="EF4" s="2223"/>
      <c r="EG4" s="2223"/>
      <c r="EH4" s="2223"/>
      <c r="EI4" s="2607"/>
      <c r="EJ4" s="2607"/>
      <c r="EK4" s="2607"/>
      <c r="EL4" s="2607"/>
      <c r="EM4" s="2607"/>
      <c r="EN4" s="2607"/>
      <c r="EO4" s="2607"/>
      <c r="EP4" s="760"/>
      <c r="EQ4" s="2223"/>
      <c r="ER4" s="2223"/>
      <c r="ES4" s="760"/>
      <c r="ET4" s="2223"/>
      <c r="EU4" s="2223"/>
      <c r="EV4" s="2609"/>
      <c r="EW4" s="760"/>
      <c r="EX4" s="2223"/>
      <c r="EY4" s="2223"/>
      <c r="EZ4" s="2608"/>
      <c r="FA4" s="2609"/>
      <c r="FB4" s="2609"/>
      <c r="FC4" s="2607"/>
      <c r="FD4" s="2608"/>
      <c r="FE4" s="2607"/>
      <c r="FF4" s="2607"/>
      <c r="FG4" s="2607"/>
      <c r="FH4" s="2608"/>
      <c r="FI4" s="2607"/>
      <c r="FJ4" s="2607"/>
      <c r="FK4" s="2607"/>
      <c r="FL4" s="2223"/>
      <c r="FM4" s="2223"/>
      <c r="FN4" s="2223"/>
      <c r="FO4" s="2607"/>
      <c r="FP4" s="2607"/>
      <c r="FQ4" s="2607"/>
      <c r="FR4" s="2607"/>
      <c r="FS4" s="2607"/>
      <c r="FT4" s="2607"/>
      <c r="FU4" s="2607"/>
      <c r="FV4" s="760"/>
      <c r="FW4" s="2223"/>
      <c r="FX4" s="2223"/>
      <c r="FY4" s="760"/>
      <c r="FZ4" s="2223"/>
      <c r="GA4" s="2223"/>
      <c r="GB4" s="2609"/>
      <c r="GC4" s="760"/>
      <c r="GD4" s="2223"/>
      <c r="GE4" s="2223"/>
      <c r="GF4" s="2608"/>
      <c r="GG4" s="2609"/>
      <c r="GH4" s="2609"/>
      <c r="GI4" s="2607"/>
      <c r="GJ4" s="2608"/>
      <c r="GK4" s="2607"/>
      <c r="GL4" s="2607"/>
      <c r="GM4" s="2607"/>
      <c r="GN4" s="2608"/>
      <c r="GO4" s="2607"/>
      <c r="GP4" s="2607"/>
      <c r="GQ4" s="2607"/>
      <c r="GR4" s="2223"/>
      <c r="GS4" s="2223"/>
      <c r="GT4" s="2223"/>
      <c r="GU4" s="2607"/>
      <c r="GV4" s="2607"/>
      <c r="GW4" s="2607"/>
      <c r="GX4" s="2607"/>
      <c r="GY4" s="2607"/>
      <c r="GZ4" s="2607"/>
      <c r="HA4" s="2607"/>
      <c r="HB4" s="760"/>
      <c r="HC4" s="2223"/>
      <c r="HD4" s="2223"/>
      <c r="HE4" s="760"/>
      <c r="HF4" s="2223"/>
      <c r="HG4" s="2223"/>
      <c r="HH4" s="2609"/>
      <c r="HI4" s="760"/>
      <c r="HJ4" s="2223"/>
      <c r="HK4" s="2223"/>
      <c r="HL4" s="2608"/>
      <c r="HM4" s="2609"/>
      <c r="HN4" s="2609"/>
      <c r="HO4" s="2607"/>
      <c r="HP4" s="2608"/>
      <c r="HQ4" s="2607"/>
      <c r="HR4" s="2607"/>
      <c r="HS4" s="2607"/>
      <c r="HT4" s="2608"/>
      <c r="HU4" s="2607"/>
      <c r="HV4" s="2607"/>
      <c r="HW4" s="2607"/>
      <c r="HX4" s="2223"/>
      <c r="HY4" s="2223"/>
      <c r="HZ4" s="2223"/>
      <c r="IA4" s="2607"/>
      <c r="IB4" s="2607"/>
      <c r="IC4" s="2607"/>
      <c r="ID4" s="2607"/>
      <c r="IE4" s="2607"/>
      <c r="IF4" s="2607"/>
      <c r="IG4" s="2607"/>
      <c r="IH4" s="760"/>
      <c r="II4" s="2223"/>
      <c r="IJ4" s="2223"/>
      <c r="IK4" s="760"/>
      <c r="IL4" s="2223"/>
      <c r="IM4" s="2223"/>
      <c r="IN4" s="2609"/>
      <c r="IO4" s="760"/>
      <c r="IP4" s="2223"/>
      <c r="IQ4" s="2223"/>
      <c r="IR4" s="2608"/>
      <c r="IS4" s="2609"/>
      <c r="IT4" s="2609"/>
      <c r="IU4" s="2607"/>
    </row>
    <row r="5" spans="1:255" s="759" customFormat="1" ht="62.25" customHeight="1">
      <c r="A5" s="2612"/>
      <c r="B5" s="761" t="s">
        <v>66</v>
      </c>
      <c r="C5" s="761" t="s">
        <v>67</v>
      </c>
      <c r="D5" s="761" t="s">
        <v>68</v>
      </c>
      <c r="E5" s="761" t="s">
        <v>69</v>
      </c>
      <c r="F5" s="761" t="s">
        <v>70</v>
      </c>
      <c r="G5" s="761" t="s">
        <v>71</v>
      </c>
      <c r="H5" s="761" t="s">
        <v>72</v>
      </c>
      <c r="I5" s="761" t="s">
        <v>73</v>
      </c>
      <c r="J5" s="761" t="s">
        <v>74</v>
      </c>
      <c r="K5" s="761" t="s">
        <v>75</v>
      </c>
      <c r="L5" s="761" t="s">
        <v>234</v>
      </c>
      <c r="M5" s="761" t="s">
        <v>235</v>
      </c>
      <c r="N5" s="761" t="s">
        <v>286</v>
      </c>
      <c r="O5" s="761" t="s">
        <v>287</v>
      </c>
      <c r="P5" s="761" t="s">
        <v>288</v>
      </c>
      <c r="Q5" s="761" t="s">
        <v>289</v>
      </c>
      <c r="R5" s="761" t="s">
        <v>290</v>
      </c>
      <c r="S5" s="761" t="s">
        <v>1335</v>
      </c>
      <c r="T5" s="761" t="s">
        <v>1336</v>
      </c>
      <c r="U5" s="761" t="s">
        <v>1337</v>
      </c>
      <c r="V5" s="761" t="s">
        <v>1338</v>
      </c>
      <c r="W5" s="761" t="s">
        <v>1339</v>
      </c>
      <c r="X5" s="761" t="s">
        <v>1340</v>
      </c>
      <c r="Y5" s="761" t="s">
        <v>254</v>
      </c>
      <c r="Z5" s="761" t="s">
        <v>255</v>
      </c>
      <c r="AA5" s="761" t="s">
        <v>256</v>
      </c>
      <c r="AB5" s="761" t="s">
        <v>257</v>
      </c>
      <c r="AC5" s="761" t="s">
        <v>258</v>
      </c>
      <c r="AD5" s="761" t="s">
        <v>259</v>
      </c>
      <c r="AE5" s="761" t="s">
        <v>260</v>
      </c>
      <c r="AF5" s="761" t="s">
        <v>1341</v>
      </c>
      <c r="AG5" s="761" t="s">
        <v>1342</v>
      </c>
      <c r="AH5" s="761" t="s">
        <v>1645</v>
      </c>
      <c r="AI5" s="761" t="s">
        <v>1343</v>
      </c>
      <c r="AJ5" s="762"/>
      <c r="AK5" s="762"/>
      <c r="AL5" s="762"/>
      <c r="AM5" s="762"/>
      <c r="AN5" s="762"/>
      <c r="AO5" s="762"/>
      <c r="AP5" s="762"/>
      <c r="AQ5" s="762"/>
      <c r="AR5" s="762"/>
      <c r="AS5" s="762"/>
      <c r="AT5" s="762"/>
      <c r="AU5" s="762"/>
      <c r="AV5" s="762"/>
      <c r="AW5" s="762"/>
      <c r="AX5" s="762"/>
      <c r="AY5" s="762"/>
      <c r="AZ5" s="762"/>
      <c r="BA5" s="762"/>
      <c r="BB5" s="762"/>
      <c r="BC5" s="762"/>
      <c r="BD5" s="762"/>
      <c r="BE5" s="762"/>
      <c r="BF5" s="762"/>
      <c r="BG5" s="762"/>
      <c r="BH5" s="762"/>
      <c r="BI5" s="762"/>
      <c r="BJ5" s="762"/>
      <c r="BK5" s="762"/>
      <c r="BL5" s="2608"/>
      <c r="BM5" s="762"/>
      <c r="BN5" s="762"/>
      <c r="BO5" s="762"/>
      <c r="BP5" s="762"/>
      <c r="BQ5" s="762"/>
      <c r="BR5" s="762"/>
      <c r="BS5" s="762"/>
      <c r="BT5" s="762"/>
      <c r="BU5" s="762"/>
      <c r="BV5" s="762"/>
      <c r="BW5" s="762"/>
      <c r="BX5" s="762"/>
      <c r="BY5" s="762"/>
      <c r="BZ5" s="762"/>
      <c r="CA5" s="762"/>
      <c r="CB5" s="762"/>
      <c r="CC5" s="762"/>
      <c r="CD5" s="762"/>
      <c r="CE5" s="762"/>
      <c r="CF5" s="762"/>
      <c r="CG5" s="762"/>
      <c r="CH5" s="762"/>
      <c r="CI5" s="762"/>
      <c r="CJ5" s="762"/>
      <c r="CK5" s="762"/>
      <c r="CL5" s="762"/>
      <c r="CM5" s="762"/>
      <c r="CN5" s="762"/>
      <c r="CO5" s="762"/>
      <c r="CP5" s="762"/>
      <c r="CQ5" s="762"/>
      <c r="CR5" s="2608"/>
      <c r="CS5" s="762"/>
      <c r="CT5" s="762"/>
      <c r="CU5" s="762"/>
      <c r="CV5" s="762"/>
      <c r="CW5" s="762"/>
      <c r="CX5" s="762"/>
      <c r="CY5" s="762"/>
      <c r="CZ5" s="762"/>
      <c r="DA5" s="762"/>
      <c r="DB5" s="762"/>
      <c r="DC5" s="762"/>
      <c r="DD5" s="762"/>
      <c r="DE5" s="762"/>
      <c r="DF5" s="762"/>
      <c r="DG5" s="762"/>
      <c r="DH5" s="762"/>
      <c r="DI5" s="762"/>
      <c r="DJ5" s="762"/>
      <c r="DK5" s="762"/>
      <c r="DL5" s="762"/>
      <c r="DM5" s="762"/>
      <c r="DN5" s="762"/>
      <c r="DO5" s="762"/>
      <c r="DP5" s="762"/>
      <c r="DQ5" s="762"/>
      <c r="DR5" s="762"/>
      <c r="DS5" s="762"/>
      <c r="DT5" s="762"/>
      <c r="DU5" s="762"/>
      <c r="DV5" s="762"/>
      <c r="DW5" s="762"/>
      <c r="DX5" s="2608"/>
      <c r="DY5" s="762"/>
      <c r="DZ5" s="762"/>
      <c r="EA5" s="762"/>
      <c r="EB5" s="762"/>
      <c r="EC5" s="762"/>
      <c r="ED5" s="762"/>
      <c r="EE5" s="762"/>
      <c r="EF5" s="762"/>
      <c r="EG5" s="762"/>
      <c r="EH5" s="762"/>
      <c r="EI5" s="762"/>
      <c r="EJ5" s="762"/>
      <c r="EK5" s="762"/>
      <c r="EL5" s="762"/>
      <c r="EM5" s="762"/>
      <c r="EN5" s="762"/>
      <c r="EO5" s="762"/>
      <c r="EP5" s="762"/>
      <c r="EQ5" s="762"/>
      <c r="ER5" s="762"/>
      <c r="ES5" s="762"/>
      <c r="ET5" s="762"/>
      <c r="EU5" s="762"/>
      <c r="EV5" s="762"/>
      <c r="EW5" s="762"/>
      <c r="EX5" s="762"/>
      <c r="EY5" s="762"/>
      <c r="EZ5" s="762"/>
      <c r="FA5" s="762"/>
      <c r="FB5" s="762"/>
      <c r="FC5" s="762"/>
      <c r="FD5" s="2608"/>
      <c r="FE5" s="762"/>
      <c r="FF5" s="762"/>
      <c r="FG5" s="762"/>
      <c r="FH5" s="762"/>
      <c r="FI5" s="762"/>
      <c r="FJ5" s="762"/>
      <c r="FK5" s="762"/>
      <c r="FL5" s="762"/>
      <c r="FM5" s="762"/>
      <c r="FN5" s="762"/>
      <c r="FO5" s="762"/>
      <c r="FP5" s="762"/>
      <c r="FQ5" s="762"/>
      <c r="FR5" s="762"/>
      <c r="FS5" s="762"/>
      <c r="FT5" s="762"/>
      <c r="FU5" s="762"/>
      <c r="FV5" s="762"/>
      <c r="FW5" s="762"/>
      <c r="FX5" s="762"/>
      <c r="FY5" s="762"/>
      <c r="FZ5" s="762"/>
      <c r="GA5" s="762"/>
      <c r="GB5" s="762"/>
      <c r="GC5" s="762"/>
      <c r="GD5" s="762"/>
      <c r="GE5" s="762"/>
      <c r="GF5" s="762"/>
      <c r="GG5" s="762"/>
      <c r="GH5" s="762"/>
      <c r="GI5" s="762"/>
      <c r="GJ5" s="2608"/>
      <c r="GK5" s="762"/>
      <c r="GL5" s="762"/>
      <c r="GM5" s="762"/>
      <c r="GN5" s="762"/>
      <c r="GO5" s="762"/>
      <c r="GP5" s="762"/>
      <c r="GQ5" s="762"/>
      <c r="GR5" s="762"/>
      <c r="GS5" s="762"/>
      <c r="GT5" s="762"/>
      <c r="GU5" s="762"/>
      <c r="GV5" s="762"/>
      <c r="GW5" s="762"/>
      <c r="GX5" s="762"/>
      <c r="GY5" s="762"/>
      <c r="GZ5" s="762"/>
      <c r="HA5" s="762"/>
      <c r="HB5" s="762"/>
      <c r="HC5" s="762"/>
      <c r="HD5" s="762"/>
      <c r="HE5" s="762"/>
      <c r="HF5" s="762"/>
      <c r="HG5" s="762"/>
      <c r="HH5" s="762"/>
      <c r="HI5" s="762"/>
      <c r="HJ5" s="762"/>
      <c r="HK5" s="762"/>
      <c r="HL5" s="762"/>
      <c r="HM5" s="762"/>
      <c r="HN5" s="762"/>
      <c r="HO5" s="762"/>
      <c r="HP5" s="2608"/>
      <c r="HQ5" s="762"/>
      <c r="HR5" s="762"/>
      <c r="HS5" s="762"/>
      <c r="HT5" s="762"/>
      <c r="HU5" s="762"/>
      <c r="HV5" s="762"/>
      <c r="HW5" s="762"/>
      <c r="HX5" s="762"/>
      <c r="HY5" s="762"/>
      <c r="HZ5" s="762"/>
      <c r="IA5" s="762"/>
      <c r="IB5" s="762"/>
      <c r="IC5" s="762"/>
      <c r="ID5" s="762"/>
      <c r="IE5" s="762"/>
      <c r="IF5" s="762"/>
      <c r="IG5" s="762"/>
      <c r="IH5" s="762"/>
      <c r="II5" s="762"/>
      <c r="IJ5" s="762"/>
      <c r="IK5" s="762"/>
      <c r="IL5" s="762"/>
      <c r="IM5" s="762"/>
      <c r="IN5" s="762"/>
      <c r="IO5" s="762"/>
      <c r="IP5" s="762"/>
      <c r="IQ5" s="762"/>
      <c r="IR5" s="762"/>
      <c r="IS5" s="762"/>
      <c r="IT5" s="762"/>
      <c r="IU5" s="762"/>
    </row>
    <row r="6" spans="1:255" ht="13.5">
      <c r="A6" s="792" t="s">
        <v>1344</v>
      </c>
      <c r="B6" s="764"/>
      <c r="C6" s="793"/>
      <c r="D6" s="793"/>
      <c r="E6" s="764"/>
      <c r="F6" s="764"/>
      <c r="G6" s="794"/>
      <c r="H6" s="764"/>
      <c r="I6" s="763"/>
      <c r="J6" s="764"/>
      <c r="K6" s="764"/>
      <c r="L6" s="764"/>
      <c r="M6" s="765">
        <v>200</v>
      </c>
      <c r="N6" s="765"/>
      <c r="O6" s="765"/>
      <c r="P6" s="765">
        <v>30</v>
      </c>
      <c r="Q6" s="765">
        <v>230</v>
      </c>
      <c r="R6" s="764">
        <v>50</v>
      </c>
      <c r="S6" s="764">
        <v>6</v>
      </c>
      <c r="T6" s="765">
        <f>Q6-R6-S6</f>
        <v>174</v>
      </c>
      <c r="U6" s="765">
        <f>P6-S6</f>
        <v>24</v>
      </c>
      <c r="V6" s="765">
        <f>T6-U6</f>
        <v>150</v>
      </c>
      <c r="W6" s="763"/>
      <c r="X6" s="764"/>
      <c r="Y6" s="765"/>
      <c r="Z6" s="765"/>
      <c r="AA6" s="765"/>
      <c r="AB6" s="765"/>
      <c r="AC6" s="763"/>
      <c r="AD6" s="763"/>
      <c r="AE6" s="764"/>
      <c r="AF6" s="765"/>
      <c r="AG6" s="795"/>
      <c r="AH6" s="1531"/>
      <c r="AI6" s="764"/>
    </row>
    <row r="7" spans="1:255" ht="13.5">
      <c r="A7" s="792" t="s">
        <v>76</v>
      </c>
      <c r="B7" s="764"/>
      <c r="C7" s="793"/>
      <c r="D7" s="793"/>
      <c r="E7" s="764"/>
      <c r="F7" s="764"/>
      <c r="G7" s="764"/>
      <c r="H7" s="764"/>
      <c r="I7" s="763"/>
      <c r="J7" s="764"/>
      <c r="K7" s="764"/>
      <c r="L7" s="764"/>
      <c r="M7" s="765"/>
      <c r="N7" s="765"/>
      <c r="O7" s="765"/>
      <c r="P7" s="765"/>
      <c r="Q7" s="765"/>
      <c r="R7" s="764"/>
      <c r="S7" s="764"/>
      <c r="T7" s="765"/>
      <c r="U7" s="765"/>
      <c r="V7" s="765"/>
      <c r="W7" s="763"/>
      <c r="X7" s="764"/>
      <c r="Y7" s="765"/>
      <c r="Z7" s="765"/>
      <c r="AA7" s="765"/>
      <c r="AB7" s="765"/>
      <c r="AC7" s="763"/>
      <c r="AD7" s="763"/>
      <c r="AE7" s="764"/>
      <c r="AF7" s="765"/>
      <c r="AG7" s="765"/>
      <c r="AH7" s="1531"/>
      <c r="AI7" s="764"/>
    </row>
    <row r="8" spans="1:255" ht="13.5">
      <c r="A8" s="792" t="s">
        <v>77</v>
      </c>
      <c r="B8" s="764"/>
      <c r="C8" s="793"/>
      <c r="D8" s="793"/>
      <c r="E8" s="764"/>
      <c r="F8" s="764"/>
      <c r="G8" s="764"/>
      <c r="H8" s="764"/>
      <c r="I8" s="763"/>
      <c r="J8" s="764"/>
      <c r="K8" s="764"/>
      <c r="L8" s="764"/>
      <c r="M8" s="765"/>
      <c r="N8" s="765"/>
      <c r="O8" s="765"/>
      <c r="P8" s="765"/>
      <c r="Q8" s="765"/>
      <c r="R8" s="764"/>
      <c r="S8" s="764"/>
      <c r="T8" s="765"/>
      <c r="U8" s="765"/>
      <c r="V8" s="765"/>
      <c r="W8" s="763"/>
      <c r="X8" s="764"/>
      <c r="Y8" s="765"/>
      <c r="Z8" s="765"/>
      <c r="AA8" s="765"/>
      <c r="AB8" s="765"/>
      <c r="AC8" s="763"/>
      <c r="AD8" s="763"/>
      <c r="AE8" s="764"/>
      <c r="AF8" s="765"/>
      <c r="AG8" s="765"/>
      <c r="AH8" s="1531"/>
      <c r="AI8" s="764"/>
    </row>
    <row r="9" spans="1:255" ht="13.5">
      <c r="A9" s="792" t="s">
        <v>78</v>
      </c>
      <c r="B9" s="764"/>
      <c r="C9" s="793"/>
      <c r="D9" s="793"/>
      <c r="E9" s="764"/>
      <c r="F9" s="764"/>
      <c r="G9" s="764"/>
      <c r="H9" s="764"/>
      <c r="I9" s="763"/>
      <c r="J9" s="764"/>
      <c r="K9" s="764"/>
      <c r="L9" s="764"/>
      <c r="M9" s="765"/>
      <c r="N9" s="765"/>
      <c r="O9" s="765"/>
      <c r="P9" s="765"/>
      <c r="Q9" s="765"/>
      <c r="R9" s="764"/>
      <c r="S9" s="764"/>
      <c r="T9" s="765"/>
      <c r="U9" s="765"/>
      <c r="V9" s="765"/>
      <c r="W9" s="763"/>
      <c r="X9" s="764"/>
      <c r="Y9" s="765"/>
      <c r="Z9" s="765"/>
      <c r="AA9" s="765"/>
      <c r="AB9" s="765"/>
      <c r="AC9" s="763"/>
      <c r="AD9" s="763"/>
      <c r="AE9" s="764"/>
      <c r="AF9" s="765"/>
      <c r="AG9" s="765"/>
      <c r="AH9" s="1531"/>
      <c r="AI9" s="764"/>
    </row>
    <row r="10" spans="1:255" ht="13.5">
      <c r="A10" s="792" t="s">
        <v>79</v>
      </c>
      <c r="B10" s="764"/>
      <c r="C10" s="793"/>
      <c r="D10" s="793"/>
      <c r="E10" s="764"/>
      <c r="F10" s="764"/>
      <c r="G10" s="764"/>
      <c r="H10" s="764"/>
      <c r="I10" s="763"/>
      <c r="J10" s="764"/>
      <c r="K10" s="764"/>
      <c r="L10" s="764"/>
      <c r="M10" s="765"/>
      <c r="N10" s="765"/>
      <c r="O10" s="765"/>
      <c r="P10" s="765"/>
      <c r="Q10" s="765"/>
      <c r="R10" s="764"/>
      <c r="S10" s="764"/>
      <c r="T10" s="765"/>
      <c r="U10" s="765"/>
      <c r="V10" s="765"/>
      <c r="W10" s="763"/>
      <c r="X10" s="764"/>
      <c r="Y10" s="765"/>
      <c r="Z10" s="765"/>
      <c r="AA10" s="765"/>
      <c r="AB10" s="765"/>
      <c r="AC10" s="763"/>
      <c r="AD10" s="763"/>
      <c r="AE10" s="764"/>
      <c r="AF10" s="765"/>
      <c r="AG10" s="765"/>
      <c r="AH10" s="1531"/>
      <c r="AI10" s="764"/>
    </row>
    <row r="11" spans="1:255" ht="13.5">
      <c r="A11" s="792" t="s">
        <v>80</v>
      </c>
      <c r="B11" s="764"/>
      <c r="C11" s="793"/>
      <c r="D11" s="793"/>
      <c r="E11" s="764"/>
      <c r="F11" s="764"/>
      <c r="G11" s="764"/>
      <c r="H11" s="764"/>
      <c r="I11" s="763"/>
      <c r="J11" s="764"/>
      <c r="K11" s="764"/>
      <c r="L11" s="764"/>
      <c r="M11" s="765"/>
      <c r="N11" s="765"/>
      <c r="O11" s="765"/>
      <c r="P11" s="765"/>
      <c r="Q11" s="765"/>
      <c r="R11" s="764"/>
      <c r="S11" s="764"/>
      <c r="T11" s="765"/>
      <c r="U11" s="765"/>
      <c r="V11" s="765"/>
      <c r="W11" s="763"/>
      <c r="X11" s="764"/>
      <c r="Y11" s="765"/>
      <c r="Z11" s="765"/>
      <c r="AA11" s="765"/>
      <c r="AB11" s="765"/>
      <c r="AC11" s="763"/>
      <c r="AD11" s="763"/>
      <c r="AE11" s="764"/>
      <c r="AF11" s="765"/>
      <c r="AG11" s="765"/>
      <c r="AH11" s="1531"/>
      <c r="AI11" s="764"/>
    </row>
    <row r="12" spans="1:255" ht="13.5">
      <c r="A12" s="792" t="s">
        <v>81</v>
      </c>
      <c r="B12" s="796"/>
      <c r="C12" s="797"/>
      <c r="D12" s="798"/>
      <c r="E12" s="767"/>
      <c r="F12" s="767"/>
      <c r="G12" s="767"/>
      <c r="H12" s="767"/>
      <c r="I12" s="766"/>
      <c r="J12" s="767"/>
      <c r="K12" s="767"/>
      <c r="L12" s="767"/>
      <c r="M12" s="768"/>
      <c r="N12" s="768"/>
      <c r="O12" s="768"/>
      <c r="P12" s="768"/>
      <c r="Q12" s="768"/>
      <c r="R12" s="767"/>
      <c r="S12" s="767"/>
      <c r="T12" s="768"/>
      <c r="U12" s="768"/>
      <c r="V12" s="768"/>
      <c r="W12" s="766"/>
      <c r="X12" s="767"/>
      <c r="Y12" s="768"/>
      <c r="Z12" s="768"/>
      <c r="AA12" s="768"/>
      <c r="AB12" s="768"/>
      <c r="AC12" s="766"/>
      <c r="AD12" s="766"/>
      <c r="AE12" s="767"/>
      <c r="AF12" s="768"/>
      <c r="AG12" s="768"/>
      <c r="AH12" s="1531"/>
      <c r="AI12" s="767"/>
    </row>
    <row r="13" spans="1:255" ht="13.5">
      <c r="A13" s="792" t="s">
        <v>82</v>
      </c>
      <c r="B13" s="799"/>
      <c r="C13" s="799"/>
      <c r="D13" s="799"/>
      <c r="E13" s="799"/>
      <c r="F13" s="799"/>
      <c r="G13" s="799"/>
      <c r="H13" s="799"/>
      <c r="I13" s="769"/>
      <c r="J13" s="770"/>
      <c r="K13" s="770"/>
      <c r="L13" s="770"/>
      <c r="M13" s="771"/>
      <c r="N13" s="771"/>
      <c r="O13" s="771"/>
      <c r="P13" s="771"/>
      <c r="Q13" s="771"/>
      <c r="R13" s="770"/>
      <c r="S13" s="770"/>
      <c r="T13" s="771"/>
      <c r="U13" s="771"/>
      <c r="V13" s="771"/>
      <c r="W13" s="769"/>
      <c r="X13" s="770"/>
      <c r="Y13" s="771"/>
      <c r="Z13" s="771"/>
      <c r="AA13" s="771"/>
      <c r="AB13" s="771"/>
      <c r="AC13" s="769"/>
      <c r="AD13" s="769"/>
      <c r="AE13" s="770"/>
      <c r="AF13" s="771"/>
      <c r="AG13" s="771"/>
      <c r="AH13" s="1531"/>
      <c r="AI13" s="770"/>
    </row>
    <row r="14" spans="1:255" ht="13.5">
      <c r="A14" s="792" t="s">
        <v>83</v>
      </c>
      <c r="B14" s="799"/>
      <c r="C14" s="799"/>
      <c r="D14" s="799"/>
      <c r="E14" s="799"/>
      <c r="F14" s="799"/>
      <c r="G14" s="799"/>
      <c r="H14" s="799"/>
      <c r="I14" s="769"/>
      <c r="J14" s="770"/>
      <c r="K14" s="770"/>
      <c r="L14" s="770"/>
      <c r="M14" s="771"/>
      <c r="N14" s="771"/>
      <c r="O14" s="771"/>
      <c r="P14" s="771"/>
      <c r="Q14" s="771"/>
      <c r="R14" s="770"/>
      <c r="S14" s="770"/>
      <c r="T14" s="771"/>
      <c r="U14" s="771"/>
      <c r="V14" s="771"/>
      <c r="W14" s="769"/>
      <c r="X14" s="770"/>
      <c r="Y14" s="771"/>
      <c r="Z14" s="771"/>
      <c r="AA14" s="771"/>
      <c r="AB14" s="771"/>
      <c r="AC14" s="769"/>
      <c r="AD14" s="769"/>
      <c r="AE14" s="770"/>
      <c r="AF14" s="771"/>
      <c r="AG14" s="771"/>
      <c r="AH14" s="1531"/>
      <c r="AI14" s="770"/>
    </row>
    <row r="15" spans="1:255" ht="13.5">
      <c r="A15" s="792" t="s">
        <v>84</v>
      </c>
      <c r="B15" s="799"/>
      <c r="C15" s="799"/>
      <c r="D15" s="799"/>
      <c r="E15" s="799"/>
      <c r="F15" s="799"/>
      <c r="G15" s="799"/>
      <c r="H15" s="799"/>
      <c r="I15" s="769"/>
      <c r="J15" s="770"/>
      <c r="K15" s="770"/>
      <c r="L15" s="770"/>
      <c r="M15" s="771"/>
      <c r="N15" s="771"/>
      <c r="O15" s="771"/>
      <c r="P15" s="771"/>
      <c r="Q15" s="771"/>
      <c r="R15" s="770"/>
      <c r="S15" s="770"/>
      <c r="T15" s="771"/>
      <c r="U15" s="771"/>
      <c r="V15" s="771"/>
      <c r="W15" s="769"/>
      <c r="X15" s="770"/>
      <c r="Y15" s="771"/>
      <c r="Z15" s="771"/>
      <c r="AA15" s="771"/>
      <c r="AB15" s="771"/>
      <c r="AC15" s="769"/>
      <c r="AD15" s="769"/>
      <c r="AE15" s="770"/>
      <c r="AF15" s="771"/>
      <c r="AG15" s="771"/>
      <c r="AH15" s="1531"/>
      <c r="AI15" s="770"/>
    </row>
    <row r="16" spans="1:255" ht="13.5">
      <c r="A16" s="792" t="s">
        <v>10</v>
      </c>
      <c r="B16" s="799"/>
      <c r="C16" s="799"/>
      <c r="D16" s="799"/>
      <c r="E16" s="799"/>
      <c r="F16" s="799"/>
      <c r="G16" s="799"/>
      <c r="H16" s="799"/>
      <c r="I16" s="769"/>
      <c r="J16" s="770"/>
      <c r="K16" s="770"/>
      <c r="L16" s="770"/>
      <c r="M16" s="771"/>
      <c r="N16" s="771"/>
      <c r="O16" s="771"/>
      <c r="P16" s="771"/>
      <c r="Q16" s="771"/>
      <c r="R16" s="770"/>
      <c r="S16" s="770"/>
      <c r="T16" s="771"/>
      <c r="U16" s="771"/>
      <c r="V16" s="771"/>
      <c r="W16" s="769"/>
      <c r="X16" s="770"/>
      <c r="Y16" s="771"/>
      <c r="Z16" s="771"/>
      <c r="AA16" s="771"/>
      <c r="AB16" s="771"/>
      <c r="AC16" s="769"/>
      <c r="AD16" s="769"/>
      <c r="AE16" s="770"/>
      <c r="AF16" s="771"/>
      <c r="AG16" s="771"/>
      <c r="AH16" s="1531"/>
      <c r="AI16" s="770"/>
    </row>
    <row r="17" spans="1:35" ht="13.5">
      <c r="A17" s="792" t="s">
        <v>12</v>
      </c>
      <c r="B17" s="799"/>
      <c r="C17" s="799"/>
      <c r="D17" s="770"/>
      <c r="E17" s="799"/>
      <c r="F17" s="799"/>
      <c r="G17" s="799"/>
      <c r="H17" s="799"/>
      <c r="I17" s="769"/>
      <c r="J17" s="770"/>
      <c r="K17" s="770"/>
      <c r="L17" s="770"/>
      <c r="M17" s="771"/>
      <c r="N17" s="771"/>
      <c r="O17" s="771"/>
      <c r="P17" s="771"/>
      <c r="Q17" s="771"/>
      <c r="R17" s="770"/>
      <c r="S17" s="770"/>
      <c r="T17" s="771"/>
      <c r="U17" s="771"/>
      <c r="V17" s="771"/>
      <c r="W17" s="769"/>
      <c r="X17" s="770"/>
      <c r="Y17" s="771"/>
      <c r="Z17" s="771"/>
      <c r="AA17" s="771"/>
      <c r="AB17" s="771"/>
      <c r="AC17" s="769"/>
      <c r="AD17" s="769"/>
      <c r="AE17" s="770"/>
      <c r="AF17" s="771"/>
      <c r="AG17" s="771"/>
      <c r="AH17" s="1531"/>
      <c r="AI17" s="770"/>
    </row>
    <row r="18" spans="1:35" ht="13.5">
      <c r="A18" s="792" t="s">
        <v>14</v>
      </c>
      <c r="B18" s="799"/>
      <c r="C18" s="799"/>
      <c r="D18" s="770"/>
      <c r="E18" s="799"/>
      <c r="F18" s="799"/>
      <c r="G18" s="799"/>
      <c r="H18" s="799"/>
      <c r="I18" s="769"/>
      <c r="J18" s="770"/>
      <c r="K18" s="770"/>
      <c r="L18" s="770"/>
      <c r="M18" s="771"/>
      <c r="N18" s="771"/>
      <c r="O18" s="771"/>
      <c r="P18" s="771"/>
      <c r="Q18" s="771"/>
      <c r="R18" s="770"/>
      <c r="S18" s="770"/>
      <c r="T18" s="771"/>
      <c r="U18" s="771"/>
      <c r="V18" s="771"/>
      <c r="W18" s="769"/>
      <c r="X18" s="770"/>
      <c r="Y18" s="771"/>
      <c r="Z18" s="771"/>
      <c r="AA18" s="771"/>
      <c r="AB18" s="771"/>
      <c r="AC18" s="769"/>
      <c r="AD18" s="769"/>
      <c r="AE18" s="770"/>
      <c r="AF18" s="771"/>
      <c r="AG18" s="771"/>
      <c r="AH18" s="1531"/>
      <c r="AI18" s="770"/>
    </row>
    <row r="19" spans="1:35" ht="13.5">
      <c r="A19" s="792" t="s">
        <v>16</v>
      </c>
      <c r="B19" s="799"/>
      <c r="C19" s="799"/>
      <c r="D19" s="799"/>
      <c r="E19" s="799"/>
      <c r="F19" s="799"/>
      <c r="G19" s="799"/>
      <c r="H19" s="799"/>
      <c r="I19" s="769"/>
      <c r="J19" s="770"/>
      <c r="K19" s="770"/>
      <c r="L19" s="770"/>
      <c r="M19" s="771"/>
      <c r="N19" s="771"/>
      <c r="O19" s="771"/>
      <c r="P19" s="771"/>
      <c r="Q19" s="771"/>
      <c r="R19" s="770"/>
      <c r="S19" s="770"/>
      <c r="T19" s="771"/>
      <c r="U19" s="771"/>
      <c r="V19" s="771"/>
      <c r="W19" s="769"/>
      <c r="X19" s="770"/>
      <c r="Y19" s="771"/>
      <c r="Z19" s="771"/>
      <c r="AA19" s="771"/>
      <c r="AB19" s="771"/>
      <c r="AC19" s="769"/>
      <c r="AD19" s="769"/>
      <c r="AE19" s="770"/>
      <c r="AF19" s="771"/>
      <c r="AG19" s="771"/>
      <c r="AH19" s="1531"/>
      <c r="AI19" s="770"/>
    </row>
    <row r="20" spans="1:35" ht="13.5">
      <c r="A20" s="792" t="s">
        <v>18</v>
      </c>
      <c r="B20" s="799"/>
      <c r="C20" s="799"/>
      <c r="D20" s="799"/>
      <c r="E20" s="799"/>
      <c r="F20" s="799"/>
      <c r="G20" s="799"/>
      <c r="H20" s="799"/>
      <c r="I20" s="769"/>
      <c r="J20" s="770"/>
      <c r="K20" s="770"/>
      <c r="L20" s="770"/>
      <c r="M20" s="771"/>
      <c r="N20" s="771"/>
      <c r="O20" s="771"/>
      <c r="P20" s="771"/>
      <c r="Q20" s="771"/>
      <c r="R20" s="770"/>
      <c r="S20" s="770"/>
      <c r="T20" s="771"/>
      <c r="U20" s="771"/>
      <c r="V20" s="771"/>
      <c r="W20" s="769"/>
      <c r="X20" s="770"/>
      <c r="Y20" s="771"/>
      <c r="Z20" s="771"/>
      <c r="AA20" s="771"/>
      <c r="AB20" s="771"/>
      <c r="AC20" s="769"/>
      <c r="AD20" s="769"/>
      <c r="AE20" s="770"/>
      <c r="AF20" s="771"/>
      <c r="AG20" s="771"/>
      <c r="AH20" s="1531"/>
      <c r="AI20" s="770"/>
    </row>
    <row r="21" spans="1:35" ht="16.5">
      <c r="A21" s="792" t="s">
        <v>641</v>
      </c>
      <c r="B21" s="836"/>
      <c r="C21" s="836"/>
      <c r="D21" s="836"/>
      <c r="E21" s="836"/>
      <c r="F21" s="836"/>
      <c r="G21" s="836"/>
      <c r="H21" s="836"/>
      <c r="I21" s="837"/>
      <c r="J21" s="838"/>
      <c r="K21" s="838"/>
      <c r="L21" s="838"/>
      <c r="M21" s="771"/>
      <c r="N21" s="771"/>
      <c r="O21" s="771"/>
      <c r="P21" s="771"/>
      <c r="Q21" s="771"/>
      <c r="R21" s="770"/>
      <c r="S21" s="770"/>
      <c r="T21" s="771"/>
      <c r="U21" s="771"/>
      <c r="V21" s="771"/>
      <c r="W21" s="838"/>
      <c r="X21" s="838"/>
      <c r="Y21" s="771"/>
      <c r="Z21" s="838"/>
      <c r="AA21" s="838"/>
      <c r="AB21" s="771"/>
      <c r="AC21" s="838"/>
      <c r="AD21" s="838"/>
      <c r="AE21" s="838"/>
      <c r="AF21" s="771"/>
      <c r="AG21" s="771"/>
      <c r="AH21" s="1162"/>
      <c r="AI21" s="770"/>
    </row>
    <row r="22" spans="1:35">
      <c r="A22" s="772" t="s">
        <v>970</v>
      </c>
      <c r="B22" s="772"/>
      <c r="C22" s="772"/>
      <c r="D22" s="772"/>
      <c r="E22" s="772"/>
      <c r="F22" s="772"/>
      <c r="G22" s="772"/>
      <c r="H22" s="772"/>
      <c r="I22" s="772"/>
      <c r="J22" s="772"/>
      <c r="K22" s="772"/>
      <c r="L22" s="772"/>
      <c r="M22" s="772"/>
      <c r="N22" s="772"/>
      <c r="O22" s="772"/>
      <c r="P22" s="772"/>
      <c r="Q22" s="772"/>
      <c r="R22" s="772"/>
      <c r="S22" s="772"/>
      <c r="T22" s="772"/>
      <c r="AF22" s="772"/>
    </row>
    <row r="23" spans="1:35">
      <c r="A23" s="773">
        <v>1</v>
      </c>
      <c r="B23" s="772" t="s">
        <v>1309</v>
      </c>
      <c r="C23" s="772"/>
      <c r="D23" s="772"/>
      <c r="E23" s="772"/>
      <c r="F23" s="772"/>
      <c r="G23" s="772"/>
      <c r="H23" s="772"/>
      <c r="I23" s="772"/>
      <c r="J23" s="772"/>
      <c r="K23" s="772"/>
      <c r="L23" s="772"/>
      <c r="M23" s="772"/>
      <c r="N23" s="772"/>
      <c r="O23" s="772"/>
      <c r="P23" s="772"/>
      <c r="Q23" s="772"/>
      <c r="R23" s="772"/>
      <c r="S23" s="772"/>
      <c r="T23" s="772"/>
      <c r="AF23" s="772"/>
    </row>
    <row r="24" spans="1:35">
      <c r="A24" s="773">
        <v>2</v>
      </c>
      <c r="B24" s="772" t="s">
        <v>1310</v>
      </c>
      <c r="C24" s="772"/>
      <c r="D24" s="772"/>
      <c r="E24" s="772"/>
      <c r="F24" s="772"/>
      <c r="G24" s="772"/>
      <c r="H24" s="772"/>
      <c r="I24" s="772"/>
      <c r="J24" s="772"/>
      <c r="K24" s="772"/>
      <c r="L24" s="772"/>
      <c r="M24" s="772"/>
      <c r="N24" s="772"/>
      <c r="O24" s="772"/>
      <c r="P24" s="772"/>
      <c r="Q24" s="772"/>
      <c r="R24" s="772"/>
      <c r="S24" s="772"/>
      <c r="T24" s="772"/>
      <c r="AF24" s="772"/>
    </row>
    <row r="25" spans="1:35">
      <c r="A25" s="773">
        <v>3</v>
      </c>
      <c r="B25" s="774" t="s">
        <v>1311</v>
      </c>
      <c r="C25" s="774"/>
      <c r="D25" s="774"/>
      <c r="E25" s="774"/>
      <c r="F25" s="774"/>
      <c r="G25" s="774"/>
      <c r="H25" s="774"/>
      <c r="I25" s="774"/>
      <c r="J25" s="774"/>
      <c r="K25" s="774"/>
      <c r="L25" s="774"/>
      <c r="M25" s="774"/>
      <c r="N25" s="774"/>
      <c r="O25" s="774"/>
      <c r="P25" s="774"/>
      <c r="Q25" s="774"/>
      <c r="R25" s="774"/>
      <c r="S25" s="774"/>
      <c r="T25" s="774"/>
      <c r="AF25" s="774"/>
    </row>
    <row r="26" spans="1:35">
      <c r="A26" s="773">
        <v>4</v>
      </c>
      <c r="B26" s="774" t="s">
        <v>1312</v>
      </c>
      <c r="C26" s="774"/>
      <c r="D26" s="774"/>
      <c r="E26" s="774"/>
      <c r="F26" s="774"/>
      <c r="G26" s="774"/>
      <c r="H26" s="774"/>
      <c r="I26" s="774"/>
      <c r="J26" s="774"/>
      <c r="K26" s="774"/>
      <c r="L26" s="774"/>
      <c r="M26" s="774"/>
      <c r="N26" s="774"/>
      <c r="O26" s="774"/>
      <c r="P26" s="774"/>
      <c r="Q26" s="774"/>
      <c r="R26" s="774"/>
      <c r="S26" s="774"/>
      <c r="T26" s="774"/>
      <c r="AF26" s="774"/>
    </row>
    <row r="27" spans="1:35">
      <c r="A27" s="773">
        <v>5</v>
      </c>
      <c r="B27" s="774" t="s">
        <v>1313</v>
      </c>
      <c r="C27" s="774"/>
      <c r="D27" s="774"/>
      <c r="E27" s="774"/>
      <c r="F27" s="774"/>
      <c r="G27" s="774"/>
      <c r="H27" s="774"/>
      <c r="I27" s="774"/>
      <c r="J27" s="774"/>
      <c r="K27" s="774"/>
      <c r="L27" s="774"/>
      <c r="M27" s="774"/>
      <c r="N27" s="774"/>
      <c r="O27" s="774"/>
      <c r="P27" s="774"/>
      <c r="Q27" s="774"/>
      <c r="R27" s="774"/>
      <c r="S27" s="774"/>
      <c r="T27" s="774"/>
      <c r="AF27" s="774"/>
    </row>
    <row r="28" spans="1:35" ht="13.5">
      <c r="A28" s="773">
        <v>6</v>
      </c>
      <c r="B28" s="2598" t="s">
        <v>1314</v>
      </c>
      <c r="C28" s="2598"/>
      <c r="D28" s="2598"/>
      <c r="E28" s="2598"/>
      <c r="F28" s="2598"/>
      <c r="G28" s="2598"/>
      <c r="H28" s="2598"/>
      <c r="I28" s="2598"/>
      <c r="J28" s="2598"/>
      <c r="K28" s="2598"/>
      <c r="L28" s="2598"/>
      <c r="M28" s="2598"/>
      <c r="N28" s="2598"/>
      <c r="O28" s="2598"/>
      <c r="P28" s="2598"/>
      <c r="Q28" s="2598"/>
      <c r="R28" s="2598"/>
      <c r="S28" s="2598"/>
      <c r="T28" s="2598"/>
      <c r="U28" s="2598"/>
      <c r="V28" s="2598"/>
      <c r="W28" s="2598"/>
      <c r="X28" s="2598"/>
      <c r="Y28" s="2598"/>
      <c r="Z28" s="2598"/>
      <c r="AA28" s="2598"/>
      <c r="AB28" s="2598"/>
      <c r="AC28" s="2598"/>
      <c r="AD28" s="2598"/>
      <c r="AE28" s="2598"/>
      <c r="AF28" s="2598"/>
    </row>
    <row r="29" spans="1:35">
      <c r="A29" s="773">
        <v>7</v>
      </c>
      <c r="B29" s="774" t="s">
        <v>1315</v>
      </c>
      <c r="C29" s="774"/>
      <c r="D29" s="774"/>
      <c r="E29" s="774"/>
      <c r="F29" s="774"/>
      <c r="G29" s="774"/>
      <c r="H29" s="774"/>
      <c r="I29" s="774"/>
      <c r="J29" s="774"/>
      <c r="K29" s="774"/>
      <c r="L29" s="774"/>
      <c r="M29" s="774"/>
      <c r="N29" s="774"/>
      <c r="O29" s="774"/>
      <c r="P29" s="774"/>
      <c r="Q29" s="774"/>
      <c r="R29" s="774"/>
      <c r="S29" s="774"/>
      <c r="T29" s="774"/>
      <c r="AF29" s="774"/>
    </row>
    <row r="30" spans="1:35">
      <c r="A30" s="773">
        <v>8</v>
      </c>
      <c r="B30" s="775" t="s">
        <v>1316</v>
      </c>
      <c r="C30" s="774"/>
      <c r="D30" s="774"/>
      <c r="E30" s="774"/>
      <c r="F30" s="774"/>
      <c r="G30" s="774"/>
      <c r="H30" s="774"/>
      <c r="I30" s="774"/>
      <c r="J30" s="774"/>
      <c r="K30" s="774"/>
      <c r="L30" s="774"/>
      <c r="M30" s="774"/>
      <c r="N30" s="774"/>
      <c r="O30" s="774"/>
      <c r="P30" s="774"/>
      <c r="Q30" s="774"/>
      <c r="R30" s="774"/>
      <c r="S30" s="774"/>
      <c r="T30" s="774"/>
      <c r="AF30" s="774"/>
    </row>
    <row r="31" spans="1:35">
      <c r="A31" s="773">
        <v>9</v>
      </c>
      <c r="B31" s="756" t="s">
        <v>1317</v>
      </c>
      <c r="C31" s="756"/>
      <c r="D31" s="756"/>
      <c r="E31" s="756"/>
      <c r="F31" s="756"/>
      <c r="G31" s="756"/>
      <c r="H31" s="756"/>
      <c r="I31" s="756"/>
      <c r="J31" s="756"/>
      <c r="K31" s="756"/>
      <c r="L31" s="756"/>
      <c r="M31" s="756"/>
      <c r="N31" s="756"/>
      <c r="O31" s="756"/>
      <c r="P31" s="756"/>
      <c r="Q31" s="756"/>
      <c r="R31" s="756"/>
      <c r="S31" s="756"/>
      <c r="T31" s="756"/>
      <c r="AF31" s="756"/>
    </row>
    <row r="32" spans="1:35">
      <c r="A32" s="773">
        <v>10</v>
      </c>
      <c r="B32" s="774" t="s">
        <v>1318</v>
      </c>
      <c r="C32" s="774"/>
      <c r="D32" s="774"/>
      <c r="E32" s="774"/>
      <c r="F32" s="774"/>
      <c r="G32" s="774"/>
      <c r="H32" s="774"/>
      <c r="I32" s="774"/>
      <c r="J32" s="774"/>
      <c r="K32" s="774"/>
      <c r="L32" s="774"/>
      <c r="M32" s="774"/>
      <c r="N32" s="774"/>
      <c r="O32" s="774"/>
      <c r="P32" s="774"/>
      <c r="Q32" s="774"/>
      <c r="R32" s="774"/>
      <c r="S32" s="774"/>
      <c r="T32" s="774"/>
      <c r="AF32" s="774"/>
    </row>
    <row r="33" spans="1:32">
      <c r="A33" s="773">
        <v>11</v>
      </c>
      <c r="B33" s="775" t="s">
        <v>1673</v>
      </c>
      <c r="C33" s="774"/>
      <c r="D33" s="774"/>
      <c r="E33" s="774"/>
      <c r="F33" s="774"/>
      <c r="G33" s="774"/>
      <c r="H33" s="774"/>
      <c r="I33" s="774"/>
      <c r="J33" s="774"/>
      <c r="K33" s="774"/>
      <c r="L33" s="774"/>
      <c r="M33" s="774"/>
      <c r="N33" s="774"/>
      <c r="O33" s="774"/>
      <c r="P33" s="774"/>
      <c r="Q33" s="774"/>
      <c r="R33" s="774"/>
      <c r="S33" s="774"/>
      <c r="T33" s="774"/>
      <c r="AF33" s="774"/>
    </row>
    <row r="34" spans="1:32">
      <c r="A34" s="773">
        <v>12</v>
      </c>
      <c r="B34" s="775" t="s">
        <v>1319</v>
      </c>
      <c r="C34" s="774"/>
      <c r="D34" s="774"/>
      <c r="E34" s="774"/>
      <c r="F34" s="774"/>
      <c r="G34" s="774"/>
      <c r="H34" s="774"/>
      <c r="I34" s="774"/>
      <c r="J34" s="774"/>
      <c r="K34" s="774"/>
      <c r="L34" s="774"/>
      <c r="M34" s="774"/>
      <c r="N34" s="774"/>
      <c r="O34" s="774"/>
      <c r="P34" s="774"/>
      <c r="Q34" s="774"/>
      <c r="R34" s="774"/>
      <c r="S34" s="774"/>
      <c r="T34" s="774"/>
      <c r="AF34" s="774"/>
    </row>
    <row r="35" spans="1:32">
      <c r="A35" s="773">
        <v>13</v>
      </c>
      <c r="B35" s="1079" t="s">
        <v>2362</v>
      </c>
      <c r="C35" s="774"/>
      <c r="D35" s="774"/>
      <c r="E35" s="774"/>
      <c r="F35" s="774"/>
      <c r="G35" s="774"/>
      <c r="H35" s="774"/>
      <c r="I35" s="774"/>
      <c r="J35" s="774"/>
      <c r="K35" s="774"/>
      <c r="L35" s="774"/>
      <c r="M35" s="774"/>
      <c r="N35" s="774"/>
      <c r="O35" s="774"/>
      <c r="P35" s="774"/>
      <c r="Q35" s="774"/>
      <c r="R35" s="774"/>
      <c r="S35" s="774"/>
      <c r="T35" s="774"/>
      <c r="AF35" s="774"/>
    </row>
    <row r="36" spans="1:32">
      <c r="A36" s="773">
        <v>14</v>
      </c>
      <c r="B36" s="774" t="s">
        <v>1320</v>
      </c>
      <c r="C36" s="774"/>
      <c r="D36" s="774"/>
      <c r="E36" s="774"/>
      <c r="F36" s="774"/>
      <c r="G36" s="774"/>
      <c r="H36" s="774"/>
      <c r="I36" s="774"/>
      <c r="J36" s="774"/>
      <c r="K36" s="774"/>
      <c r="L36" s="774"/>
      <c r="M36" s="774"/>
      <c r="N36" s="774"/>
      <c r="O36" s="774"/>
      <c r="P36" s="774"/>
      <c r="Q36" s="774"/>
      <c r="R36" s="774"/>
      <c r="S36" s="774"/>
      <c r="T36" s="774"/>
      <c r="AF36" s="774"/>
    </row>
    <row r="37" spans="1:32" s="758" customFormat="1" ht="13.5" customHeight="1">
      <c r="A37" s="773" t="s">
        <v>149</v>
      </c>
      <c r="B37" s="774" t="s">
        <v>1674</v>
      </c>
    </row>
    <row r="38" spans="1:32" s="758" customFormat="1">
      <c r="A38" s="773"/>
      <c r="B38" s="774" t="s">
        <v>1675</v>
      </c>
    </row>
    <row r="39" spans="1:32" s="758" customFormat="1" ht="15" customHeight="1">
      <c r="A39" s="773">
        <v>16</v>
      </c>
      <c r="B39" s="758" t="s">
        <v>7308</v>
      </c>
    </row>
    <row r="40" spans="1:32" ht="14.25" customHeight="1">
      <c r="A40" s="773">
        <v>17</v>
      </c>
      <c r="B40" s="758" t="s">
        <v>1676</v>
      </c>
    </row>
    <row r="41" spans="1:32" ht="14.25" customHeight="1">
      <c r="A41" s="1140">
        <v>18</v>
      </c>
      <c r="B41" s="1162" t="s">
        <v>1677</v>
      </c>
    </row>
  </sheetData>
  <mergeCells count="191">
    <mergeCell ref="AG3:AG4"/>
    <mergeCell ref="AH3:AH4"/>
    <mergeCell ref="AI3:AI4"/>
    <mergeCell ref="AJ3:AJ4"/>
    <mergeCell ref="AK3:AK4"/>
    <mergeCell ref="P3:P4"/>
    <mergeCell ref="Q3:Q4"/>
    <mergeCell ref="A3:A5"/>
    <mergeCell ref="B3:B4"/>
    <mergeCell ref="C3:C4"/>
    <mergeCell ref="D3:D4"/>
    <mergeCell ref="E3:E4"/>
    <mergeCell ref="F3:F4"/>
    <mergeCell ref="G3:G4"/>
    <mergeCell ref="H3:H4"/>
    <mergeCell ref="I3:K3"/>
    <mergeCell ref="AL3:AL4"/>
    <mergeCell ref="AM3:AM4"/>
    <mergeCell ref="AN3:AP3"/>
    <mergeCell ref="AQ3:AQ4"/>
    <mergeCell ref="AR3:AR4"/>
    <mergeCell ref="AS3:AS4"/>
    <mergeCell ref="AT3:AT4"/>
    <mergeCell ref="AU3:AU4"/>
    <mergeCell ref="AV3:AV4"/>
    <mergeCell ref="AW3:AW4"/>
    <mergeCell ref="AX3:AZ3"/>
    <mergeCell ref="BA3:BC3"/>
    <mergeCell ref="BD3:BD4"/>
    <mergeCell ref="BE3:BG3"/>
    <mergeCell ref="BH3:BH4"/>
    <mergeCell ref="BI3:BI4"/>
    <mergeCell ref="BJ3:BJ4"/>
    <mergeCell ref="BK3:BK4"/>
    <mergeCell ref="BL3:BL5"/>
    <mergeCell ref="BM3:BM4"/>
    <mergeCell ref="BN3:BN4"/>
    <mergeCell ref="BO3:BO4"/>
    <mergeCell ref="BP3:BP4"/>
    <mergeCell ref="BQ3:BQ4"/>
    <mergeCell ref="BR3:BR4"/>
    <mergeCell ref="BS3:BS4"/>
    <mergeCell ref="BT3:BV3"/>
    <mergeCell ref="BW3:BW4"/>
    <mergeCell ref="BX3:BX4"/>
    <mergeCell ref="BY3:BY4"/>
    <mergeCell ref="BZ3:BZ4"/>
    <mergeCell ref="CA3:CA4"/>
    <mergeCell ref="CB3:CB4"/>
    <mergeCell ref="CC3:CC4"/>
    <mergeCell ref="CD3:CF3"/>
    <mergeCell ref="CG3:CI3"/>
    <mergeCell ref="CJ3:CJ4"/>
    <mergeCell ref="CK3:CM3"/>
    <mergeCell ref="CN3:CN4"/>
    <mergeCell ref="CO3:CO4"/>
    <mergeCell ref="CP3:CP4"/>
    <mergeCell ref="CQ3:CQ4"/>
    <mergeCell ref="CR3:CR5"/>
    <mergeCell ref="CS3:CS4"/>
    <mergeCell ref="CT3:CT4"/>
    <mergeCell ref="CU3:CU4"/>
    <mergeCell ref="CV3:CV4"/>
    <mergeCell ref="CW3:CW4"/>
    <mergeCell ref="CX3:CX4"/>
    <mergeCell ref="CY3:CY4"/>
    <mergeCell ref="CZ3:DB3"/>
    <mergeCell ref="DC3:DC4"/>
    <mergeCell ref="DD3:DD4"/>
    <mergeCell ref="DE3:DE4"/>
    <mergeCell ref="DF3:DF4"/>
    <mergeCell ref="DG3:DG4"/>
    <mergeCell ref="DH3:DH4"/>
    <mergeCell ref="DI3:DI4"/>
    <mergeCell ref="DJ3:DL3"/>
    <mergeCell ref="DM3:DO3"/>
    <mergeCell ref="DP3:DP4"/>
    <mergeCell ref="DQ3:DS3"/>
    <mergeCell ref="DT3:DT4"/>
    <mergeCell ref="DU3:DU4"/>
    <mergeCell ref="DV3:DV4"/>
    <mergeCell ref="DW3:DW4"/>
    <mergeCell ref="DX3:DX5"/>
    <mergeCell ref="DY3:DY4"/>
    <mergeCell ref="DZ3:DZ4"/>
    <mergeCell ref="EA3:EA4"/>
    <mergeCell ref="EB3:EB4"/>
    <mergeCell ref="EC3:EC4"/>
    <mergeCell ref="ED3:ED4"/>
    <mergeCell ref="EE3:EE4"/>
    <mergeCell ref="EF3:EH3"/>
    <mergeCell ref="EI3:EI4"/>
    <mergeCell ref="EJ3:EJ4"/>
    <mergeCell ref="EK3:EK4"/>
    <mergeCell ref="EL3:EL4"/>
    <mergeCell ref="EM3:EM4"/>
    <mergeCell ref="EN3:EN4"/>
    <mergeCell ref="EO3:EO4"/>
    <mergeCell ref="EP3:ER3"/>
    <mergeCell ref="ES3:EU3"/>
    <mergeCell ref="EV3:EV4"/>
    <mergeCell ref="EW3:EY3"/>
    <mergeCell ref="EZ3:EZ4"/>
    <mergeCell ref="FA3:FA4"/>
    <mergeCell ref="FB3:FB4"/>
    <mergeCell ref="FC3:FC4"/>
    <mergeCell ref="FD3:FD5"/>
    <mergeCell ref="FE3:FE4"/>
    <mergeCell ref="FF3:FF4"/>
    <mergeCell ref="FG3:FG4"/>
    <mergeCell ref="FH3:FH4"/>
    <mergeCell ref="FI3:FI4"/>
    <mergeCell ref="FJ3:FJ4"/>
    <mergeCell ref="FK3:FK4"/>
    <mergeCell ref="FL3:FN3"/>
    <mergeCell ref="FO3:FO4"/>
    <mergeCell ref="FP3:FP4"/>
    <mergeCell ref="FQ3:FQ4"/>
    <mergeCell ref="FR3:FR4"/>
    <mergeCell ref="FS3:FS4"/>
    <mergeCell ref="FT3:FT4"/>
    <mergeCell ref="FU3:FU4"/>
    <mergeCell ref="FV3:FX3"/>
    <mergeCell ref="FY3:GA3"/>
    <mergeCell ref="GB3:GB4"/>
    <mergeCell ref="GC3:GE3"/>
    <mergeCell ref="GF3:GF4"/>
    <mergeCell ref="GG3:GG4"/>
    <mergeCell ref="GH3:GH4"/>
    <mergeCell ref="GI3:GI4"/>
    <mergeCell ref="GJ3:GJ5"/>
    <mergeCell ref="GK3:GK4"/>
    <mergeCell ref="GL3:GL4"/>
    <mergeCell ref="GM3:GM4"/>
    <mergeCell ref="GN3:GN4"/>
    <mergeCell ref="GO3:GO4"/>
    <mergeCell ref="GP3:GP4"/>
    <mergeCell ref="GQ3:GQ4"/>
    <mergeCell ref="GR3:GT3"/>
    <mergeCell ref="GU3:GU4"/>
    <mergeCell ref="GV3:GV4"/>
    <mergeCell ref="GW3:GW4"/>
    <mergeCell ref="GX3:GX4"/>
    <mergeCell ref="GY3:GY4"/>
    <mergeCell ref="GZ3:GZ4"/>
    <mergeCell ref="HA3:HA4"/>
    <mergeCell ref="HB3:HD3"/>
    <mergeCell ref="HE3:HG3"/>
    <mergeCell ref="HH3:HH4"/>
    <mergeCell ref="HI3:HK3"/>
    <mergeCell ref="HL3:HL4"/>
    <mergeCell ref="HM3:HM4"/>
    <mergeCell ref="HN3:HN4"/>
    <mergeCell ref="HO3:HO4"/>
    <mergeCell ref="HP3:HP5"/>
    <mergeCell ref="HQ3:HQ4"/>
    <mergeCell ref="HR3:HR4"/>
    <mergeCell ref="HS3:HS4"/>
    <mergeCell ref="HT3:HT4"/>
    <mergeCell ref="HU3:HU4"/>
    <mergeCell ref="HV3:HV4"/>
    <mergeCell ref="HW3:HW4"/>
    <mergeCell ref="HX3:HZ3"/>
    <mergeCell ref="IA3:IA4"/>
    <mergeCell ref="IB3:IB4"/>
    <mergeCell ref="IC3:IC4"/>
    <mergeCell ref="ID3:ID4"/>
    <mergeCell ref="IE3:IE4"/>
    <mergeCell ref="IF3:IF4"/>
    <mergeCell ref="IG3:IG4"/>
    <mergeCell ref="IH3:IJ3"/>
    <mergeCell ref="IK3:IM3"/>
    <mergeCell ref="IN3:IN4"/>
    <mergeCell ref="IO3:IQ3"/>
    <mergeCell ref="IR3:IR4"/>
    <mergeCell ref="IS3:IS4"/>
    <mergeCell ref="IT3:IT4"/>
    <mergeCell ref="IU3:IU4"/>
    <mergeCell ref="B28:AF28"/>
    <mergeCell ref="R3:S3"/>
    <mergeCell ref="T3:T4"/>
    <mergeCell ref="U3:U4"/>
    <mergeCell ref="V3:V4"/>
    <mergeCell ref="Z3:AB3"/>
    <mergeCell ref="AC3:AC4"/>
    <mergeCell ref="AD3:AF3"/>
    <mergeCell ref="W3:Y3"/>
    <mergeCell ref="O3:O4"/>
    <mergeCell ref="L3:L4"/>
    <mergeCell ref="M3:M4"/>
    <mergeCell ref="N3:N4"/>
  </mergeCells>
  <phoneticPr fontId="26" type="noConversion"/>
  <printOptions horizontalCentered="1"/>
  <pageMargins left="0.39370078740157483" right="0.39370078740157483" top="0.39370078740157483" bottom="0.39370078740157483" header="0.19685039370078741" footer="0.19685039370078741"/>
  <pageSetup paperSize="9" scale="36" orientation="landscape" horizontalDpi="4294967295" verticalDpi="4294967295" r:id="rId1"/>
  <headerFooter alignWithMargins="0">
    <oddFooter>&amp;C&amp;"Times New Roman,標準"59&amp;R&amp;"Times New Roman,標準"&amp;A</oddFooter>
  </headerFooter>
  <colBreaks count="1" manualBreakCount="1">
    <brk id="16" max="4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A29"/>
  <sheetViews>
    <sheetView zoomScale="85" zoomScaleNormal="85" workbookViewId="0"/>
  </sheetViews>
  <sheetFormatPr defaultRowHeight="15.75"/>
  <cols>
    <col min="1" max="1" width="5.125" style="691" customWidth="1"/>
    <col min="2" max="2" width="7" style="691" customWidth="1"/>
    <col min="3" max="3" width="5.125" style="691" customWidth="1"/>
    <col min="4" max="4" width="11.375" style="691" customWidth="1"/>
    <col min="5" max="5" width="19.25" style="691" customWidth="1"/>
    <col min="6" max="6" width="13.5" style="691" customWidth="1"/>
    <col min="7" max="7" width="12" style="691" customWidth="1"/>
    <col min="8" max="8" width="8.875" style="691" customWidth="1"/>
    <col min="9" max="9" width="7.375" style="691" customWidth="1"/>
    <col min="10" max="10" width="13.25" style="691" bestFit="1" customWidth="1"/>
    <col min="11" max="15" width="7.875" style="691" customWidth="1"/>
    <col min="16" max="16" width="13" style="691" customWidth="1"/>
    <col min="17" max="17" width="11.375" style="691" customWidth="1"/>
    <col min="18" max="19" width="7.875" style="691" customWidth="1"/>
    <col min="20" max="20" width="12.625" style="691" customWidth="1"/>
    <col min="21" max="22" width="8.625" style="691" customWidth="1"/>
    <col min="23" max="23" width="13" style="691" customWidth="1"/>
    <col min="24" max="24" width="11.75" style="691" customWidth="1"/>
    <col min="25" max="25" width="14.375" style="691" customWidth="1"/>
    <col min="26" max="26" width="7.5" style="691" customWidth="1"/>
    <col min="27" max="27" width="2.625" style="691" customWidth="1"/>
    <col min="28" max="16384" width="9" style="695"/>
  </cols>
  <sheetData>
    <row r="1" spans="1:26">
      <c r="A1" s="105" t="str">
        <f>表03!A1</f>
        <v xml:space="preserve"> 保險股份有限公司    年度(月)報表</v>
      </c>
      <c r="B1" s="721"/>
      <c r="C1" s="721"/>
      <c r="D1" s="721"/>
      <c r="E1" s="721"/>
      <c r="F1" s="721"/>
      <c r="G1" s="721"/>
      <c r="H1" s="721"/>
      <c r="I1" s="721"/>
      <c r="J1" s="721"/>
      <c r="K1" s="721"/>
      <c r="L1" s="721"/>
      <c r="M1" s="721"/>
      <c r="N1" s="721"/>
      <c r="O1" s="721"/>
      <c r="P1" s="721"/>
      <c r="Q1" s="721"/>
      <c r="R1" s="721"/>
      <c r="S1" s="721"/>
      <c r="T1" s="721"/>
      <c r="U1" s="721"/>
      <c r="V1" s="721"/>
      <c r="W1" s="721"/>
      <c r="X1" s="721"/>
      <c r="Y1" s="721"/>
      <c r="Z1" s="721"/>
    </row>
    <row r="2" spans="1:26">
      <c r="A2" s="776" t="s">
        <v>1327</v>
      </c>
      <c r="B2" s="776"/>
      <c r="C2" s="776"/>
      <c r="D2" s="776"/>
      <c r="E2" s="721"/>
      <c r="F2" s="721"/>
      <c r="G2" s="721"/>
      <c r="H2" s="721"/>
      <c r="I2" s="721"/>
      <c r="J2" s="721"/>
      <c r="K2" s="721"/>
      <c r="L2" s="721"/>
      <c r="M2" s="721"/>
      <c r="N2" s="721"/>
      <c r="O2" s="721"/>
      <c r="P2" s="721"/>
      <c r="Q2" s="721"/>
      <c r="R2" s="721"/>
      <c r="S2" s="721" t="s">
        <v>1295</v>
      </c>
      <c r="T2" s="721"/>
      <c r="U2" s="721"/>
      <c r="V2" s="721"/>
      <c r="W2" s="721"/>
      <c r="X2" s="721"/>
      <c r="Y2" s="721"/>
      <c r="Z2" s="721"/>
    </row>
    <row r="3" spans="1:26" ht="15.75" customHeight="1">
      <c r="A3" s="2634" t="s">
        <v>677</v>
      </c>
      <c r="B3" s="2637" t="s">
        <v>1321</v>
      </c>
      <c r="C3" s="2638"/>
      <c r="D3" s="2638"/>
      <c r="E3" s="2639"/>
      <c r="F3" s="2616" t="s">
        <v>1378</v>
      </c>
      <c r="G3" s="2617"/>
      <c r="H3" s="2617"/>
      <c r="I3" s="2617"/>
      <c r="J3" s="2618"/>
      <c r="K3" s="2616" t="s">
        <v>1379</v>
      </c>
      <c r="L3" s="2617"/>
      <c r="M3" s="2617"/>
      <c r="N3" s="2617"/>
      <c r="O3" s="2618"/>
      <c r="P3" s="2629" t="s">
        <v>1380</v>
      </c>
      <c r="Q3" s="2629"/>
      <c r="R3" s="2629"/>
      <c r="S3" s="2629"/>
      <c r="T3" s="2629"/>
      <c r="U3" s="2629"/>
      <c r="V3" s="2629"/>
      <c r="W3" s="2616" t="s">
        <v>1328</v>
      </c>
      <c r="X3" s="2617"/>
      <c r="Y3" s="2618"/>
      <c r="Z3" s="2625" t="s">
        <v>1291</v>
      </c>
    </row>
    <row r="4" spans="1:26" ht="28.5">
      <c r="A4" s="2635"/>
      <c r="B4" s="2640"/>
      <c r="C4" s="2641"/>
      <c r="D4" s="2641"/>
      <c r="E4" s="2642"/>
      <c r="F4" s="2228" t="s">
        <v>1322</v>
      </c>
      <c r="G4" s="2228" t="s">
        <v>1323</v>
      </c>
      <c r="H4" s="2228" t="s">
        <v>1324</v>
      </c>
      <c r="I4" s="2228" t="s">
        <v>603</v>
      </c>
      <c r="J4" s="2228" t="s">
        <v>581</v>
      </c>
      <c r="K4" s="2228" t="s">
        <v>1322</v>
      </c>
      <c r="L4" s="2228" t="s">
        <v>1323</v>
      </c>
      <c r="M4" s="2228" t="s">
        <v>1324</v>
      </c>
      <c r="N4" s="2228" t="s">
        <v>603</v>
      </c>
      <c r="O4" s="2228" t="s">
        <v>581</v>
      </c>
      <c r="P4" s="2228" t="s">
        <v>1322</v>
      </c>
      <c r="Q4" s="2228" t="s">
        <v>1323</v>
      </c>
      <c r="R4" s="2228" t="s">
        <v>1324</v>
      </c>
      <c r="S4" s="2228" t="s">
        <v>603</v>
      </c>
      <c r="T4" s="2228" t="s">
        <v>581</v>
      </c>
      <c r="U4" s="2228" t="s">
        <v>1329</v>
      </c>
      <c r="V4" s="2228" t="s">
        <v>1330</v>
      </c>
      <c r="W4" s="2228" t="s">
        <v>1325</v>
      </c>
      <c r="X4" s="2228" t="s">
        <v>1326</v>
      </c>
      <c r="Y4" s="2228" t="s">
        <v>598</v>
      </c>
      <c r="Z4" s="2630"/>
    </row>
    <row r="5" spans="1:26">
      <c r="A5" s="2636"/>
      <c r="B5" s="2631" t="s">
        <v>66</v>
      </c>
      <c r="C5" s="2632"/>
      <c r="D5" s="2632"/>
      <c r="E5" s="2633"/>
      <c r="F5" s="777" t="s">
        <v>67</v>
      </c>
      <c r="G5" s="777" t="s">
        <v>68</v>
      </c>
      <c r="H5" s="777" t="s">
        <v>69</v>
      </c>
      <c r="I5" s="777" t="s">
        <v>70</v>
      </c>
      <c r="J5" s="777" t="s">
        <v>71</v>
      </c>
      <c r="K5" s="777" t="s">
        <v>72</v>
      </c>
      <c r="L5" s="777" t="s">
        <v>73</v>
      </c>
      <c r="M5" s="777" t="s">
        <v>74</v>
      </c>
      <c r="N5" s="777" t="s">
        <v>75</v>
      </c>
      <c r="O5" s="777" t="s">
        <v>234</v>
      </c>
      <c r="P5" s="777" t="s">
        <v>235</v>
      </c>
      <c r="Q5" s="777" t="s">
        <v>286</v>
      </c>
      <c r="R5" s="777" t="s">
        <v>287</v>
      </c>
      <c r="S5" s="777" t="s">
        <v>288</v>
      </c>
      <c r="T5" s="777" t="s">
        <v>289</v>
      </c>
      <c r="U5" s="777" t="s">
        <v>290</v>
      </c>
      <c r="V5" s="777" t="s">
        <v>138</v>
      </c>
      <c r="W5" s="777" t="s">
        <v>139</v>
      </c>
      <c r="X5" s="777" t="s">
        <v>140</v>
      </c>
      <c r="Y5" s="777" t="s">
        <v>141</v>
      </c>
      <c r="Z5" s="777" t="s">
        <v>189</v>
      </c>
    </row>
    <row r="6" spans="1:26">
      <c r="A6" s="778">
        <v>1</v>
      </c>
      <c r="B6" s="2625" t="s">
        <v>573</v>
      </c>
      <c r="C6" s="2226" t="s">
        <v>574</v>
      </c>
      <c r="D6" s="2616" t="s">
        <v>575</v>
      </c>
      <c r="E6" s="2618"/>
      <c r="F6" s="779"/>
      <c r="G6" s="779"/>
      <c r="H6" s="779"/>
      <c r="I6" s="779"/>
      <c r="J6" s="780">
        <f>SUM(F6:I6)</f>
        <v>0</v>
      </c>
      <c r="K6" s="781"/>
      <c r="L6" s="781"/>
      <c r="M6" s="781"/>
      <c r="N6" s="781"/>
      <c r="O6" s="781"/>
      <c r="P6" s="779">
        <f>F6</f>
        <v>0</v>
      </c>
      <c r="Q6" s="779">
        <f>G6</f>
        <v>0</v>
      </c>
      <c r="R6" s="779">
        <f>H6</f>
        <v>0</v>
      </c>
      <c r="S6" s="779">
        <f>I6</f>
        <v>0</v>
      </c>
      <c r="T6" s="780">
        <f>SUM(P6:S6)</f>
        <v>0</v>
      </c>
      <c r="U6" s="782" t="e">
        <f>T6/'表05-1'!$D$257</f>
        <v>#DIV/0!</v>
      </c>
      <c r="V6" s="782" t="e">
        <f>T6/'表05-1'!$D$245</f>
        <v>#DIV/0!</v>
      </c>
      <c r="W6" s="781"/>
      <c r="X6" s="781"/>
      <c r="Y6" s="781"/>
      <c r="Z6" s="783"/>
    </row>
    <row r="7" spans="1:26">
      <c r="A7" s="778">
        <v>2</v>
      </c>
      <c r="B7" s="2626"/>
      <c r="C7" s="2625" t="s">
        <v>576</v>
      </c>
      <c r="D7" s="2625" t="s">
        <v>577</v>
      </c>
      <c r="E7" s="784" t="s">
        <v>578</v>
      </c>
      <c r="F7" s="779"/>
      <c r="G7" s="779"/>
      <c r="H7" s="779"/>
      <c r="I7" s="779"/>
      <c r="J7" s="780">
        <f t="shared" ref="J7:J12" si="0">SUM(F7:I7)</f>
        <v>0</v>
      </c>
      <c r="K7" s="781"/>
      <c r="L7" s="781"/>
      <c r="M7" s="781"/>
      <c r="N7" s="781"/>
      <c r="O7" s="781"/>
      <c r="P7" s="779">
        <f>F7</f>
        <v>0</v>
      </c>
      <c r="Q7" s="779">
        <f>G7</f>
        <v>0</v>
      </c>
      <c r="R7" s="779"/>
      <c r="S7" s="779"/>
      <c r="T7" s="780">
        <f t="shared" ref="T7:T12" si="1">SUM(P7:S7)</f>
        <v>0</v>
      </c>
      <c r="U7" s="782" t="e">
        <f>T7/'表05-1'!$D$257</f>
        <v>#DIV/0!</v>
      </c>
      <c r="V7" s="782" t="e">
        <f>T7/'表05-1'!$D$245</f>
        <v>#DIV/0!</v>
      </c>
      <c r="W7" s="785"/>
      <c r="X7" s="781"/>
      <c r="Y7" s="786"/>
      <c r="Z7" s="783"/>
    </row>
    <row r="8" spans="1:26">
      <c r="A8" s="778">
        <v>3</v>
      </c>
      <c r="B8" s="2626"/>
      <c r="C8" s="2626"/>
      <c r="D8" s="2627"/>
      <c r="E8" s="784" t="s">
        <v>579</v>
      </c>
      <c r="F8" s="779"/>
      <c r="G8" s="779"/>
      <c r="H8" s="779"/>
      <c r="I8" s="779"/>
      <c r="J8" s="780">
        <f t="shared" si="0"/>
        <v>0</v>
      </c>
      <c r="K8" s="781"/>
      <c r="L8" s="781"/>
      <c r="M8" s="781"/>
      <c r="N8" s="781"/>
      <c r="O8" s="781"/>
      <c r="P8" s="779"/>
      <c r="Q8" s="779"/>
      <c r="R8" s="779"/>
      <c r="S8" s="779"/>
      <c r="T8" s="780">
        <f t="shared" si="1"/>
        <v>0</v>
      </c>
      <c r="U8" s="782" t="e">
        <f>T8/'表05-1'!$D$257</f>
        <v>#DIV/0!</v>
      </c>
      <c r="V8" s="782" t="e">
        <f>T8/'表05-1'!$D$245</f>
        <v>#DIV/0!</v>
      </c>
      <c r="W8" s="785"/>
      <c r="X8" s="781"/>
      <c r="Y8" s="786"/>
      <c r="Z8" s="783"/>
    </row>
    <row r="9" spans="1:26">
      <c r="A9" s="778">
        <v>4</v>
      </c>
      <c r="B9" s="2626"/>
      <c r="C9" s="2626"/>
      <c r="D9" s="2625" t="s">
        <v>580</v>
      </c>
      <c r="E9" s="784" t="s">
        <v>1331</v>
      </c>
      <c r="F9" s="779"/>
      <c r="G9" s="779"/>
      <c r="H9" s="779"/>
      <c r="I9" s="779"/>
      <c r="J9" s="780">
        <f t="shared" si="0"/>
        <v>0</v>
      </c>
      <c r="K9" s="781"/>
      <c r="L9" s="781"/>
      <c r="M9" s="781"/>
      <c r="N9" s="781"/>
      <c r="O9" s="781"/>
      <c r="P9" s="779"/>
      <c r="Q9" s="779"/>
      <c r="R9" s="779"/>
      <c r="S9" s="779"/>
      <c r="T9" s="780">
        <f t="shared" si="1"/>
        <v>0</v>
      </c>
      <c r="U9" s="782" t="e">
        <f>T9/'表05-1'!$D$257</f>
        <v>#DIV/0!</v>
      </c>
      <c r="V9" s="782" t="e">
        <f>T9/'表05-1'!$D$245</f>
        <v>#DIV/0!</v>
      </c>
      <c r="W9" s="785"/>
      <c r="X9" s="781"/>
      <c r="Y9" s="786"/>
      <c r="Z9" s="783"/>
    </row>
    <row r="10" spans="1:26" ht="28.5">
      <c r="A10" s="778">
        <v>5</v>
      </c>
      <c r="B10" s="2626"/>
      <c r="C10" s="2626"/>
      <c r="D10" s="2627"/>
      <c r="E10" s="784" t="s">
        <v>1332</v>
      </c>
      <c r="F10" s="779"/>
      <c r="G10" s="779"/>
      <c r="H10" s="779"/>
      <c r="I10" s="779"/>
      <c r="J10" s="780">
        <f t="shared" si="0"/>
        <v>0</v>
      </c>
      <c r="K10" s="781"/>
      <c r="L10" s="781"/>
      <c r="M10" s="781"/>
      <c r="N10" s="781"/>
      <c r="O10" s="781"/>
      <c r="P10" s="779"/>
      <c r="Q10" s="779"/>
      <c r="R10" s="779"/>
      <c r="S10" s="779"/>
      <c r="T10" s="780">
        <f t="shared" si="1"/>
        <v>0</v>
      </c>
      <c r="U10" s="782" t="e">
        <f>T10/'表05-1'!$D$257</f>
        <v>#DIV/0!</v>
      </c>
      <c r="V10" s="782" t="e">
        <f>T10/'表05-1'!$D$245</f>
        <v>#DIV/0!</v>
      </c>
      <c r="W10" s="785"/>
      <c r="X10" s="781"/>
      <c r="Y10" s="786"/>
      <c r="Z10" s="783"/>
    </row>
    <row r="11" spans="1:26">
      <c r="A11" s="778">
        <v>6</v>
      </c>
      <c r="B11" s="2626"/>
      <c r="C11" s="2627"/>
      <c r="D11" s="2616" t="s">
        <v>572</v>
      </c>
      <c r="E11" s="2618"/>
      <c r="F11" s="787">
        <f>SUM(F7:F10)</f>
        <v>0</v>
      </c>
      <c r="G11" s="787">
        <f>SUM(G7:G10)</f>
        <v>0</v>
      </c>
      <c r="H11" s="779"/>
      <c r="I11" s="779"/>
      <c r="J11" s="780">
        <f t="shared" si="0"/>
        <v>0</v>
      </c>
      <c r="K11" s="781"/>
      <c r="L11" s="781"/>
      <c r="M11" s="781"/>
      <c r="N11" s="781"/>
      <c r="O11" s="781"/>
      <c r="P11" s="779">
        <f>F11</f>
        <v>0</v>
      </c>
      <c r="Q11" s="779">
        <f>G11</f>
        <v>0</v>
      </c>
      <c r="R11" s="779"/>
      <c r="S11" s="779"/>
      <c r="T11" s="780">
        <f t="shared" si="1"/>
        <v>0</v>
      </c>
      <c r="U11" s="782" t="e">
        <f>T11/'表05-1'!$D$257</f>
        <v>#DIV/0!</v>
      </c>
      <c r="V11" s="782" t="e">
        <f>T11/'表05-1'!$D$245</f>
        <v>#DIV/0!</v>
      </c>
      <c r="W11" s="785"/>
      <c r="X11" s="781"/>
      <c r="Y11" s="785"/>
      <c r="Z11" s="783"/>
    </row>
    <row r="12" spans="1:26">
      <c r="A12" s="778">
        <v>7</v>
      </c>
      <c r="B12" s="2627"/>
      <c r="C12" s="2616" t="s">
        <v>581</v>
      </c>
      <c r="D12" s="2617"/>
      <c r="E12" s="2618"/>
      <c r="F12" s="787">
        <f>F6+F11</f>
        <v>0</v>
      </c>
      <c r="G12" s="787">
        <f>G6+G11</f>
        <v>0</v>
      </c>
      <c r="H12" s="779"/>
      <c r="I12" s="779"/>
      <c r="J12" s="780">
        <f t="shared" si="0"/>
        <v>0</v>
      </c>
      <c r="K12" s="781"/>
      <c r="L12" s="781"/>
      <c r="M12" s="781"/>
      <c r="N12" s="781"/>
      <c r="O12" s="781"/>
      <c r="P12" s="779">
        <f>F12</f>
        <v>0</v>
      </c>
      <c r="Q12" s="779">
        <f>G12</f>
        <v>0</v>
      </c>
      <c r="R12" s="779"/>
      <c r="S12" s="779"/>
      <c r="T12" s="780">
        <f t="shared" si="1"/>
        <v>0</v>
      </c>
      <c r="U12" s="782" t="e">
        <f>T12/'表05-1'!$D$257</f>
        <v>#DIV/0!</v>
      </c>
      <c r="V12" s="782" t="e">
        <f>T12/'表05-1'!$D$245</f>
        <v>#DIV/0!</v>
      </c>
      <c r="W12" s="785"/>
      <c r="X12" s="781"/>
      <c r="Y12" s="785"/>
      <c r="Z12" s="783"/>
    </row>
    <row r="13" spans="1:26" ht="15.75" customHeight="1">
      <c r="A13" s="778">
        <v>8</v>
      </c>
      <c r="B13" s="2625" t="s">
        <v>582</v>
      </c>
      <c r="C13" s="2625" t="s">
        <v>574</v>
      </c>
      <c r="D13" s="2616" t="s">
        <v>1678</v>
      </c>
      <c r="E13" s="2628"/>
      <c r="F13" s="781"/>
      <c r="G13" s="781"/>
      <c r="H13" s="781"/>
      <c r="I13" s="781"/>
      <c r="J13" s="781"/>
      <c r="K13" s="779"/>
      <c r="L13" s="779"/>
      <c r="M13" s="779"/>
      <c r="N13" s="779"/>
      <c r="O13" s="779"/>
      <c r="P13" s="779"/>
      <c r="Q13" s="779"/>
      <c r="R13" s="779"/>
      <c r="S13" s="779"/>
      <c r="T13" s="779"/>
      <c r="U13" s="782" t="e">
        <f>T13/'表05-1'!$D$257</f>
        <v>#DIV/0!</v>
      </c>
      <c r="V13" s="782" t="e">
        <f>T13/'表05-1'!$D$245</f>
        <v>#DIV/0!</v>
      </c>
      <c r="W13" s="781"/>
      <c r="X13" s="781"/>
      <c r="Y13" s="781"/>
      <c r="Z13" s="783"/>
    </row>
    <row r="14" spans="1:26" ht="15.75" customHeight="1">
      <c r="A14" s="778">
        <v>9</v>
      </c>
      <c r="B14" s="2626"/>
      <c r="C14" s="2626"/>
      <c r="D14" s="2616" t="s">
        <v>1679</v>
      </c>
      <c r="E14" s="2618"/>
      <c r="F14" s="781"/>
      <c r="G14" s="781"/>
      <c r="H14" s="781"/>
      <c r="I14" s="781"/>
      <c r="J14" s="781"/>
      <c r="K14" s="779"/>
      <c r="L14" s="779"/>
      <c r="M14" s="779"/>
      <c r="N14" s="779"/>
      <c r="O14" s="779"/>
      <c r="P14" s="779"/>
      <c r="Q14" s="779"/>
      <c r="R14" s="779"/>
      <c r="S14" s="779"/>
      <c r="T14" s="779"/>
      <c r="U14" s="782" t="e">
        <f>T14/'表05-1'!$D$257</f>
        <v>#DIV/0!</v>
      </c>
      <c r="V14" s="782" t="e">
        <f>T14/'表05-1'!$D$245</f>
        <v>#DIV/0!</v>
      </c>
      <c r="W14" s="781"/>
      <c r="X14" s="781"/>
      <c r="Y14" s="781"/>
      <c r="Z14" s="783"/>
    </row>
    <row r="15" spans="1:26">
      <c r="A15" s="778">
        <v>10</v>
      </c>
      <c r="B15" s="2626"/>
      <c r="C15" s="2627"/>
      <c r="D15" s="2616" t="s">
        <v>572</v>
      </c>
      <c r="E15" s="2618"/>
      <c r="F15" s="781"/>
      <c r="G15" s="781"/>
      <c r="H15" s="781"/>
      <c r="I15" s="781"/>
      <c r="J15" s="781"/>
      <c r="K15" s="779"/>
      <c r="L15" s="779"/>
      <c r="M15" s="779"/>
      <c r="N15" s="779"/>
      <c r="O15" s="779"/>
      <c r="P15" s="779"/>
      <c r="Q15" s="779"/>
      <c r="R15" s="779"/>
      <c r="S15" s="779"/>
      <c r="T15" s="779"/>
      <c r="U15" s="782" t="e">
        <f>T15/'表05-1'!$D$257</f>
        <v>#DIV/0!</v>
      </c>
      <c r="V15" s="782" t="e">
        <f>T15/'表05-1'!$D$245</f>
        <v>#DIV/0!</v>
      </c>
      <c r="W15" s="781"/>
      <c r="X15" s="781"/>
      <c r="Y15" s="781"/>
      <c r="Z15" s="783"/>
    </row>
    <row r="16" spans="1:26" ht="15.75" customHeight="1">
      <c r="A16" s="778">
        <v>11</v>
      </c>
      <c r="B16" s="2626"/>
      <c r="C16" s="2625" t="s">
        <v>576</v>
      </c>
      <c r="D16" s="2617" t="s">
        <v>1678</v>
      </c>
      <c r="E16" s="2618"/>
      <c r="F16" s="781"/>
      <c r="G16" s="781"/>
      <c r="H16" s="781"/>
      <c r="I16" s="781"/>
      <c r="J16" s="781"/>
      <c r="K16" s="779"/>
      <c r="L16" s="779"/>
      <c r="M16" s="779"/>
      <c r="N16" s="779"/>
      <c r="O16" s="779"/>
      <c r="P16" s="779"/>
      <c r="Q16" s="779"/>
      <c r="R16" s="779"/>
      <c r="S16" s="779"/>
      <c r="T16" s="779"/>
      <c r="U16" s="782" t="e">
        <f>T16/'表05-1'!$D$257</f>
        <v>#DIV/0!</v>
      </c>
      <c r="V16" s="782" t="e">
        <f>T16/'表05-1'!$D$245</f>
        <v>#DIV/0!</v>
      </c>
      <c r="W16" s="781"/>
      <c r="X16" s="785"/>
      <c r="Y16" s="788"/>
      <c r="Z16" s="783"/>
    </row>
    <row r="17" spans="1:26" ht="15.75" customHeight="1">
      <c r="A17" s="778">
        <v>12</v>
      </c>
      <c r="B17" s="2626"/>
      <c r="C17" s="2626"/>
      <c r="D17" s="2617" t="s">
        <v>1679</v>
      </c>
      <c r="E17" s="2618"/>
      <c r="F17" s="781"/>
      <c r="G17" s="781"/>
      <c r="H17" s="781"/>
      <c r="I17" s="781"/>
      <c r="J17" s="781"/>
      <c r="K17" s="779"/>
      <c r="L17" s="779"/>
      <c r="M17" s="779"/>
      <c r="N17" s="779"/>
      <c r="O17" s="779"/>
      <c r="P17" s="779"/>
      <c r="Q17" s="779"/>
      <c r="R17" s="779"/>
      <c r="S17" s="779"/>
      <c r="T17" s="779"/>
      <c r="U17" s="782" t="e">
        <f>T17/'表05-1'!$D$257</f>
        <v>#DIV/0!</v>
      </c>
      <c r="V17" s="782" t="e">
        <f>T17/'表05-1'!$D$245</f>
        <v>#DIV/0!</v>
      </c>
      <c r="W17" s="781"/>
      <c r="X17" s="785"/>
      <c r="Y17" s="788"/>
      <c r="Z17" s="783"/>
    </row>
    <row r="18" spans="1:26">
      <c r="A18" s="778">
        <v>13</v>
      </c>
      <c r="B18" s="2626"/>
      <c r="C18" s="2627"/>
      <c r="D18" s="2617" t="s">
        <v>572</v>
      </c>
      <c r="E18" s="2618"/>
      <c r="F18" s="781"/>
      <c r="G18" s="781"/>
      <c r="H18" s="781"/>
      <c r="I18" s="781"/>
      <c r="J18" s="781"/>
      <c r="K18" s="779"/>
      <c r="L18" s="779"/>
      <c r="M18" s="779"/>
      <c r="N18" s="779"/>
      <c r="O18" s="779"/>
      <c r="P18" s="779"/>
      <c r="Q18" s="779"/>
      <c r="R18" s="779"/>
      <c r="S18" s="779"/>
      <c r="T18" s="779"/>
      <c r="U18" s="782" t="e">
        <f>T18/'表05-1'!$D$257</f>
        <v>#DIV/0!</v>
      </c>
      <c r="V18" s="782" t="e">
        <f>T18/'表05-1'!$D$245</f>
        <v>#DIV/0!</v>
      </c>
      <c r="W18" s="781"/>
      <c r="X18" s="785"/>
      <c r="Y18" s="785"/>
      <c r="Z18" s="783"/>
    </row>
    <row r="19" spans="1:26">
      <c r="A19" s="778">
        <v>14</v>
      </c>
      <c r="B19" s="2627"/>
      <c r="C19" s="2616" t="s">
        <v>581</v>
      </c>
      <c r="D19" s="2617"/>
      <c r="E19" s="2618"/>
      <c r="F19" s="781"/>
      <c r="G19" s="781"/>
      <c r="H19" s="781"/>
      <c r="I19" s="781"/>
      <c r="J19" s="781"/>
      <c r="K19" s="779"/>
      <c r="L19" s="779"/>
      <c r="M19" s="779"/>
      <c r="N19" s="779"/>
      <c r="O19" s="779"/>
      <c r="P19" s="779"/>
      <c r="Q19" s="779"/>
      <c r="R19" s="779"/>
      <c r="S19" s="779"/>
      <c r="T19" s="779"/>
      <c r="U19" s="782" t="e">
        <f>T19/'表05-1'!$D$257</f>
        <v>#DIV/0!</v>
      </c>
      <c r="V19" s="782" t="e">
        <f>T19/'表05-1'!$D$245</f>
        <v>#DIV/0!</v>
      </c>
      <c r="W19" s="781"/>
      <c r="X19" s="785"/>
      <c r="Y19" s="785"/>
      <c r="Z19" s="783"/>
    </row>
    <row r="20" spans="1:26">
      <c r="A20" s="778">
        <v>15</v>
      </c>
      <c r="B20" s="2619" t="s">
        <v>583</v>
      </c>
      <c r="C20" s="2622" t="s">
        <v>1333</v>
      </c>
      <c r="D20" s="2623"/>
      <c r="E20" s="2624"/>
      <c r="F20" s="779"/>
      <c r="G20" s="779"/>
      <c r="H20" s="779"/>
      <c r="I20" s="779"/>
      <c r="J20" s="779"/>
      <c r="K20" s="779"/>
      <c r="L20" s="779"/>
      <c r="M20" s="779"/>
      <c r="N20" s="779"/>
      <c r="O20" s="779"/>
      <c r="P20" s="779"/>
      <c r="Q20" s="779"/>
      <c r="R20" s="779"/>
      <c r="S20" s="779"/>
      <c r="T20" s="780">
        <f t="shared" ref="T20:T27" si="2">SUM(P20:S20)</f>
        <v>0</v>
      </c>
      <c r="U20" s="782" t="e">
        <f>T20/'表05-1'!$D$257</f>
        <v>#DIV/0!</v>
      </c>
      <c r="V20" s="782" t="e">
        <f>T20/'表05-1'!$D$245</f>
        <v>#DIV/0!</v>
      </c>
      <c r="W20" s="785"/>
      <c r="X20" s="785"/>
      <c r="Y20" s="788"/>
      <c r="Z20" s="783"/>
    </row>
    <row r="21" spans="1:26">
      <c r="A21" s="778">
        <v>16</v>
      </c>
      <c r="B21" s="2620"/>
      <c r="C21" s="2622" t="s">
        <v>1187</v>
      </c>
      <c r="D21" s="2623"/>
      <c r="E21" s="2624"/>
      <c r="F21" s="779"/>
      <c r="G21" s="779"/>
      <c r="H21" s="779"/>
      <c r="I21" s="779"/>
      <c r="J21" s="779"/>
      <c r="K21" s="779"/>
      <c r="L21" s="779"/>
      <c r="M21" s="779"/>
      <c r="N21" s="779"/>
      <c r="O21" s="779"/>
      <c r="P21" s="779"/>
      <c r="Q21" s="779"/>
      <c r="R21" s="779"/>
      <c r="S21" s="779"/>
      <c r="T21" s="780">
        <f t="shared" si="2"/>
        <v>0</v>
      </c>
      <c r="U21" s="782" t="e">
        <f>T21/'表05-1'!$D$257</f>
        <v>#DIV/0!</v>
      </c>
      <c r="V21" s="782" t="e">
        <f>T21/'表05-1'!$D$245</f>
        <v>#DIV/0!</v>
      </c>
      <c r="W21" s="785"/>
      <c r="X21" s="785"/>
      <c r="Y21" s="785"/>
      <c r="Z21" s="783"/>
    </row>
    <row r="22" spans="1:26">
      <c r="A22" s="778">
        <v>17</v>
      </c>
      <c r="B22" s="2620"/>
      <c r="C22" s="2622" t="s">
        <v>1334</v>
      </c>
      <c r="D22" s="2623"/>
      <c r="E22" s="2624"/>
      <c r="F22" s="779"/>
      <c r="G22" s="779"/>
      <c r="H22" s="779"/>
      <c r="I22" s="779"/>
      <c r="J22" s="779"/>
      <c r="K22" s="779"/>
      <c r="L22" s="779"/>
      <c r="M22" s="779"/>
      <c r="N22" s="779"/>
      <c r="O22" s="779"/>
      <c r="P22" s="779"/>
      <c r="Q22" s="779"/>
      <c r="R22" s="779"/>
      <c r="S22" s="779"/>
      <c r="T22" s="780">
        <f t="shared" si="2"/>
        <v>0</v>
      </c>
      <c r="U22" s="782" t="e">
        <f>T22/'表05-1'!$D$257</f>
        <v>#DIV/0!</v>
      </c>
      <c r="V22" s="782" t="e">
        <f>T22/'表05-1'!$D$245</f>
        <v>#DIV/0!</v>
      </c>
      <c r="W22" s="785"/>
      <c r="X22" s="785"/>
      <c r="Y22" s="788"/>
      <c r="Z22" s="783"/>
    </row>
    <row r="23" spans="1:26">
      <c r="A23" s="778">
        <v>18</v>
      </c>
      <c r="B23" s="2620"/>
      <c r="C23" s="2622" t="s">
        <v>6990</v>
      </c>
      <c r="D23" s="2623"/>
      <c r="E23" s="2624"/>
      <c r="F23" s="779"/>
      <c r="G23" s="779"/>
      <c r="H23" s="779"/>
      <c r="I23" s="779"/>
      <c r="J23" s="779"/>
      <c r="K23" s="779"/>
      <c r="L23" s="779"/>
      <c r="M23" s="779"/>
      <c r="N23" s="779"/>
      <c r="O23" s="779"/>
      <c r="P23" s="779"/>
      <c r="Q23" s="779"/>
      <c r="R23" s="779"/>
      <c r="S23" s="779"/>
      <c r="T23" s="780">
        <f t="shared" si="2"/>
        <v>0</v>
      </c>
      <c r="U23" s="782" t="e">
        <f>T23/'表05-1'!$D$257</f>
        <v>#DIV/0!</v>
      </c>
      <c r="V23" s="782" t="e">
        <f>T23/'表05-1'!$D$245</f>
        <v>#DIV/0!</v>
      </c>
      <c r="W23" s="785"/>
      <c r="X23" s="785"/>
      <c r="Y23" s="785"/>
      <c r="Z23" s="783"/>
    </row>
    <row r="24" spans="1:26">
      <c r="A24" s="778">
        <v>19</v>
      </c>
      <c r="B24" s="2621"/>
      <c r="C24" s="2616" t="s">
        <v>581</v>
      </c>
      <c r="D24" s="2617"/>
      <c r="E24" s="2618"/>
      <c r="F24" s="779"/>
      <c r="G24" s="779"/>
      <c r="H24" s="779"/>
      <c r="I24" s="779"/>
      <c r="J24" s="779"/>
      <c r="K24" s="779"/>
      <c r="L24" s="779"/>
      <c r="M24" s="779"/>
      <c r="N24" s="779"/>
      <c r="O24" s="779"/>
      <c r="P24" s="779"/>
      <c r="Q24" s="779"/>
      <c r="R24" s="779"/>
      <c r="S24" s="779"/>
      <c r="T24" s="780">
        <f t="shared" si="2"/>
        <v>0</v>
      </c>
      <c r="U24" s="782" t="e">
        <f>T24/'表05-1'!$D$257</f>
        <v>#DIV/0!</v>
      </c>
      <c r="V24" s="782" t="e">
        <f>T24/'表05-1'!$D$245</f>
        <v>#DIV/0!</v>
      </c>
      <c r="W24" s="785"/>
      <c r="X24" s="785"/>
      <c r="Y24" s="785"/>
      <c r="Z24" s="783"/>
    </row>
    <row r="25" spans="1:26">
      <c r="A25" s="778">
        <v>20</v>
      </c>
      <c r="B25" s="2616" t="s">
        <v>584</v>
      </c>
      <c r="C25" s="2617"/>
      <c r="D25" s="2617"/>
      <c r="E25" s="2618"/>
      <c r="F25" s="787">
        <f>F6+F15</f>
        <v>0</v>
      </c>
      <c r="G25" s="787">
        <f>G6+G15</f>
        <v>0</v>
      </c>
      <c r="H25" s="787"/>
      <c r="I25" s="787"/>
      <c r="J25" s="780">
        <f>SUM(F25:I25)</f>
        <v>0</v>
      </c>
      <c r="K25" s="779"/>
      <c r="L25" s="779"/>
      <c r="M25" s="779"/>
      <c r="N25" s="779"/>
      <c r="O25" s="779"/>
      <c r="P25" s="787">
        <f>P6+P15</f>
        <v>0</v>
      </c>
      <c r="Q25" s="787">
        <f>Q6+Q15</f>
        <v>0</v>
      </c>
      <c r="R25" s="787"/>
      <c r="S25" s="787"/>
      <c r="T25" s="780">
        <f t="shared" si="2"/>
        <v>0</v>
      </c>
      <c r="U25" s="782" t="e">
        <f>T25/'表05-1'!$D$257</f>
        <v>#DIV/0!</v>
      </c>
      <c r="V25" s="782" t="e">
        <f>T25/'表05-1'!$D$245</f>
        <v>#DIV/0!</v>
      </c>
      <c r="W25" s="781"/>
      <c r="X25" s="781"/>
      <c r="Y25" s="781"/>
      <c r="Z25" s="783"/>
    </row>
    <row r="26" spans="1:26">
      <c r="A26" s="778">
        <v>21</v>
      </c>
      <c r="B26" s="2616" t="s">
        <v>585</v>
      </c>
      <c r="C26" s="2617"/>
      <c r="D26" s="2617"/>
      <c r="E26" s="2618"/>
      <c r="F26" s="787">
        <f>F11+F18</f>
        <v>0</v>
      </c>
      <c r="G26" s="787">
        <f>G11+G18</f>
        <v>0</v>
      </c>
      <c r="H26" s="787"/>
      <c r="I26" s="787"/>
      <c r="J26" s="780">
        <f>SUM(F26:I26)</f>
        <v>0</v>
      </c>
      <c r="K26" s="779"/>
      <c r="L26" s="779"/>
      <c r="M26" s="779"/>
      <c r="N26" s="779"/>
      <c r="O26" s="779"/>
      <c r="P26" s="787">
        <f>P11+P18</f>
        <v>0</v>
      </c>
      <c r="Q26" s="787">
        <f>Q11+Q18</f>
        <v>0</v>
      </c>
      <c r="R26" s="787"/>
      <c r="S26" s="787"/>
      <c r="T26" s="780">
        <f t="shared" si="2"/>
        <v>0</v>
      </c>
      <c r="U26" s="782" t="e">
        <f>T26/'表05-1'!$D$257</f>
        <v>#DIV/0!</v>
      </c>
      <c r="V26" s="782" t="e">
        <f>T26/'表05-1'!$D$245</f>
        <v>#DIV/0!</v>
      </c>
      <c r="W26" s="785"/>
      <c r="X26" s="785"/>
      <c r="Y26" s="785"/>
      <c r="Z26" s="783"/>
    </row>
    <row r="27" spans="1:26">
      <c r="A27" s="778">
        <v>22</v>
      </c>
      <c r="B27" s="2616" t="s">
        <v>586</v>
      </c>
      <c r="C27" s="2617"/>
      <c r="D27" s="2617"/>
      <c r="E27" s="2618"/>
      <c r="F27" s="787">
        <f>F12+F19+F24</f>
        <v>0</v>
      </c>
      <c r="G27" s="787">
        <f>G12+G19+G24</f>
        <v>0</v>
      </c>
      <c r="H27" s="787"/>
      <c r="I27" s="787"/>
      <c r="J27" s="780">
        <f>SUM(F27:I27)</f>
        <v>0</v>
      </c>
      <c r="K27" s="779"/>
      <c r="L27" s="779"/>
      <c r="M27" s="779"/>
      <c r="N27" s="779"/>
      <c r="O27" s="779"/>
      <c r="P27" s="787">
        <f>P12+P19+P24</f>
        <v>0</v>
      </c>
      <c r="Q27" s="787">
        <f>Q12+Q19+Q24</f>
        <v>0</v>
      </c>
      <c r="R27" s="787"/>
      <c r="S27" s="787"/>
      <c r="T27" s="780">
        <f t="shared" si="2"/>
        <v>0</v>
      </c>
      <c r="U27" s="782" t="e">
        <f>T27/'表05-1'!$D$257</f>
        <v>#DIV/0!</v>
      </c>
      <c r="V27" s="782" t="e">
        <f>T27/'表05-1'!$D$245</f>
        <v>#DIV/0!</v>
      </c>
      <c r="W27" s="781"/>
      <c r="X27" s="781"/>
      <c r="Y27" s="781"/>
      <c r="Z27" s="783"/>
    </row>
    <row r="29" spans="1:26">
      <c r="A29" s="691" t="s">
        <v>953</v>
      </c>
      <c r="B29" s="688" t="s">
        <v>1381</v>
      </c>
    </row>
  </sheetData>
  <mergeCells count="34">
    <mergeCell ref="P3:V3"/>
    <mergeCell ref="Z3:Z4"/>
    <mergeCell ref="B5:E5"/>
    <mergeCell ref="A3:A5"/>
    <mergeCell ref="B3:E4"/>
    <mergeCell ref="F3:J3"/>
    <mergeCell ref="K3:O3"/>
    <mergeCell ref="W3:Y3"/>
    <mergeCell ref="B6:B12"/>
    <mergeCell ref="D6:E6"/>
    <mergeCell ref="C7:C11"/>
    <mergeCell ref="D7:D8"/>
    <mergeCell ref="D9:D10"/>
    <mergeCell ref="D11:E11"/>
    <mergeCell ref="C12:E12"/>
    <mergeCell ref="B13:B19"/>
    <mergeCell ref="C13:C15"/>
    <mergeCell ref="D13:E13"/>
    <mergeCell ref="D14:E14"/>
    <mergeCell ref="D15:E15"/>
    <mergeCell ref="C16:C18"/>
    <mergeCell ref="D16:E16"/>
    <mergeCell ref="D17:E17"/>
    <mergeCell ref="D18:E18"/>
    <mergeCell ref="C19:E19"/>
    <mergeCell ref="B25:E25"/>
    <mergeCell ref="B26:E26"/>
    <mergeCell ref="B27:E27"/>
    <mergeCell ref="B20:B24"/>
    <mergeCell ref="C20:E20"/>
    <mergeCell ref="C21:E21"/>
    <mergeCell ref="C22:E22"/>
    <mergeCell ref="C23:E23"/>
    <mergeCell ref="C24:E24"/>
  </mergeCells>
  <phoneticPr fontId="26" type="noConversion"/>
  <printOptions horizontalCentered="1"/>
  <pageMargins left="0.39370078740157483" right="0.39370078740157483" top="0.39370078740157483" bottom="0.39370078740157483" header="0.19685039370078741" footer="0.19685039370078741"/>
  <pageSetup paperSize="9" scale="53" orientation="landscape" horizontalDpi="4294967295" verticalDpi="4294967295" r:id="rId1"/>
  <headerFooter alignWithMargins="0">
    <oddFooter>&amp;C&amp;"Times New Roman,標準"60&amp;R&amp;"Times New Roman,標準"&amp;A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32"/>
  <sheetViews>
    <sheetView view="pageBreakPreview" zoomScale="115" zoomScaleNormal="100" zoomScaleSheetLayoutView="115" workbookViewId="0"/>
  </sheetViews>
  <sheetFormatPr defaultRowHeight="16.5"/>
  <cols>
    <col min="1" max="1" width="9" style="1141"/>
    <col min="2" max="2" width="5.25" style="1141" customWidth="1"/>
    <col min="3" max="3" width="11.75" style="1141" customWidth="1"/>
    <col min="4" max="4" width="16.125" style="1141" customWidth="1"/>
    <col min="5" max="5" width="5.75" style="1141" customWidth="1"/>
    <col min="6" max="6" width="12.375" style="1141" customWidth="1"/>
    <col min="7" max="7" width="5" style="1141" customWidth="1"/>
    <col min="8" max="8" width="8.5" style="1141" customWidth="1"/>
    <col min="9" max="9" width="11" style="1141" customWidth="1"/>
    <col min="10" max="13" width="11.25" style="1141" customWidth="1"/>
    <col min="14" max="14" width="11.5" style="1141" bestFit="1" customWidth="1"/>
    <col min="15" max="15" width="9.125" style="1141" bestFit="1" customWidth="1"/>
    <col min="16" max="16" width="12.25" style="1141" bestFit="1" customWidth="1"/>
    <col min="17" max="18" width="16.75" style="1141" bestFit="1" customWidth="1"/>
    <col min="19" max="19" width="8" style="1141" bestFit="1" customWidth="1"/>
    <col min="20" max="20" width="11.625" style="1141" bestFit="1" customWidth="1"/>
    <col min="21" max="21" width="9.75" style="1141" bestFit="1" customWidth="1"/>
    <col min="22" max="22" width="12.25" style="1141" bestFit="1" customWidth="1"/>
    <col min="23" max="16384" width="9" style="1162"/>
  </cols>
  <sheetData>
    <row r="1" spans="1:22">
      <c r="A1" s="259" t="s">
        <v>694</v>
      </c>
    </row>
    <row r="2" spans="1:22">
      <c r="A2" s="1142" t="s">
        <v>1646</v>
      </c>
    </row>
    <row r="3" spans="1:22">
      <c r="A3" s="2643" t="s">
        <v>236</v>
      </c>
      <c r="B3" s="2644" t="s">
        <v>1647</v>
      </c>
      <c r="C3" s="2644" t="s">
        <v>1648</v>
      </c>
      <c r="D3" s="2644" t="s">
        <v>1649</v>
      </c>
      <c r="E3" s="2645" t="s">
        <v>1650</v>
      </c>
      <c r="F3" s="2643" t="s">
        <v>1778</v>
      </c>
      <c r="G3" s="2645" t="s">
        <v>1651</v>
      </c>
      <c r="H3" s="2645" t="s">
        <v>1652</v>
      </c>
      <c r="I3" s="2645" t="s">
        <v>1653</v>
      </c>
      <c r="J3" s="2643" t="s">
        <v>1654</v>
      </c>
      <c r="K3" s="2643"/>
      <c r="L3" s="2643"/>
      <c r="M3" s="2643"/>
      <c r="N3" s="2643" t="s">
        <v>1655</v>
      </c>
      <c r="O3" s="2643" t="s">
        <v>1656</v>
      </c>
      <c r="P3" s="2643"/>
      <c r="Q3" s="2643"/>
      <c r="R3" s="2643"/>
      <c r="S3" s="2643" t="s">
        <v>1657</v>
      </c>
      <c r="T3" s="2643"/>
      <c r="U3" s="2643"/>
      <c r="V3" s="2643" t="s">
        <v>1658</v>
      </c>
    </row>
    <row r="4" spans="1:22" ht="28.5">
      <c r="A4" s="2643"/>
      <c r="B4" s="2644"/>
      <c r="C4" s="2644"/>
      <c r="D4" s="2644"/>
      <c r="E4" s="2646"/>
      <c r="F4" s="2643"/>
      <c r="G4" s="2646"/>
      <c r="H4" s="2646"/>
      <c r="I4" s="2646"/>
      <c r="J4" s="2229" t="s">
        <v>1659</v>
      </c>
      <c r="K4" s="2229" t="s">
        <v>1660</v>
      </c>
      <c r="L4" s="2229" t="s">
        <v>1661</v>
      </c>
      <c r="M4" s="2229" t="s">
        <v>1662</v>
      </c>
      <c r="N4" s="2643"/>
      <c r="O4" s="2229" t="s">
        <v>1663</v>
      </c>
      <c r="P4" s="2229" t="s">
        <v>1664</v>
      </c>
      <c r="Q4" s="2229" t="s">
        <v>1665</v>
      </c>
      <c r="R4" s="2229" t="s">
        <v>1666</v>
      </c>
      <c r="S4" s="2229" t="s">
        <v>1667</v>
      </c>
      <c r="T4" s="2229" t="s">
        <v>1668</v>
      </c>
      <c r="U4" s="1143" t="s">
        <v>1669</v>
      </c>
      <c r="V4" s="2643"/>
    </row>
    <row r="5" spans="1:22">
      <c r="A5" s="2643"/>
      <c r="B5" s="179" t="s">
        <v>66</v>
      </c>
      <c r="C5" s="179" t="s">
        <v>67</v>
      </c>
      <c r="D5" s="179" t="s">
        <v>68</v>
      </c>
      <c r="E5" s="179" t="s">
        <v>69</v>
      </c>
      <c r="F5" s="179" t="s">
        <v>70</v>
      </c>
      <c r="G5" s="179" t="s">
        <v>71</v>
      </c>
      <c r="H5" s="179" t="s">
        <v>72</v>
      </c>
      <c r="I5" s="179" t="s">
        <v>73</v>
      </c>
      <c r="J5" s="179" t="s">
        <v>74</v>
      </c>
      <c r="K5" s="179" t="s">
        <v>75</v>
      </c>
      <c r="L5" s="179" t="s">
        <v>234</v>
      </c>
      <c r="M5" s="179" t="s">
        <v>235</v>
      </c>
      <c r="N5" s="179" t="s">
        <v>286</v>
      </c>
      <c r="O5" s="179" t="s">
        <v>287</v>
      </c>
      <c r="P5" s="179" t="s">
        <v>288</v>
      </c>
      <c r="Q5" s="179" t="s">
        <v>289</v>
      </c>
      <c r="R5" s="179" t="s">
        <v>290</v>
      </c>
      <c r="S5" s="179" t="s">
        <v>138</v>
      </c>
      <c r="T5" s="179" t="s">
        <v>139</v>
      </c>
      <c r="U5" s="179" t="s">
        <v>140</v>
      </c>
      <c r="V5" s="179" t="s">
        <v>141</v>
      </c>
    </row>
    <row r="6" spans="1:22">
      <c r="A6" s="1228" t="s">
        <v>1344</v>
      </c>
      <c r="B6" s="182"/>
      <c r="C6" s="1144"/>
      <c r="D6" s="1144"/>
      <c r="E6" s="1145"/>
      <c r="F6" s="1145"/>
      <c r="G6" s="1145"/>
      <c r="H6" s="1145"/>
      <c r="I6" s="1145"/>
      <c r="J6" s="182"/>
      <c r="K6" s="1146"/>
      <c r="L6" s="1147"/>
      <c r="M6" s="182"/>
      <c r="N6" s="1148"/>
      <c r="O6" s="1149"/>
      <c r="P6" s="1148"/>
      <c r="Q6" s="1149"/>
      <c r="R6" s="1149"/>
      <c r="S6" s="1148"/>
      <c r="T6" s="1148"/>
      <c r="U6" s="1148"/>
      <c r="V6" s="1148"/>
    </row>
    <row r="7" spans="1:22">
      <c r="A7" s="1228" t="s">
        <v>76</v>
      </c>
      <c r="B7" s="182"/>
      <c r="C7" s="1144"/>
      <c r="D7" s="1144"/>
      <c r="E7" s="1145"/>
      <c r="F7" s="1145"/>
      <c r="G7" s="1145"/>
      <c r="H7" s="1145"/>
      <c r="I7" s="1145"/>
      <c r="J7" s="182"/>
      <c r="K7" s="182"/>
      <c r="L7" s="1147"/>
      <c r="M7" s="182"/>
      <c r="N7" s="1148"/>
      <c r="O7" s="1149"/>
      <c r="P7" s="1148"/>
      <c r="Q7" s="1149"/>
      <c r="R7" s="1149"/>
      <c r="S7" s="1148"/>
      <c r="T7" s="1148"/>
      <c r="U7" s="1148"/>
      <c r="V7" s="1148"/>
    </row>
    <row r="8" spans="1:22">
      <c r="A8" s="1228" t="s">
        <v>77</v>
      </c>
      <c r="B8" s="182"/>
      <c r="C8" s="1144"/>
      <c r="D8" s="1144"/>
      <c r="E8" s="1145"/>
      <c r="F8" s="1145"/>
      <c r="G8" s="1145"/>
      <c r="H8" s="1145"/>
      <c r="I8" s="1145"/>
      <c r="J8" s="182"/>
      <c r="K8" s="182"/>
      <c r="L8" s="1147"/>
      <c r="M8" s="182"/>
      <c r="N8" s="1148"/>
      <c r="O8" s="1149"/>
      <c r="P8" s="1148"/>
      <c r="Q8" s="1149"/>
      <c r="R8" s="1149"/>
      <c r="S8" s="1148"/>
      <c r="T8" s="1148"/>
      <c r="U8" s="1148"/>
      <c r="V8" s="1148"/>
    </row>
    <row r="9" spans="1:22">
      <c r="A9" s="1228" t="s">
        <v>78</v>
      </c>
      <c r="B9" s="182"/>
      <c r="C9" s="1144"/>
      <c r="D9" s="1144"/>
      <c r="E9" s="1145"/>
      <c r="F9" s="1145"/>
      <c r="G9" s="1145"/>
      <c r="H9" s="1145"/>
      <c r="I9" s="1145"/>
      <c r="J9" s="182"/>
      <c r="K9" s="182"/>
      <c r="L9" s="1147"/>
      <c r="M9" s="182"/>
      <c r="N9" s="1148"/>
      <c r="O9" s="1149"/>
      <c r="P9" s="1148"/>
      <c r="Q9" s="1149"/>
      <c r="R9" s="1149"/>
      <c r="S9" s="1148"/>
      <c r="T9" s="1148"/>
      <c r="U9" s="1148"/>
      <c r="V9" s="1148"/>
    </row>
    <row r="10" spans="1:22">
      <c r="A10" s="1228" t="s">
        <v>79</v>
      </c>
      <c r="B10" s="182"/>
      <c r="C10" s="1144"/>
      <c r="D10" s="1144"/>
      <c r="E10" s="1145"/>
      <c r="F10" s="1145"/>
      <c r="G10" s="1145"/>
      <c r="H10" s="1145"/>
      <c r="I10" s="1145"/>
      <c r="J10" s="182"/>
      <c r="K10" s="182"/>
      <c r="L10" s="1147"/>
      <c r="M10" s="182"/>
      <c r="N10" s="1148"/>
      <c r="O10" s="1149"/>
      <c r="P10" s="1148"/>
      <c r="Q10" s="1149"/>
      <c r="R10" s="1149"/>
      <c r="S10" s="1148"/>
      <c r="T10" s="1148"/>
      <c r="U10" s="1148"/>
      <c r="V10" s="1148"/>
    </row>
    <row r="11" spans="1:22">
      <c r="A11" s="1228" t="s">
        <v>80</v>
      </c>
      <c r="B11" s="182"/>
      <c r="C11" s="1144"/>
      <c r="D11" s="1144"/>
      <c r="E11" s="1145"/>
      <c r="F11" s="1145"/>
      <c r="G11" s="1145"/>
      <c r="H11" s="1145"/>
      <c r="I11" s="1145"/>
      <c r="J11" s="182"/>
      <c r="K11" s="182"/>
      <c r="L11" s="1147"/>
      <c r="M11" s="182"/>
      <c r="N11" s="1148"/>
      <c r="O11" s="1149"/>
      <c r="P11" s="1148"/>
      <c r="Q11" s="1149"/>
      <c r="R11" s="1149"/>
      <c r="S11" s="1148"/>
      <c r="T11" s="1148"/>
      <c r="U11" s="1148"/>
      <c r="V11" s="1148"/>
    </row>
    <row r="12" spans="1:22">
      <c r="A12" s="1228" t="s">
        <v>81</v>
      </c>
      <c r="B12" s="1150"/>
      <c r="C12" s="1151"/>
      <c r="D12" s="1144"/>
      <c r="E12" s="1145"/>
      <c r="F12" s="1145"/>
      <c r="G12" s="1145"/>
      <c r="H12" s="1145"/>
      <c r="I12" s="1145"/>
      <c r="J12" s="182"/>
      <c r="K12" s="182"/>
      <c r="L12" s="1147"/>
      <c r="M12" s="182"/>
      <c r="N12" s="1148"/>
      <c r="O12" s="1149"/>
      <c r="P12" s="1148"/>
      <c r="Q12" s="1149"/>
      <c r="R12" s="1149"/>
      <c r="S12" s="1148"/>
      <c r="T12" s="1148"/>
      <c r="U12" s="1148"/>
      <c r="V12" s="1148"/>
    </row>
    <row r="13" spans="1:22">
      <c r="A13" s="1228" t="s">
        <v>82</v>
      </c>
      <c r="B13" s="1152"/>
      <c r="C13" s="1152"/>
      <c r="D13" s="1152"/>
      <c r="E13" s="1153"/>
      <c r="F13" s="1153"/>
      <c r="G13" s="1153"/>
      <c r="H13" s="1153"/>
      <c r="I13" s="1153"/>
      <c r="J13" s="1152"/>
      <c r="K13" s="1152"/>
      <c r="L13" s="1154"/>
      <c r="M13" s="1155"/>
      <c r="N13" s="1148"/>
      <c r="O13" s="1149"/>
      <c r="P13" s="1148"/>
      <c r="Q13" s="1149"/>
      <c r="R13" s="1149"/>
      <c r="S13" s="1156"/>
      <c r="T13" s="1156"/>
      <c r="U13" s="1156"/>
      <c r="V13" s="1156"/>
    </row>
    <row r="14" spans="1:22">
      <c r="A14" s="1228" t="s">
        <v>83</v>
      </c>
      <c r="B14" s="1152"/>
      <c r="C14" s="1152"/>
      <c r="D14" s="1152"/>
      <c r="E14" s="1153"/>
      <c r="F14" s="1153"/>
      <c r="G14" s="1153"/>
      <c r="H14" s="1153"/>
      <c r="I14" s="1153"/>
      <c r="J14" s="1152"/>
      <c r="K14" s="1152"/>
      <c r="L14" s="1154"/>
      <c r="M14" s="1155"/>
      <c r="N14" s="1148"/>
      <c r="O14" s="1149"/>
      <c r="P14" s="1148"/>
      <c r="Q14" s="1149"/>
      <c r="R14" s="1149"/>
      <c r="S14" s="1156"/>
      <c r="T14" s="1156"/>
      <c r="U14" s="1156"/>
      <c r="V14" s="1156"/>
    </row>
    <row r="15" spans="1:22">
      <c r="A15" s="1228" t="s">
        <v>84</v>
      </c>
      <c r="B15" s="1152"/>
      <c r="C15" s="1152"/>
      <c r="D15" s="1152"/>
      <c r="E15" s="1153"/>
      <c r="F15" s="1153"/>
      <c r="G15" s="1153"/>
      <c r="H15" s="1153"/>
      <c r="I15" s="1153"/>
      <c r="J15" s="1152"/>
      <c r="K15" s="1152"/>
      <c r="L15" s="1154"/>
      <c r="M15" s="1155"/>
      <c r="N15" s="1148"/>
      <c r="O15" s="1149"/>
      <c r="P15" s="1148"/>
      <c r="Q15" s="1149"/>
      <c r="R15" s="1149"/>
      <c r="S15" s="1156"/>
      <c r="T15" s="1156"/>
      <c r="U15" s="1156"/>
      <c r="V15" s="1156"/>
    </row>
    <row r="16" spans="1:22">
      <c r="A16" s="1228" t="s">
        <v>10</v>
      </c>
      <c r="B16" s="1152"/>
      <c r="C16" s="1152"/>
      <c r="D16" s="1152"/>
      <c r="E16" s="1153"/>
      <c r="F16" s="1153"/>
      <c r="G16" s="1153"/>
      <c r="H16" s="1153"/>
      <c r="I16" s="1153"/>
      <c r="J16" s="1152"/>
      <c r="K16" s="1152"/>
      <c r="L16" s="1154"/>
      <c r="M16" s="1155"/>
      <c r="N16" s="1148"/>
      <c r="O16" s="1149"/>
      <c r="P16" s="1148"/>
      <c r="Q16" s="1149"/>
      <c r="R16" s="1149"/>
      <c r="S16" s="1156"/>
      <c r="T16" s="1156"/>
      <c r="U16" s="1156"/>
      <c r="V16" s="1156"/>
    </row>
    <row r="17" spans="1:22">
      <c r="A17" s="1228" t="s">
        <v>12</v>
      </c>
      <c r="B17" s="1152"/>
      <c r="C17" s="1152"/>
      <c r="D17" s="1155"/>
      <c r="E17" s="1153"/>
      <c r="F17" s="1153"/>
      <c r="G17" s="1153"/>
      <c r="H17" s="1153"/>
      <c r="I17" s="1153"/>
      <c r="J17" s="1152"/>
      <c r="K17" s="1152"/>
      <c r="L17" s="1154"/>
      <c r="M17" s="1155"/>
      <c r="N17" s="1148"/>
      <c r="O17" s="1149"/>
      <c r="P17" s="1148"/>
      <c r="Q17" s="1149"/>
      <c r="R17" s="1149"/>
      <c r="S17" s="1156"/>
      <c r="T17" s="1156"/>
      <c r="U17" s="1156"/>
      <c r="V17" s="1156"/>
    </row>
    <row r="18" spans="1:22">
      <c r="A18" s="1228" t="s">
        <v>14</v>
      </c>
      <c r="B18" s="1152"/>
      <c r="C18" s="1152"/>
      <c r="D18" s="1155"/>
      <c r="E18" s="1153"/>
      <c r="F18" s="1153"/>
      <c r="G18" s="1153"/>
      <c r="H18" s="1153"/>
      <c r="I18" s="1153"/>
      <c r="J18" s="1152"/>
      <c r="K18" s="1152"/>
      <c r="L18" s="1154"/>
      <c r="M18" s="1155"/>
      <c r="N18" s="1148"/>
      <c r="O18" s="1149"/>
      <c r="P18" s="1148"/>
      <c r="Q18" s="1149"/>
      <c r="R18" s="1149"/>
      <c r="S18" s="1156"/>
      <c r="T18" s="1156"/>
      <c r="U18" s="1156"/>
      <c r="V18" s="1156"/>
    </row>
    <row r="19" spans="1:22">
      <c r="A19" s="1228" t="s">
        <v>16</v>
      </c>
      <c r="B19" s="2647" t="s">
        <v>1248</v>
      </c>
      <c r="C19" s="2230" t="s">
        <v>1779</v>
      </c>
      <c r="D19" s="1229"/>
      <c r="E19" s="1229"/>
      <c r="F19" s="1229"/>
      <c r="G19" s="1229"/>
      <c r="H19" s="1229"/>
      <c r="I19" s="726"/>
      <c r="J19" s="726"/>
      <c r="K19" s="726"/>
      <c r="L19" s="726"/>
      <c r="M19" s="726"/>
      <c r="N19" s="1229"/>
      <c r="O19" s="1229"/>
      <c r="P19" s="1229"/>
      <c r="Q19" s="1229"/>
      <c r="R19" s="1229"/>
      <c r="S19" s="1229"/>
      <c r="T19" s="1229"/>
      <c r="U19" s="1229"/>
      <c r="V19" s="1229"/>
    </row>
    <row r="20" spans="1:22">
      <c r="A20" s="1228">
        <v>15</v>
      </c>
      <c r="B20" s="2648"/>
      <c r="C20" s="2230" t="s">
        <v>1780</v>
      </c>
      <c r="D20" s="1230"/>
      <c r="E20" s="1230"/>
      <c r="F20" s="1230"/>
      <c r="G20" s="1230"/>
      <c r="H20" s="1230"/>
      <c r="I20" s="726"/>
      <c r="J20" s="726"/>
      <c r="K20" s="726"/>
      <c r="L20" s="726"/>
      <c r="M20" s="726"/>
      <c r="N20" s="1230"/>
      <c r="O20" s="1230"/>
      <c r="P20" s="1230"/>
      <c r="Q20" s="1230"/>
      <c r="R20" s="1230"/>
      <c r="S20" s="1230"/>
      <c r="T20" s="1230"/>
      <c r="U20" s="1230"/>
      <c r="V20" s="1230"/>
    </row>
    <row r="21" spans="1:22">
      <c r="A21" s="1228" t="s">
        <v>1670</v>
      </c>
      <c r="B21" s="2649" t="s">
        <v>1781</v>
      </c>
      <c r="C21" s="2650"/>
      <c r="D21" s="1230"/>
      <c r="E21" s="1230"/>
      <c r="F21" s="1230"/>
      <c r="G21" s="1230"/>
      <c r="H21" s="1230"/>
      <c r="I21" s="726"/>
      <c r="J21" s="726"/>
      <c r="K21" s="726"/>
      <c r="L21" s="726"/>
      <c r="M21" s="726"/>
      <c r="N21" s="1230"/>
      <c r="O21" s="1230"/>
      <c r="P21" s="1230"/>
      <c r="Q21" s="1230"/>
      <c r="R21" s="1230"/>
      <c r="S21" s="1230"/>
      <c r="T21" s="1230"/>
      <c r="U21" s="1230"/>
      <c r="V21" s="1230"/>
    </row>
    <row r="22" spans="1:22">
      <c r="A22" s="1157" t="s">
        <v>395</v>
      </c>
      <c r="B22" s="1157"/>
      <c r="C22" s="1157"/>
      <c r="D22" s="1157"/>
      <c r="E22" s="1157"/>
      <c r="F22" s="1157"/>
      <c r="G22" s="1157"/>
      <c r="H22" s="1157"/>
      <c r="I22" s="1157"/>
      <c r="J22" s="1157"/>
      <c r="K22" s="1157"/>
      <c r="L22" s="1157"/>
      <c r="M22" s="1157"/>
      <c r="N22" s="1157"/>
      <c r="O22" s="1157"/>
      <c r="P22" s="1157"/>
      <c r="Q22" s="1157"/>
      <c r="R22" s="1157"/>
      <c r="S22" s="1157"/>
      <c r="T22" s="1157"/>
      <c r="U22" s="1157"/>
      <c r="V22" s="1157"/>
    </row>
    <row r="23" spans="1:22">
      <c r="A23" s="1158">
        <v>1</v>
      </c>
      <c r="B23" s="1159" t="s">
        <v>1671</v>
      </c>
      <c r="C23" s="1159"/>
      <c r="D23" s="1159"/>
      <c r="E23" s="1159"/>
      <c r="F23" s="1159"/>
      <c r="G23" s="1159"/>
      <c r="H23" s="1159"/>
      <c r="I23" s="1159"/>
      <c r="J23" s="1159"/>
      <c r="K23" s="1159"/>
      <c r="L23" s="1159"/>
      <c r="M23" s="1159"/>
      <c r="N23" s="1159"/>
      <c r="O23" s="1159"/>
      <c r="P23" s="1159"/>
      <c r="Q23" s="1159"/>
      <c r="R23" s="1159"/>
      <c r="S23" s="1159"/>
      <c r="T23" s="1159"/>
      <c r="U23" s="1159"/>
      <c r="V23" s="1159"/>
    </row>
    <row r="24" spans="1:22">
      <c r="A24" s="1158">
        <v>2</v>
      </c>
      <c r="B24" s="1162" t="s">
        <v>1782</v>
      </c>
      <c r="C24" s="1159"/>
      <c r="D24" s="1159"/>
      <c r="E24" s="1159"/>
      <c r="F24" s="1159"/>
      <c r="G24" s="1159"/>
      <c r="H24" s="1159"/>
      <c r="I24" s="1159"/>
      <c r="J24" s="1159"/>
      <c r="K24" s="1159"/>
      <c r="L24" s="1159"/>
      <c r="M24" s="1159"/>
      <c r="N24" s="1159"/>
      <c r="O24" s="1159"/>
      <c r="P24" s="1159"/>
      <c r="Q24" s="1159"/>
      <c r="R24" s="1159"/>
      <c r="S24" s="1159"/>
      <c r="T24" s="1159"/>
      <c r="U24" s="1159"/>
      <c r="V24" s="1159"/>
    </row>
    <row r="25" spans="1:22">
      <c r="A25" s="1158">
        <v>3</v>
      </c>
      <c r="B25" s="1162" t="s">
        <v>1783</v>
      </c>
      <c r="C25" s="1159"/>
      <c r="D25" s="1159"/>
      <c r="E25" s="1159"/>
      <c r="F25" s="1159"/>
      <c r="G25" s="1159"/>
      <c r="H25" s="1159"/>
      <c r="I25" s="1159"/>
      <c r="J25" s="1159"/>
      <c r="K25" s="1159"/>
      <c r="L25" s="1159"/>
      <c r="M25" s="1159"/>
      <c r="N25" s="1159"/>
      <c r="O25" s="1159"/>
      <c r="P25" s="1159"/>
      <c r="Q25" s="1159"/>
      <c r="R25" s="1159"/>
      <c r="S25" s="1159"/>
      <c r="T25" s="1159"/>
      <c r="U25" s="1159"/>
      <c r="V25" s="1159"/>
    </row>
    <row r="26" spans="1:22">
      <c r="A26" s="1158">
        <v>4</v>
      </c>
      <c r="B26" s="693" t="s">
        <v>1784</v>
      </c>
      <c r="C26" s="1159"/>
      <c r="D26" s="1159"/>
      <c r="E26" s="1159"/>
      <c r="F26" s="1159"/>
      <c r="G26" s="1159"/>
      <c r="H26" s="1159"/>
      <c r="I26" s="1159"/>
      <c r="J26" s="1159"/>
      <c r="K26" s="1159"/>
      <c r="L26" s="1159"/>
      <c r="M26" s="1159"/>
      <c r="N26" s="1159"/>
      <c r="O26" s="1159"/>
      <c r="P26" s="1159"/>
      <c r="Q26" s="1159"/>
      <c r="R26" s="1159"/>
      <c r="S26" s="1159"/>
      <c r="T26" s="1159"/>
      <c r="U26" s="1159"/>
      <c r="V26" s="1159"/>
    </row>
    <row r="27" spans="1:22">
      <c r="A27" s="1158">
        <v>5</v>
      </c>
      <c r="B27" s="1141" t="s">
        <v>1785</v>
      </c>
      <c r="C27" s="1159"/>
      <c r="D27" s="1159"/>
      <c r="E27" s="1159"/>
      <c r="F27" s="1159"/>
      <c r="G27" s="1159"/>
      <c r="H27" s="1159"/>
      <c r="I27" s="1159"/>
      <c r="J27" s="1159"/>
      <c r="K27" s="1159"/>
      <c r="L27" s="1159"/>
      <c r="M27" s="1159"/>
      <c r="N27" s="1159"/>
      <c r="O27" s="1159"/>
      <c r="P27" s="1159"/>
      <c r="Q27" s="1159"/>
      <c r="R27" s="1159"/>
      <c r="S27" s="1159"/>
      <c r="T27" s="1159"/>
      <c r="U27" s="1159"/>
      <c r="V27" s="1159"/>
    </row>
    <row r="28" spans="1:22">
      <c r="A28" s="1158">
        <v>6</v>
      </c>
      <c r="B28" s="1231" t="s">
        <v>1672</v>
      </c>
      <c r="C28" s="1159"/>
      <c r="D28" s="1159"/>
      <c r="E28" s="1159"/>
      <c r="F28" s="1159"/>
      <c r="G28" s="1159"/>
      <c r="H28" s="1159"/>
      <c r="I28" s="1159"/>
      <c r="J28" s="1159"/>
      <c r="K28" s="1159"/>
      <c r="L28" s="1159"/>
      <c r="M28" s="1159"/>
      <c r="N28" s="1159"/>
      <c r="O28" s="1159"/>
      <c r="P28" s="1159"/>
      <c r="Q28" s="1159"/>
      <c r="R28" s="1159"/>
      <c r="S28" s="1159"/>
      <c r="T28" s="1159"/>
      <c r="U28" s="1159"/>
      <c r="V28" s="1159"/>
    </row>
    <row r="29" spans="1:22">
      <c r="A29" s="1158">
        <v>7</v>
      </c>
      <c r="B29" s="1232" t="s">
        <v>1834</v>
      </c>
      <c r="C29" s="1159"/>
      <c r="D29" s="1159"/>
      <c r="E29" s="1159"/>
      <c r="F29" s="1159"/>
      <c r="G29" s="1159"/>
      <c r="H29" s="1159"/>
      <c r="I29" s="1159"/>
      <c r="J29" s="1159"/>
      <c r="K29" s="1159"/>
      <c r="L29" s="1159"/>
      <c r="M29" s="1159"/>
      <c r="N29" s="1159"/>
      <c r="O29" s="1159"/>
      <c r="P29" s="1159"/>
      <c r="Q29" s="1159"/>
      <c r="R29" s="1159"/>
      <c r="S29" s="1159"/>
      <c r="T29" s="1159"/>
      <c r="U29" s="1159"/>
      <c r="V29" s="1159"/>
    </row>
    <row r="30" spans="1:22">
      <c r="A30" s="1158">
        <v>8</v>
      </c>
      <c r="B30" s="693" t="s">
        <v>1786</v>
      </c>
      <c r="C30" s="1160"/>
      <c r="D30" s="1160"/>
      <c r="E30" s="1160"/>
      <c r="F30" s="1160"/>
      <c r="G30" s="1160"/>
      <c r="H30" s="1160"/>
      <c r="I30" s="1160"/>
      <c r="J30" s="1160"/>
      <c r="K30" s="1160"/>
      <c r="L30" s="1160"/>
      <c r="M30" s="1160"/>
      <c r="N30" s="1160"/>
      <c r="O30" s="1160"/>
      <c r="P30" s="1160"/>
      <c r="Q30" s="1160"/>
      <c r="R30" s="1160"/>
      <c r="S30" s="1161"/>
      <c r="T30" s="1161"/>
      <c r="U30" s="1161"/>
      <c r="V30" s="1161"/>
    </row>
    <row r="31" spans="1:22">
      <c r="A31" s="1158">
        <v>9</v>
      </c>
      <c r="B31" s="693" t="s">
        <v>1787</v>
      </c>
    </row>
    <row r="32" spans="1:22">
      <c r="A32" s="1158"/>
      <c r="B32" s="693"/>
    </row>
  </sheetData>
  <mergeCells count="16">
    <mergeCell ref="S3:U3"/>
    <mergeCell ref="V3:V4"/>
    <mergeCell ref="B19:B20"/>
    <mergeCell ref="B21:C21"/>
    <mergeCell ref="G3:G4"/>
    <mergeCell ref="H3:H4"/>
    <mergeCell ref="I3:I4"/>
    <mergeCell ref="J3:M3"/>
    <mergeCell ref="N3:N4"/>
    <mergeCell ref="O3:R3"/>
    <mergeCell ref="F3:F4"/>
    <mergeCell ref="A3:A5"/>
    <mergeCell ref="B3:B4"/>
    <mergeCell ref="C3:C4"/>
    <mergeCell ref="D3:D4"/>
    <mergeCell ref="E3:E4"/>
  </mergeCells>
  <phoneticPr fontId="26" type="noConversion"/>
  <dataValidations count="4">
    <dataValidation type="whole" allowBlank="1" showInputMessage="1" showErrorMessage="1" errorTitle="錯誤" error="輸入資料格式錯誤!!" sqref="P6:P18">
      <formula1>-9.99999999999999E+28</formula1>
      <formula2>9.99999999999999E+31</formula2>
    </dataValidation>
    <dataValidation type="decimal" allowBlank="1" showInputMessage="1" showErrorMessage="1" errorTitle="錯誤" error="輸入資料格式錯誤!!" sqref="N6:N18">
      <formula1>-9.99999999999999E+28</formula1>
      <formula2>9.99999999999999E+31</formula2>
    </dataValidation>
    <dataValidation allowBlank="1" showInputMessage="1" showErrorMessage="1" errorTitle="錯誤" error="輸入資料格式錯誤!!" sqref="S6:V21 B6:M21 N19:R21"/>
    <dataValidation type="decimal" allowBlank="1" showInputMessage="1" showErrorMessage="1" errorTitle="錯誤" error="輸入資料格式錯誤!!" sqref="Q6:R18 O6:O18">
      <formula1>-1000</formula1>
      <formula2>1000</formula2>
    </dataValidation>
  </dataValidations>
  <pageMargins left="0.7" right="0.7" top="0.75" bottom="0.75" header="0.3" footer="0.3"/>
  <pageSetup paperSize="9" scale="47"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Z273"/>
  <sheetViews>
    <sheetView view="pageBreakPreview" zoomScaleNormal="110" zoomScaleSheetLayoutView="100" workbookViewId="0">
      <pane xSplit="4" ySplit="5" topLeftCell="M38" activePane="bottomRight" state="frozen"/>
      <selection pane="topRight"/>
      <selection pane="bottomLeft"/>
      <selection pane="bottomRight"/>
    </sheetView>
  </sheetViews>
  <sheetFormatPr defaultRowHeight="16.5"/>
  <cols>
    <col min="1" max="1" width="5.125" style="848" customWidth="1"/>
    <col min="2" max="2" width="9" style="848"/>
    <col min="3" max="3" width="12.25" style="848" customWidth="1"/>
    <col min="4" max="8" width="9" style="848"/>
    <col min="9" max="9" width="9.125" style="848" customWidth="1"/>
    <col min="10" max="10" width="14.875" style="848" customWidth="1"/>
    <col min="11" max="13" width="9" style="848"/>
    <col min="14" max="14" width="16.25" style="848" customWidth="1"/>
    <col min="15" max="15" width="14.625" style="848" customWidth="1"/>
    <col min="16" max="16" width="15.375" style="848" customWidth="1"/>
    <col min="17" max="17" width="20.375" style="848" customWidth="1"/>
    <col min="18" max="18" width="15.625" style="848" customWidth="1"/>
    <col min="19" max="19" width="15.25" style="848" customWidth="1"/>
    <col min="20" max="20" width="15.375" style="848" customWidth="1"/>
    <col min="21" max="21" width="13.625" style="1162" customWidth="1"/>
    <col min="22" max="22" width="13" style="1162" customWidth="1"/>
    <col min="23" max="23" width="13.125" style="1162" customWidth="1"/>
    <col min="24" max="24" width="12" style="848" customWidth="1"/>
    <col min="25" max="16384" width="9" style="848"/>
  </cols>
  <sheetData>
    <row r="1" spans="1:26">
      <c r="A1" s="105" t="str">
        <f>表03!A1</f>
        <v xml:space="preserve"> 保險股份有限公司    年度(月)報表</v>
      </c>
      <c r="B1" s="844"/>
      <c r="C1" s="845"/>
      <c r="D1" s="845"/>
      <c r="E1" s="845"/>
      <c r="F1" s="846"/>
      <c r="G1" s="845"/>
      <c r="H1" s="845"/>
      <c r="I1" s="845"/>
      <c r="J1" s="845"/>
      <c r="K1" s="845"/>
      <c r="L1" s="845"/>
      <c r="M1" s="845"/>
      <c r="N1" s="845"/>
      <c r="O1" s="845"/>
      <c r="P1" s="845"/>
      <c r="Q1" s="845"/>
      <c r="R1" s="845"/>
      <c r="S1" s="845"/>
      <c r="T1" s="845"/>
      <c r="U1" s="1264"/>
      <c r="V1" s="1264"/>
      <c r="W1" s="1264"/>
      <c r="X1" s="845"/>
      <c r="Y1" s="847" t="s">
        <v>1389</v>
      </c>
    </row>
    <row r="2" spans="1:26" ht="17.25" thickBot="1">
      <c r="A2" s="847" t="s">
        <v>1835</v>
      </c>
      <c r="B2" s="847"/>
      <c r="C2" s="845"/>
      <c r="D2" s="845"/>
      <c r="E2" s="845"/>
      <c r="F2" s="846"/>
      <c r="G2" s="845"/>
      <c r="H2" s="845"/>
      <c r="I2" s="845"/>
      <c r="J2" s="845"/>
      <c r="K2" s="845"/>
      <c r="L2" s="845"/>
      <c r="M2" s="845"/>
      <c r="N2" s="845"/>
      <c r="O2" s="845"/>
      <c r="P2" s="845"/>
      <c r="Q2" s="845"/>
      <c r="R2" s="845"/>
      <c r="S2" s="845"/>
      <c r="T2" s="845"/>
      <c r="U2" s="1264"/>
      <c r="V2" s="1264"/>
      <c r="W2" s="1264"/>
      <c r="X2" s="849"/>
      <c r="Y2" s="845"/>
    </row>
    <row r="3" spans="1:26" ht="16.5" customHeight="1">
      <c r="A3" s="2651" t="s">
        <v>677</v>
      </c>
      <c r="B3" s="2654" t="s">
        <v>1390</v>
      </c>
      <c r="C3" s="2656" t="s">
        <v>1391</v>
      </c>
      <c r="D3" s="2656"/>
      <c r="E3" s="2654" t="s">
        <v>1392</v>
      </c>
      <c r="F3" s="2654"/>
      <c r="G3" s="2654"/>
      <c r="H3" s="2654"/>
      <c r="I3" s="2654"/>
      <c r="J3" s="2667" t="s">
        <v>1393</v>
      </c>
      <c r="K3" s="2654" t="s">
        <v>1394</v>
      </c>
      <c r="L3" s="2661" t="s">
        <v>678</v>
      </c>
      <c r="M3" s="2661" t="s">
        <v>1395</v>
      </c>
      <c r="N3" s="2654" t="s">
        <v>1396</v>
      </c>
      <c r="O3" s="2654" t="s">
        <v>1397</v>
      </c>
      <c r="P3" s="2654" t="s">
        <v>1398</v>
      </c>
      <c r="Q3" s="2654" t="s">
        <v>1399</v>
      </c>
      <c r="R3" s="2656" t="s">
        <v>1400</v>
      </c>
      <c r="S3" s="2654" t="s">
        <v>1401</v>
      </c>
      <c r="T3" s="2665" t="s">
        <v>1402</v>
      </c>
      <c r="U3" s="2663" t="s">
        <v>1836</v>
      </c>
      <c r="V3" s="2663" t="s">
        <v>1837</v>
      </c>
      <c r="W3" s="2663" t="s">
        <v>1838</v>
      </c>
      <c r="X3" s="2654" t="s">
        <v>1403</v>
      </c>
      <c r="Y3" s="2654" t="s">
        <v>1388</v>
      </c>
      <c r="Z3" s="2659" t="s">
        <v>1291</v>
      </c>
    </row>
    <row r="4" spans="1:26" ht="28.5">
      <c r="A4" s="2652"/>
      <c r="B4" s="2655"/>
      <c r="C4" s="2657"/>
      <c r="D4" s="2657"/>
      <c r="E4" s="2239" t="s">
        <v>1292</v>
      </c>
      <c r="F4" s="2239" t="s">
        <v>1293</v>
      </c>
      <c r="G4" s="2285" t="s">
        <v>1404</v>
      </c>
      <c r="H4" s="2285" t="s">
        <v>1405</v>
      </c>
      <c r="I4" s="2285" t="s">
        <v>1308</v>
      </c>
      <c r="J4" s="2662"/>
      <c r="K4" s="2655"/>
      <c r="L4" s="2662"/>
      <c r="M4" s="2662"/>
      <c r="N4" s="2657"/>
      <c r="O4" s="2657"/>
      <c r="P4" s="2655"/>
      <c r="Q4" s="2655"/>
      <c r="R4" s="2657"/>
      <c r="S4" s="2655"/>
      <c r="T4" s="2666"/>
      <c r="U4" s="2664"/>
      <c r="V4" s="2664"/>
      <c r="W4" s="2664"/>
      <c r="X4" s="2655"/>
      <c r="Y4" s="2655"/>
      <c r="Z4" s="2660"/>
    </row>
    <row r="5" spans="1:26" ht="17.25" thickBot="1">
      <c r="A5" s="2653"/>
      <c r="B5" s="2240" t="s">
        <v>66</v>
      </c>
      <c r="C5" s="2658" t="s">
        <v>67</v>
      </c>
      <c r="D5" s="2658"/>
      <c r="E5" s="2240" t="s">
        <v>68</v>
      </c>
      <c r="F5" s="2240" t="s">
        <v>69</v>
      </c>
      <c r="G5" s="2240" t="s">
        <v>70</v>
      </c>
      <c r="H5" s="2240" t="s">
        <v>71</v>
      </c>
      <c r="I5" s="2240" t="s">
        <v>72</v>
      </c>
      <c r="J5" s="2240" t="s">
        <v>470</v>
      </c>
      <c r="K5" s="2240" t="s">
        <v>471</v>
      </c>
      <c r="L5" s="2240" t="s">
        <v>472</v>
      </c>
      <c r="M5" s="2240" t="s">
        <v>473</v>
      </c>
      <c r="N5" s="2240" t="s">
        <v>2065</v>
      </c>
      <c r="O5" s="2240" t="s">
        <v>474</v>
      </c>
      <c r="P5" s="2240" t="s">
        <v>475</v>
      </c>
      <c r="Q5" s="2240" t="s">
        <v>476</v>
      </c>
      <c r="R5" s="2240" t="s">
        <v>477</v>
      </c>
      <c r="S5" s="2240" t="s">
        <v>478</v>
      </c>
      <c r="T5" s="2240" t="s">
        <v>479</v>
      </c>
      <c r="U5" s="1351" t="s">
        <v>1805</v>
      </c>
      <c r="V5" s="1351" t="s">
        <v>481</v>
      </c>
      <c r="W5" s="1351" t="s">
        <v>1806</v>
      </c>
      <c r="X5" s="1364" t="s">
        <v>1807</v>
      </c>
      <c r="Y5" s="1364" t="s">
        <v>1808</v>
      </c>
      <c r="Z5" s="1364" t="s">
        <v>1809</v>
      </c>
    </row>
    <row r="6" spans="1:26" ht="14.25" customHeight="1">
      <c r="A6" s="851">
        <v>1</v>
      </c>
      <c r="B6" s="2670" t="s">
        <v>587</v>
      </c>
      <c r="C6" s="2673" t="s">
        <v>1406</v>
      </c>
      <c r="D6" s="2676" t="s">
        <v>1683</v>
      </c>
      <c r="E6" s="852" t="s">
        <v>1407</v>
      </c>
      <c r="F6" s="853"/>
      <c r="G6" s="854"/>
      <c r="H6" s="854"/>
      <c r="I6" s="854"/>
      <c r="J6" s="854"/>
      <c r="K6" s="855"/>
      <c r="L6" s="855"/>
      <c r="M6" s="855"/>
      <c r="N6" s="855"/>
      <c r="O6" s="855"/>
      <c r="P6" s="856"/>
      <c r="Q6" s="855"/>
      <c r="R6" s="855"/>
      <c r="S6" s="855"/>
      <c r="T6" s="856"/>
      <c r="U6" s="1265"/>
      <c r="V6" s="1265"/>
      <c r="W6" s="1265"/>
      <c r="X6" s="855"/>
      <c r="Y6" s="855"/>
      <c r="Z6" s="857"/>
    </row>
    <row r="7" spans="1:26">
      <c r="A7" s="858">
        <v>2</v>
      </c>
      <c r="B7" s="2671"/>
      <c r="C7" s="2674"/>
      <c r="D7" s="2677"/>
      <c r="E7" s="859"/>
      <c r="F7" s="859"/>
      <c r="G7" s="860"/>
      <c r="H7" s="860"/>
      <c r="I7" s="860"/>
      <c r="J7" s="860"/>
      <c r="K7" s="861"/>
      <c r="L7" s="861"/>
      <c r="M7" s="861"/>
      <c r="N7" s="861"/>
      <c r="O7" s="861"/>
      <c r="P7" s="862"/>
      <c r="Q7" s="861"/>
      <c r="R7" s="861"/>
      <c r="S7" s="861"/>
      <c r="T7" s="862"/>
      <c r="U7" s="1266"/>
      <c r="V7" s="1266"/>
      <c r="W7" s="1266"/>
      <c r="X7" s="861"/>
      <c r="Y7" s="861"/>
      <c r="Z7" s="863"/>
    </row>
    <row r="8" spans="1:26">
      <c r="A8" s="858">
        <v>3</v>
      </c>
      <c r="B8" s="2671"/>
      <c r="C8" s="2674"/>
      <c r="D8" s="2677"/>
      <c r="E8" s="859"/>
      <c r="F8" s="859"/>
      <c r="G8" s="860"/>
      <c r="H8" s="860"/>
      <c r="I8" s="860"/>
      <c r="J8" s="860"/>
      <c r="K8" s="861"/>
      <c r="L8" s="861"/>
      <c r="M8" s="861"/>
      <c r="N8" s="861"/>
      <c r="O8" s="861"/>
      <c r="P8" s="862"/>
      <c r="Q8" s="861"/>
      <c r="R8" s="861"/>
      <c r="S8" s="861"/>
      <c r="T8" s="862"/>
      <c r="U8" s="1266"/>
      <c r="V8" s="1266"/>
      <c r="W8" s="1266"/>
      <c r="X8" s="861"/>
      <c r="Y8" s="861"/>
      <c r="Z8" s="863"/>
    </row>
    <row r="9" spans="1:26">
      <c r="A9" s="858">
        <v>4</v>
      </c>
      <c r="B9" s="2671"/>
      <c r="C9" s="2674"/>
      <c r="D9" s="2677"/>
      <c r="E9" s="859"/>
      <c r="F9" s="859"/>
      <c r="G9" s="860"/>
      <c r="H9" s="860"/>
      <c r="I9" s="860"/>
      <c r="J9" s="860"/>
      <c r="K9" s="861"/>
      <c r="L9" s="861"/>
      <c r="M9" s="861"/>
      <c r="N9" s="861"/>
      <c r="O9" s="861"/>
      <c r="P9" s="862"/>
      <c r="Q9" s="861"/>
      <c r="R9" s="861"/>
      <c r="S9" s="861"/>
      <c r="T9" s="862"/>
      <c r="U9" s="1266"/>
      <c r="V9" s="1266"/>
      <c r="W9" s="1266"/>
      <c r="X9" s="861"/>
      <c r="Y9" s="861"/>
      <c r="Z9" s="863"/>
    </row>
    <row r="10" spans="1:26">
      <c r="A10" s="858">
        <v>5</v>
      </c>
      <c r="B10" s="2671"/>
      <c r="C10" s="2674"/>
      <c r="D10" s="2677"/>
      <c r="E10" s="859"/>
      <c r="F10" s="859"/>
      <c r="G10" s="860"/>
      <c r="H10" s="860"/>
      <c r="I10" s="860"/>
      <c r="J10" s="860"/>
      <c r="K10" s="861"/>
      <c r="L10" s="861"/>
      <c r="M10" s="861"/>
      <c r="N10" s="861"/>
      <c r="O10" s="861"/>
      <c r="P10" s="862"/>
      <c r="Q10" s="861"/>
      <c r="R10" s="861"/>
      <c r="S10" s="861"/>
      <c r="T10" s="862"/>
      <c r="U10" s="1266"/>
      <c r="V10" s="1266"/>
      <c r="W10" s="1266"/>
      <c r="X10" s="861"/>
      <c r="Y10" s="861"/>
      <c r="Z10" s="863"/>
    </row>
    <row r="11" spans="1:26">
      <c r="A11" s="858">
        <v>6</v>
      </c>
      <c r="B11" s="2671"/>
      <c r="C11" s="2674"/>
      <c r="D11" s="2677"/>
      <c r="E11" s="859"/>
      <c r="F11" s="859"/>
      <c r="G11" s="860"/>
      <c r="H11" s="860"/>
      <c r="I11" s="860"/>
      <c r="J11" s="860"/>
      <c r="K11" s="861"/>
      <c r="L11" s="861"/>
      <c r="M11" s="861"/>
      <c r="N11" s="861"/>
      <c r="O11" s="861"/>
      <c r="P11" s="862"/>
      <c r="Q11" s="861"/>
      <c r="R11" s="861"/>
      <c r="S11" s="861"/>
      <c r="T11" s="862"/>
      <c r="U11" s="1266"/>
      <c r="V11" s="1266"/>
      <c r="W11" s="1266"/>
      <c r="X11" s="861"/>
      <c r="Y11" s="861"/>
      <c r="Z11" s="863"/>
    </row>
    <row r="12" spans="1:26">
      <c r="A12" s="858">
        <v>7</v>
      </c>
      <c r="B12" s="2671"/>
      <c r="C12" s="2674"/>
      <c r="D12" s="2677"/>
      <c r="E12" s="859"/>
      <c r="F12" s="859"/>
      <c r="G12" s="860"/>
      <c r="H12" s="860"/>
      <c r="I12" s="860"/>
      <c r="J12" s="860"/>
      <c r="K12" s="861"/>
      <c r="L12" s="861"/>
      <c r="M12" s="861"/>
      <c r="N12" s="861"/>
      <c r="O12" s="861"/>
      <c r="P12" s="862"/>
      <c r="Q12" s="861"/>
      <c r="R12" s="861"/>
      <c r="S12" s="861"/>
      <c r="T12" s="862"/>
      <c r="U12" s="1266"/>
      <c r="V12" s="1266"/>
      <c r="W12" s="1266"/>
      <c r="X12" s="861"/>
      <c r="Y12" s="861"/>
      <c r="Z12" s="863"/>
    </row>
    <row r="13" spans="1:26">
      <c r="A13" s="858">
        <v>8</v>
      </c>
      <c r="B13" s="2671"/>
      <c r="C13" s="2674"/>
      <c r="D13" s="2677"/>
      <c r="E13" s="859"/>
      <c r="F13" s="859"/>
      <c r="G13" s="860"/>
      <c r="H13" s="860"/>
      <c r="I13" s="860"/>
      <c r="J13" s="860"/>
      <c r="K13" s="861"/>
      <c r="L13" s="861"/>
      <c r="M13" s="861"/>
      <c r="N13" s="861"/>
      <c r="O13" s="861"/>
      <c r="P13" s="862"/>
      <c r="Q13" s="861"/>
      <c r="R13" s="861"/>
      <c r="S13" s="861"/>
      <c r="T13" s="862"/>
      <c r="U13" s="1266"/>
      <c r="V13" s="1266"/>
      <c r="W13" s="1266"/>
      <c r="X13" s="861"/>
      <c r="Y13" s="861"/>
      <c r="Z13" s="863"/>
    </row>
    <row r="14" spans="1:26">
      <c r="A14" s="858">
        <v>9</v>
      </c>
      <c r="B14" s="2671"/>
      <c r="C14" s="2674"/>
      <c r="D14" s="2677"/>
      <c r="E14" s="859"/>
      <c r="F14" s="859"/>
      <c r="G14" s="860"/>
      <c r="H14" s="860"/>
      <c r="I14" s="860"/>
      <c r="J14" s="860"/>
      <c r="K14" s="861"/>
      <c r="L14" s="861"/>
      <c r="M14" s="861"/>
      <c r="N14" s="861"/>
      <c r="O14" s="861"/>
      <c r="P14" s="862"/>
      <c r="Q14" s="861"/>
      <c r="R14" s="861"/>
      <c r="S14" s="861"/>
      <c r="T14" s="862"/>
      <c r="U14" s="1266"/>
      <c r="V14" s="1266"/>
      <c r="W14" s="1266"/>
      <c r="X14" s="861"/>
      <c r="Y14" s="861"/>
      <c r="Z14" s="863"/>
    </row>
    <row r="15" spans="1:26">
      <c r="A15" s="858">
        <v>10</v>
      </c>
      <c r="B15" s="2671"/>
      <c r="C15" s="2674"/>
      <c r="D15" s="2677"/>
      <c r="E15" s="859"/>
      <c r="F15" s="859"/>
      <c r="G15" s="860"/>
      <c r="H15" s="860"/>
      <c r="I15" s="860"/>
      <c r="J15" s="860"/>
      <c r="K15" s="861"/>
      <c r="L15" s="861"/>
      <c r="M15" s="861"/>
      <c r="N15" s="861"/>
      <c r="O15" s="861"/>
      <c r="P15" s="862"/>
      <c r="Q15" s="861"/>
      <c r="R15" s="861"/>
      <c r="S15" s="861"/>
      <c r="T15" s="862"/>
      <c r="U15" s="1266"/>
      <c r="V15" s="1266"/>
      <c r="W15" s="1266"/>
      <c r="X15" s="861"/>
      <c r="Y15" s="861"/>
      <c r="Z15" s="863"/>
    </row>
    <row r="16" spans="1:26">
      <c r="A16" s="858">
        <v>11</v>
      </c>
      <c r="B16" s="2671"/>
      <c r="C16" s="2674"/>
      <c r="D16" s="2677"/>
      <c r="E16" s="859"/>
      <c r="F16" s="859"/>
      <c r="G16" s="860"/>
      <c r="H16" s="860"/>
      <c r="I16" s="860"/>
      <c r="J16" s="860"/>
      <c r="K16" s="861"/>
      <c r="L16" s="861"/>
      <c r="M16" s="861"/>
      <c r="N16" s="861"/>
      <c r="O16" s="861"/>
      <c r="P16" s="862"/>
      <c r="Q16" s="861"/>
      <c r="R16" s="861"/>
      <c r="S16" s="861"/>
      <c r="T16" s="862"/>
      <c r="U16" s="1266"/>
      <c r="V16" s="1266"/>
      <c r="W16" s="1266"/>
      <c r="X16" s="861"/>
      <c r="Y16" s="861"/>
      <c r="Z16" s="863"/>
    </row>
    <row r="17" spans="1:26">
      <c r="A17" s="858">
        <v>12</v>
      </c>
      <c r="B17" s="2671"/>
      <c r="C17" s="2674"/>
      <c r="D17" s="2677"/>
      <c r="E17" s="859"/>
      <c r="F17" s="859"/>
      <c r="G17" s="860"/>
      <c r="H17" s="860"/>
      <c r="I17" s="860"/>
      <c r="J17" s="860"/>
      <c r="K17" s="861"/>
      <c r="L17" s="861"/>
      <c r="M17" s="861"/>
      <c r="N17" s="861"/>
      <c r="O17" s="861"/>
      <c r="P17" s="862"/>
      <c r="Q17" s="861"/>
      <c r="R17" s="861"/>
      <c r="S17" s="861"/>
      <c r="T17" s="862"/>
      <c r="U17" s="1266"/>
      <c r="V17" s="1266"/>
      <c r="W17" s="1266"/>
      <c r="X17" s="861"/>
      <c r="Y17" s="861"/>
      <c r="Z17" s="863"/>
    </row>
    <row r="18" spans="1:26">
      <c r="A18" s="858">
        <v>13</v>
      </c>
      <c r="B18" s="2671"/>
      <c r="C18" s="2674"/>
      <c r="D18" s="2233" t="s">
        <v>1408</v>
      </c>
      <c r="E18" s="864"/>
      <c r="F18" s="864"/>
      <c r="G18" s="865"/>
      <c r="H18" s="865"/>
      <c r="I18" s="865"/>
      <c r="J18" s="865"/>
      <c r="K18" s="866"/>
      <c r="L18" s="866"/>
      <c r="M18" s="866"/>
      <c r="N18" s="861">
        <f>SUM(N6:N17)</f>
        <v>0</v>
      </c>
      <c r="O18" s="861">
        <f>SUM(O6:O17)</f>
        <v>0</v>
      </c>
      <c r="P18" s="861">
        <f>SUM(P6:P17)</f>
        <v>0</v>
      </c>
      <c r="Q18" s="866"/>
      <c r="R18" s="861">
        <f>SUM(R6:R17)</f>
        <v>0</v>
      </c>
      <c r="S18" s="866"/>
      <c r="T18" s="867"/>
      <c r="U18" s="1266"/>
      <c r="V18" s="1266"/>
      <c r="W18" s="1266"/>
      <c r="X18" s="866"/>
      <c r="Y18" s="866"/>
      <c r="Z18" s="868"/>
    </row>
    <row r="19" spans="1:26" ht="14.25" customHeight="1">
      <c r="A19" s="858">
        <v>14</v>
      </c>
      <c r="B19" s="2671"/>
      <c r="C19" s="2674"/>
      <c r="D19" s="2678" t="s">
        <v>1680</v>
      </c>
      <c r="E19" s="859"/>
      <c r="F19" s="859"/>
      <c r="G19" s="860"/>
      <c r="H19" s="860"/>
      <c r="I19" s="860"/>
      <c r="J19" s="860"/>
      <c r="K19" s="861"/>
      <c r="L19" s="861"/>
      <c r="M19" s="861"/>
      <c r="N19" s="861"/>
      <c r="O19" s="861"/>
      <c r="P19" s="862"/>
      <c r="Q19" s="861"/>
      <c r="R19" s="861"/>
      <c r="S19" s="861"/>
      <c r="T19" s="862"/>
      <c r="U19" s="1266"/>
      <c r="V19" s="1266"/>
      <c r="W19" s="1266"/>
      <c r="X19" s="861"/>
      <c r="Y19" s="861"/>
      <c r="Z19" s="863"/>
    </row>
    <row r="20" spans="1:26">
      <c r="A20" s="858">
        <v>15</v>
      </c>
      <c r="B20" s="2671"/>
      <c r="C20" s="2674"/>
      <c r="D20" s="2677"/>
      <c r="E20" s="859"/>
      <c r="F20" s="859"/>
      <c r="G20" s="860"/>
      <c r="H20" s="860"/>
      <c r="I20" s="860"/>
      <c r="J20" s="860"/>
      <c r="K20" s="861"/>
      <c r="L20" s="861"/>
      <c r="M20" s="861"/>
      <c r="N20" s="861"/>
      <c r="O20" s="861"/>
      <c r="P20" s="862"/>
      <c r="Q20" s="861"/>
      <c r="R20" s="861"/>
      <c r="S20" s="861"/>
      <c r="T20" s="862"/>
      <c r="U20" s="1266"/>
      <c r="V20" s="1266"/>
      <c r="W20" s="1266"/>
      <c r="X20" s="861"/>
      <c r="Y20" s="861"/>
      <c r="Z20" s="863"/>
    </row>
    <row r="21" spans="1:26">
      <c r="A21" s="858">
        <v>16</v>
      </c>
      <c r="B21" s="2671"/>
      <c r="C21" s="2674"/>
      <c r="D21" s="2677"/>
      <c r="E21" s="859"/>
      <c r="F21" s="859"/>
      <c r="G21" s="860"/>
      <c r="H21" s="860"/>
      <c r="I21" s="860"/>
      <c r="J21" s="860"/>
      <c r="K21" s="861"/>
      <c r="L21" s="861"/>
      <c r="M21" s="861"/>
      <c r="N21" s="861"/>
      <c r="O21" s="861"/>
      <c r="P21" s="862"/>
      <c r="Q21" s="861"/>
      <c r="R21" s="861"/>
      <c r="S21" s="861"/>
      <c r="T21" s="862"/>
      <c r="U21" s="1266"/>
      <c r="V21" s="1266"/>
      <c r="W21" s="1266"/>
      <c r="X21" s="861"/>
      <c r="Y21" s="861"/>
      <c r="Z21" s="863"/>
    </row>
    <row r="22" spans="1:26">
      <c r="A22" s="858">
        <v>17</v>
      </c>
      <c r="B22" s="2671"/>
      <c r="C22" s="2674"/>
      <c r="D22" s="2677"/>
      <c r="E22" s="859"/>
      <c r="F22" s="859"/>
      <c r="G22" s="860"/>
      <c r="H22" s="860"/>
      <c r="I22" s="860"/>
      <c r="J22" s="860"/>
      <c r="K22" s="861"/>
      <c r="L22" s="861"/>
      <c r="M22" s="861"/>
      <c r="N22" s="861"/>
      <c r="O22" s="861"/>
      <c r="P22" s="862"/>
      <c r="Q22" s="861"/>
      <c r="R22" s="861"/>
      <c r="S22" s="861"/>
      <c r="T22" s="862"/>
      <c r="U22" s="1266"/>
      <c r="V22" s="1266"/>
      <c r="W22" s="1266"/>
      <c r="X22" s="861"/>
      <c r="Y22" s="861"/>
      <c r="Z22" s="863"/>
    </row>
    <row r="23" spans="1:26">
      <c r="A23" s="858">
        <v>18</v>
      </c>
      <c r="B23" s="2671"/>
      <c r="C23" s="2674"/>
      <c r="D23" s="2677"/>
      <c r="E23" s="859"/>
      <c r="F23" s="859"/>
      <c r="G23" s="860"/>
      <c r="H23" s="860"/>
      <c r="I23" s="860"/>
      <c r="J23" s="860"/>
      <c r="K23" s="861"/>
      <c r="L23" s="861"/>
      <c r="M23" s="861"/>
      <c r="N23" s="861"/>
      <c r="O23" s="861"/>
      <c r="P23" s="862"/>
      <c r="Q23" s="861"/>
      <c r="R23" s="861"/>
      <c r="S23" s="861"/>
      <c r="T23" s="862"/>
      <c r="U23" s="1266"/>
      <c r="V23" s="1266"/>
      <c r="W23" s="1266"/>
      <c r="X23" s="861"/>
      <c r="Y23" s="861"/>
      <c r="Z23" s="863"/>
    </row>
    <row r="24" spans="1:26">
      <c r="A24" s="858">
        <v>19</v>
      </c>
      <c r="B24" s="2671"/>
      <c r="C24" s="2674"/>
      <c r="D24" s="2677"/>
      <c r="E24" s="859"/>
      <c r="F24" s="859"/>
      <c r="G24" s="860"/>
      <c r="H24" s="860"/>
      <c r="I24" s="860"/>
      <c r="J24" s="860"/>
      <c r="K24" s="861"/>
      <c r="L24" s="861"/>
      <c r="M24" s="861"/>
      <c r="N24" s="861"/>
      <c r="O24" s="861"/>
      <c r="P24" s="862"/>
      <c r="Q24" s="861"/>
      <c r="R24" s="861"/>
      <c r="S24" s="861"/>
      <c r="T24" s="862"/>
      <c r="U24" s="1266"/>
      <c r="V24" s="1266"/>
      <c r="W24" s="1266"/>
      <c r="X24" s="861"/>
      <c r="Y24" s="861"/>
      <c r="Z24" s="863"/>
    </row>
    <row r="25" spans="1:26">
      <c r="A25" s="858">
        <v>20</v>
      </c>
      <c r="B25" s="2671"/>
      <c r="C25" s="2674"/>
      <c r="D25" s="2677"/>
      <c r="E25" s="859"/>
      <c r="F25" s="859"/>
      <c r="G25" s="860"/>
      <c r="H25" s="860"/>
      <c r="I25" s="860"/>
      <c r="J25" s="860"/>
      <c r="K25" s="861"/>
      <c r="L25" s="861"/>
      <c r="M25" s="861"/>
      <c r="N25" s="861"/>
      <c r="O25" s="861"/>
      <c r="P25" s="862"/>
      <c r="Q25" s="861"/>
      <c r="R25" s="861"/>
      <c r="S25" s="861"/>
      <c r="T25" s="862"/>
      <c r="U25" s="1266"/>
      <c r="V25" s="1266"/>
      <c r="W25" s="1266"/>
      <c r="X25" s="861"/>
      <c r="Y25" s="861"/>
      <c r="Z25" s="863"/>
    </row>
    <row r="26" spans="1:26">
      <c r="A26" s="858">
        <v>21</v>
      </c>
      <c r="B26" s="2671"/>
      <c r="C26" s="2674"/>
      <c r="D26" s="2677"/>
      <c r="E26" s="859"/>
      <c r="F26" s="859"/>
      <c r="G26" s="860"/>
      <c r="H26" s="860"/>
      <c r="I26" s="860"/>
      <c r="J26" s="860"/>
      <c r="K26" s="861"/>
      <c r="L26" s="861"/>
      <c r="M26" s="861"/>
      <c r="N26" s="861"/>
      <c r="O26" s="861"/>
      <c r="P26" s="862"/>
      <c r="Q26" s="861"/>
      <c r="R26" s="861"/>
      <c r="S26" s="861"/>
      <c r="T26" s="862"/>
      <c r="U26" s="1266"/>
      <c r="V26" s="1266"/>
      <c r="W26" s="1266"/>
      <c r="X26" s="861"/>
      <c r="Y26" s="861"/>
      <c r="Z26" s="863"/>
    </row>
    <row r="27" spans="1:26">
      <c r="A27" s="858">
        <v>22</v>
      </c>
      <c r="B27" s="2671"/>
      <c r="C27" s="2674"/>
      <c r="D27" s="2677"/>
      <c r="E27" s="859"/>
      <c r="F27" s="859"/>
      <c r="G27" s="860"/>
      <c r="H27" s="860"/>
      <c r="I27" s="860"/>
      <c r="J27" s="860"/>
      <c r="K27" s="861"/>
      <c r="L27" s="861"/>
      <c r="M27" s="861"/>
      <c r="N27" s="861"/>
      <c r="O27" s="861"/>
      <c r="P27" s="862"/>
      <c r="Q27" s="861"/>
      <c r="R27" s="861"/>
      <c r="S27" s="861"/>
      <c r="T27" s="862"/>
      <c r="U27" s="1266"/>
      <c r="V27" s="1266"/>
      <c r="W27" s="1266"/>
      <c r="X27" s="861"/>
      <c r="Y27" s="861"/>
      <c r="Z27" s="863"/>
    </row>
    <row r="28" spans="1:26">
      <c r="A28" s="858">
        <v>23</v>
      </c>
      <c r="B28" s="2671"/>
      <c r="C28" s="2674"/>
      <c r="D28" s="2677"/>
      <c r="E28" s="859"/>
      <c r="F28" s="859"/>
      <c r="G28" s="860"/>
      <c r="H28" s="860"/>
      <c r="I28" s="860"/>
      <c r="J28" s="860"/>
      <c r="K28" s="861"/>
      <c r="L28" s="861"/>
      <c r="M28" s="861"/>
      <c r="N28" s="861"/>
      <c r="O28" s="861"/>
      <c r="P28" s="862"/>
      <c r="Q28" s="861"/>
      <c r="R28" s="861"/>
      <c r="S28" s="861"/>
      <c r="T28" s="862"/>
      <c r="U28" s="1266"/>
      <c r="V28" s="1266"/>
      <c r="W28" s="1266"/>
      <c r="X28" s="861"/>
      <c r="Y28" s="861"/>
      <c r="Z28" s="863"/>
    </row>
    <row r="29" spans="1:26">
      <c r="A29" s="858">
        <v>24</v>
      </c>
      <c r="B29" s="2671"/>
      <c r="C29" s="2674"/>
      <c r="D29" s="2677"/>
      <c r="E29" s="859"/>
      <c r="F29" s="859"/>
      <c r="G29" s="860"/>
      <c r="H29" s="860"/>
      <c r="I29" s="860"/>
      <c r="J29" s="860"/>
      <c r="K29" s="861"/>
      <c r="L29" s="861"/>
      <c r="M29" s="861"/>
      <c r="N29" s="861"/>
      <c r="O29" s="861"/>
      <c r="P29" s="862"/>
      <c r="Q29" s="861"/>
      <c r="R29" s="861"/>
      <c r="S29" s="861"/>
      <c r="T29" s="862"/>
      <c r="U29" s="1266"/>
      <c r="V29" s="1266"/>
      <c r="W29" s="1266"/>
      <c r="X29" s="861"/>
      <c r="Y29" s="861"/>
      <c r="Z29" s="863"/>
    </row>
    <row r="30" spans="1:26">
      <c r="A30" s="858">
        <v>25</v>
      </c>
      <c r="B30" s="2671"/>
      <c r="C30" s="2674"/>
      <c r="D30" s="2677"/>
      <c r="E30" s="859"/>
      <c r="F30" s="859"/>
      <c r="G30" s="860"/>
      <c r="H30" s="860"/>
      <c r="I30" s="860"/>
      <c r="J30" s="860"/>
      <c r="K30" s="861"/>
      <c r="L30" s="861"/>
      <c r="M30" s="861"/>
      <c r="N30" s="861"/>
      <c r="O30" s="861"/>
      <c r="P30" s="862"/>
      <c r="Q30" s="861"/>
      <c r="R30" s="861"/>
      <c r="S30" s="861"/>
      <c r="T30" s="862"/>
      <c r="U30" s="1266"/>
      <c r="V30" s="1266"/>
      <c r="W30" s="1266"/>
      <c r="X30" s="861"/>
      <c r="Y30" s="861"/>
      <c r="Z30" s="863"/>
    </row>
    <row r="31" spans="1:26" ht="17.25" thickBot="1">
      <c r="A31" s="858">
        <v>26</v>
      </c>
      <c r="B31" s="2671"/>
      <c r="C31" s="2675"/>
      <c r="D31" s="869" t="s">
        <v>588</v>
      </c>
      <c r="E31" s="870"/>
      <c r="F31" s="870"/>
      <c r="G31" s="870"/>
      <c r="H31" s="870"/>
      <c r="I31" s="870"/>
      <c r="J31" s="870"/>
      <c r="K31" s="870"/>
      <c r="L31" s="870"/>
      <c r="M31" s="870"/>
      <c r="N31" s="871">
        <f>SUM(N19:N30)</f>
        <v>0</v>
      </c>
      <c r="O31" s="871">
        <f>SUM(O19:O30)</f>
        <v>0</v>
      </c>
      <c r="P31" s="871">
        <f>SUM(P19:P30)</f>
        <v>0</v>
      </c>
      <c r="Q31" s="872"/>
      <c r="R31" s="871">
        <f>SUM(R19:R30)</f>
        <v>0</v>
      </c>
      <c r="S31" s="872"/>
      <c r="T31" s="872"/>
      <c r="U31" s="1262"/>
      <c r="V31" s="1262"/>
      <c r="W31" s="1262"/>
      <c r="X31" s="872"/>
      <c r="Y31" s="872"/>
      <c r="Z31" s="873"/>
    </row>
    <row r="32" spans="1:26" ht="16.5" customHeight="1">
      <c r="A32" s="858">
        <v>27</v>
      </c>
      <c r="B32" s="2671"/>
      <c r="C32" s="2673" t="s">
        <v>1409</v>
      </c>
      <c r="D32" s="2679" t="s">
        <v>1681</v>
      </c>
      <c r="E32" s="853"/>
      <c r="F32" s="853"/>
      <c r="G32" s="854"/>
      <c r="H32" s="854"/>
      <c r="I32" s="854"/>
      <c r="J32" s="854"/>
      <c r="K32" s="855"/>
      <c r="L32" s="855"/>
      <c r="M32" s="855"/>
      <c r="N32" s="855"/>
      <c r="O32" s="855"/>
      <c r="P32" s="856"/>
      <c r="Q32" s="855"/>
      <c r="R32" s="855"/>
      <c r="S32" s="855"/>
      <c r="T32" s="856"/>
      <c r="U32" s="1266"/>
      <c r="V32" s="1266"/>
      <c r="W32" s="1266"/>
      <c r="X32" s="855"/>
      <c r="Y32" s="855"/>
      <c r="Z32" s="857"/>
    </row>
    <row r="33" spans="1:26">
      <c r="A33" s="858">
        <v>28</v>
      </c>
      <c r="B33" s="2671"/>
      <c r="C33" s="2674"/>
      <c r="D33" s="2680"/>
      <c r="E33" s="859"/>
      <c r="F33" s="859"/>
      <c r="G33" s="860"/>
      <c r="H33" s="860"/>
      <c r="I33" s="860"/>
      <c r="J33" s="860"/>
      <c r="K33" s="861"/>
      <c r="L33" s="861"/>
      <c r="M33" s="861"/>
      <c r="N33" s="861"/>
      <c r="O33" s="861"/>
      <c r="P33" s="862"/>
      <c r="Q33" s="861"/>
      <c r="R33" s="861"/>
      <c r="S33" s="861"/>
      <c r="T33" s="862"/>
      <c r="U33" s="1266"/>
      <c r="V33" s="1266"/>
      <c r="W33" s="1266"/>
      <c r="X33" s="861"/>
      <c r="Y33" s="861"/>
      <c r="Z33" s="863"/>
    </row>
    <row r="34" spans="1:26">
      <c r="A34" s="858">
        <v>29</v>
      </c>
      <c r="B34" s="2671"/>
      <c r="C34" s="2674"/>
      <c r="D34" s="2680"/>
      <c r="E34" s="859"/>
      <c r="F34" s="859"/>
      <c r="G34" s="860"/>
      <c r="H34" s="860"/>
      <c r="I34" s="860"/>
      <c r="J34" s="860"/>
      <c r="K34" s="861"/>
      <c r="L34" s="861"/>
      <c r="M34" s="861"/>
      <c r="N34" s="861"/>
      <c r="O34" s="861"/>
      <c r="P34" s="862"/>
      <c r="Q34" s="861"/>
      <c r="R34" s="861"/>
      <c r="S34" s="861"/>
      <c r="T34" s="862"/>
      <c r="U34" s="1266"/>
      <c r="V34" s="1266"/>
      <c r="W34" s="1266"/>
      <c r="X34" s="861"/>
      <c r="Y34" s="861"/>
      <c r="Z34" s="863"/>
    </row>
    <row r="35" spans="1:26">
      <c r="A35" s="858">
        <v>30</v>
      </c>
      <c r="B35" s="2671"/>
      <c r="C35" s="2674"/>
      <c r="D35" s="2680"/>
      <c r="E35" s="859"/>
      <c r="F35" s="859"/>
      <c r="G35" s="860"/>
      <c r="H35" s="860"/>
      <c r="I35" s="860"/>
      <c r="J35" s="860"/>
      <c r="K35" s="861"/>
      <c r="L35" s="861"/>
      <c r="M35" s="861"/>
      <c r="N35" s="861"/>
      <c r="O35" s="861"/>
      <c r="P35" s="862"/>
      <c r="Q35" s="861"/>
      <c r="R35" s="861"/>
      <c r="S35" s="861"/>
      <c r="T35" s="862"/>
      <c r="U35" s="1266"/>
      <c r="V35" s="1266"/>
      <c r="W35" s="1266"/>
      <c r="X35" s="861"/>
      <c r="Y35" s="861"/>
      <c r="Z35" s="863"/>
    </row>
    <row r="36" spans="1:26">
      <c r="A36" s="858">
        <v>31</v>
      </c>
      <c r="B36" s="2671"/>
      <c r="C36" s="2674"/>
      <c r="D36" s="2680"/>
      <c r="E36" s="859"/>
      <c r="F36" s="859"/>
      <c r="G36" s="860"/>
      <c r="H36" s="860"/>
      <c r="I36" s="860"/>
      <c r="J36" s="860"/>
      <c r="K36" s="861"/>
      <c r="L36" s="861"/>
      <c r="M36" s="861"/>
      <c r="N36" s="861"/>
      <c r="O36" s="861"/>
      <c r="P36" s="862"/>
      <c r="Q36" s="861"/>
      <c r="R36" s="861"/>
      <c r="S36" s="861"/>
      <c r="T36" s="862"/>
      <c r="U36" s="1266"/>
      <c r="V36" s="1266"/>
      <c r="W36" s="1266"/>
      <c r="X36" s="861"/>
      <c r="Y36" s="861"/>
      <c r="Z36" s="863"/>
    </row>
    <row r="37" spans="1:26">
      <c r="A37" s="858">
        <v>32</v>
      </c>
      <c r="B37" s="2671"/>
      <c r="C37" s="2674"/>
      <c r="D37" s="2680"/>
      <c r="E37" s="859"/>
      <c r="F37" s="859"/>
      <c r="G37" s="860"/>
      <c r="H37" s="860"/>
      <c r="I37" s="860"/>
      <c r="J37" s="860"/>
      <c r="K37" s="861"/>
      <c r="L37" s="861"/>
      <c r="M37" s="861"/>
      <c r="N37" s="861"/>
      <c r="O37" s="861"/>
      <c r="P37" s="862"/>
      <c r="Q37" s="861"/>
      <c r="R37" s="861"/>
      <c r="S37" s="861"/>
      <c r="T37" s="862"/>
      <c r="U37" s="1266"/>
      <c r="V37" s="1266"/>
      <c r="W37" s="1266"/>
      <c r="X37" s="861"/>
      <c r="Y37" s="861"/>
      <c r="Z37" s="863"/>
    </row>
    <row r="38" spans="1:26">
      <c r="A38" s="858">
        <v>33</v>
      </c>
      <c r="B38" s="2671"/>
      <c r="C38" s="2674"/>
      <c r="D38" s="2680"/>
      <c r="E38" s="859"/>
      <c r="F38" s="859"/>
      <c r="G38" s="860"/>
      <c r="H38" s="860"/>
      <c r="I38" s="860"/>
      <c r="J38" s="860"/>
      <c r="K38" s="861"/>
      <c r="L38" s="861"/>
      <c r="M38" s="861"/>
      <c r="N38" s="861"/>
      <c r="O38" s="861"/>
      <c r="P38" s="862"/>
      <c r="Q38" s="861"/>
      <c r="R38" s="861"/>
      <c r="S38" s="861"/>
      <c r="T38" s="862"/>
      <c r="U38" s="1266"/>
      <c r="V38" s="1266"/>
      <c r="W38" s="1266"/>
      <c r="X38" s="861"/>
      <c r="Y38" s="861"/>
      <c r="Z38" s="863"/>
    </row>
    <row r="39" spans="1:26">
      <c r="A39" s="858">
        <v>34</v>
      </c>
      <c r="B39" s="2671"/>
      <c r="C39" s="2674"/>
      <c r="D39" s="2680"/>
      <c r="E39" s="859"/>
      <c r="F39" s="859"/>
      <c r="G39" s="860"/>
      <c r="H39" s="860"/>
      <c r="I39" s="860"/>
      <c r="J39" s="860"/>
      <c r="K39" s="861"/>
      <c r="L39" s="861"/>
      <c r="M39" s="861"/>
      <c r="N39" s="861"/>
      <c r="O39" s="861"/>
      <c r="P39" s="862"/>
      <c r="Q39" s="861"/>
      <c r="R39" s="861"/>
      <c r="S39" s="861"/>
      <c r="T39" s="862"/>
      <c r="U39" s="1266"/>
      <c r="V39" s="1266"/>
      <c r="W39" s="1266"/>
      <c r="X39" s="861"/>
      <c r="Y39" s="861"/>
      <c r="Z39" s="863"/>
    </row>
    <row r="40" spans="1:26">
      <c r="A40" s="858">
        <v>35</v>
      </c>
      <c r="B40" s="2671"/>
      <c r="C40" s="2674"/>
      <c r="D40" s="2680"/>
      <c r="E40" s="859"/>
      <c r="F40" s="859"/>
      <c r="G40" s="860"/>
      <c r="H40" s="860"/>
      <c r="I40" s="860"/>
      <c r="J40" s="860"/>
      <c r="K40" s="861"/>
      <c r="L40" s="861"/>
      <c r="M40" s="861"/>
      <c r="N40" s="861"/>
      <c r="O40" s="861"/>
      <c r="P40" s="862"/>
      <c r="Q40" s="861"/>
      <c r="R40" s="861"/>
      <c r="S40" s="861"/>
      <c r="T40" s="862"/>
      <c r="U40" s="1266"/>
      <c r="V40" s="1266"/>
      <c r="W40" s="1266"/>
      <c r="X40" s="861"/>
      <c r="Y40" s="861"/>
      <c r="Z40" s="863"/>
    </row>
    <row r="41" spans="1:26">
      <c r="A41" s="858">
        <v>36</v>
      </c>
      <c r="B41" s="2671"/>
      <c r="C41" s="2674"/>
      <c r="D41" s="2681"/>
      <c r="E41" s="859"/>
      <c r="F41" s="859"/>
      <c r="G41" s="860"/>
      <c r="H41" s="860"/>
      <c r="I41" s="860"/>
      <c r="J41" s="860"/>
      <c r="K41" s="861"/>
      <c r="L41" s="861"/>
      <c r="M41" s="861"/>
      <c r="N41" s="861"/>
      <c r="O41" s="861"/>
      <c r="P41" s="862"/>
      <c r="Q41" s="861"/>
      <c r="R41" s="861"/>
      <c r="S41" s="861"/>
      <c r="T41" s="862"/>
      <c r="U41" s="1266"/>
      <c r="V41" s="1266"/>
      <c r="W41" s="1266"/>
      <c r="X41" s="861"/>
      <c r="Y41" s="861"/>
      <c r="Z41" s="863"/>
    </row>
    <row r="42" spans="1:26">
      <c r="A42" s="858">
        <v>37</v>
      </c>
      <c r="B42" s="2671"/>
      <c r="C42" s="2674"/>
      <c r="D42" s="2233" t="s">
        <v>1408</v>
      </c>
      <c r="E42" s="866"/>
      <c r="F42" s="866"/>
      <c r="G42" s="866"/>
      <c r="H42" s="866"/>
      <c r="I42" s="866"/>
      <c r="J42" s="866"/>
      <c r="K42" s="866"/>
      <c r="L42" s="866"/>
      <c r="M42" s="866"/>
      <c r="N42" s="861">
        <f>SUM(N32:N41)</f>
        <v>0</v>
      </c>
      <c r="O42" s="861">
        <f>SUM(O32:O41)</f>
        <v>0</v>
      </c>
      <c r="P42" s="861">
        <f>SUM(P32:P41)</f>
        <v>0</v>
      </c>
      <c r="Q42" s="866"/>
      <c r="R42" s="861">
        <f>SUM(R32:R41)</f>
        <v>0</v>
      </c>
      <c r="S42" s="866"/>
      <c r="T42" s="867"/>
      <c r="U42" s="1266"/>
      <c r="V42" s="1266"/>
      <c r="W42" s="1266"/>
      <c r="X42" s="866"/>
      <c r="Y42" s="866"/>
      <c r="Z42" s="868"/>
    </row>
    <row r="43" spans="1:26" ht="14.25" customHeight="1">
      <c r="A43" s="858">
        <v>38</v>
      </c>
      <c r="B43" s="2671"/>
      <c r="C43" s="2674"/>
      <c r="D43" s="2682" t="s">
        <v>1682</v>
      </c>
      <c r="E43" s="859"/>
      <c r="F43" s="859"/>
      <c r="G43" s="860"/>
      <c r="H43" s="860"/>
      <c r="I43" s="860"/>
      <c r="J43" s="860"/>
      <c r="K43" s="861"/>
      <c r="L43" s="861"/>
      <c r="M43" s="861"/>
      <c r="N43" s="861"/>
      <c r="O43" s="861"/>
      <c r="P43" s="862"/>
      <c r="Q43" s="861"/>
      <c r="R43" s="861"/>
      <c r="S43" s="861"/>
      <c r="T43" s="862"/>
      <c r="U43" s="1266"/>
      <c r="V43" s="1266"/>
      <c r="W43" s="1266"/>
      <c r="X43" s="861"/>
      <c r="Y43" s="861"/>
      <c r="Z43" s="863"/>
    </row>
    <row r="44" spans="1:26">
      <c r="A44" s="858">
        <v>39</v>
      </c>
      <c r="B44" s="2671"/>
      <c r="C44" s="2674"/>
      <c r="D44" s="2680"/>
      <c r="E44" s="859"/>
      <c r="F44" s="859"/>
      <c r="G44" s="860"/>
      <c r="H44" s="860"/>
      <c r="I44" s="860"/>
      <c r="J44" s="860"/>
      <c r="K44" s="861"/>
      <c r="L44" s="861"/>
      <c r="M44" s="861"/>
      <c r="N44" s="861"/>
      <c r="O44" s="861"/>
      <c r="P44" s="862"/>
      <c r="Q44" s="861"/>
      <c r="R44" s="861"/>
      <c r="S44" s="861"/>
      <c r="T44" s="862"/>
      <c r="U44" s="1266"/>
      <c r="V44" s="1266"/>
      <c r="W44" s="1266"/>
      <c r="X44" s="861"/>
      <c r="Y44" s="861"/>
      <c r="Z44" s="863"/>
    </row>
    <row r="45" spans="1:26">
      <c r="A45" s="858">
        <v>40</v>
      </c>
      <c r="B45" s="2671"/>
      <c r="C45" s="2674"/>
      <c r="D45" s="2680"/>
      <c r="E45" s="859"/>
      <c r="F45" s="859"/>
      <c r="G45" s="860"/>
      <c r="H45" s="860"/>
      <c r="I45" s="860"/>
      <c r="J45" s="860"/>
      <c r="K45" s="861"/>
      <c r="L45" s="861"/>
      <c r="M45" s="861"/>
      <c r="N45" s="861"/>
      <c r="O45" s="861"/>
      <c r="P45" s="862"/>
      <c r="Q45" s="861"/>
      <c r="R45" s="861"/>
      <c r="S45" s="861"/>
      <c r="T45" s="862"/>
      <c r="U45" s="1266"/>
      <c r="V45" s="1266"/>
      <c r="W45" s="1266"/>
      <c r="X45" s="861"/>
      <c r="Y45" s="861"/>
      <c r="Z45" s="863"/>
    </row>
    <row r="46" spans="1:26">
      <c r="A46" s="858">
        <v>41</v>
      </c>
      <c r="B46" s="2671"/>
      <c r="C46" s="2674"/>
      <c r="D46" s="2680"/>
      <c r="E46" s="859"/>
      <c r="F46" s="859"/>
      <c r="G46" s="860"/>
      <c r="H46" s="860"/>
      <c r="I46" s="860"/>
      <c r="J46" s="860"/>
      <c r="K46" s="861"/>
      <c r="L46" s="861"/>
      <c r="M46" s="861"/>
      <c r="N46" s="861"/>
      <c r="O46" s="861"/>
      <c r="P46" s="862"/>
      <c r="Q46" s="861"/>
      <c r="R46" s="861"/>
      <c r="S46" s="861"/>
      <c r="T46" s="862"/>
      <c r="U46" s="1266"/>
      <c r="V46" s="1266"/>
      <c r="W46" s="1266"/>
      <c r="X46" s="861"/>
      <c r="Y46" s="861"/>
      <c r="Z46" s="863"/>
    </row>
    <row r="47" spans="1:26">
      <c r="A47" s="858">
        <v>42</v>
      </c>
      <c r="B47" s="2671"/>
      <c r="C47" s="2674"/>
      <c r="D47" s="2680"/>
      <c r="E47" s="859"/>
      <c r="F47" s="859"/>
      <c r="G47" s="860"/>
      <c r="H47" s="860"/>
      <c r="I47" s="860"/>
      <c r="J47" s="860"/>
      <c r="K47" s="861"/>
      <c r="L47" s="861"/>
      <c r="M47" s="861"/>
      <c r="N47" s="861"/>
      <c r="O47" s="861"/>
      <c r="P47" s="862"/>
      <c r="Q47" s="861"/>
      <c r="R47" s="861"/>
      <c r="S47" s="861"/>
      <c r="T47" s="862"/>
      <c r="U47" s="1266"/>
      <c r="V47" s="1266"/>
      <c r="W47" s="1266"/>
      <c r="X47" s="861"/>
      <c r="Y47" s="861"/>
      <c r="Z47" s="863"/>
    </row>
    <row r="48" spans="1:26">
      <c r="A48" s="858">
        <v>43</v>
      </c>
      <c r="B48" s="2671"/>
      <c r="C48" s="2674"/>
      <c r="D48" s="2680"/>
      <c r="E48" s="859"/>
      <c r="F48" s="859"/>
      <c r="G48" s="860"/>
      <c r="H48" s="860"/>
      <c r="I48" s="860"/>
      <c r="J48" s="860"/>
      <c r="K48" s="861"/>
      <c r="L48" s="861"/>
      <c r="M48" s="861"/>
      <c r="N48" s="861"/>
      <c r="O48" s="861"/>
      <c r="P48" s="862"/>
      <c r="Q48" s="861"/>
      <c r="R48" s="861"/>
      <c r="S48" s="861"/>
      <c r="T48" s="862"/>
      <c r="U48" s="1266"/>
      <c r="V48" s="1266"/>
      <c r="W48" s="1266"/>
      <c r="X48" s="861"/>
      <c r="Y48" s="861"/>
      <c r="Z48" s="863"/>
    </row>
    <row r="49" spans="1:26">
      <c r="A49" s="858">
        <v>44</v>
      </c>
      <c r="B49" s="2671"/>
      <c r="C49" s="2674"/>
      <c r="D49" s="2680"/>
      <c r="E49" s="859"/>
      <c r="F49" s="859"/>
      <c r="G49" s="860"/>
      <c r="H49" s="860"/>
      <c r="I49" s="860"/>
      <c r="J49" s="860"/>
      <c r="K49" s="861"/>
      <c r="L49" s="861"/>
      <c r="M49" s="861"/>
      <c r="N49" s="861"/>
      <c r="O49" s="861"/>
      <c r="P49" s="862"/>
      <c r="Q49" s="861"/>
      <c r="R49" s="861"/>
      <c r="S49" s="861"/>
      <c r="T49" s="862"/>
      <c r="U49" s="1266"/>
      <c r="V49" s="1266"/>
      <c r="W49" s="1266"/>
      <c r="X49" s="861"/>
      <c r="Y49" s="861"/>
      <c r="Z49" s="863"/>
    </row>
    <row r="50" spans="1:26">
      <c r="A50" s="858">
        <v>45</v>
      </c>
      <c r="B50" s="2671"/>
      <c r="C50" s="2674"/>
      <c r="D50" s="2680"/>
      <c r="E50" s="859"/>
      <c r="F50" s="859"/>
      <c r="G50" s="860"/>
      <c r="H50" s="860"/>
      <c r="I50" s="860"/>
      <c r="J50" s="860"/>
      <c r="K50" s="861"/>
      <c r="L50" s="861"/>
      <c r="M50" s="861"/>
      <c r="N50" s="861"/>
      <c r="O50" s="861"/>
      <c r="P50" s="862"/>
      <c r="Q50" s="861"/>
      <c r="R50" s="861"/>
      <c r="S50" s="861"/>
      <c r="T50" s="862"/>
      <c r="U50" s="1266"/>
      <c r="V50" s="1266"/>
      <c r="W50" s="1266"/>
      <c r="X50" s="861"/>
      <c r="Y50" s="861"/>
      <c r="Z50" s="863"/>
    </row>
    <row r="51" spans="1:26">
      <c r="A51" s="858">
        <v>46</v>
      </c>
      <c r="B51" s="2671"/>
      <c r="C51" s="2674"/>
      <c r="D51" s="2680"/>
      <c r="E51" s="859"/>
      <c r="F51" s="859"/>
      <c r="G51" s="860"/>
      <c r="H51" s="860"/>
      <c r="I51" s="860"/>
      <c r="J51" s="860"/>
      <c r="K51" s="861"/>
      <c r="L51" s="861"/>
      <c r="M51" s="861"/>
      <c r="N51" s="861"/>
      <c r="O51" s="861"/>
      <c r="P51" s="862"/>
      <c r="Q51" s="861"/>
      <c r="R51" s="861"/>
      <c r="S51" s="861"/>
      <c r="T51" s="862"/>
      <c r="U51" s="1266"/>
      <c r="V51" s="1266"/>
      <c r="W51" s="1266"/>
      <c r="X51" s="861"/>
      <c r="Y51" s="861"/>
      <c r="Z51" s="863"/>
    </row>
    <row r="52" spans="1:26">
      <c r="A52" s="858">
        <v>47</v>
      </c>
      <c r="B52" s="2671"/>
      <c r="C52" s="2674"/>
      <c r="D52" s="2681"/>
      <c r="E52" s="859"/>
      <c r="F52" s="859"/>
      <c r="G52" s="860"/>
      <c r="H52" s="860"/>
      <c r="I52" s="860"/>
      <c r="J52" s="860"/>
      <c r="K52" s="861"/>
      <c r="L52" s="861"/>
      <c r="M52" s="861"/>
      <c r="N52" s="861"/>
      <c r="O52" s="861"/>
      <c r="P52" s="862"/>
      <c r="Q52" s="861"/>
      <c r="R52" s="861"/>
      <c r="S52" s="861"/>
      <c r="T52" s="862"/>
      <c r="U52" s="1266"/>
      <c r="V52" s="1266"/>
      <c r="W52" s="1266"/>
      <c r="X52" s="861"/>
      <c r="Y52" s="861"/>
      <c r="Z52" s="863"/>
    </row>
    <row r="53" spans="1:26" ht="17.25" thickBot="1">
      <c r="A53" s="858">
        <v>48</v>
      </c>
      <c r="B53" s="2671"/>
      <c r="C53" s="2675"/>
      <c r="D53" s="869" t="s">
        <v>588</v>
      </c>
      <c r="E53" s="872"/>
      <c r="F53" s="872"/>
      <c r="G53" s="872"/>
      <c r="H53" s="872"/>
      <c r="I53" s="872"/>
      <c r="J53" s="872"/>
      <c r="K53" s="872"/>
      <c r="L53" s="872"/>
      <c r="M53" s="872"/>
      <c r="N53" s="871">
        <f>SUM(N43:N52)</f>
        <v>0</v>
      </c>
      <c r="O53" s="871">
        <f>SUM(O43:O52)</f>
        <v>0</v>
      </c>
      <c r="P53" s="871">
        <f>SUM(P43:P52)</f>
        <v>0</v>
      </c>
      <c r="Q53" s="872"/>
      <c r="R53" s="871">
        <f>SUM(R43:R52)</f>
        <v>0</v>
      </c>
      <c r="S53" s="872"/>
      <c r="T53" s="872"/>
      <c r="U53" s="1262"/>
      <c r="V53" s="1262"/>
      <c r="W53" s="1262"/>
      <c r="X53" s="872"/>
      <c r="Y53" s="872"/>
      <c r="Z53" s="873"/>
    </row>
    <row r="54" spans="1:26" ht="17.25" customHeight="1">
      <c r="A54" s="1352">
        <v>49</v>
      </c>
      <c r="B54" s="2671"/>
      <c r="C54" s="2688" t="s">
        <v>1839</v>
      </c>
      <c r="D54" s="2691" t="s">
        <v>1840</v>
      </c>
      <c r="E54" s="1250"/>
      <c r="F54" s="1250"/>
      <c r="G54" s="1250"/>
      <c r="H54" s="1250"/>
      <c r="I54" s="1250"/>
      <c r="J54" s="854" t="s">
        <v>1841</v>
      </c>
      <c r="K54" s="1250"/>
      <c r="L54" s="1250"/>
      <c r="M54" s="1250"/>
      <c r="N54" s="1250"/>
      <c r="O54" s="1250"/>
      <c r="P54" s="1250"/>
      <c r="Q54" s="855" t="s">
        <v>1842</v>
      </c>
      <c r="R54" s="1250"/>
      <c r="S54" s="855" t="s">
        <v>1843</v>
      </c>
      <c r="T54" s="1250"/>
      <c r="U54" s="1250"/>
      <c r="V54" s="1250"/>
      <c r="W54" s="1250"/>
      <c r="X54" s="1250"/>
      <c r="Y54" s="1250"/>
      <c r="Z54" s="1162"/>
    </row>
    <row r="55" spans="1:26">
      <c r="A55" s="1352">
        <v>50</v>
      </c>
      <c r="B55" s="2671"/>
      <c r="C55" s="2689"/>
      <c r="D55" s="2692"/>
      <c r="E55" s="1251"/>
      <c r="F55" s="1251"/>
      <c r="G55" s="1251"/>
      <c r="H55" s="1251"/>
      <c r="I55" s="1251"/>
      <c r="J55" s="1353" t="s">
        <v>1841</v>
      </c>
      <c r="K55" s="1251"/>
      <c r="L55" s="1251"/>
      <c r="M55" s="1251"/>
      <c r="N55" s="1251"/>
      <c r="O55" s="1251"/>
      <c r="P55" s="1251"/>
      <c r="Q55" s="861" t="s">
        <v>1842</v>
      </c>
      <c r="R55" s="1251"/>
      <c r="S55" s="861" t="s">
        <v>1843</v>
      </c>
      <c r="T55" s="1251"/>
      <c r="U55" s="1251"/>
      <c r="V55" s="1251"/>
      <c r="W55" s="1251"/>
      <c r="X55" s="1251"/>
      <c r="Y55" s="1251"/>
      <c r="Z55" s="1162"/>
    </row>
    <row r="56" spans="1:26">
      <c r="A56" s="1352">
        <v>51</v>
      </c>
      <c r="B56" s="2671"/>
      <c r="C56" s="2689"/>
      <c r="D56" s="2692"/>
      <c r="E56" s="1251"/>
      <c r="F56" s="1251"/>
      <c r="G56" s="1251"/>
      <c r="H56" s="1251"/>
      <c r="I56" s="1251"/>
      <c r="J56" s="1353" t="s">
        <v>1841</v>
      </c>
      <c r="K56" s="1251"/>
      <c r="L56" s="1251"/>
      <c r="M56" s="1251"/>
      <c r="N56" s="1251"/>
      <c r="O56" s="1251"/>
      <c r="P56" s="1251"/>
      <c r="Q56" s="861" t="s">
        <v>1842</v>
      </c>
      <c r="R56" s="1251"/>
      <c r="S56" s="861" t="s">
        <v>1843</v>
      </c>
      <c r="T56" s="1251"/>
      <c r="U56" s="1251"/>
      <c r="V56" s="1251"/>
      <c r="W56" s="1251"/>
      <c r="X56" s="1251"/>
      <c r="Y56" s="1251"/>
      <c r="Z56" s="1162"/>
    </row>
    <row r="57" spans="1:26">
      <c r="A57" s="1352">
        <v>52</v>
      </c>
      <c r="B57" s="2671"/>
      <c r="C57" s="2689"/>
      <c r="D57" s="2692"/>
      <c r="E57" s="1251"/>
      <c r="F57" s="1251"/>
      <c r="G57" s="1251"/>
      <c r="H57" s="1251"/>
      <c r="I57" s="1251"/>
      <c r="J57" s="1353" t="s">
        <v>1841</v>
      </c>
      <c r="K57" s="1251"/>
      <c r="L57" s="1251"/>
      <c r="M57" s="1251"/>
      <c r="N57" s="1251"/>
      <c r="O57" s="1251"/>
      <c r="P57" s="1251"/>
      <c r="Q57" s="861" t="s">
        <v>1842</v>
      </c>
      <c r="R57" s="1251"/>
      <c r="S57" s="861" t="s">
        <v>1843</v>
      </c>
      <c r="T57" s="1251"/>
      <c r="U57" s="1251"/>
      <c r="V57" s="1251"/>
      <c r="W57" s="1251"/>
      <c r="X57" s="1251"/>
      <c r="Y57" s="1251"/>
      <c r="Z57" s="1162"/>
    </row>
    <row r="58" spans="1:26">
      <c r="A58" s="1352">
        <v>53</v>
      </c>
      <c r="B58" s="2671"/>
      <c r="C58" s="2689"/>
      <c r="D58" s="2692"/>
      <c r="E58" s="1251"/>
      <c r="F58" s="1251"/>
      <c r="G58" s="1251"/>
      <c r="H58" s="1251"/>
      <c r="I58" s="1251"/>
      <c r="J58" s="1353" t="s">
        <v>1841</v>
      </c>
      <c r="K58" s="1251"/>
      <c r="L58" s="1251"/>
      <c r="M58" s="1251"/>
      <c r="N58" s="1251"/>
      <c r="O58" s="1251"/>
      <c r="P58" s="1251"/>
      <c r="Q58" s="861" t="s">
        <v>1842</v>
      </c>
      <c r="R58" s="1251"/>
      <c r="S58" s="861" t="s">
        <v>1843</v>
      </c>
      <c r="T58" s="1251"/>
      <c r="U58" s="1251"/>
      <c r="V58" s="1251"/>
      <c r="W58" s="1251"/>
      <c r="X58" s="1251"/>
      <c r="Y58" s="1251"/>
      <c r="Z58" s="1162"/>
    </row>
    <row r="59" spans="1:26">
      <c r="A59" s="1352">
        <v>54</v>
      </c>
      <c r="B59" s="2671"/>
      <c r="C59" s="2689"/>
      <c r="D59" s="2692"/>
      <c r="E59" s="1251"/>
      <c r="F59" s="1251"/>
      <c r="G59" s="1251"/>
      <c r="H59" s="1251"/>
      <c r="I59" s="1251"/>
      <c r="J59" s="1353" t="s">
        <v>1841</v>
      </c>
      <c r="K59" s="1251"/>
      <c r="L59" s="1251"/>
      <c r="M59" s="1251"/>
      <c r="N59" s="1251"/>
      <c r="O59" s="1251"/>
      <c r="P59" s="1251"/>
      <c r="Q59" s="861" t="s">
        <v>1842</v>
      </c>
      <c r="R59" s="1251"/>
      <c r="S59" s="861" t="s">
        <v>1843</v>
      </c>
      <c r="T59" s="1251"/>
      <c r="U59" s="1251"/>
      <c r="V59" s="1251"/>
      <c r="W59" s="1251"/>
      <c r="X59" s="1251"/>
      <c r="Y59" s="1251"/>
      <c r="Z59" s="1162"/>
    </row>
    <row r="60" spans="1:26">
      <c r="A60" s="1352">
        <v>55</v>
      </c>
      <c r="B60" s="2671"/>
      <c r="C60" s="2689"/>
      <c r="D60" s="2692"/>
      <c r="E60" s="1251"/>
      <c r="F60" s="1251"/>
      <c r="G60" s="1251"/>
      <c r="H60" s="1251"/>
      <c r="I60" s="1251"/>
      <c r="J60" s="1353" t="s">
        <v>1841</v>
      </c>
      <c r="K60" s="1251"/>
      <c r="L60" s="1251"/>
      <c r="M60" s="1251"/>
      <c r="N60" s="1251"/>
      <c r="O60" s="1251"/>
      <c r="P60" s="1251"/>
      <c r="Q60" s="861" t="s">
        <v>1842</v>
      </c>
      <c r="R60" s="1251"/>
      <c r="S60" s="861" t="s">
        <v>1843</v>
      </c>
      <c r="T60" s="1251"/>
      <c r="U60" s="1251"/>
      <c r="V60" s="1251"/>
      <c r="W60" s="1251"/>
      <c r="X60" s="1251"/>
      <c r="Y60" s="1251"/>
      <c r="Z60" s="1162"/>
    </row>
    <row r="61" spans="1:26">
      <c r="A61" s="1352">
        <v>56</v>
      </c>
      <c r="B61" s="2671"/>
      <c r="C61" s="2689"/>
      <c r="D61" s="2692"/>
      <c r="E61" s="1251"/>
      <c r="F61" s="1251"/>
      <c r="G61" s="1251"/>
      <c r="H61" s="1251"/>
      <c r="I61" s="1251"/>
      <c r="J61" s="1353" t="s">
        <v>1841</v>
      </c>
      <c r="K61" s="1251"/>
      <c r="L61" s="1251"/>
      <c r="M61" s="1251"/>
      <c r="N61" s="1251"/>
      <c r="O61" s="1251"/>
      <c r="P61" s="1251"/>
      <c r="Q61" s="861" t="s">
        <v>1842</v>
      </c>
      <c r="R61" s="1251"/>
      <c r="S61" s="861" t="s">
        <v>1843</v>
      </c>
      <c r="T61" s="1251"/>
      <c r="U61" s="1251"/>
      <c r="V61" s="1251"/>
      <c r="W61" s="1251"/>
      <c r="X61" s="1251"/>
      <c r="Y61" s="1251"/>
      <c r="Z61" s="1162"/>
    </row>
    <row r="62" spans="1:26">
      <c r="A62" s="1352">
        <v>57</v>
      </c>
      <c r="B62" s="2671"/>
      <c r="C62" s="2689"/>
      <c r="D62" s="2692"/>
      <c r="E62" s="1251"/>
      <c r="F62" s="1251"/>
      <c r="G62" s="1251"/>
      <c r="H62" s="1251"/>
      <c r="I62" s="1251"/>
      <c r="J62" s="1353" t="s">
        <v>1841</v>
      </c>
      <c r="K62" s="1251"/>
      <c r="L62" s="1251"/>
      <c r="M62" s="1251"/>
      <c r="N62" s="1251"/>
      <c r="O62" s="1251"/>
      <c r="P62" s="1251"/>
      <c r="Q62" s="861" t="s">
        <v>1842</v>
      </c>
      <c r="R62" s="1251"/>
      <c r="S62" s="861" t="s">
        <v>1843</v>
      </c>
      <c r="T62" s="1251"/>
      <c r="U62" s="1251"/>
      <c r="V62" s="1251"/>
      <c r="W62" s="1251"/>
      <c r="X62" s="1251"/>
      <c r="Y62" s="1251"/>
      <c r="Z62" s="1162"/>
    </row>
    <row r="63" spans="1:26">
      <c r="A63" s="1352">
        <v>58</v>
      </c>
      <c r="B63" s="2671"/>
      <c r="C63" s="2689"/>
      <c r="D63" s="2693"/>
      <c r="E63" s="1250"/>
      <c r="F63" s="1250"/>
      <c r="G63" s="1250"/>
      <c r="H63" s="1250"/>
      <c r="I63" s="1250"/>
      <c r="J63" s="1353" t="s">
        <v>1841</v>
      </c>
      <c r="K63" s="1250"/>
      <c r="L63" s="1250"/>
      <c r="M63" s="1250"/>
      <c r="N63" s="1250"/>
      <c r="O63" s="1250"/>
      <c r="P63" s="1250"/>
      <c r="Q63" s="861" t="s">
        <v>1842</v>
      </c>
      <c r="R63" s="1250"/>
      <c r="S63" s="861" t="s">
        <v>1843</v>
      </c>
      <c r="T63" s="1250"/>
      <c r="U63" s="1250"/>
      <c r="V63" s="1250"/>
      <c r="W63" s="1250"/>
      <c r="X63" s="1250"/>
      <c r="Y63" s="1250"/>
      <c r="Z63" s="1162"/>
    </row>
    <row r="64" spans="1:26">
      <c r="A64" s="1352">
        <v>59</v>
      </c>
      <c r="B64" s="2671"/>
      <c r="C64" s="2689"/>
      <c r="D64" s="2233" t="s">
        <v>1408</v>
      </c>
      <c r="E64" s="1252"/>
      <c r="F64" s="1252"/>
      <c r="G64" s="1252"/>
      <c r="H64" s="1252"/>
      <c r="I64" s="1252"/>
      <c r="J64" s="1252"/>
      <c r="K64" s="1252"/>
      <c r="L64" s="1252"/>
      <c r="M64" s="1252"/>
      <c r="N64" s="1251">
        <f>SUM(N54:N63)</f>
        <v>0</v>
      </c>
      <c r="O64" s="1251">
        <f>SUM(O54:O63)</f>
        <v>0</v>
      </c>
      <c r="P64" s="1251">
        <f>SUM(P54:P63)</f>
        <v>0</v>
      </c>
      <c r="Q64" s="1252"/>
      <c r="R64" s="1251">
        <f>SUM(R54:R63)</f>
        <v>0</v>
      </c>
      <c r="S64" s="1252"/>
      <c r="T64" s="1252"/>
      <c r="U64" s="1252"/>
      <c r="V64" s="1252"/>
      <c r="W64" s="1252"/>
      <c r="X64" s="1252"/>
      <c r="Y64" s="1252"/>
      <c r="Z64" s="1162"/>
    </row>
    <row r="65" spans="1:26" ht="17.25" customHeight="1">
      <c r="A65" s="1352">
        <v>60</v>
      </c>
      <c r="B65" s="2671"/>
      <c r="C65" s="2689"/>
      <c r="D65" s="2692" t="s">
        <v>1844</v>
      </c>
      <c r="E65" s="1253"/>
      <c r="F65" s="1253"/>
      <c r="G65" s="1254"/>
      <c r="H65" s="1254"/>
      <c r="I65" s="1254"/>
      <c r="J65" s="1354" t="s">
        <v>1841</v>
      </c>
      <c r="K65" s="1255"/>
      <c r="L65" s="1255"/>
      <c r="M65" s="1255"/>
      <c r="N65" s="1255"/>
      <c r="O65" s="1255"/>
      <c r="P65" s="1256"/>
      <c r="Q65" s="1015" t="s">
        <v>1842</v>
      </c>
      <c r="R65" s="1255"/>
      <c r="S65" s="1015" t="s">
        <v>1843</v>
      </c>
      <c r="T65" s="1256"/>
      <c r="U65" s="1256"/>
      <c r="V65" s="1256"/>
      <c r="W65" s="1256"/>
      <c r="X65" s="1257"/>
      <c r="Y65" s="1255"/>
      <c r="Z65" s="1162"/>
    </row>
    <row r="66" spans="1:26" ht="17.25">
      <c r="A66" s="1352">
        <v>61</v>
      </c>
      <c r="B66" s="2671"/>
      <c r="C66" s="2689"/>
      <c r="D66" s="2692"/>
      <c r="E66" s="1258"/>
      <c r="F66" s="1258"/>
      <c r="G66" s="1259"/>
      <c r="H66" s="1259"/>
      <c r="I66" s="1259"/>
      <c r="J66" s="1353" t="s">
        <v>1841</v>
      </c>
      <c r="K66" s="1251"/>
      <c r="L66" s="1251"/>
      <c r="M66" s="1251"/>
      <c r="N66" s="1251"/>
      <c r="O66" s="1251"/>
      <c r="P66" s="1260"/>
      <c r="Q66" s="861" t="s">
        <v>1842</v>
      </c>
      <c r="R66" s="1251"/>
      <c r="S66" s="861" t="s">
        <v>1843</v>
      </c>
      <c r="T66" s="1260"/>
      <c r="U66" s="1260"/>
      <c r="V66" s="1260"/>
      <c r="W66" s="1260"/>
      <c r="X66" s="1261"/>
      <c r="Y66" s="1251"/>
      <c r="Z66" s="1162"/>
    </row>
    <row r="67" spans="1:26" ht="17.25">
      <c r="A67" s="1352">
        <v>62</v>
      </c>
      <c r="B67" s="2671"/>
      <c r="C67" s="2689"/>
      <c r="D67" s="2692"/>
      <c r="E67" s="1258"/>
      <c r="F67" s="1258"/>
      <c r="G67" s="1259"/>
      <c r="H67" s="1259"/>
      <c r="I67" s="1259"/>
      <c r="J67" s="1353" t="s">
        <v>1841</v>
      </c>
      <c r="K67" s="1251"/>
      <c r="L67" s="1251"/>
      <c r="M67" s="1251"/>
      <c r="N67" s="1251"/>
      <c r="O67" s="1251"/>
      <c r="P67" s="1260"/>
      <c r="Q67" s="861" t="s">
        <v>1842</v>
      </c>
      <c r="R67" s="1251"/>
      <c r="S67" s="861" t="s">
        <v>1843</v>
      </c>
      <c r="T67" s="1260"/>
      <c r="U67" s="1260"/>
      <c r="V67" s="1260"/>
      <c r="W67" s="1260"/>
      <c r="X67" s="1261"/>
      <c r="Y67" s="1251"/>
      <c r="Z67" s="1162"/>
    </row>
    <row r="68" spans="1:26" ht="17.25">
      <c r="A68" s="1352">
        <v>63</v>
      </c>
      <c r="B68" s="2671"/>
      <c r="C68" s="2689"/>
      <c r="D68" s="2692"/>
      <c r="E68" s="1258"/>
      <c r="F68" s="1258"/>
      <c r="G68" s="1259"/>
      <c r="H68" s="1259"/>
      <c r="I68" s="1259"/>
      <c r="J68" s="1353" t="s">
        <v>1841</v>
      </c>
      <c r="K68" s="1251"/>
      <c r="L68" s="1251"/>
      <c r="M68" s="1251"/>
      <c r="N68" s="1251"/>
      <c r="O68" s="1251"/>
      <c r="P68" s="1260"/>
      <c r="Q68" s="861" t="s">
        <v>1842</v>
      </c>
      <c r="R68" s="1251"/>
      <c r="S68" s="861" t="s">
        <v>1843</v>
      </c>
      <c r="T68" s="1260"/>
      <c r="U68" s="1260"/>
      <c r="V68" s="1260"/>
      <c r="W68" s="1260"/>
      <c r="X68" s="1261"/>
      <c r="Y68" s="1251"/>
      <c r="Z68" s="1162"/>
    </row>
    <row r="69" spans="1:26" ht="17.25">
      <c r="A69" s="1352">
        <v>64</v>
      </c>
      <c r="B69" s="2671"/>
      <c r="C69" s="2689"/>
      <c r="D69" s="2692"/>
      <c r="E69" s="1258"/>
      <c r="F69" s="1258"/>
      <c r="G69" s="1259"/>
      <c r="H69" s="1259"/>
      <c r="I69" s="1259"/>
      <c r="J69" s="1353" t="s">
        <v>1841</v>
      </c>
      <c r="K69" s="1251"/>
      <c r="L69" s="1251"/>
      <c r="M69" s="1251"/>
      <c r="N69" s="1251"/>
      <c r="O69" s="1251"/>
      <c r="P69" s="1260"/>
      <c r="Q69" s="861" t="s">
        <v>1842</v>
      </c>
      <c r="R69" s="1251"/>
      <c r="S69" s="861" t="s">
        <v>1843</v>
      </c>
      <c r="T69" s="1260"/>
      <c r="U69" s="1260"/>
      <c r="V69" s="1260"/>
      <c r="W69" s="1260"/>
      <c r="X69" s="1261"/>
      <c r="Y69" s="1251"/>
      <c r="Z69" s="1162"/>
    </row>
    <row r="70" spans="1:26" ht="17.25">
      <c r="A70" s="1352">
        <v>65</v>
      </c>
      <c r="B70" s="2671"/>
      <c r="C70" s="2689"/>
      <c r="D70" s="2692"/>
      <c r="E70" s="1258"/>
      <c r="F70" s="1258"/>
      <c r="G70" s="1259"/>
      <c r="H70" s="1259"/>
      <c r="I70" s="1259"/>
      <c r="J70" s="1353" t="s">
        <v>1841</v>
      </c>
      <c r="K70" s="1251"/>
      <c r="L70" s="1251"/>
      <c r="M70" s="1251"/>
      <c r="N70" s="1251"/>
      <c r="O70" s="1251"/>
      <c r="P70" s="1260"/>
      <c r="Q70" s="861" t="s">
        <v>1842</v>
      </c>
      <c r="R70" s="1251"/>
      <c r="S70" s="861" t="s">
        <v>1843</v>
      </c>
      <c r="T70" s="1260"/>
      <c r="U70" s="1260"/>
      <c r="V70" s="1260"/>
      <c r="W70" s="1260"/>
      <c r="X70" s="1261"/>
      <c r="Y70" s="1251"/>
      <c r="Z70" s="1162"/>
    </row>
    <row r="71" spans="1:26" ht="17.25">
      <c r="A71" s="1352">
        <v>66</v>
      </c>
      <c r="B71" s="2671"/>
      <c r="C71" s="2689"/>
      <c r="D71" s="2692"/>
      <c r="E71" s="1258"/>
      <c r="F71" s="1258"/>
      <c r="G71" s="1259"/>
      <c r="H71" s="1259"/>
      <c r="I71" s="1259"/>
      <c r="J71" s="1353" t="s">
        <v>1841</v>
      </c>
      <c r="K71" s="1251"/>
      <c r="L71" s="1251"/>
      <c r="M71" s="1251"/>
      <c r="N71" s="1251"/>
      <c r="O71" s="1251"/>
      <c r="P71" s="1260"/>
      <c r="Q71" s="861" t="s">
        <v>1842</v>
      </c>
      <c r="R71" s="1251"/>
      <c r="S71" s="861" t="s">
        <v>1843</v>
      </c>
      <c r="T71" s="1260"/>
      <c r="U71" s="1260"/>
      <c r="V71" s="1260"/>
      <c r="W71" s="1260"/>
      <c r="X71" s="1261"/>
      <c r="Y71" s="1251"/>
      <c r="Z71" s="1162"/>
    </row>
    <row r="72" spans="1:26" ht="17.25">
      <c r="A72" s="1352">
        <v>67</v>
      </c>
      <c r="B72" s="2671"/>
      <c r="C72" s="2689"/>
      <c r="D72" s="2692"/>
      <c r="E72" s="1258"/>
      <c r="F72" s="1258"/>
      <c r="G72" s="1259"/>
      <c r="H72" s="1259"/>
      <c r="I72" s="1259"/>
      <c r="J72" s="1353" t="s">
        <v>1841</v>
      </c>
      <c r="K72" s="1251"/>
      <c r="L72" s="1251"/>
      <c r="M72" s="1251"/>
      <c r="N72" s="1251"/>
      <c r="O72" s="1251"/>
      <c r="P72" s="1260"/>
      <c r="Q72" s="861" t="s">
        <v>1842</v>
      </c>
      <c r="R72" s="1251"/>
      <c r="S72" s="861" t="s">
        <v>1843</v>
      </c>
      <c r="T72" s="1260"/>
      <c r="U72" s="1260"/>
      <c r="V72" s="1260"/>
      <c r="W72" s="1260"/>
      <c r="X72" s="1261"/>
      <c r="Y72" s="1251"/>
      <c r="Z72" s="1162"/>
    </row>
    <row r="73" spans="1:26" ht="17.25">
      <c r="A73" s="1352">
        <v>68</v>
      </c>
      <c r="B73" s="2671"/>
      <c r="C73" s="2689"/>
      <c r="D73" s="2692"/>
      <c r="E73" s="1258"/>
      <c r="F73" s="1258"/>
      <c r="G73" s="1259"/>
      <c r="H73" s="1259"/>
      <c r="I73" s="1259"/>
      <c r="J73" s="1353" t="s">
        <v>1841</v>
      </c>
      <c r="K73" s="1251"/>
      <c r="L73" s="1251"/>
      <c r="M73" s="1251"/>
      <c r="N73" s="1251"/>
      <c r="O73" s="1251"/>
      <c r="P73" s="1260"/>
      <c r="Q73" s="861" t="s">
        <v>1842</v>
      </c>
      <c r="R73" s="1251"/>
      <c r="S73" s="861" t="s">
        <v>1843</v>
      </c>
      <c r="T73" s="1260"/>
      <c r="U73" s="1260"/>
      <c r="V73" s="1260"/>
      <c r="W73" s="1260"/>
      <c r="X73" s="1261"/>
      <c r="Y73" s="1251"/>
      <c r="Z73" s="1162"/>
    </row>
    <row r="74" spans="1:26" ht="17.25">
      <c r="A74" s="1352">
        <v>69</v>
      </c>
      <c r="B74" s="2671"/>
      <c r="C74" s="2689"/>
      <c r="D74" s="2693"/>
      <c r="E74" s="1258"/>
      <c r="F74" s="1258"/>
      <c r="G74" s="1259"/>
      <c r="H74" s="1259"/>
      <c r="I74" s="1259"/>
      <c r="J74" s="1353" t="s">
        <v>1841</v>
      </c>
      <c r="K74" s="1251"/>
      <c r="L74" s="1251"/>
      <c r="M74" s="1251"/>
      <c r="N74" s="1251"/>
      <c r="O74" s="1251"/>
      <c r="P74" s="1260"/>
      <c r="Q74" s="861" t="s">
        <v>1842</v>
      </c>
      <c r="R74" s="1251"/>
      <c r="S74" s="861" t="s">
        <v>1843</v>
      </c>
      <c r="T74" s="1260"/>
      <c r="U74" s="1260"/>
      <c r="V74" s="1260"/>
      <c r="W74" s="1260"/>
      <c r="X74" s="1261"/>
      <c r="Y74" s="1251"/>
      <c r="Z74" s="1162"/>
    </row>
    <row r="75" spans="1:26" ht="17.25" thickBot="1">
      <c r="A75" s="1352">
        <v>70</v>
      </c>
      <c r="B75" s="2671"/>
      <c r="C75" s="2690"/>
      <c r="D75" s="2233" t="s">
        <v>1408</v>
      </c>
      <c r="E75" s="1252"/>
      <c r="F75" s="1252"/>
      <c r="G75" s="1252"/>
      <c r="H75" s="1252"/>
      <c r="I75" s="1252"/>
      <c r="J75" s="1252"/>
      <c r="K75" s="1252"/>
      <c r="L75" s="1252"/>
      <c r="M75" s="1252"/>
      <c r="N75" s="1251">
        <f>SUM(N65:N74)</f>
        <v>0</v>
      </c>
      <c r="O75" s="1251">
        <f>SUM(O65:O74)</f>
        <v>0</v>
      </c>
      <c r="P75" s="1251">
        <f>SUM(P65:P74)</f>
        <v>0</v>
      </c>
      <c r="Q75" s="1252"/>
      <c r="R75" s="1251">
        <f>SUM(R65:R74)</f>
        <v>0</v>
      </c>
      <c r="S75" s="1252"/>
      <c r="T75" s="1252"/>
      <c r="U75" s="1262"/>
      <c r="V75" s="1262"/>
      <c r="W75" s="1262"/>
      <c r="X75" s="1252"/>
      <c r="Y75" s="1252"/>
      <c r="Z75" s="1162"/>
    </row>
    <row r="76" spans="1:26" ht="13.5" customHeight="1">
      <c r="A76" s="1352">
        <v>71</v>
      </c>
      <c r="B76" s="2671"/>
      <c r="C76" s="2683" t="s">
        <v>1845</v>
      </c>
      <c r="D76" s="2656" t="s">
        <v>590</v>
      </c>
      <c r="E76" s="853"/>
      <c r="F76" s="853"/>
      <c r="G76" s="854"/>
      <c r="H76" s="854"/>
      <c r="I76" s="854"/>
      <c r="J76" s="854"/>
      <c r="K76" s="855"/>
      <c r="L76" s="855"/>
      <c r="M76" s="855"/>
      <c r="N76" s="855"/>
      <c r="O76" s="855"/>
      <c r="P76" s="856"/>
      <c r="Q76" s="855"/>
      <c r="R76" s="855"/>
      <c r="S76" s="855"/>
      <c r="T76" s="856"/>
      <c r="U76" s="1265"/>
      <c r="V76" s="1265"/>
      <c r="W76" s="1265"/>
      <c r="X76" s="855"/>
      <c r="Y76" s="855"/>
      <c r="Z76" s="857"/>
    </row>
    <row r="77" spans="1:26" ht="13.5" customHeight="1">
      <c r="A77" s="1352">
        <v>72</v>
      </c>
      <c r="B77" s="2671"/>
      <c r="C77" s="2684"/>
      <c r="D77" s="2657"/>
      <c r="E77" s="859"/>
      <c r="F77" s="859"/>
      <c r="G77" s="860"/>
      <c r="H77" s="860"/>
      <c r="I77" s="860"/>
      <c r="J77" s="860"/>
      <c r="K77" s="861"/>
      <c r="L77" s="861"/>
      <c r="M77" s="861"/>
      <c r="N77" s="861"/>
      <c r="O77" s="861"/>
      <c r="P77" s="862"/>
      <c r="Q77" s="861"/>
      <c r="R77" s="861"/>
      <c r="S77" s="861"/>
      <c r="T77" s="862"/>
      <c r="U77" s="1266"/>
      <c r="V77" s="1266"/>
      <c r="W77" s="1266"/>
      <c r="X77" s="861"/>
      <c r="Y77" s="861"/>
      <c r="Z77" s="863"/>
    </row>
    <row r="78" spans="1:26" ht="13.5" customHeight="1">
      <c r="A78" s="1352">
        <v>73</v>
      </c>
      <c r="B78" s="2671"/>
      <c r="C78" s="2684"/>
      <c r="D78" s="2657"/>
      <c r="E78" s="859"/>
      <c r="F78" s="859"/>
      <c r="G78" s="860"/>
      <c r="H78" s="860"/>
      <c r="I78" s="860"/>
      <c r="J78" s="860"/>
      <c r="K78" s="861"/>
      <c r="L78" s="861"/>
      <c r="M78" s="861"/>
      <c r="N78" s="861"/>
      <c r="O78" s="861"/>
      <c r="P78" s="862"/>
      <c r="Q78" s="861"/>
      <c r="R78" s="861"/>
      <c r="S78" s="861"/>
      <c r="T78" s="862"/>
      <c r="U78" s="1266"/>
      <c r="V78" s="1266"/>
      <c r="W78" s="1266"/>
      <c r="X78" s="861"/>
      <c r="Y78" s="861"/>
      <c r="Z78" s="863"/>
    </row>
    <row r="79" spans="1:26" ht="13.5" customHeight="1">
      <c r="A79" s="1352">
        <v>74</v>
      </c>
      <c r="B79" s="2671"/>
      <c r="C79" s="2684"/>
      <c r="D79" s="2657"/>
      <c r="E79" s="859"/>
      <c r="F79" s="859"/>
      <c r="G79" s="860"/>
      <c r="H79" s="860"/>
      <c r="I79" s="860"/>
      <c r="J79" s="860"/>
      <c r="K79" s="861"/>
      <c r="L79" s="861"/>
      <c r="M79" s="861"/>
      <c r="N79" s="861"/>
      <c r="O79" s="861"/>
      <c r="P79" s="862"/>
      <c r="Q79" s="861"/>
      <c r="R79" s="861"/>
      <c r="S79" s="861"/>
      <c r="T79" s="862"/>
      <c r="U79" s="1266"/>
      <c r="V79" s="1266"/>
      <c r="W79" s="1266"/>
      <c r="X79" s="861"/>
      <c r="Y79" s="861"/>
      <c r="Z79" s="863"/>
    </row>
    <row r="80" spans="1:26" ht="13.5" customHeight="1">
      <c r="A80" s="1352">
        <v>75</v>
      </c>
      <c r="B80" s="2671"/>
      <c r="C80" s="2684"/>
      <c r="D80" s="2657"/>
      <c r="E80" s="859"/>
      <c r="F80" s="859"/>
      <c r="G80" s="860"/>
      <c r="H80" s="860"/>
      <c r="I80" s="860"/>
      <c r="J80" s="860"/>
      <c r="K80" s="861"/>
      <c r="L80" s="861"/>
      <c r="M80" s="861"/>
      <c r="N80" s="861"/>
      <c r="O80" s="861"/>
      <c r="P80" s="862"/>
      <c r="Q80" s="861"/>
      <c r="R80" s="861"/>
      <c r="S80" s="861"/>
      <c r="T80" s="862"/>
      <c r="U80" s="1266"/>
      <c r="V80" s="1266"/>
      <c r="W80" s="1266"/>
      <c r="X80" s="861"/>
      <c r="Y80" s="861"/>
      <c r="Z80" s="863"/>
    </row>
    <row r="81" spans="1:26" ht="13.5" customHeight="1">
      <c r="A81" s="1352">
        <v>76</v>
      </c>
      <c r="B81" s="2671"/>
      <c r="C81" s="2684"/>
      <c r="D81" s="2657"/>
      <c r="E81" s="859"/>
      <c r="F81" s="859"/>
      <c r="G81" s="860"/>
      <c r="H81" s="860"/>
      <c r="I81" s="860"/>
      <c r="J81" s="860"/>
      <c r="K81" s="861"/>
      <c r="L81" s="861"/>
      <c r="M81" s="861"/>
      <c r="N81" s="861"/>
      <c r="O81" s="861"/>
      <c r="P81" s="862"/>
      <c r="Q81" s="861"/>
      <c r="R81" s="861"/>
      <c r="S81" s="861"/>
      <c r="T81" s="862"/>
      <c r="U81" s="1266"/>
      <c r="V81" s="1266"/>
      <c r="W81" s="1266"/>
      <c r="X81" s="861"/>
      <c r="Y81" s="861"/>
      <c r="Z81" s="863"/>
    </row>
    <row r="82" spans="1:26" ht="13.5" customHeight="1">
      <c r="A82" s="1352">
        <v>77</v>
      </c>
      <c r="B82" s="2671"/>
      <c r="C82" s="2684"/>
      <c r="D82" s="2657"/>
      <c r="E82" s="859"/>
      <c r="F82" s="859"/>
      <c r="G82" s="860"/>
      <c r="H82" s="860"/>
      <c r="I82" s="860"/>
      <c r="J82" s="860"/>
      <c r="K82" s="861"/>
      <c r="L82" s="861"/>
      <c r="M82" s="861"/>
      <c r="N82" s="861"/>
      <c r="O82" s="861"/>
      <c r="P82" s="862"/>
      <c r="Q82" s="861"/>
      <c r="R82" s="861"/>
      <c r="S82" s="861"/>
      <c r="T82" s="862"/>
      <c r="U82" s="1266"/>
      <c r="V82" s="1266"/>
      <c r="W82" s="1266"/>
      <c r="X82" s="861"/>
      <c r="Y82" s="861"/>
      <c r="Z82" s="863"/>
    </row>
    <row r="83" spans="1:26" ht="13.5" customHeight="1">
      <c r="A83" s="1352">
        <v>78</v>
      </c>
      <c r="B83" s="2671"/>
      <c r="C83" s="2684"/>
      <c r="D83" s="2657"/>
      <c r="E83" s="859"/>
      <c r="F83" s="859"/>
      <c r="G83" s="860"/>
      <c r="H83" s="860"/>
      <c r="I83" s="860"/>
      <c r="J83" s="860"/>
      <c r="K83" s="861"/>
      <c r="L83" s="861"/>
      <c r="M83" s="861"/>
      <c r="N83" s="861"/>
      <c r="O83" s="861"/>
      <c r="P83" s="862"/>
      <c r="Q83" s="861"/>
      <c r="R83" s="861"/>
      <c r="S83" s="861"/>
      <c r="T83" s="862"/>
      <c r="U83" s="1266"/>
      <c r="V83" s="1266"/>
      <c r="W83" s="1266"/>
      <c r="X83" s="861"/>
      <c r="Y83" s="861"/>
      <c r="Z83" s="863"/>
    </row>
    <row r="84" spans="1:26" ht="13.5" customHeight="1">
      <c r="A84" s="1352">
        <v>79</v>
      </c>
      <c r="B84" s="2671"/>
      <c r="C84" s="2684"/>
      <c r="D84" s="2657"/>
      <c r="E84" s="859"/>
      <c r="F84" s="859"/>
      <c r="G84" s="860"/>
      <c r="H84" s="860"/>
      <c r="I84" s="860"/>
      <c r="J84" s="860"/>
      <c r="K84" s="861"/>
      <c r="L84" s="861"/>
      <c r="M84" s="861"/>
      <c r="N84" s="861"/>
      <c r="O84" s="861"/>
      <c r="P84" s="862"/>
      <c r="Q84" s="861"/>
      <c r="R84" s="861"/>
      <c r="S84" s="861"/>
      <c r="T84" s="862"/>
      <c r="U84" s="1266"/>
      <c r="V84" s="1266"/>
      <c r="W84" s="1266"/>
      <c r="X84" s="861"/>
      <c r="Y84" s="861"/>
      <c r="Z84" s="863"/>
    </row>
    <row r="85" spans="1:26" ht="13.5" customHeight="1">
      <c r="A85" s="1352">
        <v>80</v>
      </c>
      <c r="B85" s="2671"/>
      <c r="C85" s="2684"/>
      <c r="D85" s="2657"/>
      <c r="E85" s="859"/>
      <c r="F85" s="859"/>
      <c r="G85" s="860"/>
      <c r="H85" s="860"/>
      <c r="I85" s="860"/>
      <c r="J85" s="860"/>
      <c r="K85" s="861"/>
      <c r="L85" s="861"/>
      <c r="M85" s="861"/>
      <c r="N85" s="861"/>
      <c r="O85" s="861"/>
      <c r="P85" s="862"/>
      <c r="Q85" s="861"/>
      <c r="R85" s="861"/>
      <c r="S85" s="861"/>
      <c r="T85" s="862"/>
      <c r="U85" s="1266"/>
      <c r="V85" s="1266"/>
      <c r="W85" s="1266"/>
      <c r="X85" s="861"/>
      <c r="Y85" s="861"/>
      <c r="Z85" s="863"/>
    </row>
    <row r="86" spans="1:26" ht="14.25" customHeight="1">
      <c r="A86" s="1352">
        <v>81</v>
      </c>
      <c r="B86" s="2671"/>
      <c r="C86" s="2684"/>
      <c r="D86" s="2234" t="s">
        <v>588</v>
      </c>
      <c r="E86" s="866"/>
      <c r="F86" s="866"/>
      <c r="G86" s="866"/>
      <c r="H86" s="866"/>
      <c r="I86" s="866"/>
      <c r="J86" s="866"/>
      <c r="K86" s="866"/>
      <c r="L86" s="866"/>
      <c r="M86" s="866"/>
      <c r="N86" s="861">
        <f>SUM(N76:N85)</f>
        <v>0</v>
      </c>
      <c r="O86" s="861">
        <f>SUM(O76:O85)</f>
        <v>0</v>
      </c>
      <c r="P86" s="861">
        <f>SUM(P76:P85)</f>
        <v>0</v>
      </c>
      <c r="Q86" s="866"/>
      <c r="R86" s="861">
        <f>SUM(R76:R85)</f>
        <v>0</v>
      </c>
      <c r="S86" s="866"/>
      <c r="T86" s="866"/>
      <c r="U86" s="1252"/>
      <c r="V86" s="1252"/>
      <c r="W86" s="1252"/>
      <c r="X86" s="866"/>
      <c r="Y86" s="866"/>
      <c r="Z86" s="874"/>
    </row>
    <row r="87" spans="1:26" ht="14.25" customHeight="1">
      <c r="A87" s="1352">
        <v>82</v>
      </c>
      <c r="B87" s="2671"/>
      <c r="C87" s="2684"/>
      <c r="D87" s="2686" t="s">
        <v>1683</v>
      </c>
      <c r="E87" s="859"/>
      <c r="F87" s="859"/>
      <c r="G87" s="860"/>
      <c r="H87" s="860"/>
      <c r="I87" s="860"/>
      <c r="J87" s="860"/>
      <c r="K87" s="861"/>
      <c r="L87" s="861"/>
      <c r="M87" s="861"/>
      <c r="N87" s="861"/>
      <c r="O87" s="861"/>
      <c r="P87" s="862"/>
      <c r="Q87" s="861"/>
      <c r="R87" s="861"/>
      <c r="S87" s="861"/>
      <c r="T87" s="862"/>
      <c r="U87" s="1266"/>
      <c r="V87" s="1266"/>
      <c r="W87" s="1266"/>
      <c r="X87" s="861"/>
      <c r="Y87" s="861"/>
      <c r="Z87" s="863"/>
    </row>
    <row r="88" spans="1:26" ht="13.5" customHeight="1">
      <c r="A88" s="1352">
        <v>83</v>
      </c>
      <c r="B88" s="2671"/>
      <c r="C88" s="2684"/>
      <c r="D88" s="2687"/>
      <c r="E88" s="859"/>
      <c r="F88" s="859"/>
      <c r="G88" s="860"/>
      <c r="H88" s="860"/>
      <c r="I88" s="860"/>
      <c r="J88" s="860"/>
      <c r="K88" s="861"/>
      <c r="L88" s="861"/>
      <c r="M88" s="861"/>
      <c r="N88" s="861"/>
      <c r="O88" s="861"/>
      <c r="P88" s="862"/>
      <c r="Q88" s="862"/>
      <c r="R88" s="861"/>
      <c r="S88" s="861"/>
      <c r="T88" s="875"/>
      <c r="U88" s="1266"/>
      <c r="V88" s="1266"/>
      <c r="W88" s="1266"/>
      <c r="X88" s="861"/>
      <c r="Y88" s="861"/>
      <c r="Z88" s="863"/>
    </row>
    <row r="89" spans="1:26" ht="13.5" customHeight="1">
      <c r="A89" s="1352">
        <v>84</v>
      </c>
      <c r="B89" s="2671"/>
      <c r="C89" s="2684"/>
      <c r="D89" s="2687"/>
      <c r="E89" s="859"/>
      <c r="F89" s="859"/>
      <c r="G89" s="860"/>
      <c r="H89" s="860"/>
      <c r="I89" s="860"/>
      <c r="J89" s="860"/>
      <c r="K89" s="861"/>
      <c r="L89" s="861"/>
      <c r="M89" s="861"/>
      <c r="N89" s="861"/>
      <c r="O89" s="861"/>
      <c r="P89" s="862"/>
      <c r="Q89" s="862"/>
      <c r="R89" s="861"/>
      <c r="S89" s="861"/>
      <c r="T89" s="875"/>
      <c r="U89" s="1266"/>
      <c r="V89" s="1266"/>
      <c r="W89" s="1266"/>
      <c r="X89" s="861"/>
      <c r="Y89" s="861"/>
      <c r="Z89" s="863"/>
    </row>
    <row r="90" spans="1:26" ht="13.5" customHeight="1">
      <c r="A90" s="1352">
        <v>85</v>
      </c>
      <c r="B90" s="2671"/>
      <c r="C90" s="2684"/>
      <c r="D90" s="2687"/>
      <c r="E90" s="859"/>
      <c r="F90" s="859"/>
      <c r="G90" s="860"/>
      <c r="H90" s="860"/>
      <c r="I90" s="860"/>
      <c r="J90" s="860"/>
      <c r="K90" s="861"/>
      <c r="L90" s="861"/>
      <c r="M90" s="861"/>
      <c r="N90" s="861"/>
      <c r="O90" s="861"/>
      <c r="P90" s="862"/>
      <c r="Q90" s="862"/>
      <c r="R90" s="861"/>
      <c r="S90" s="861"/>
      <c r="T90" s="875"/>
      <c r="U90" s="1266"/>
      <c r="V90" s="1266"/>
      <c r="W90" s="1266"/>
      <c r="X90" s="861"/>
      <c r="Y90" s="861"/>
      <c r="Z90" s="863"/>
    </row>
    <row r="91" spans="1:26" ht="13.5" customHeight="1">
      <c r="A91" s="1352">
        <v>86</v>
      </c>
      <c r="B91" s="2671"/>
      <c r="C91" s="2684"/>
      <c r="D91" s="2687"/>
      <c r="E91" s="859"/>
      <c r="F91" s="859"/>
      <c r="G91" s="860"/>
      <c r="H91" s="860"/>
      <c r="I91" s="860"/>
      <c r="J91" s="860"/>
      <c r="K91" s="861"/>
      <c r="L91" s="861"/>
      <c r="M91" s="861"/>
      <c r="N91" s="861"/>
      <c r="O91" s="861"/>
      <c r="P91" s="862"/>
      <c r="Q91" s="862"/>
      <c r="R91" s="861"/>
      <c r="S91" s="861"/>
      <c r="T91" s="875"/>
      <c r="U91" s="1266"/>
      <c r="V91" s="1266"/>
      <c r="W91" s="1266"/>
      <c r="X91" s="861"/>
      <c r="Y91" s="861"/>
      <c r="Z91" s="863"/>
    </row>
    <row r="92" spans="1:26" ht="13.5" customHeight="1">
      <c r="A92" s="1352">
        <v>87</v>
      </c>
      <c r="B92" s="2671"/>
      <c r="C92" s="2684"/>
      <c r="D92" s="2687"/>
      <c r="E92" s="859"/>
      <c r="F92" s="859"/>
      <c r="G92" s="860"/>
      <c r="H92" s="860"/>
      <c r="I92" s="860"/>
      <c r="J92" s="860"/>
      <c r="K92" s="861"/>
      <c r="L92" s="861"/>
      <c r="M92" s="861"/>
      <c r="N92" s="861"/>
      <c r="O92" s="861"/>
      <c r="P92" s="862"/>
      <c r="Q92" s="862"/>
      <c r="R92" s="861"/>
      <c r="S92" s="861"/>
      <c r="T92" s="875"/>
      <c r="U92" s="1266"/>
      <c r="V92" s="1266"/>
      <c r="W92" s="1266"/>
      <c r="X92" s="861"/>
      <c r="Y92" s="861"/>
      <c r="Z92" s="863"/>
    </row>
    <row r="93" spans="1:26" ht="13.5" customHeight="1">
      <c r="A93" s="1352">
        <v>88</v>
      </c>
      <c r="B93" s="2671"/>
      <c r="C93" s="2684"/>
      <c r="D93" s="2687"/>
      <c r="E93" s="859"/>
      <c r="F93" s="859"/>
      <c r="G93" s="860"/>
      <c r="H93" s="860"/>
      <c r="I93" s="860"/>
      <c r="J93" s="860"/>
      <c r="K93" s="861"/>
      <c r="L93" s="861"/>
      <c r="M93" s="861"/>
      <c r="N93" s="861"/>
      <c r="O93" s="861"/>
      <c r="P93" s="862"/>
      <c r="Q93" s="862"/>
      <c r="R93" s="861"/>
      <c r="S93" s="861"/>
      <c r="T93" s="875"/>
      <c r="U93" s="1266"/>
      <c r="V93" s="1266"/>
      <c r="W93" s="1266"/>
      <c r="X93" s="861"/>
      <c r="Y93" s="861"/>
      <c r="Z93" s="863"/>
    </row>
    <row r="94" spans="1:26" ht="13.5" customHeight="1">
      <c r="A94" s="1352">
        <v>89</v>
      </c>
      <c r="B94" s="2671"/>
      <c r="C94" s="2684"/>
      <c r="D94" s="2687"/>
      <c r="E94" s="859"/>
      <c r="F94" s="859"/>
      <c r="G94" s="860"/>
      <c r="H94" s="860"/>
      <c r="I94" s="860"/>
      <c r="J94" s="860"/>
      <c r="K94" s="861"/>
      <c r="L94" s="861"/>
      <c r="M94" s="861"/>
      <c r="N94" s="861"/>
      <c r="O94" s="861"/>
      <c r="P94" s="862"/>
      <c r="Q94" s="862"/>
      <c r="R94" s="861"/>
      <c r="S94" s="861"/>
      <c r="T94" s="875"/>
      <c r="U94" s="1266"/>
      <c r="V94" s="1266"/>
      <c r="W94" s="1266"/>
      <c r="X94" s="861"/>
      <c r="Y94" s="861"/>
      <c r="Z94" s="863"/>
    </row>
    <row r="95" spans="1:26" ht="13.5" customHeight="1">
      <c r="A95" s="1352">
        <v>90</v>
      </c>
      <c r="B95" s="2671"/>
      <c r="C95" s="2684"/>
      <c r="D95" s="2687"/>
      <c r="E95" s="859"/>
      <c r="F95" s="859"/>
      <c r="G95" s="860"/>
      <c r="H95" s="860"/>
      <c r="I95" s="860"/>
      <c r="J95" s="860"/>
      <c r="K95" s="861"/>
      <c r="L95" s="861"/>
      <c r="M95" s="861"/>
      <c r="N95" s="861"/>
      <c r="O95" s="861"/>
      <c r="P95" s="862"/>
      <c r="Q95" s="862"/>
      <c r="R95" s="861"/>
      <c r="S95" s="861"/>
      <c r="T95" s="875"/>
      <c r="U95" s="1266"/>
      <c r="V95" s="1266"/>
      <c r="W95" s="1266"/>
      <c r="X95" s="861"/>
      <c r="Y95" s="861"/>
      <c r="Z95" s="863"/>
    </row>
    <row r="96" spans="1:26" ht="13.5" customHeight="1">
      <c r="A96" s="1352">
        <v>91</v>
      </c>
      <c r="B96" s="2671"/>
      <c r="C96" s="2684"/>
      <c r="D96" s="2687"/>
      <c r="E96" s="859"/>
      <c r="F96" s="859"/>
      <c r="G96" s="860"/>
      <c r="H96" s="860"/>
      <c r="I96" s="860"/>
      <c r="J96" s="860"/>
      <c r="K96" s="861"/>
      <c r="L96" s="861"/>
      <c r="M96" s="861"/>
      <c r="N96" s="861"/>
      <c r="O96" s="861"/>
      <c r="P96" s="862"/>
      <c r="Q96" s="862"/>
      <c r="R96" s="861"/>
      <c r="S96" s="861"/>
      <c r="T96" s="875"/>
      <c r="U96" s="1266"/>
      <c r="V96" s="1266"/>
      <c r="W96" s="1266"/>
      <c r="X96" s="861"/>
      <c r="Y96" s="861"/>
      <c r="Z96" s="863"/>
    </row>
    <row r="97" spans="1:26">
      <c r="A97" s="1352">
        <v>92</v>
      </c>
      <c r="B97" s="2671"/>
      <c r="C97" s="2684"/>
      <c r="D97" s="2233" t="s">
        <v>1408</v>
      </c>
      <c r="E97" s="866"/>
      <c r="F97" s="866"/>
      <c r="G97" s="866"/>
      <c r="H97" s="866"/>
      <c r="I97" s="866"/>
      <c r="J97" s="866"/>
      <c r="K97" s="866"/>
      <c r="L97" s="866"/>
      <c r="M97" s="866"/>
      <c r="N97" s="861">
        <f>SUM(N87:N96)</f>
        <v>0</v>
      </c>
      <c r="O97" s="861">
        <f>SUM(O87:O96)</f>
        <v>0</v>
      </c>
      <c r="P97" s="861">
        <f>SUM(P87:P96)</f>
        <v>0</v>
      </c>
      <c r="Q97" s="866"/>
      <c r="R97" s="861">
        <f>SUM(R87:R96)</f>
        <v>0</v>
      </c>
      <c r="S97" s="866"/>
      <c r="T97" s="866"/>
      <c r="U97" s="1266"/>
      <c r="V97" s="1266"/>
      <c r="W97" s="1266"/>
      <c r="X97" s="866"/>
      <c r="Y97" s="866"/>
      <c r="Z97" s="874"/>
    </row>
    <row r="98" spans="1:26" ht="14.25" customHeight="1">
      <c r="A98" s="1352">
        <v>93</v>
      </c>
      <c r="B98" s="2671"/>
      <c r="C98" s="2684"/>
      <c r="D98" s="2677" t="s">
        <v>1682</v>
      </c>
      <c r="E98" s="859"/>
      <c r="F98" s="859"/>
      <c r="G98" s="860"/>
      <c r="H98" s="860"/>
      <c r="I98" s="860"/>
      <c r="J98" s="860"/>
      <c r="K98" s="861"/>
      <c r="L98" s="861"/>
      <c r="M98" s="861"/>
      <c r="N98" s="861"/>
      <c r="O98" s="861"/>
      <c r="P98" s="862"/>
      <c r="Q98" s="862"/>
      <c r="R98" s="861"/>
      <c r="S98" s="861"/>
      <c r="T98" s="875"/>
      <c r="U98" s="1266"/>
      <c r="V98" s="1266"/>
      <c r="W98" s="1266"/>
      <c r="X98" s="861"/>
      <c r="Y98" s="861"/>
      <c r="Z98" s="863"/>
    </row>
    <row r="99" spans="1:26" ht="13.5" customHeight="1">
      <c r="A99" s="1352">
        <v>94</v>
      </c>
      <c r="B99" s="2671"/>
      <c r="C99" s="2684"/>
      <c r="D99" s="2677"/>
      <c r="E99" s="859"/>
      <c r="F99" s="859"/>
      <c r="G99" s="860"/>
      <c r="H99" s="860"/>
      <c r="I99" s="860"/>
      <c r="J99" s="860"/>
      <c r="K99" s="861"/>
      <c r="L99" s="861"/>
      <c r="M99" s="861"/>
      <c r="N99" s="861"/>
      <c r="O99" s="861"/>
      <c r="P99" s="862"/>
      <c r="Q99" s="862"/>
      <c r="R99" s="861"/>
      <c r="S99" s="861"/>
      <c r="T99" s="875"/>
      <c r="U99" s="1266"/>
      <c r="V99" s="1266"/>
      <c r="W99" s="1266"/>
      <c r="X99" s="861"/>
      <c r="Y99" s="861"/>
      <c r="Z99" s="863"/>
    </row>
    <row r="100" spans="1:26" ht="13.5" customHeight="1">
      <c r="A100" s="1352">
        <v>95</v>
      </c>
      <c r="B100" s="2671"/>
      <c r="C100" s="2684"/>
      <c r="D100" s="2677"/>
      <c r="E100" s="859"/>
      <c r="F100" s="859"/>
      <c r="G100" s="860"/>
      <c r="H100" s="860"/>
      <c r="I100" s="860"/>
      <c r="J100" s="860"/>
      <c r="K100" s="861"/>
      <c r="L100" s="861"/>
      <c r="M100" s="861"/>
      <c r="N100" s="861"/>
      <c r="O100" s="861"/>
      <c r="P100" s="862"/>
      <c r="Q100" s="862"/>
      <c r="R100" s="861"/>
      <c r="S100" s="861"/>
      <c r="T100" s="875"/>
      <c r="U100" s="1266"/>
      <c r="V100" s="1266"/>
      <c r="W100" s="1266"/>
      <c r="X100" s="861"/>
      <c r="Y100" s="861"/>
      <c r="Z100" s="863"/>
    </row>
    <row r="101" spans="1:26" ht="13.5" customHeight="1">
      <c r="A101" s="1352">
        <v>96</v>
      </c>
      <c r="B101" s="2671"/>
      <c r="C101" s="2684"/>
      <c r="D101" s="2677"/>
      <c r="E101" s="859"/>
      <c r="F101" s="859"/>
      <c r="G101" s="860"/>
      <c r="H101" s="860"/>
      <c r="I101" s="860"/>
      <c r="J101" s="860"/>
      <c r="K101" s="861"/>
      <c r="L101" s="861"/>
      <c r="M101" s="861"/>
      <c r="N101" s="861"/>
      <c r="O101" s="861"/>
      <c r="P101" s="862"/>
      <c r="Q101" s="862"/>
      <c r="R101" s="861"/>
      <c r="S101" s="861"/>
      <c r="T101" s="875"/>
      <c r="U101" s="1266"/>
      <c r="V101" s="1266"/>
      <c r="W101" s="1266"/>
      <c r="X101" s="861"/>
      <c r="Y101" s="861"/>
      <c r="Z101" s="863"/>
    </row>
    <row r="102" spans="1:26" ht="13.5" customHeight="1">
      <c r="A102" s="1352">
        <v>97</v>
      </c>
      <c r="B102" s="2671"/>
      <c r="C102" s="2684"/>
      <c r="D102" s="2677"/>
      <c r="E102" s="859"/>
      <c r="F102" s="859"/>
      <c r="G102" s="860"/>
      <c r="H102" s="860"/>
      <c r="I102" s="860"/>
      <c r="J102" s="860"/>
      <c r="K102" s="861"/>
      <c r="L102" s="861"/>
      <c r="M102" s="861"/>
      <c r="N102" s="861"/>
      <c r="O102" s="861"/>
      <c r="P102" s="862"/>
      <c r="Q102" s="862"/>
      <c r="R102" s="861"/>
      <c r="S102" s="861"/>
      <c r="T102" s="875"/>
      <c r="U102" s="1266"/>
      <c r="V102" s="1266"/>
      <c r="W102" s="1266"/>
      <c r="X102" s="861"/>
      <c r="Y102" s="861"/>
      <c r="Z102" s="863"/>
    </row>
    <row r="103" spans="1:26" ht="13.5" customHeight="1">
      <c r="A103" s="1352">
        <v>98</v>
      </c>
      <c r="B103" s="2671"/>
      <c r="C103" s="2684"/>
      <c r="D103" s="2677"/>
      <c r="E103" s="859"/>
      <c r="F103" s="859"/>
      <c r="G103" s="860"/>
      <c r="H103" s="860"/>
      <c r="I103" s="860"/>
      <c r="J103" s="860"/>
      <c r="K103" s="861"/>
      <c r="L103" s="861"/>
      <c r="M103" s="861"/>
      <c r="N103" s="861"/>
      <c r="O103" s="861"/>
      <c r="P103" s="862"/>
      <c r="Q103" s="862"/>
      <c r="R103" s="861"/>
      <c r="S103" s="861"/>
      <c r="T103" s="875"/>
      <c r="U103" s="1266"/>
      <c r="V103" s="1266"/>
      <c r="W103" s="1266"/>
      <c r="X103" s="861"/>
      <c r="Y103" s="861"/>
      <c r="Z103" s="863"/>
    </row>
    <row r="104" spans="1:26" ht="13.5" customHeight="1">
      <c r="A104" s="1352">
        <v>99</v>
      </c>
      <c r="B104" s="2671"/>
      <c r="C104" s="2684"/>
      <c r="D104" s="2677"/>
      <c r="E104" s="859"/>
      <c r="F104" s="859"/>
      <c r="G104" s="860"/>
      <c r="H104" s="860"/>
      <c r="I104" s="860"/>
      <c r="J104" s="860"/>
      <c r="K104" s="861"/>
      <c r="L104" s="861"/>
      <c r="M104" s="861"/>
      <c r="N104" s="861"/>
      <c r="O104" s="861"/>
      <c r="P104" s="862"/>
      <c r="Q104" s="861"/>
      <c r="R104" s="861"/>
      <c r="S104" s="861"/>
      <c r="T104" s="862"/>
      <c r="U104" s="1266"/>
      <c r="V104" s="1266"/>
      <c r="W104" s="1266"/>
      <c r="X104" s="861"/>
      <c r="Y104" s="861"/>
      <c r="Z104" s="863"/>
    </row>
    <row r="105" spans="1:26" ht="13.5" customHeight="1">
      <c r="A105" s="1352">
        <v>100</v>
      </c>
      <c r="B105" s="2671"/>
      <c r="C105" s="2684"/>
      <c r="D105" s="2677"/>
      <c r="E105" s="859"/>
      <c r="F105" s="859"/>
      <c r="G105" s="860"/>
      <c r="H105" s="860"/>
      <c r="I105" s="860"/>
      <c r="J105" s="860"/>
      <c r="K105" s="861"/>
      <c r="L105" s="861"/>
      <c r="M105" s="861"/>
      <c r="N105" s="861"/>
      <c r="O105" s="861"/>
      <c r="P105" s="862"/>
      <c r="Q105" s="861"/>
      <c r="R105" s="861"/>
      <c r="S105" s="861"/>
      <c r="T105" s="862"/>
      <c r="U105" s="1266"/>
      <c r="V105" s="1266"/>
      <c r="W105" s="1266"/>
      <c r="X105" s="861"/>
      <c r="Y105" s="861"/>
      <c r="Z105" s="863"/>
    </row>
    <row r="106" spans="1:26" ht="13.5" customHeight="1">
      <c r="A106" s="1352">
        <v>101</v>
      </c>
      <c r="B106" s="2671"/>
      <c r="C106" s="2684"/>
      <c r="D106" s="2677"/>
      <c r="E106" s="859"/>
      <c r="F106" s="859"/>
      <c r="G106" s="860"/>
      <c r="H106" s="860"/>
      <c r="I106" s="860"/>
      <c r="J106" s="860"/>
      <c r="K106" s="861"/>
      <c r="L106" s="861"/>
      <c r="M106" s="861"/>
      <c r="N106" s="861"/>
      <c r="O106" s="861"/>
      <c r="P106" s="862"/>
      <c r="Q106" s="861"/>
      <c r="R106" s="861"/>
      <c r="S106" s="861"/>
      <c r="T106" s="862"/>
      <c r="U106" s="1266"/>
      <c r="V106" s="1266"/>
      <c r="W106" s="1266"/>
      <c r="X106" s="861"/>
      <c r="Y106" s="861"/>
      <c r="Z106" s="863"/>
    </row>
    <row r="107" spans="1:26" ht="13.5" customHeight="1">
      <c r="A107" s="1352">
        <v>102</v>
      </c>
      <c r="B107" s="2671"/>
      <c r="C107" s="2684"/>
      <c r="D107" s="2677"/>
      <c r="E107" s="859"/>
      <c r="F107" s="859"/>
      <c r="G107" s="860"/>
      <c r="H107" s="860"/>
      <c r="I107" s="860"/>
      <c r="J107" s="860"/>
      <c r="K107" s="861"/>
      <c r="L107" s="861"/>
      <c r="M107" s="861"/>
      <c r="N107" s="861"/>
      <c r="O107" s="861"/>
      <c r="P107" s="862"/>
      <c r="Q107" s="861"/>
      <c r="R107" s="861"/>
      <c r="S107" s="861"/>
      <c r="T107" s="862"/>
      <c r="U107" s="1266"/>
      <c r="V107" s="1266"/>
      <c r="W107" s="1266"/>
      <c r="X107" s="861"/>
      <c r="Y107" s="861"/>
      <c r="Z107" s="863"/>
    </row>
    <row r="108" spans="1:26" ht="15" customHeight="1" thickBot="1">
      <c r="A108" s="1352">
        <v>103</v>
      </c>
      <c r="B108" s="2671"/>
      <c r="C108" s="2685"/>
      <c r="D108" s="869" t="s">
        <v>588</v>
      </c>
      <c r="E108" s="872"/>
      <c r="F108" s="872"/>
      <c r="G108" s="872"/>
      <c r="H108" s="872"/>
      <c r="I108" s="872"/>
      <c r="J108" s="872"/>
      <c r="K108" s="872"/>
      <c r="L108" s="872"/>
      <c r="M108" s="872"/>
      <c r="N108" s="871">
        <f>SUM(N98:N107)</f>
        <v>0</v>
      </c>
      <c r="O108" s="871">
        <f>SUM(O98:O107)</f>
        <v>0</v>
      </c>
      <c r="P108" s="871">
        <f>SUM(P98:P107)</f>
        <v>0</v>
      </c>
      <c r="Q108" s="872"/>
      <c r="R108" s="871">
        <f>SUM(R98:R107)</f>
        <v>0</v>
      </c>
      <c r="S108" s="872"/>
      <c r="T108" s="872"/>
      <c r="U108" s="1262"/>
      <c r="V108" s="1262"/>
      <c r="W108" s="1262"/>
      <c r="X108" s="872"/>
      <c r="Y108" s="872"/>
      <c r="Z108" s="873"/>
    </row>
    <row r="109" spans="1:26" ht="16.5" customHeight="1">
      <c r="A109" s="1352">
        <v>104</v>
      </c>
      <c r="B109" s="2671"/>
      <c r="C109" s="2673" t="s">
        <v>591</v>
      </c>
      <c r="D109" s="2700" t="s">
        <v>592</v>
      </c>
      <c r="E109" s="853"/>
      <c r="F109" s="853"/>
      <c r="G109" s="854"/>
      <c r="H109" s="854"/>
      <c r="I109" s="854"/>
      <c r="J109" s="854"/>
      <c r="K109" s="855"/>
      <c r="L109" s="855"/>
      <c r="M109" s="855"/>
      <c r="N109" s="855"/>
      <c r="O109" s="855"/>
      <c r="P109" s="856"/>
      <c r="Q109" s="855"/>
      <c r="R109" s="855"/>
      <c r="S109" s="876"/>
      <c r="T109" s="856"/>
      <c r="U109" s="1267"/>
      <c r="V109" s="1267"/>
      <c r="W109" s="1268"/>
      <c r="X109" s="855"/>
      <c r="Y109" s="855"/>
      <c r="Z109" s="857"/>
    </row>
    <row r="110" spans="1:26">
      <c r="A110" s="1352">
        <v>105</v>
      </c>
      <c r="B110" s="2671"/>
      <c r="C110" s="2674"/>
      <c r="D110" s="2703"/>
      <c r="E110" s="859"/>
      <c r="F110" s="859"/>
      <c r="G110" s="860"/>
      <c r="H110" s="860"/>
      <c r="I110" s="860"/>
      <c r="J110" s="860"/>
      <c r="K110" s="861"/>
      <c r="L110" s="861"/>
      <c r="M110" s="861"/>
      <c r="N110" s="861"/>
      <c r="O110" s="861"/>
      <c r="P110" s="862"/>
      <c r="Q110" s="861"/>
      <c r="R110" s="861"/>
      <c r="S110" s="875"/>
      <c r="T110" s="862"/>
      <c r="U110" s="1266"/>
      <c r="V110" s="1266"/>
      <c r="W110" s="1266"/>
      <c r="X110" s="861"/>
      <c r="Y110" s="861"/>
      <c r="Z110" s="863"/>
    </row>
    <row r="111" spans="1:26">
      <c r="A111" s="1352">
        <v>106</v>
      </c>
      <c r="B111" s="2671"/>
      <c r="C111" s="2674"/>
      <c r="D111" s="2703"/>
      <c r="E111" s="859"/>
      <c r="F111" s="859"/>
      <c r="G111" s="860"/>
      <c r="H111" s="860"/>
      <c r="I111" s="860"/>
      <c r="J111" s="860"/>
      <c r="K111" s="861"/>
      <c r="L111" s="861"/>
      <c r="M111" s="861"/>
      <c r="N111" s="861"/>
      <c r="O111" s="861"/>
      <c r="P111" s="862"/>
      <c r="Q111" s="861"/>
      <c r="R111" s="861"/>
      <c r="S111" s="875"/>
      <c r="T111" s="862"/>
      <c r="U111" s="1266"/>
      <c r="V111" s="1266"/>
      <c r="W111" s="1266"/>
      <c r="X111" s="861"/>
      <c r="Y111" s="861"/>
      <c r="Z111" s="863"/>
    </row>
    <row r="112" spans="1:26">
      <c r="A112" s="1352">
        <v>107</v>
      </c>
      <c r="B112" s="2671"/>
      <c r="C112" s="2674"/>
      <c r="D112" s="2703"/>
      <c r="E112" s="859"/>
      <c r="F112" s="859"/>
      <c r="G112" s="860"/>
      <c r="H112" s="860"/>
      <c r="I112" s="860"/>
      <c r="J112" s="860"/>
      <c r="K112" s="861"/>
      <c r="L112" s="861"/>
      <c r="M112" s="861"/>
      <c r="N112" s="861"/>
      <c r="O112" s="861"/>
      <c r="P112" s="862"/>
      <c r="Q112" s="861"/>
      <c r="R112" s="861"/>
      <c r="S112" s="875"/>
      <c r="T112" s="862"/>
      <c r="U112" s="1266"/>
      <c r="V112" s="1266"/>
      <c r="W112" s="1266"/>
      <c r="X112" s="861"/>
      <c r="Y112" s="861"/>
      <c r="Z112" s="863"/>
    </row>
    <row r="113" spans="1:26">
      <c r="A113" s="1352">
        <v>108</v>
      </c>
      <c r="B113" s="2671"/>
      <c r="C113" s="2674"/>
      <c r="D113" s="2703"/>
      <c r="E113" s="859"/>
      <c r="F113" s="859"/>
      <c r="G113" s="860"/>
      <c r="H113" s="860"/>
      <c r="I113" s="860"/>
      <c r="J113" s="860"/>
      <c r="K113" s="861"/>
      <c r="L113" s="861"/>
      <c r="M113" s="861"/>
      <c r="N113" s="861"/>
      <c r="O113" s="861"/>
      <c r="P113" s="862"/>
      <c r="Q113" s="861"/>
      <c r="R113" s="861"/>
      <c r="S113" s="875"/>
      <c r="T113" s="862"/>
      <c r="U113" s="1266"/>
      <c r="V113" s="1266"/>
      <c r="W113" s="1266"/>
      <c r="X113" s="861"/>
      <c r="Y113" s="861"/>
      <c r="Z113" s="863"/>
    </row>
    <row r="114" spans="1:26">
      <c r="A114" s="1352">
        <v>109</v>
      </c>
      <c r="B114" s="2671"/>
      <c r="C114" s="2674"/>
      <c r="D114" s="2703"/>
      <c r="E114" s="859"/>
      <c r="F114" s="859"/>
      <c r="G114" s="860"/>
      <c r="H114" s="860"/>
      <c r="I114" s="860"/>
      <c r="J114" s="860"/>
      <c r="K114" s="861"/>
      <c r="L114" s="861"/>
      <c r="M114" s="861"/>
      <c r="N114" s="861"/>
      <c r="O114" s="861"/>
      <c r="P114" s="862"/>
      <c r="Q114" s="861"/>
      <c r="R114" s="861"/>
      <c r="S114" s="875"/>
      <c r="T114" s="862"/>
      <c r="U114" s="1266"/>
      <c r="V114" s="1266"/>
      <c r="W114" s="1266"/>
      <c r="X114" s="861"/>
      <c r="Y114" s="861"/>
      <c r="Z114" s="863"/>
    </row>
    <row r="115" spans="1:26">
      <c r="A115" s="1352">
        <v>110</v>
      </c>
      <c r="B115" s="2671"/>
      <c r="C115" s="2674"/>
      <c r="D115" s="2234" t="s">
        <v>588</v>
      </c>
      <c r="E115" s="866"/>
      <c r="F115" s="866"/>
      <c r="G115" s="866"/>
      <c r="H115" s="866"/>
      <c r="I115" s="866"/>
      <c r="J115" s="866"/>
      <c r="K115" s="866"/>
      <c r="L115" s="866"/>
      <c r="M115" s="866"/>
      <c r="N115" s="861">
        <f>SUM(N109:N114)</f>
        <v>0</v>
      </c>
      <c r="O115" s="861">
        <f>SUM(O109:O114)</f>
        <v>0</v>
      </c>
      <c r="P115" s="861">
        <f>SUM(P109:P114)</f>
        <v>0</v>
      </c>
      <c r="Q115" s="866"/>
      <c r="R115" s="861">
        <f>SUM(R109:R114)</f>
        <v>0</v>
      </c>
      <c r="S115" s="866"/>
      <c r="T115" s="866"/>
      <c r="U115" s="1266"/>
      <c r="V115" s="1266"/>
      <c r="W115" s="1266"/>
      <c r="X115" s="866"/>
      <c r="Y115" s="866"/>
      <c r="Z115" s="874"/>
    </row>
    <row r="116" spans="1:26" ht="14.25" customHeight="1">
      <c r="A116" s="1352">
        <v>111</v>
      </c>
      <c r="B116" s="2671"/>
      <c r="C116" s="2674"/>
      <c r="D116" s="2677" t="s">
        <v>1681</v>
      </c>
      <c r="E116" s="859"/>
      <c r="F116" s="859"/>
      <c r="G116" s="860"/>
      <c r="H116" s="860"/>
      <c r="I116" s="860"/>
      <c r="J116" s="860"/>
      <c r="K116" s="861"/>
      <c r="L116" s="861"/>
      <c r="M116" s="861"/>
      <c r="N116" s="861"/>
      <c r="O116" s="861"/>
      <c r="P116" s="862"/>
      <c r="Q116" s="861"/>
      <c r="R116" s="861"/>
      <c r="S116" s="875"/>
      <c r="T116" s="862"/>
      <c r="U116" s="1266"/>
      <c r="V116" s="1266"/>
      <c r="W116" s="1266"/>
      <c r="X116" s="861"/>
      <c r="Y116" s="861"/>
      <c r="Z116" s="863"/>
    </row>
    <row r="117" spans="1:26">
      <c r="A117" s="1352">
        <v>112</v>
      </c>
      <c r="B117" s="2671"/>
      <c r="C117" s="2674"/>
      <c r="D117" s="2677"/>
      <c r="E117" s="859"/>
      <c r="F117" s="859"/>
      <c r="G117" s="860"/>
      <c r="H117" s="860"/>
      <c r="I117" s="860"/>
      <c r="J117" s="860"/>
      <c r="K117" s="861"/>
      <c r="L117" s="861"/>
      <c r="M117" s="861"/>
      <c r="N117" s="861"/>
      <c r="O117" s="861"/>
      <c r="P117" s="862"/>
      <c r="Q117" s="861"/>
      <c r="R117" s="861"/>
      <c r="S117" s="875"/>
      <c r="T117" s="862"/>
      <c r="U117" s="1266"/>
      <c r="V117" s="1266"/>
      <c r="W117" s="1266"/>
      <c r="X117" s="861"/>
      <c r="Y117" s="861"/>
      <c r="Z117" s="863"/>
    </row>
    <row r="118" spans="1:26">
      <c r="A118" s="1352">
        <v>113</v>
      </c>
      <c r="B118" s="2671"/>
      <c r="C118" s="2674"/>
      <c r="D118" s="2677"/>
      <c r="E118" s="859"/>
      <c r="F118" s="859"/>
      <c r="G118" s="860"/>
      <c r="H118" s="860"/>
      <c r="I118" s="860"/>
      <c r="J118" s="860"/>
      <c r="K118" s="861"/>
      <c r="L118" s="861"/>
      <c r="M118" s="861"/>
      <c r="N118" s="861"/>
      <c r="O118" s="861"/>
      <c r="P118" s="862"/>
      <c r="Q118" s="861"/>
      <c r="R118" s="861"/>
      <c r="S118" s="875"/>
      <c r="T118" s="862"/>
      <c r="U118" s="1266"/>
      <c r="V118" s="1266"/>
      <c r="W118" s="1266"/>
      <c r="X118" s="861"/>
      <c r="Y118" s="861"/>
      <c r="Z118" s="863"/>
    </row>
    <row r="119" spans="1:26">
      <c r="A119" s="1352">
        <v>114</v>
      </c>
      <c r="B119" s="2671"/>
      <c r="C119" s="2674"/>
      <c r="D119" s="2677"/>
      <c r="E119" s="859"/>
      <c r="F119" s="859"/>
      <c r="G119" s="860"/>
      <c r="H119" s="860"/>
      <c r="I119" s="860"/>
      <c r="J119" s="860"/>
      <c r="K119" s="861"/>
      <c r="L119" s="861"/>
      <c r="M119" s="861"/>
      <c r="N119" s="861"/>
      <c r="O119" s="861"/>
      <c r="P119" s="862"/>
      <c r="Q119" s="861"/>
      <c r="R119" s="861"/>
      <c r="S119" s="875"/>
      <c r="T119" s="862"/>
      <c r="U119" s="1266"/>
      <c r="V119" s="1266"/>
      <c r="W119" s="1266"/>
      <c r="X119" s="861"/>
      <c r="Y119" s="861"/>
      <c r="Z119" s="863"/>
    </row>
    <row r="120" spans="1:26" ht="16.5" customHeight="1">
      <c r="A120" s="1352">
        <v>115</v>
      </c>
      <c r="B120" s="2671"/>
      <c r="C120" s="2674"/>
      <c r="D120" s="2677"/>
      <c r="E120" s="859"/>
      <c r="F120" s="859"/>
      <c r="G120" s="860"/>
      <c r="H120" s="860"/>
      <c r="I120" s="860"/>
      <c r="J120" s="860"/>
      <c r="K120" s="861"/>
      <c r="L120" s="861"/>
      <c r="M120" s="861"/>
      <c r="N120" s="861"/>
      <c r="O120" s="861"/>
      <c r="P120" s="862"/>
      <c r="Q120" s="861"/>
      <c r="R120" s="861"/>
      <c r="S120" s="875"/>
      <c r="T120" s="862"/>
      <c r="U120" s="1266"/>
      <c r="V120" s="1266"/>
      <c r="W120" s="1266"/>
      <c r="X120" s="861"/>
      <c r="Y120" s="861"/>
      <c r="Z120" s="863"/>
    </row>
    <row r="121" spans="1:26" ht="16.5" customHeight="1">
      <c r="A121" s="1352">
        <v>116</v>
      </c>
      <c r="B121" s="2671"/>
      <c r="C121" s="2674"/>
      <c r="D121" s="2677"/>
      <c r="E121" s="859"/>
      <c r="F121" s="859"/>
      <c r="G121" s="860"/>
      <c r="H121" s="860"/>
      <c r="I121" s="860"/>
      <c r="J121" s="860"/>
      <c r="K121" s="861"/>
      <c r="L121" s="861"/>
      <c r="M121" s="861"/>
      <c r="N121" s="861"/>
      <c r="O121" s="861"/>
      <c r="P121" s="862"/>
      <c r="Q121" s="861"/>
      <c r="R121" s="861"/>
      <c r="S121" s="875"/>
      <c r="T121" s="862"/>
      <c r="U121" s="1266"/>
      <c r="V121" s="1266"/>
      <c r="W121" s="1266"/>
      <c r="X121" s="861"/>
      <c r="Y121" s="861"/>
      <c r="Z121" s="863"/>
    </row>
    <row r="122" spans="1:26">
      <c r="A122" s="1352">
        <v>117</v>
      </c>
      <c r="B122" s="2671"/>
      <c r="C122" s="2674"/>
      <c r="D122" s="2233" t="s">
        <v>1408</v>
      </c>
      <c r="E122" s="866"/>
      <c r="F122" s="866"/>
      <c r="G122" s="866"/>
      <c r="H122" s="866"/>
      <c r="I122" s="866"/>
      <c r="J122" s="866"/>
      <c r="K122" s="866"/>
      <c r="L122" s="866"/>
      <c r="M122" s="866"/>
      <c r="N122" s="861">
        <f>SUM(N116:N121)</f>
        <v>0</v>
      </c>
      <c r="O122" s="861">
        <f>SUM(O116:O121)</f>
        <v>0</v>
      </c>
      <c r="P122" s="861">
        <f>SUM(P116:P121)</f>
        <v>0</v>
      </c>
      <c r="Q122" s="866"/>
      <c r="R122" s="861">
        <f>SUM(R116:R121)</f>
        <v>0</v>
      </c>
      <c r="S122" s="866"/>
      <c r="T122" s="866"/>
      <c r="U122" s="1252"/>
      <c r="V122" s="1252"/>
      <c r="W122" s="1252"/>
      <c r="X122" s="866"/>
      <c r="Y122" s="866"/>
      <c r="Z122" s="874"/>
    </row>
    <row r="123" spans="1:26" ht="14.25" customHeight="1">
      <c r="A123" s="1352">
        <v>118</v>
      </c>
      <c r="B123" s="2671"/>
      <c r="C123" s="2674"/>
      <c r="D123" s="2677" t="s">
        <v>1682</v>
      </c>
      <c r="E123" s="859"/>
      <c r="F123" s="859"/>
      <c r="G123" s="860"/>
      <c r="H123" s="860"/>
      <c r="I123" s="860"/>
      <c r="J123" s="860"/>
      <c r="K123" s="861"/>
      <c r="L123" s="861"/>
      <c r="M123" s="861"/>
      <c r="N123" s="861"/>
      <c r="O123" s="861"/>
      <c r="P123" s="862"/>
      <c r="Q123" s="861"/>
      <c r="R123" s="861"/>
      <c r="S123" s="875"/>
      <c r="T123" s="862"/>
      <c r="U123" s="1266"/>
      <c r="V123" s="1266"/>
      <c r="W123" s="1266"/>
      <c r="X123" s="861"/>
      <c r="Y123" s="861"/>
      <c r="Z123" s="863"/>
    </row>
    <row r="124" spans="1:26">
      <c r="A124" s="1352">
        <v>119</v>
      </c>
      <c r="B124" s="2671"/>
      <c r="C124" s="2674"/>
      <c r="D124" s="2677"/>
      <c r="E124" s="859"/>
      <c r="F124" s="859"/>
      <c r="G124" s="860"/>
      <c r="H124" s="860"/>
      <c r="I124" s="860"/>
      <c r="J124" s="860"/>
      <c r="K124" s="861"/>
      <c r="L124" s="861"/>
      <c r="M124" s="861"/>
      <c r="N124" s="861"/>
      <c r="O124" s="861"/>
      <c r="P124" s="862"/>
      <c r="Q124" s="861"/>
      <c r="R124" s="861"/>
      <c r="S124" s="875"/>
      <c r="T124" s="862"/>
      <c r="U124" s="1266"/>
      <c r="V124" s="1266"/>
      <c r="W124" s="1266"/>
      <c r="X124" s="861"/>
      <c r="Y124" s="861"/>
      <c r="Z124" s="863"/>
    </row>
    <row r="125" spans="1:26">
      <c r="A125" s="1352">
        <v>120</v>
      </c>
      <c r="B125" s="2671"/>
      <c r="C125" s="2674"/>
      <c r="D125" s="2677"/>
      <c r="E125" s="859"/>
      <c r="F125" s="859"/>
      <c r="G125" s="860"/>
      <c r="H125" s="860"/>
      <c r="I125" s="860"/>
      <c r="J125" s="860"/>
      <c r="K125" s="861"/>
      <c r="L125" s="861"/>
      <c r="M125" s="861"/>
      <c r="N125" s="861"/>
      <c r="O125" s="861"/>
      <c r="P125" s="862"/>
      <c r="Q125" s="861"/>
      <c r="R125" s="861"/>
      <c r="S125" s="875"/>
      <c r="T125" s="862"/>
      <c r="U125" s="1266"/>
      <c r="V125" s="1266"/>
      <c r="W125" s="1266"/>
      <c r="X125" s="861"/>
      <c r="Y125" s="861"/>
      <c r="Z125" s="863"/>
    </row>
    <row r="126" spans="1:26">
      <c r="A126" s="1352">
        <v>121</v>
      </c>
      <c r="B126" s="2671"/>
      <c r="C126" s="2674"/>
      <c r="D126" s="2677"/>
      <c r="E126" s="859"/>
      <c r="F126" s="859"/>
      <c r="G126" s="860"/>
      <c r="H126" s="860"/>
      <c r="I126" s="860"/>
      <c r="J126" s="860"/>
      <c r="K126" s="861"/>
      <c r="L126" s="861"/>
      <c r="M126" s="861"/>
      <c r="N126" s="861"/>
      <c r="O126" s="861"/>
      <c r="P126" s="862"/>
      <c r="Q126" s="861"/>
      <c r="R126" s="861"/>
      <c r="S126" s="875"/>
      <c r="T126" s="862"/>
      <c r="U126" s="1266"/>
      <c r="V126" s="1266"/>
      <c r="W126" s="1266"/>
      <c r="X126" s="861"/>
      <c r="Y126" s="861"/>
      <c r="Z126" s="863"/>
    </row>
    <row r="127" spans="1:26">
      <c r="A127" s="1352">
        <v>122</v>
      </c>
      <c r="B127" s="2671"/>
      <c r="C127" s="2674"/>
      <c r="D127" s="2677"/>
      <c r="E127" s="859"/>
      <c r="F127" s="859"/>
      <c r="G127" s="860"/>
      <c r="H127" s="860"/>
      <c r="I127" s="860"/>
      <c r="J127" s="860"/>
      <c r="K127" s="861"/>
      <c r="L127" s="861"/>
      <c r="M127" s="861"/>
      <c r="N127" s="861"/>
      <c r="O127" s="861"/>
      <c r="P127" s="862"/>
      <c r="Q127" s="861"/>
      <c r="R127" s="861"/>
      <c r="S127" s="875"/>
      <c r="T127" s="862"/>
      <c r="U127" s="1266"/>
      <c r="V127" s="1266"/>
      <c r="W127" s="1266"/>
      <c r="X127" s="861"/>
      <c r="Y127" s="861"/>
      <c r="Z127" s="863"/>
    </row>
    <row r="128" spans="1:26">
      <c r="A128" s="1352">
        <v>123</v>
      </c>
      <c r="B128" s="2671"/>
      <c r="C128" s="2674"/>
      <c r="D128" s="2677"/>
      <c r="E128" s="859"/>
      <c r="F128" s="859"/>
      <c r="G128" s="860"/>
      <c r="H128" s="860"/>
      <c r="I128" s="860"/>
      <c r="J128" s="860"/>
      <c r="K128" s="861"/>
      <c r="L128" s="861"/>
      <c r="M128" s="861"/>
      <c r="N128" s="861"/>
      <c r="O128" s="861"/>
      <c r="P128" s="862"/>
      <c r="Q128" s="861"/>
      <c r="R128" s="861"/>
      <c r="S128" s="875"/>
      <c r="T128" s="862"/>
      <c r="U128" s="1266"/>
      <c r="V128" s="1266"/>
      <c r="W128" s="1266"/>
      <c r="X128" s="861"/>
      <c r="Y128" s="861"/>
      <c r="Z128" s="863"/>
    </row>
    <row r="129" spans="1:26" ht="17.25" thickBot="1">
      <c r="A129" s="1355">
        <v>124</v>
      </c>
      <c r="B129" s="2672"/>
      <c r="C129" s="2702"/>
      <c r="D129" s="2245" t="s">
        <v>588</v>
      </c>
      <c r="E129" s="878"/>
      <c r="F129" s="878"/>
      <c r="G129" s="879"/>
      <c r="H129" s="879"/>
      <c r="I129" s="879"/>
      <c r="J129" s="879"/>
      <c r="K129" s="880"/>
      <c r="L129" s="880"/>
      <c r="M129" s="880"/>
      <c r="N129" s="881">
        <f>SUM(N123:N128)</f>
        <v>0</v>
      </c>
      <c r="O129" s="881">
        <f>SUM(O123:O128)</f>
        <v>0</v>
      </c>
      <c r="P129" s="881">
        <f>SUM(P123:P128)</f>
        <v>0</v>
      </c>
      <c r="Q129" s="880"/>
      <c r="R129" s="881">
        <f>SUM(R123:R128)</f>
        <v>0</v>
      </c>
      <c r="S129" s="880"/>
      <c r="T129" s="880"/>
      <c r="U129" s="1252"/>
      <c r="V129" s="1252"/>
      <c r="W129" s="1252"/>
      <c r="X129" s="880"/>
      <c r="Y129" s="880"/>
      <c r="Z129" s="882"/>
    </row>
    <row r="130" spans="1:26" ht="17.25" thickBot="1">
      <c r="A130" s="1356">
        <v>125</v>
      </c>
      <c r="B130" s="2668" t="s">
        <v>593</v>
      </c>
      <c r="C130" s="2669"/>
      <c r="D130" s="2669"/>
      <c r="E130" s="883"/>
      <c r="F130" s="883"/>
      <c r="G130" s="884"/>
      <c r="H130" s="884"/>
      <c r="I130" s="884"/>
      <c r="J130" s="884"/>
      <c r="K130" s="885"/>
      <c r="L130" s="885"/>
      <c r="M130" s="885"/>
      <c r="N130" s="1162">
        <f>N129+N122+N115+N108+N97+N86+N75+N64+N53+N42+N31+N18</f>
        <v>0</v>
      </c>
      <c r="O130" s="1162">
        <f>O129+O122+O115+O108+O97+O86+O75+O64+O53+O42+O31+O18</f>
        <v>0</v>
      </c>
      <c r="P130" s="1162">
        <f>P129+P122+P115+P108+P97+P86+P75+P64+P53+P42+P31+P18</f>
        <v>0</v>
      </c>
      <c r="Q130" s="1162"/>
      <c r="R130" s="1162">
        <f>R129+R122+R115+R108+R97+R86+R75+R64+R53+R42+R31+R18</f>
        <v>0</v>
      </c>
      <c r="S130" s="885"/>
      <c r="T130" s="887"/>
      <c r="U130" s="1269"/>
      <c r="V130" s="1269"/>
      <c r="W130" s="1269"/>
      <c r="X130" s="885"/>
      <c r="Y130" s="885"/>
      <c r="Z130" s="888"/>
    </row>
    <row r="131" spans="1:26" ht="16.5" customHeight="1">
      <c r="A131" s="1357">
        <v>126</v>
      </c>
      <c r="B131" s="2670" t="s">
        <v>1410</v>
      </c>
      <c r="C131" s="2673" t="s">
        <v>595</v>
      </c>
      <c r="D131" s="2696" t="s">
        <v>1684</v>
      </c>
      <c r="E131" s="853"/>
      <c r="F131" s="853"/>
      <c r="G131" s="854"/>
      <c r="H131" s="854"/>
      <c r="I131" s="854"/>
      <c r="J131" s="854"/>
      <c r="K131" s="855"/>
      <c r="L131" s="855"/>
      <c r="M131" s="855"/>
      <c r="N131" s="855"/>
      <c r="O131" s="855"/>
      <c r="P131" s="856"/>
      <c r="Q131" s="855"/>
      <c r="R131" s="855"/>
      <c r="S131" s="889"/>
      <c r="T131" s="890"/>
      <c r="U131" s="1267"/>
      <c r="V131" s="1267"/>
      <c r="W131" s="1268"/>
      <c r="X131" s="855"/>
      <c r="Y131" s="855"/>
      <c r="Z131" s="857"/>
    </row>
    <row r="132" spans="1:26" ht="16.5" customHeight="1">
      <c r="A132" s="1352">
        <v>127</v>
      </c>
      <c r="B132" s="2694"/>
      <c r="C132" s="2674"/>
      <c r="D132" s="2677"/>
      <c r="E132" s="859"/>
      <c r="F132" s="859"/>
      <c r="G132" s="860"/>
      <c r="H132" s="860"/>
      <c r="I132" s="860"/>
      <c r="J132" s="860"/>
      <c r="K132" s="861"/>
      <c r="L132" s="861"/>
      <c r="M132" s="861"/>
      <c r="N132" s="861"/>
      <c r="O132" s="861"/>
      <c r="P132" s="862"/>
      <c r="Q132" s="861"/>
      <c r="R132" s="861"/>
      <c r="S132" s="866"/>
      <c r="T132" s="867"/>
      <c r="U132" s="1252"/>
      <c r="V132" s="1252"/>
      <c r="W132" s="1266"/>
      <c r="X132" s="861"/>
      <c r="Y132" s="861"/>
      <c r="Z132" s="863"/>
    </row>
    <row r="133" spans="1:26" ht="16.5" customHeight="1">
      <c r="A133" s="1352">
        <v>128</v>
      </c>
      <c r="B133" s="2694"/>
      <c r="C133" s="2674"/>
      <c r="D133" s="2677"/>
      <c r="E133" s="859"/>
      <c r="F133" s="859"/>
      <c r="G133" s="860"/>
      <c r="H133" s="860"/>
      <c r="I133" s="860"/>
      <c r="J133" s="860"/>
      <c r="K133" s="861"/>
      <c r="L133" s="861"/>
      <c r="M133" s="861"/>
      <c r="N133" s="861"/>
      <c r="O133" s="861"/>
      <c r="P133" s="862"/>
      <c r="Q133" s="861"/>
      <c r="R133" s="861"/>
      <c r="S133" s="866"/>
      <c r="T133" s="867"/>
      <c r="U133" s="1252"/>
      <c r="V133" s="1252"/>
      <c r="W133" s="1266"/>
      <c r="X133" s="861"/>
      <c r="Y133" s="861"/>
      <c r="Z133" s="863"/>
    </row>
    <row r="134" spans="1:26" ht="16.5" customHeight="1">
      <c r="A134" s="1352">
        <v>129</v>
      </c>
      <c r="B134" s="2694"/>
      <c r="C134" s="2674"/>
      <c r="D134" s="2677"/>
      <c r="E134" s="859"/>
      <c r="F134" s="859"/>
      <c r="G134" s="860"/>
      <c r="H134" s="860"/>
      <c r="I134" s="860"/>
      <c r="J134" s="860"/>
      <c r="K134" s="861"/>
      <c r="L134" s="861"/>
      <c r="M134" s="861"/>
      <c r="N134" s="861"/>
      <c r="O134" s="861"/>
      <c r="P134" s="862"/>
      <c r="Q134" s="861"/>
      <c r="R134" s="861"/>
      <c r="S134" s="866"/>
      <c r="T134" s="867"/>
      <c r="U134" s="1252"/>
      <c r="V134" s="1252"/>
      <c r="W134" s="1266"/>
      <c r="X134" s="861"/>
      <c r="Y134" s="861"/>
      <c r="Z134" s="863"/>
    </row>
    <row r="135" spans="1:26" ht="16.5" customHeight="1">
      <c r="A135" s="1352">
        <v>130</v>
      </c>
      <c r="B135" s="2694"/>
      <c r="C135" s="2674"/>
      <c r="D135" s="2677"/>
      <c r="E135" s="859"/>
      <c r="F135" s="859"/>
      <c r="G135" s="860"/>
      <c r="H135" s="860"/>
      <c r="I135" s="860"/>
      <c r="J135" s="860"/>
      <c r="K135" s="861"/>
      <c r="L135" s="861"/>
      <c r="M135" s="861"/>
      <c r="N135" s="861"/>
      <c r="O135" s="861"/>
      <c r="P135" s="862"/>
      <c r="Q135" s="861"/>
      <c r="R135" s="861"/>
      <c r="S135" s="866"/>
      <c r="T135" s="867"/>
      <c r="U135" s="1252"/>
      <c r="V135" s="1252"/>
      <c r="W135" s="1266"/>
      <c r="X135" s="861"/>
      <c r="Y135" s="861"/>
      <c r="Z135" s="863"/>
    </row>
    <row r="136" spans="1:26" ht="16.5" customHeight="1">
      <c r="A136" s="1352">
        <v>131</v>
      </c>
      <c r="B136" s="2694"/>
      <c r="C136" s="2674"/>
      <c r="D136" s="2677"/>
      <c r="E136" s="859"/>
      <c r="F136" s="859"/>
      <c r="G136" s="860"/>
      <c r="H136" s="860"/>
      <c r="I136" s="860"/>
      <c r="J136" s="860"/>
      <c r="K136" s="861"/>
      <c r="L136" s="861"/>
      <c r="M136" s="861"/>
      <c r="N136" s="861"/>
      <c r="O136" s="861"/>
      <c r="P136" s="862"/>
      <c r="Q136" s="861"/>
      <c r="R136" s="861"/>
      <c r="S136" s="866"/>
      <c r="T136" s="867"/>
      <c r="U136" s="1252"/>
      <c r="V136" s="1252"/>
      <c r="W136" s="1266"/>
      <c r="X136" s="861"/>
      <c r="Y136" s="861"/>
      <c r="Z136" s="863"/>
    </row>
    <row r="137" spans="1:26" ht="16.5" customHeight="1">
      <c r="A137" s="1352">
        <v>132</v>
      </c>
      <c r="B137" s="2694"/>
      <c r="C137" s="2674"/>
      <c r="D137" s="2236" t="s">
        <v>1408</v>
      </c>
      <c r="E137" s="866"/>
      <c r="F137" s="866"/>
      <c r="G137" s="866"/>
      <c r="H137" s="866"/>
      <c r="I137" s="866"/>
      <c r="J137" s="866"/>
      <c r="K137" s="866"/>
      <c r="L137" s="866"/>
      <c r="M137" s="866"/>
      <c r="N137" s="861">
        <f>SUM(N131:N136)</f>
        <v>0</v>
      </c>
      <c r="O137" s="861">
        <f>SUM(O131:O136)</f>
        <v>0</v>
      </c>
      <c r="P137" s="861">
        <f>SUM(P131:P136)</f>
        <v>0</v>
      </c>
      <c r="Q137" s="866"/>
      <c r="R137" s="861">
        <f>SUM(R131:R136)</f>
        <v>0</v>
      </c>
      <c r="S137" s="866"/>
      <c r="T137" s="867"/>
      <c r="U137" s="1252"/>
      <c r="V137" s="1252"/>
      <c r="W137" s="1266"/>
      <c r="X137" s="866"/>
      <c r="Y137" s="866"/>
      <c r="Z137" s="874"/>
    </row>
    <row r="138" spans="1:26" ht="16.5" customHeight="1">
      <c r="A138" s="1352">
        <v>133</v>
      </c>
      <c r="B138" s="2694"/>
      <c r="C138" s="2674"/>
      <c r="D138" s="2677" t="s">
        <v>1685</v>
      </c>
      <c r="E138" s="859"/>
      <c r="F138" s="859"/>
      <c r="G138" s="860"/>
      <c r="H138" s="860"/>
      <c r="I138" s="860"/>
      <c r="J138" s="860"/>
      <c r="K138" s="861"/>
      <c r="L138" s="861"/>
      <c r="M138" s="861"/>
      <c r="N138" s="861"/>
      <c r="O138" s="861"/>
      <c r="P138" s="862"/>
      <c r="Q138" s="861"/>
      <c r="R138" s="861"/>
      <c r="S138" s="866"/>
      <c r="T138" s="867"/>
      <c r="U138" s="1252"/>
      <c r="V138" s="1252"/>
      <c r="W138" s="1266"/>
      <c r="X138" s="861"/>
      <c r="Y138" s="861"/>
      <c r="Z138" s="863"/>
    </row>
    <row r="139" spans="1:26" ht="16.5" customHeight="1">
      <c r="A139" s="1352">
        <v>134</v>
      </c>
      <c r="B139" s="2694"/>
      <c r="C139" s="2674"/>
      <c r="D139" s="2677"/>
      <c r="E139" s="859"/>
      <c r="F139" s="859"/>
      <c r="G139" s="860"/>
      <c r="H139" s="860"/>
      <c r="I139" s="860"/>
      <c r="J139" s="860"/>
      <c r="K139" s="861"/>
      <c r="L139" s="861"/>
      <c r="M139" s="861"/>
      <c r="N139" s="861"/>
      <c r="O139" s="861"/>
      <c r="P139" s="862"/>
      <c r="Q139" s="861"/>
      <c r="R139" s="861"/>
      <c r="S139" s="866"/>
      <c r="T139" s="867"/>
      <c r="U139" s="1252"/>
      <c r="V139" s="1252"/>
      <c r="W139" s="1266"/>
      <c r="X139" s="861"/>
      <c r="Y139" s="861"/>
      <c r="Z139" s="863"/>
    </row>
    <row r="140" spans="1:26" ht="16.5" customHeight="1">
      <c r="A140" s="1352">
        <v>135</v>
      </c>
      <c r="B140" s="2694"/>
      <c r="C140" s="2674"/>
      <c r="D140" s="2677"/>
      <c r="E140" s="859"/>
      <c r="F140" s="859"/>
      <c r="G140" s="860"/>
      <c r="H140" s="860"/>
      <c r="I140" s="860"/>
      <c r="J140" s="860"/>
      <c r="K140" s="861"/>
      <c r="L140" s="861"/>
      <c r="M140" s="861"/>
      <c r="N140" s="861"/>
      <c r="O140" s="861"/>
      <c r="P140" s="862"/>
      <c r="Q140" s="861"/>
      <c r="R140" s="861"/>
      <c r="S140" s="866"/>
      <c r="T140" s="867"/>
      <c r="U140" s="1252"/>
      <c r="V140" s="1252"/>
      <c r="W140" s="1266"/>
      <c r="X140" s="861"/>
      <c r="Y140" s="861"/>
      <c r="Z140" s="863"/>
    </row>
    <row r="141" spans="1:26" ht="16.5" customHeight="1">
      <c r="A141" s="1352">
        <v>136</v>
      </c>
      <c r="B141" s="2694"/>
      <c r="C141" s="2674"/>
      <c r="D141" s="2677"/>
      <c r="E141" s="859"/>
      <c r="F141" s="859"/>
      <c r="G141" s="860"/>
      <c r="H141" s="860"/>
      <c r="I141" s="860"/>
      <c r="J141" s="860"/>
      <c r="K141" s="861"/>
      <c r="L141" s="861"/>
      <c r="M141" s="861"/>
      <c r="N141" s="861"/>
      <c r="O141" s="861"/>
      <c r="P141" s="862"/>
      <c r="Q141" s="861"/>
      <c r="R141" s="861"/>
      <c r="S141" s="866"/>
      <c r="T141" s="867"/>
      <c r="U141" s="1252"/>
      <c r="V141" s="1252"/>
      <c r="W141" s="1266"/>
      <c r="X141" s="861"/>
      <c r="Y141" s="861"/>
      <c r="Z141" s="863"/>
    </row>
    <row r="142" spans="1:26">
      <c r="A142" s="1352">
        <v>137</v>
      </c>
      <c r="B142" s="2694"/>
      <c r="C142" s="2674"/>
      <c r="D142" s="2677"/>
      <c r="E142" s="859"/>
      <c r="F142" s="859"/>
      <c r="G142" s="860"/>
      <c r="H142" s="860"/>
      <c r="I142" s="860"/>
      <c r="J142" s="860"/>
      <c r="K142" s="861"/>
      <c r="L142" s="861"/>
      <c r="M142" s="861"/>
      <c r="N142" s="861"/>
      <c r="O142" s="861"/>
      <c r="P142" s="862"/>
      <c r="Q142" s="861"/>
      <c r="R142" s="861"/>
      <c r="S142" s="866"/>
      <c r="T142" s="867"/>
      <c r="U142" s="1252"/>
      <c r="V142" s="1252"/>
      <c r="W142" s="1266"/>
      <c r="X142" s="861"/>
      <c r="Y142" s="861"/>
      <c r="Z142" s="863"/>
    </row>
    <row r="143" spans="1:26">
      <c r="A143" s="1352">
        <v>138</v>
      </c>
      <c r="B143" s="2694"/>
      <c r="C143" s="2674"/>
      <c r="D143" s="2677"/>
      <c r="E143" s="859"/>
      <c r="F143" s="859"/>
      <c r="G143" s="860"/>
      <c r="H143" s="860"/>
      <c r="I143" s="860"/>
      <c r="J143" s="860"/>
      <c r="K143" s="861"/>
      <c r="L143" s="861"/>
      <c r="M143" s="861"/>
      <c r="N143" s="861"/>
      <c r="O143" s="861"/>
      <c r="P143" s="862"/>
      <c r="Q143" s="861"/>
      <c r="R143" s="861"/>
      <c r="S143" s="866"/>
      <c r="T143" s="867"/>
      <c r="U143" s="1252"/>
      <c r="V143" s="1252"/>
      <c r="W143" s="1266"/>
      <c r="X143" s="861"/>
      <c r="Y143" s="861"/>
      <c r="Z143" s="863"/>
    </row>
    <row r="144" spans="1:26" ht="17.25" thickBot="1">
      <c r="A144" s="1352">
        <v>139</v>
      </c>
      <c r="B144" s="2694"/>
      <c r="C144" s="2675"/>
      <c r="D144" s="891" t="s">
        <v>588</v>
      </c>
      <c r="E144" s="872"/>
      <c r="F144" s="872"/>
      <c r="G144" s="872"/>
      <c r="H144" s="872"/>
      <c r="I144" s="872"/>
      <c r="J144" s="872"/>
      <c r="K144" s="872"/>
      <c r="L144" s="872"/>
      <c r="M144" s="872"/>
      <c r="N144" s="871">
        <f>SUM(N138:N143)</f>
        <v>0</v>
      </c>
      <c r="O144" s="871">
        <f>SUM(O138:O143)</f>
        <v>0</v>
      </c>
      <c r="P144" s="871">
        <f>SUM(P138:P143)</f>
        <v>0</v>
      </c>
      <c r="Q144" s="872"/>
      <c r="R144" s="871">
        <f>SUM(R138:R143)</f>
        <v>0</v>
      </c>
      <c r="S144" s="872"/>
      <c r="T144" s="892"/>
      <c r="U144" s="1262"/>
      <c r="V144" s="1262"/>
      <c r="W144" s="1270"/>
      <c r="X144" s="872"/>
      <c r="Y144" s="872"/>
      <c r="Z144" s="873"/>
    </row>
    <row r="145" spans="1:26" ht="16.5" customHeight="1">
      <c r="A145" s="1352">
        <v>140</v>
      </c>
      <c r="B145" s="2694"/>
      <c r="C145" s="2697" t="s">
        <v>589</v>
      </c>
      <c r="D145" s="2700" t="s">
        <v>1411</v>
      </c>
      <c r="E145" s="853"/>
      <c r="F145" s="853"/>
      <c r="G145" s="854"/>
      <c r="H145" s="854"/>
      <c r="I145" s="854"/>
      <c r="J145" s="854"/>
      <c r="K145" s="855"/>
      <c r="L145" s="855"/>
      <c r="M145" s="855"/>
      <c r="N145" s="855"/>
      <c r="O145" s="855"/>
      <c r="P145" s="856"/>
      <c r="Q145" s="855"/>
      <c r="R145" s="855"/>
      <c r="S145" s="893"/>
      <c r="T145" s="890"/>
      <c r="U145" s="1271"/>
      <c r="V145" s="1271"/>
      <c r="W145" s="1268"/>
      <c r="X145" s="855"/>
      <c r="Y145" s="855"/>
      <c r="Z145" s="857"/>
    </row>
    <row r="146" spans="1:26">
      <c r="A146" s="1352">
        <v>141</v>
      </c>
      <c r="B146" s="2694"/>
      <c r="C146" s="2698"/>
      <c r="D146" s="2701"/>
      <c r="E146" s="859"/>
      <c r="F146" s="859"/>
      <c r="G146" s="860"/>
      <c r="H146" s="860"/>
      <c r="I146" s="860"/>
      <c r="J146" s="860"/>
      <c r="K146" s="861"/>
      <c r="L146" s="861"/>
      <c r="M146" s="861"/>
      <c r="N146" s="861"/>
      <c r="O146" s="861"/>
      <c r="P146" s="862"/>
      <c r="Q146" s="862"/>
      <c r="R146" s="861"/>
      <c r="S146" s="866"/>
      <c r="T146" s="894"/>
      <c r="U146" s="1252"/>
      <c r="V146" s="1252"/>
      <c r="W146" s="1272"/>
      <c r="X146" s="861"/>
      <c r="Y146" s="861"/>
      <c r="Z146" s="863"/>
    </row>
    <row r="147" spans="1:26">
      <c r="A147" s="1352">
        <v>142</v>
      </c>
      <c r="B147" s="2694"/>
      <c r="C147" s="2698"/>
      <c r="D147" s="2701"/>
      <c r="E147" s="859"/>
      <c r="F147" s="859"/>
      <c r="G147" s="860"/>
      <c r="H147" s="860"/>
      <c r="I147" s="860"/>
      <c r="J147" s="860"/>
      <c r="K147" s="861"/>
      <c r="L147" s="861"/>
      <c r="M147" s="861"/>
      <c r="N147" s="861"/>
      <c r="O147" s="861"/>
      <c r="P147" s="862"/>
      <c r="Q147" s="862"/>
      <c r="R147" s="861"/>
      <c r="S147" s="866"/>
      <c r="T147" s="894"/>
      <c r="U147" s="1252"/>
      <c r="V147" s="1252"/>
      <c r="W147" s="1272"/>
      <c r="X147" s="861"/>
      <c r="Y147" s="861"/>
      <c r="Z147" s="863"/>
    </row>
    <row r="148" spans="1:26">
      <c r="A148" s="1352">
        <v>143</v>
      </c>
      <c r="B148" s="2694"/>
      <c r="C148" s="2698"/>
      <c r="D148" s="2701"/>
      <c r="E148" s="859"/>
      <c r="F148" s="859"/>
      <c r="G148" s="860"/>
      <c r="H148" s="860"/>
      <c r="I148" s="860"/>
      <c r="J148" s="860"/>
      <c r="K148" s="861"/>
      <c r="L148" s="861"/>
      <c r="M148" s="861"/>
      <c r="N148" s="861"/>
      <c r="O148" s="861"/>
      <c r="P148" s="862"/>
      <c r="Q148" s="862"/>
      <c r="R148" s="861"/>
      <c r="S148" s="866"/>
      <c r="T148" s="894"/>
      <c r="U148" s="1252"/>
      <c r="V148" s="1252"/>
      <c r="W148" s="1272"/>
      <c r="X148" s="861"/>
      <c r="Y148" s="861"/>
      <c r="Z148" s="863"/>
    </row>
    <row r="149" spans="1:26">
      <c r="A149" s="1352">
        <v>144</v>
      </c>
      <c r="B149" s="2694"/>
      <c r="C149" s="2698"/>
      <c r="D149" s="2701"/>
      <c r="E149" s="859"/>
      <c r="F149" s="859"/>
      <c r="G149" s="860"/>
      <c r="H149" s="860"/>
      <c r="I149" s="860"/>
      <c r="J149" s="860"/>
      <c r="K149" s="861"/>
      <c r="L149" s="861"/>
      <c r="M149" s="861"/>
      <c r="N149" s="861"/>
      <c r="O149" s="861"/>
      <c r="P149" s="862"/>
      <c r="Q149" s="862"/>
      <c r="R149" s="861"/>
      <c r="S149" s="866"/>
      <c r="T149" s="894"/>
      <c r="U149" s="1252"/>
      <c r="V149" s="1252"/>
      <c r="W149" s="1272"/>
      <c r="X149" s="861"/>
      <c r="Y149" s="861"/>
      <c r="Z149" s="863"/>
    </row>
    <row r="150" spans="1:26">
      <c r="A150" s="1352">
        <v>145</v>
      </c>
      <c r="B150" s="2694"/>
      <c r="C150" s="2698"/>
      <c r="D150" s="2701"/>
      <c r="E150" s="859"/>
      <c r="F150" s="859"/>
      <c r="G150" s="860"/>
      <c r="H150" s="860"/>
      <c r="I150" s="860"/>
      <c r="J150" s="860"/>
      <c r="K150" s="861"/>
      <c r="L150" s="861"/>
      <c r="M150" s="861"/>
      <c r="N150" s="861"/>
      <c r="O150" s="861"/>
      <c r="P150" s="862"/>
      <c r="Q150" s="862"/>
      <c r="R150" s="861"/>
      <c r="S150" s="866"/>
      <c r="T150" s="894"/>
      <c r="U150" s="1252"/>
      <c r="V150" s="1252"/>
      <c r="W150" s="1272"/>
      <c r="X150" s="861"/>
      <c r="Y150" s="861"/>
      <c r="Z150" s="863"/>
    </row>
    <row r="151" spans="1:26">
      <c r="A151" s="1352">
        <v>146</v>
      </c>
      <c r="B151" s="2694"/>
      <c r="C151" s="2698"/>
      <c r="D151" s="2237" t="s">
        <v>588</v>
      </c>
      <c r="E151" s="866"/>
      <c r="F151" s="866"/>
      <c r="G151" s="866"/>
      <c r="H151" s="866"/>
      <c r="I151" s="866"/>
      <c r="J151" s="866"/>
      <c r="K151" s="866"/>
      <c r="L151" s="866"/>
      <c r="M151" s="866"/>
      <c r="N151" s="861">
        <f>SUM(N145:N150)</f>
        <v>0</v>
      </c>
      <c r="O151" s="861">
        <f>SUM(O145:O150)</f>
        <v>0</v>
      </c>
      <c r="P151" s="861">
        <f>SUM(P145:P150)</f>
        <v>0</v>
      </c>
      <c r="Q151" s="866"/>
      <c r="R151" s="861">
        <f>SUM(R145:R150)</f>
        <v>0</v>
      </c>
      <c r="S151" s="866"/>
      <c r="T151" s="894"/>
      <c r="U151" s="1252"/>
      <c r="V151" s="1252"/>
      <c r="W151" s="1272"/>
      <c r="X151" s="866"/>
      <c r="Y151" s="866"/>
      <c r="Z151" s="874"/>
    </row>
    <row r="152" spans="1:26" ht="17.25" customHeight="1">
      <c r="A152" s="1352">
        <v>147</v>
      </c>
      <c r="B152" s="2694"/>
      <c r="C152" s="2698"/>
      <c r="D152" s="2687" t="s">
        <v>1684</v>
      </c>
      <c r="E152" s="859"/>
      <c r="F152" s="859"/>
      <c r="G152" s="860"/>
      <c r="H152" s="860"/>
      <c r="I152" s="860"/>
      <c r="J152" s="860"/>
      <c r="K152" s="861"/>
      <c r="L152" s="861"/>
      <c r="M152" s="861"/>
      <c r="N152" s="861"/>
      <c r="O152" s="861"/>
      <c r="P152" s="862"/>
      <c r="Q152" s="862"/>
      <c r="R152" s="861"/>
      <c r="S152" s="866"/>
      <c r="T152" s="894"/>
      <c r="U152" s="1252"/>
      <c r="V152" s="1252"/>
      <c r="W152" s="1272"/>
      <c r="X152" s="861"/>
      <c r="Y152" s="861"/>
      <c r="Z152" s="863"/>
    </row>
    <row r="153" spans="1:26">
      <c r="A153" s="1352">
        <v>148</v>
      </c>
      <c r="B153" s="2694"/>
      <c r="C153" s="2698"/>
      <c r="D153" s="2687"/>
      <c r="E153" s="859"/>
      <c r="F153" s="859"/>
      <c r="G153" s="860"/>
      <c r="H153" s="860"/>
      <c r="I153" s="860"/>
      <c r="J153" s="860"/>
      <c r="K153" s="861"/>
      <c r="L153" s="861"/>
      <c r="M153" s="861"/>
      <c r="N153" s="861"/>
      <c r="O153" s="861"/>
      <c r="P153" s="862"/>
      <c r="Q153" s="862"/>
      <c r="R153" s="861"/>
      <c r="S153" s="866"/>
      <c r="T153" s="894"/>
      <c r="U153" s="1252"/>
      <c r="V153" s="1252"/>
      <c r="W153" s="1272"/>
      <c r="X153" s="861"/>
      <c r="Y153" s="861"/>
      <c r="Z153" s="863"/>
    </row>
    <row r="154" spans="1:26">
      <c r="A154" s="1352">
        <v>149</v>
      </c>
      <c r="B154" s="2694"/>
      <c r="C154" s="2698"/>
      <c r="D154" s="2687"/>
      <c r="E154" s="859"/>
      <c r="F154" s="859"/>
      <c r="G154" s="860"/>
      <c r="H154" s="860"/>
      <c r="I154" s="860"/>
      <c r="J154" s="860"/>
      <c r="K154" s="861"/>
      <c r="L154" s="861"/>
      <c r="M154" s="861"/>
      <c r="N154" s="861"/>
      <c r="O154" s="861"/>
      <c r="P154" s="862"/>
      <c r="Q154" s="862"/>
      <c r="R154" s="861"/>
      <c r="S154" s="866"/>
      <c r="T154" s="894"/>
      <c r="U154" s="1252"/>
      <c r="V154" s="1252"/>
      <c r="W154" s="1272"/>
      <c r="X154" s="861"/>
      <c r="Y154" s="861"/>
      <c r="Z154" s="863"/>
    </row>
    <row r="155" spans="1:26">
      <c r="A155" s="1352">
        <v>150</v>
      </c>
      <c r="B155" s="2694"/>
      <c r="C155" s="2698"/>
      <c r="D155" s="2687"/>
      <c r="E155" s="859"/>
      <c r="F155" s="859"/>
      <c r="G155" s="860"/>
      <c r="H155" s="860"/>
      <c r="I155" s="860"/>
      <c r="J155" s="860"/>
      <c r="K155" s="861"/>
      <c r="L155" s="861"/>
      <c r="M155" s="861"/>
      <c r="N155" s="861"/>
      <c r="O155" s="861"/>
      <c r="P155" s="862"/>
      <c r="Q155" s="862"/>
      <c r="R155" s="861"/>
      <c r="S155" s="866"/>
      <c r="T155" s="894"/>
      <c r="U155" s="1252"/>
      <c r="V155" s="1252"/>
      <c r="W155" s="1272"/>
      <c r="X155" s="861"/>
      <c r="Y155" s="861"/>
      <c r="Z155" s="863"/>
    </row>
    <row r="156" spans="1:26">
      <c r="A156" s="1352">
        <v>151</v>
      </c>
      <c r="B156" s="2694"/>
      <c r="C156" s="2698"/>
      <c r="D156" s="2687"/>
      <c r="E156" s="859"/>
      <c r="F156" s="859"/>
      <c r="G156" s="860"/>
      <c r="H156" s="860"/>
      <c r="I156" s="860"/>
      <c r="J156" s="860"/>
      <c r="K156" s="861"/>
      <c r="L156" s="861"/>
      <c r="M156" s="861"/>
      <c r="N156" s="861"/>
      <c r="O156" s="861"/>
      <c r="P156" s="862"/>
      <c r="Q156" s="862"/>
      <c r="R156" s="861"/>
      <c r="S156" s="866"/>
      <c r="T156" s="894"/>
      <c r="U156" s="1252"/>
      <c r="V156" s="1252"/>
      <c r="W156" s="1272"/>
      <c r="X156" s="861"/>
      <c r="Y156" s="861"/>
      <c r="Z156" s="863"/>
    </row>
    <row r="157" spans="1:26">
      <c r="A157" s="1352">
        <v>152</v>
      </c>
      <c r="B157" s="2694"/>
      <c r="C157" s="2698"/>
      <c r="D157" s="2687"/>
      <c r="E157" s="859"/>
      <c r="F157" s="859"/>
      <c r="G157" s="860"/>
      <c r="H157" s="860"/>
      <c r="I157" s="860"/>
      <c r="J157" s="860"/>
      <c r="K157" s="861"/>
      <c r="L157" s="861"/>
      <c r="M157" s="861"/>
      <c r="N157" s="861"/>
      <c r="O157" s="861"/>
      <c r="P157" s="862"/>
      <c r="Q157" s="862"/>
      <c r="R157" s="861"/>
      <c r="S157" s="866"/>
      <c r="T157" s="894"/>
      <c r="U157" s="1252"/>
      <c r="V157" s="1252"/>
      <c r="W157" s="1272"/>
      <c r="X157" s="861"/>
      <c r="Y157" s="861"/>
      <c r="Z157" s="863"/>
    </row>
    <row r="158" spans="1:26">
      <c r="A158" s="1352">
        <v>153</v>
      </c>
      <c r="B158" s="2694"/>
      <c r="C158" s="2698"/>
      <c r="D158" s="2236" t="s">
        <v>1408</v>
      </c>
      <c r="E158" s="866"/>
      <c r="F158" s="866"/>
      <c r="G158" s="866"/>
      <c r="H158" s="866"/>
      <c r="I158" s="866"/>
      <c r="J158" s="866"/>
      <c r="K158" s="866"/>
      <c r="L158" s="866"/>
      <c r="M158" s="866"/>
      <c r="N158" s="861">
        <f>SUM(N152:N157)</f>
        <v>0</v>
      </c>
      <c r="O158" s="861">
        <f>SUM(O152:O157)</f>
        <v>0</v>
      </c>
      <c r="P158" s="861">
        <f>SUM(P152:P157)</f>
        <v>0</v>
      </c>
      <c r="Q158" s="866"/>
      <c r="R158" s="861">
        <f>SUM(R152:R157)</f>
        <v>0</v>
      </c>
      <c r="S158" s="866"/>
      <c r="T158" s="894"/>
      <c r="U158" s="1252"/>
      <c r="V158" s="1252"/>
      <c r="W158" s="1272"/>
      <c r="X158" s="866"/>
      <c r="Y158" s="866"/>
      <c r="Z158" s="874"/>
    </row>
    <row r="159" spans="1:26" ht="16.5" customHeight="1">
      <c r="A159" s="1352">
        <v>154</v>
      </c>
      <c r="B159" s="2694"/>
      <c r="C159" s="2698"/>
      <c r="D159" s="2687" t="s">
        <v>1685</v>
      </c>
      <c r="E159" s="859"/>
      <c r="F159" s="859"/>
      <c r="G159" s="860"/>
      <c r="H159" s="860"/>
      <c r="I159" s="860"/>
      <c r="J159" s="860"/>
      <c r="K159" s="861"/>
      <c r="L159" s="861"/>
      <c r="M159" s="861"/>
      <c r="N159" s="861"/>
      <c r="O159" s="861"/>
      <c r="P159" s="862"/>
      <c r="Q159" s="862"/>
      <c r="R159" s="861"/>
      <c r="S159" s="866"/>
      <c r="T159" s="894"/>
      <c r="U159" s="1252"/>
      <c r="V159" s="1252"/>
      <c r="W159" s="1272"/>
      <c r="X159" s="861"/>
      <c r="Y159" s="861"/>
      <c r="Z159" s="863"/>
    </row>
    <row r="160" spans="1:26" ht="15.75" customHeight="1">
      <c r="A160" s="1352">
        <v>155</v>
      </c>
      <c r="B160" s="2694"/>
      <c r="C160" s="2698"/>
      <c r="D160" s="2687"/>
      <c r="E160" s="859"/>
      <c r="F160" s="859"/>
      <c r="G160" s="860"/>
      <c r="H160" s="860"/>
      <c r="I160" s="860"/>
      <c r="J160" s="860"/>
      <c r="K160" s="861"/>
      <c r="L160" s="861"/>
      <c r="M160" s="861"/>
      <c r="N160" s="861"/>
      <c r="O160" s="861"/>
      <c r="P160" s="862"/>
      <c r="Q160" s="861"/>
      <c r="R160" s="861"/>
      <c r="S160" s="866"/>
      <c r="T160" s="867"/>
      <c r="U160" s="1252"/>
      <c r="V160" s="1252"/>
      <c r="W160" s="1266"/>
      <c r="X160" s="861"/>
      <c r="Y160" s="861"/>
      <c r="Z160" s="863"/>
    </row>
    <row r="161" spans="1:26" ht="15.75" customHeight="1">
      <c r="A161" s="1352">
        <v>156</v>
      </c>
      <c r="B161" s="2694"/>
      <c r="C161" s="2698"/>
      <c r="D161" s="2687"/>
      <c r="E161" s="859"/>
      <c r="F161" s="859"/>
      <c r="G161" s="860"/>
      <c r="H161" s="860"/>
      <c r="I161" s="860"/>
      <c r="J161" s="860"/>
      <c r="K161" s="861"/>
      <c r="L161" s="861"/>
      <c r="M161" s="861"/>
      <c r="N161" s="861"/>
      <c r="O161" s="861"/>
      <c r="P161" s="862"/>
      <c r="Q161" s="861"/>
      <c r="R161" s="861"/>
      <c r="S161" s="866"/>
      <c r="T161" s="867"/>
      <c r="U161" s="1252"/>
      <c r="V161" s="1252"/>
      <c r="W161" s="1266"/>
      <c r="X161" s="861"/>
      <c r="Y161" s="861"/>
      <c r="Z161" s="863"/>
    </row>
    <row r="162" spans="1:26" ht="16.5" customHeight="1">
      <c r="A162" s="1352">
        <v>157</v>
      </c>
      <c r="B162" s="2694"/>
      <c r="C162" s="2698"/>
      <c r="D162" s="2687"/>
      <c r="E162" s="859"/>
      <c r="F162" s="859"/>
      <c r="G162" s="860"/>
      <c r="H162" s="860"/>
      <c r="I162" s="860"/>
      <c r="J162" s="860"/>
      <c r="K162" s="861"/>
      <c r="L162" s="861"/>
      <c r="M162" s="861"/>
      <c r="N162" s="861"/>
      <c r="O162" s="861"/>
      <c r="P162" s="862"/>
      <c r="Q162" s="861"/>
      <c r="R162" s="861"/>
      <c r="S162" s="866"/>
      <c r="T162" s="867"/>
      <c r="U162" s="1252"/>
      <c r="V162" s="1252"/>
      <c r="W162" s="1266"/>
      <c r="X162" s="861"/>
      <c r="Y162" s="861"/>
      <c r="Z162" s="863"/>
    </row>
    <row r="163" spans="1:26">
      <c r="A163" s="1352">
        <v>158</v>
      </c>
      <c r="B163" s="2694"/>
      <c r="C163" s="2698"/>
      <c r="D163" s="2687"/>
      <c r="E163" s="859"/>
      <c r="F163" s="859"/>
      <c r="G163" s="860"/>
      <c r="H163" s="860"/>
      <c r="I163" s="860"/>
      <c r="J163" s="860"/>
      <c r="K163" s="861"/>
      <c r="L163" s="861"/>
      <c r="M163" s="861"/>
      <c r="N163" s="861"/>
      <c r="O163" s="861"/>
      <c r="P163" s="862"/>
      <c r="Q163" s="861"/>
      <c r="R163" s="861"/>
      <c r="S163" s="866"/>
      <c r="T163" s="867"/>
      <c r="U163" s="1252"/>
      <c r="V163" s="1252"/>
      <c r="W163" s="1266"/>
      <c r="X163" s="861"/>
      <c r="Y163" s="861"/>
      <c r="Z163" s="863"/>
    </row>
    <row r="164" spans="1:26">
      <c r="A164" s="1352">
        <v>159</v>
      </c>
      <c r="B164" s="2694"/>
      <c r="C164" s="2698"/>
      <c r="D164" s="2687"/>
      <c r="E164" s="859"/>
      <c r="F164" s="859"/>
      <c r="G164" s="860"/>
      <c r="H164" s="860"/>
      <c r="I164" s="860"/>
      <c r="J164" s="860"/>
      <c r="K164" s="861"/>
      <c r="L164" s="861"/>
      <c r="M164" s="861"/>
      <c r="N164" s="861"/>
      <c r="O164" s="861"/>
      <c r="P164" s="862"/>
      <c r="Q164" s="861"/>
      <c r="R164" s="861"/>
      <c r="S164" s="866"/>
      <c r="T164" s="867"/>
      <c r="U164" s="1252"/>
      <c r="V164" s="1252"/>
      <c r="W164" s="1266"/>
      <c r="X164" s="861"/>
      <c r="Y164" s="861"/>
      <c r="Z164" s="863"/>
    </row>
    <row r="165" spans="1:26" ht="17.25" thickBot="1">
      <c r="A165" s="1352">
        <v>160</v>
      </c>
      <c r="B165" s="2694"/>
      <c r="C165" s="2699"/>
      <c r="D165" s="891" t="s">
        <v>588</v>
      </c>
      <c r="E165" s="872"/>
      <c r="F165" s="872"/>
      <c r="G165" s="872"/>
      <c r="H165" s="872"/>
      <c r="I165" s="872"/>
      <c r="J165" s="872"/>
      <c r="K165" s="872"/>
      <c r="L165" s="872"/>
      <c r="M165" s="872"/>
      <c r="N165" s="871">
        <f>SUM(N159:N164)</f>
        <v>0</v>
      </c>
      <c r="O165" s="871">
        <f>SUM(O159:O164)</f>
        <v>0</v>
      </c>
      <c r="P165" s="871">
        <f>SUM(P159:P164)</f>
        <v>0</v>
      </c>
      <c r="Q165" s="872"/>
      <c r="R165" s="871">
        <f>SUM(R159:R164)</f>
        <v>0</v>
      </c>
      <c r="S165" s="872"/>
      <c r="T165" s="892"/>
      <c r="U165" s="1262"/>
      <c r="V165" s="1262"/>
      <c r="W165" s="1270"/>
      <c r="X165" s="872"/>
      <c r="Y165" s="872"/>
      <c r="Z165" s="873"/>
    </row>
    <row r="166" spans="1:26" ht="16.5" customHeight="1">
      <c r="A166" s="1352">
        <v>161</v>
      </c>
      <c r="B166" s="2694"/>
      <c r="C166" s="2673" t="s">
        <v>591</v>
      </c>
      <c r="D166" s="2656" t="s">
        <v>1412</v>
      </c>
      <c r="E166" s="853"/>
      <c r="F166" s="853"/>
      <c r="G166" s="854"/>
      <c r="H166" s="854"/>
      <c r="I166" s="854"/>
      <c r="J166" s="854"/>
      <c r="K166" s="855"/>
      <c r="L166" s="855"/>
      <c r="M166" s="855"/>
      <c r="N166" s="855"/>
      <c r="O166" s="855"/>
      <c r="P166" s="856"/>
      <c r="Q166" s="855"/>
      <c r="R166" s="855"/>
      <c r="S166" s="889"/>
      <c r="T166" s="890"/>
      <c r="U166" s="1267"/>
      <c r="V166" s="1267"/>
      <c r="W166" s="1268"/>
      <c r="X166" s="855"/>
      <c r="Y166" s="855"/>
      <c r="Z166" s="857"/>
    </row>
    <row r="167" spans="1:26">
      <c r="A167" s="1352">
        <v>162</v>
      </c>
      <c r="B167" s="2694"/>
      <c r="C167" s="2674"/>
      <c r="D167" s="2657"/>
      <c r="E167" s="859"/>
      <c r="F167" s="859"/>
      <c r="G167" s="860"/>
      <c r="H167" s="860"/>
      <c r="I167" s="860"/>
      <c r="J167" s="860"/>
      <c r="K167" s="861"/>
      <c r="L167" s="861"/>
      <c r="M167" s="861"/>
      <c r="N167" s="861"/>
      <c r="O167" s="861"/>
      <c r="P167" s="862"/>
      <c r="Q167" s="861"/>
      <c r="R167" s="861"/>
      <c r="S167" s="894"/>
      <c r="T167" s="867"/>
      <c r="U167" s="1272"/>
      <c r="V167" s="1272"/>
      <c r="W167" s="1266"/>
      <c r="X167" s="861"/>
      <c r="Y167" s="861"/>
      <c r="Z167" s="863"/>
    </row>
    <row r="168" spans="1:26">
      <c r="A168" s="1352">
        <v>163</v>
      </c>
      <c r="B168" s="2694"/>
      <c r="C168" s="2674"/>
      <c r="D168" s="2657"/>
      <c r="E168" s="859"/>
      <c r="F168" s="859"/>
      <c r="G168" s="860"/>
      <c r="H168" s="860"/>
      <c r="I168" s="860"/>
      <c r="J168" s="860"/>
      <c r="K168" s="861"/>
      <c r="L168" s="861"/>
      <c r="M168" s="861"/>
      <c r="N168" s="861"/>
      <c r="O168" s="861"/>
      <c r="P168" s="862"/>
      <c r="Q168" s="861"/>
      <c r="R168" s="861"/>
      <c r="S168" s="894"/>
      <c r="T168" s="867"/>
      <c r="U168" s="1272"/>
      <c r="V168" s="1272"/>
      <c r="W168" s="1266"/>
      <c r="X168" s="861"/>
      <c r="Y168" s="861"/>
      <c r="Z168" s="863"/>
    </row>
    <row r="169" spans="1:26">
      <c r="A169" s="1352">
        <v>164</v>
      </c>
      <c r="B169" s="2694"/>
      <c r="C169" s="2674"/>
      <c r="D169" s="2657"/>
      <c r="E169" s="859"/>
      <c r="F169" s="859"/>
      <c r="G169" s="860"/>
      <c r="H169" s="860"/>
      <c r="I169" s="860"/>
      <c r="J169" s="860"/>
      <c r="K169" s="861"/>
      <c r="L169" s="861"/>
      <c r="M169" s="861"/>
      <c r="N169" s="861"/>
      <c r="O169" s="861"/>
      <c r="P169" s="862"/>
      <c r="Q169" s="861"/>
      <c r="R169" s="861"/>
      <c r="S169" s="894"/>
      <c r="T169" s="867"/>
      <c r="U169" s="1272"/>
      <c r="V169" s="1272"/>
      <c r="W169" s="1266"/>
      <c r="X169" s="861"/>
      <c r="Y169" s="861"/>
      <c r="Z169" s="863"/>
    </row>
    <row r="170" spans="1:26">
      <c r="A170" s="1352">
        <v>165</v>
      </c>
      <c r="B170" s="2694"/>
      <c r="C170" s="2674"/>
      <c r="D170" s="2657"/>
      <c r="E170" s="859"/>
      <c r="F170" s="859"/>
      <c r="G170" s="860"/>
      <c r="H170" s="860"/>
      <c r="I170" s="860"/>
      <c r="J170" s="860"/>
      <c r="K170" s="861"/>
      <c r="L170" s="861"/>
      <c r="M170" s="861"/>
      <c r="N170" s="861"/>
      <c r="O170" s="861"/>
      <c r="P170" s="862"/>
      <c r="Q170" s="861"/>
      <c r="R170" s="861"/>
      <c r="S170" s="894"/>
      <c r="T170" s="867"/>
      <c r="U170" s="1272"/>
      <c r="V170" s="1272"/>
      <c r="W170" s="1266"/>
      <c r="X170" s="861"/>
      <c r="Y170" s="861"/>
      <c r="Z170" s="863"/>
    </row>
    <row r="171" spans="1:26">
      <c r="A171" s="1352">
        <v>166</v>
      </c>
      <c r="B171" s="2694"/>
      <c r="C171" s="2674"/>
      <c r="D171" s="2657"/>
      <c r="E171" s="859"/>
      <c r="F171" s="859"/>
      <c r="G171" s="860"/>
      <c r="H171" s="860"/>
      <c r="I171" s="860"/>
      <c r="J171" s="860"/>
      <c r="K171" s="861"/>
      <c r="L171" s="861"/>
      <c r="M171" s="861"/>
      <c r="N171" s="861"/>
      <c r="O171" s="861"/>
      <c r="P171" s="862"/>
      <c r="Q171" s="861"/>
      <c r="R171" s="861"/>
      <c r="S171" s="894"/>
      <c r="T171" s="867"/>
      <c r="U171" s="1272"/>
      <c r="V171" s="1272"/>
      <c r="W171" s="1266"/>
      <c r="X171" s="861"/>
      <c r="Y171" s="861"/>
      <c r="Z171" s="863"/>
    </row>
    <row r="172" spans="1:26">
      <c r="A172" s="1352">
        <v>167</v>
      </c>
      <c r="B172" s="2694"/>
      <c r="C172" s="2674"/>
      <c r="D172" s="2234" t="s">
        <v>588</v>
      </c>
      <c r="E172" s="866"/>
      <c r="F172" s="866"/>
      <c r="G172" s="866"/>
      <c r="H172" s="866"/>
      <c r="I172" s="866"/>
      <c r="J172" s="866"/>
      <c r="K172" s="866"/>
      <c r="L172" s="866"/>
      <c r="M172" s="866"/>
      <c r="N172" s="861">
        <f>SUM(N166:N171)</f>
        <v>0</v>
      </c>
      <c r="O172" s="861">
        <f>SUM(O166:O171)</f>
        <v>0</v>
      </c>
      <c r="P172" s="861">
        <f>SUM(P166:P171)</f>
        <v>0</v>
      </c>
      <c r="Q172" s="866"/>
      <c r="R172" s="861">
        <f>SUM(R166:R171)</f>
        <v>0</v>
      </c>
      <c r="S172" s="894"/>
      <c r="T172" s="867"/>
      <c r="U172" s="1272"/>
      <c r="V172" s="1272"/>
      <c r="W172" s="1266"/>
      <c r="X172" s="866"/>
      <c r="Y172" s="866"/>
      <c r="Z172" s="874"/>
    </row>
    <row r="173" spans="1:26" ht="16.5" customHeight="1">
      <c r="A173" s="1352">
        <v>168</v>
      </c>
      <c r="B173" s="2694"/>
      <c r="C173" s="2674"/>
      <c r="D173" s="2687" t="s">
        <v>1684</v>
      </c>
      <c r="E173" s="859"/>
      <c r="F173" s="859"/>
      <c r="G173" s="860"/>
      <c r="H173" s="860"/>
      <c r="I173" s="860"/>
      <c r="J173" s="860"/>
      <c r="K173" s="861"/>
      <c r="L173" s="861"/>
      <c r="M173" s="861"/>
      <c r="N173" s="861"/>
      <c r="O173" s="861"/>
      <c r="P173" s="862"/>
      <c r="Q173" s="861"/>
      <c r="R173" s="861"/>
      <c r="S173" s="894"/>
      <c r="T173" s="867"/>
      <c r="U173" s="1272"/>
      <c r="V173" s="1272"/>
      <c r="W173" s="1266"/>
      <c r="X173" s="861"/>
      <c r="Y173" s="861"/>
      <c r="Z173" s="863"/>
    </row>
    <row r="174" spans="1:26">
      <c r="A174" s="1352">
        <v>169</v>
      </c>
      <c r="B174" s="2694"/>
      <c r="C174" s="2674"/>
      <c r="D174" s="2687"/>
      <c r="E174" s="859"/>
      <c r="F174" s="859"/>
      <c r="G174" s="860"/>
      <c r="H174" s="860"/>
      <c r="I174" s="860"/>
      <c r="J174" s="860"/>
      <c r="K174" s="861"/>
      <c r="L174" s="861"/>
      <c r="M174" s="861"/>
      <c r="N174" s="861"/>
      <c r="O174" s="861"/>
      <c r="P174" s="862"/>
      <c r="Q174" s="861"/>
      <c r="R174" s="861"/>
      <c r="S174" s="894"/>
      <c r="T174" s="867"/>
      <c r="U174" s="1272"/>
      <c r="V174" s="1272"/>
      <c r="W174" s="1266"/>
      <c r="X174" s="861"/>
      <c r="Y174" s="861"/>
      <c r="Z174" s="863"/>
    </row>
    <row r="175" spans="1:26">
      <c r="A175" s="1352">
        <v>170</v>
      </c>
      <c r="B175" s="2694"/>
      <c r="C175" s="2674"/>
      <c r="D175" s="2687"/>
      <c r="E175" s="859"/>
      <c r="F175" s="859"/>
      <c r="G175" s="860"/>
      <c r="H175" s="860"/>
      <c r="I175" s="860"/>
      <c r="J175" s="860"/>
      <c r="K175" s="861"/>
      <c r="L175" s="861"/>
      <c r="M175" s="861"/>
      <c r="N175" s="861"/>
      <c r="O175" s="861"/>
      <c r="P175" s="862"/>
      <c r="Q175" s="861"/>
      <c r="R175" s="861"/>
      <c r="S175" s="894"/>
      <c r="T175" s="867"/>
      <c r="U175" s="1272"/>
      <c r="V175" s="1272"/>
      <c r="W175" s="1266"/>
      <c r="X175" s="861"/>
      <c r="Y175" s="861"/>
      <c r="Z175" s="863"/>
    </row>
    <row r="176" spans="1:26">
      <c r="A176" s="1352">
        <v>171</v>
      </c>
      <c r="B176" s="2694"/>
      <c r="C176" s="2674"/>
      <c r="D176" s="2687"/>
      <c r="E176" s="859"/>
      <c r="F176" s="859"/>
      <c r="G176" s="860"/>
      <c r="H176" s="860"/>
      <c r="I176" s="860"/>
      <c r="J176" s="860"/>
      <c r="K176" s="861"/>
      <c r="L176" s="861"/>
      <c r="M176" s="861"/>
      <c r="N176" s="861"/>
      <c r="O176" s="861"/>
      <c r="P176" s="862"/>
      <c r="Q176" s="861"/>
      <c r="R176" s="861"/>
      <c r="S176" s="894"/>
      <c r="T176" s="867"/>
      <c r="U176" s="1272"/>
      <c r="V176" s="1272"/>
      <c r="W176" s="1266"/>
      <c r="X176" s="861"/>
      <c r="Y176" s="861"/>
      <c r="Z176" s="863"/>
    </row>
    <row r="177" spans="1:26">
      <c r="A177" s="1352">
        <v>172</v>
      </c>
      <c r="B177" s="2694"/>
      <c r="C177" s="2674"/>
      <c r="D177" s="2687"/>
      <c r="E177" s="859"/>
      <c r="F177" s="859"/>
      <c r="G177" s="860"/>
      <c r="H177" s="860"/>
      <c r="I177" s="860"/>
      <c r="J177" s="860"/>
      <c r="K177" s="861"/>
      <c r="L177" s="861"/>
      <c r="M177" s="861"/>
      <c r="N177" s="861"/>
      <c r="O177" s="861"/>
      <c r="P177" s="862"/>
      <c r="Q177" s="861"/>
      <c r="R177" s="861"/>
      <c r="S177" s="894"/>
      <c r="T177" s="867"/>
      <c r="U177" s="1272"/>
      <c r="V177" s="1272"/>
      <c r="W177" s="1266"/>
      <c r="X177" s="861"/>
      <c r="Y177" s="861"/>
      <c r="Z177" s="863"/>
    </row>
    <row r="178" spans="1:26">
      <c r="A178" s="1352">
        <v>173</v>
      </c>
      <c r="B178" s="2694"/>
      <c r="C178" s="2674"/>
      <c r="D178" s="2687"/>
      <c r="E178" s="859"/>
      <c r="F178" s="859"/>
      <c r="G178" s="860"/>
      <c r="H178" s="860"/>
      <c r="I178" s="860"/>
      <c r="J178" s="860"/>
      <c r="K178" s="861"/>
      <c r="L178" s="861"/>
      <c r="M178" s="861"/>
      <c r="N178" s="861"/>
      <c r="O178" s="861"/>
      <c r="P178" s="862"/>
      <c r="Q178" s="861"/>
      <c r="R178" s="861"/>
      <c r="S178" s="894"/>
      <c r="T178" s="867"/>
      <c r="U178" s="1272"/>
      <c r="V178" s="1272"/>
      <c r="W178" s="1266"/>
      <c r="X178" s="861"/>
      <c r="Y178" s="861"/>
      <c r="Z178" s="863"/>
    </row>
    <row r="179" spans="1:26">
      <c r="A179" s="1352">
        <v>174</v>
      </c>
      <c r="B179" s="2694"/>
      <c r="C179" s="2674"/>
      <c r="D179" s="2236" t="s">
        <v>1408</v>
      </c>
      <c r="E179" s="866"/>
      <c r="F179" s="866"/>
      <c r="G179" s="866"/>
      <c r="H179" s="866"/>
      <c r="I179" s="866"/>
      <c r="J179" s="866"/>
      <c r="K179" s="866"/>
      <c r="L179" s="866"/>
      <c r="M179" s="866"/>
      <c r="N179" s="861">
        <f>SUM(N173:N178)</f>
        <v>0</v>
      </c>
      <c r="O179" s="861">
        <f>SUM(O173:O178)</f>
        <v>0</v>
      </c>
      <c r="P179" s="861">
        <f>SUM(P173:P178)</f>
        <v>0</v>
      </c>
      <c r="Q179" s="866"/>
      <c r="R179" s="861">
        <f>SUM(R173:R178)</f>
        <v>0</v>
      </c>
      <c r="S179" s="894"/>
      <c r="T179" s="867"/>
      <c r="U179" s="1272"/>
      <c r="V179" s="1272"/>
      <c r="W179" s="1266"/>
      <c r="X179" s="866"/>
      <c r="Y179" s="866"/>
      <c r="Z179" s="874"/>
    </row>
    <row r="180" spans="1:26" ht="16.5" customHeight="1">
      <c r="A180" s="1352">
        <v>175</v>
      </c>
      <c r="B180" s="2694"/>
      <c r="C180" s="2674"/>
      <c r="D180" s="2687" t="s">
        <v>1685</v>
      </c>
      <c r="E180" s="859"/>
      <c r="F180" s="859"/>
      <c r="G180" s="860"/>
      <c r="H180" s="860"/>
      <c r="I180" s="860"/>
      <c r="J180" s="860"/>
      <c r="K180" s="861"/>
      <c r="L180" s="861"/>
      <c r="M180" s="861"/>
      <c r="N180" s="861"/>
      <c r="O180" s="861"/>
      <c r="P180" s="862"/>
      <c r="Q180" s="861"/>
      <c r="R180" s="861"/>
      <c r="S180" s="894"/>
      <c r="T180" s="867"/>
      <c r="U180" s="1272"/>
      <c r="V180" s="1272"/>
      <c r="W180" s="1266"/>
      <c r="X180" s="861"/>
      <c r="Y180" s="861"/>
      <c r="Z180" s="863"/>
    </row>
    <row r="181" spans="1:26">
      <c r="A181" s="1352">
        <v>176</v>
      </c>
      <c r="B181" s="2694"/>
      <c r="C181" s="2674"/>
      <c r="D181" s="2687"/>
      <c r="E181" s="859"/>
      <c r="F181" s="859"/>
      <c r="G181" s="860"/>
      <c r="H181" s="860"/>
      <c r="I181" s="860"/>
      <c r="J181" s="860"/>
      <c r="K181" s="861"/>
      <c r="L181" s="861"/>
      <c r="M181" s="861"/>
      <c r="N181" s="861"/>
      <c r="O181" s="861"/>
      <c r="P181" s="862"/>
      <c r="Q181" s="861"/>
      <c r="R181" s="861"/>
      <c r="S181" s="894"/>
      <c r="T181" s="867"/>
      <c r="U181" s="1272"/>
      <c r="V181" s="1272"/>
      <c r="W181" s="1266"/>
      <c r="X181" s="861"/>
      <c r="Y181" s="861"/>
      <c r="Z181" s="863"/>
    </row>
    <row r="182" spans="1:26">
      <c r="A182" s="1352">
        <v>177</v>
      </c>
      <c r="B182" s="2694"/>
      <c r="C182" s="2674"/>
      <c r="D182" s="2687"/>
      <c r="E182" s="859"/>
      <c r="F182" s="859"/>
      <c r="G182" s="860"/>
      <c r="H182" s="860"/>
      <c r="I182" s="860"/>
      <c r="J182" s="860"/>
      <c r="K182" s="861"/>
      <c r="L182" s="861"/>
      <c r="M182" s="861"/>
      <c r="N182" s="861"/>
      <c r="O182" s="861"/>
      <c r="P182" s="862"/>
      <c r="Q182" s="861"/>
      <c r="R182" s="861"/>
      <c r="S182" s="894"/>
      <c r="T182" s="867"/>
      <c r="U182" s="1272"/>
      <c r="V182" s="1272"/>
      <c r="W182" s="1266"/>
      <c r="X182" s="861"/>
      <c r="Y182" s="861"/>
      <c r="Z182" s="863"/>
    </row>
    <row r="183" spans="1:26">
      <c r="A183" s="1352">
        <v>178</v>
      </c>
      <c r="B183" s="2694"/>
      <c r="C183" s="2674"/>
      <c r="D183" s="2687"/>
      <c r="E183" s="859"/>
      <c r="F183" s="859"/>
      <c r="G183" s="860"/>
      <c r="H183" s="860"/>
      <c r="I183" s="860"/>
      <c r="J183" s="860"/>
      <c r="K183" s="861"/>
      <c r="L183" s="861"/>
      <c r="M183" s="861"/>
      <c r="N183" s="861"/>
      <c r="O183" s="861"/>
      <c r="P183" s="862"/>
      <c r="Q183" s="861"/>
      <c r="R183" s="861"/>
      <c r="S183" s="894"/>
      <c r="T183" s="867"/>
      <c r="U183" s="1272"/>
      <c r="V183" s="1272"/>
      <c r="W183" s="1266"/>
      <c r="X183" s="861"/>
      <c r="Y183" s="861"/>
      <c r="Z183" s="863"/>
    </row>
    <row r="184" spans="1:26">
      <c r="A184" s="1352">
        <v>179</v>
      </c>
      <c r="B184" s="2694"/>
      <c r="C184" s="2674"/>
      <c r="D184" s="2687"/>
      <c r="E184" s="859"/>
      <c r="F184" s="859"/>
      <c r="G184" s="860"/>
      <c r="H184" s="860"/>
      <c r="I184" s="860"/>
      <c r="J184" s="860"/>
      <c r="K184" s="861"/>
      <c r="L184" s="861"/>
      <c r="M184" s="861"/>
      <c r="N184" s="861"/>
      <c r="O184" s="861"/>
      <c r="P184" s="862"/>
      <c r="Q184" s="861"/>
      <c r="R184" s="861"/>
      <c r="S184" s="894"/>
      <c r="T184" s="867"/>
      <c r="U184" s="1272"/>
      <c r="V184" s="1272"/>
      <c r="W184" s="1266"/>
      <c r="X184" s="861"/>
      <c r="Y184" s="861"/>
      <c r="Z184" s="863"/>
    </row>
    <row r="185" spans="1:26">
      <c r="A185" s="1352">
        <v>180</v>
      </c>
      <c r="B185" s="2694"/>
      <c r="C185" s="2674"/>
      <c r="D185" s="2687"/>
      <c r="E185" s="859"/>
      <c r="F185" s="859"/>
      <c r="G185" s="860"/>
      <c r="H185" s="860"/>
      <c r="I185" s="860"/>
      <c r="J185" s="860"/>
      <c r="K185" s="861"/>
      <c r="L185" s="861"/>
      <c r="M185" s="861"/>
      <c r="N185" s="861"/>
      <c r="O185" s="861"/>
      <c r="P185" s="862"/>
      <c r="Q185" s="861"/>
      <c r="R185" s="861"/>
      <c r="S185" s="894"/>
      <c r="T185" s="867"/>
      <c r="U185" s="1272"/>
      <c r="V185" s="1272"/>
      <c r="W185" s="1266"/>
      <c r="X185" s="861"/>
      <c r="Y185" s="861"/>
      <c r="Z185" s="863"/>
    </row>
    <row r="186" spans="1:26" ht="17.25" thickBot="1">
      <c r="A186" s="1355">
        <v>181</v>
      </c>
      <c r="B186" s="2695"/>
      <c r="C186" s="2702"/>
      <c r="D186" s="2245" t="s">
        <v>588</v>
      </c>
      <c r="E186" s="880"/>
      <c r="F186" s="880"/>
      <c r="G186" s="880"/>
      <c r="H186" s="880"/>
      <c r="I186" s="880"/>
      <c r="J186" s="880"/>
      <c r="K186" s="880"/>
      <c r="L186" s="880"/>
      <c r="M186" s="880"/>
      <c r="N186" s="881">
        <f>SUM(N180:N185)</f>
        <v>0</v>
      </c>
      <c r="O186" s="881">
        <f>SUM(O180:O185)</f>
        <v>0</v>
      </c>
      <c r="P186" s="881">
        <f>SUM(P180:P185)</f>
        <v>0</v>
      </c>
      <c r="Q186" s="880"/>
      <c r="R186" s="881">
        <f>SUM(R180:R185)</f>
        <v>0</v>
      </c>
      <c r="S186" s="895"/>
      <c r="T186" s="896"/>
      <c r="U186" s="1273"/>
      <c r="V186" s="1273"/>
      <c r="W186" s="1274"/>
      <c r="X186" s="880"/>
      <c r="Y186" s="880"/>
      <c r="Z186" s="882"/>
    </row>
    <row r="187" spans="1:26" ht="17.25" thickBot="1">
      <c r="A187" s="1356">
        <v>182</v>
      </c>
      <c r="B187" s="2668" t="s">
        <v>1413</v>
      </c>
      <c r="C187" s="2669"/>
      <c r="D187" s="2669"/>
      <c r="E187" s="883"/>
      <c r="F187" s="883"/>
      <c r="G187" s="884"/>
      <c r="H187" s="884"/>
      <c r="I187" s="884"/>
      <c r="J187" s="884"/>
      <c r="K187" s="885"/>
      <c r="L187" s="885"/>
      <c r="M187" s="885"/>
      <c r="N187" s="897">
        <f>N137+N144+N151+N158+N165+N172+N179+N186</f>
        <v>0</v>
      </c>
      <c r="O187" s="897">
        <f>O137+O144+O151+O158+O165+O172+O179+O186</f>
        <v>0</v>
      </c>
      <c r="P187" s="897">
        <f>P137+P144+P151+P158+P165+P172+P179+P186</f>
        <v>0</v>
      </c>
      <c r="Q187" s="885"/>
      <c r="R187" s="897">
        <f>R137+R144+R151+R158+R165+R172+R179+R186</f>
        <v>0</v>
      </c>
      <c r="S187" s="898"/>
      <c r="T187" s="887"/>
      <c r="U187" s="1275"/>
      <c r="V187" s="1275"/>
      <c r="W187" s="1269"/>
      <c r="X187" s="885"/>
      <c r="Y187" s="885"/>
      <c r="Z187" s="888"/>
    </row>
    <row r="188" spans="1:26" ht="16.5" customHeight="1">
      <c r="A188" s="1357">
        <v>183</v>
      </c>
      <c r="B188" s="2670" t="s">
        <v>1414</v>
      </c>
      <c r="C188" s="2673" t="s">
        <v>595</v>
      </c>
      <c r="D188" s="2696" t="s">
        <v>1684</v>
      </c>
      <c r="E188" s="853"/>
      <c r="F188" s="853"/>
      <c r="G188" s="854"/>
      <c r="H188" s="854"/>
      <c r="I188" s="854"/>
      <c r="J188" s="854"/>
      <c r="K188" s="855"/>
      <c r="L188" s="855"/>
      <c r="M188" s="855"/>
      <c r="N188" s="855"/>
      <c r="O188" s="855"/>
      <c r="P188" s="856"/>
      <c r="Q188" s="855"/>
      <c r="R188" s="855"/>
      <c r="S188" s="889"/>
      <c r="T188" s="890"/>
      <c r="U188" s="1267"/>
      <c r="V188" s="1267"/>
      <c r="W188" s="1268"/>
      <c r="X188" s="855"/>
      <c r="Y188" s="855"/>
      <c r="Z188" s="857"/>
    </row>
    <row r="189" spans="1:26" ht="16.5" customHeight="1">
      <c r="A189" s="1352">
        <v>184</v>
      </c>
      <c r="B189" s="2694"/>
      <c r="C189" s="2674"/>
      <c r="D189" s="2677"/>
      <c r="E189" s="859"/>
      <c r="F189" s="859"/>
      <c r="G189" s="860"/>
      <c r="H189" s="860"/>
      <c r="I189" s="860"/>
      <c r="J189" s="860"/>
      <c r="K189" s="861"/>
      <c r="L189" s="861"/>
      <c r="M189" s="861"/>
      <c r="N189" s="861"/>
      <c r="O189" s="861"/>
      <c r="P189" s="862"/>
      <c r="Q189" s="861"/>
      <c r="R189" s="861"/>
      <c r="S189" s="866"/>
      <c r="T189" s="867"/>
      <c r="U189" s="1252"/>
      <c r="V189" s="1252"/>
      <c r="W189" s="1266"/>
      <c r="X189" s="861"/>
      <c r="Y189" s="861"/>
      <c r="Z189" s="863"/>
    </row>
    <row r="190" spans="1:26" ht="16.5" customHeight="1">
      <c r="A190" s="1352">
        <v>185</v>
      </c>
      <c r="B190" s="2694"/>
      <c r="C190" s="2674"/>
      <c r="D190" s="2677"/>
      <c r="E190" s="859"/>
      <c r="F190" s="859"/>
      <c r="G190" s="860"/>
      <c r="H190" s="860"/>
      <c r="I190" s="860"/>
      <c r="J190" s="860"/>
      <c r="K190" s="861"/>
      <c r="L190" s="861"/>
      <c r="M190" s="861"/>
      <c r="N190" s="861"/>
      <c r="O190" s="861"/>
      <c r="P190" s="862"/>
      <c r="Q190" s="861"/>
      <c r="R190" s="861"/>
      <c r="S190" s="866"/>
      <c r="T190" s="867"/>
      <c r="U190" s="1252"/>
      <c r="V190" s="1252"/>
      <c r="W190" s="1266"/>
      <c r="X190" s="861"/>
      <c r="Y190" s="861"/>
      <c r="Z190" s="863"/>
    </row>
    <row r="191" spans="1:26" ht="16.5" customHeight="1">
      <c r="A191" s="1352">
        <v>186</v>
      </c>
      <c r="B191" s="2694"/>
      <c r="C191" s="2674"/>
      <c r="D191" s="2677"/>
      <c r="E191" s="859"/>
      <c r="F191" s="859"/>
      <c r="G191" s="860"/>
      <c r="H191" s="860"/>
      <c r="I191" s="860"/>
      <c r="J191" s="860"/>
      <c r="K191" s="861"/>
      <c r="L191" s="861"/>
      <c r="M191" s="861"/>
      <c r="N191" s="861"/>
      <c r="O191" s="861"/>
      <c r="P191" s="862"/>
      <c r="Q191" s="861"/>
      <c r="R191" s="861"/>
      <c r="S191" s="866"/>
      <c r="T191" s="867"/>
      <c r="U191" s="1252"/>
      <c r="V191" s="1252"/>
      <c r="W191" s="1266"/>
      <c r="X191" s="861"/>
      <c r="Y191" s="861"/>
      <c r="Z191" s="863"/>
    </row>
    <row r="192" spans="1:26" ht="16.5" customHeight="1">
      <c r="A192" s="1352">
        <v>187</v>
      </c>
      <c r="B192" s="2694"/>
      <c r="C192" s="2674"/>
      <c r="D192" s="2677"/>
      <c r="E192" s="859"/>
      <c r="F192" s="859"/>
      <c r="G192" s="860"/>
      <c r="H192" s="860"/>
      <c r="I192" s="860"/>
      <c r="J192" s="860"/>
      <c r="K192" s="861"/>
      <c r="L192" s="861"/>
      <c r="M192" s="861"/>
      <c r="N192" s="861"/>
      <c r="O192" s="861"/>
      <c r="P192" s="862"/>
      <c r="Q192" s="861"/>
      <c r="R192" s="861"/>
      <c r="S192" s="866"/>
      <c r="T192" s="867"/>
      <c r="U192" s="1252"/>
      <c r="V192" s="1252"/>
      <c r="W192" s="1266"/>
      <c r="X192" s="861"/>
      <c r="Y192" s="861"/>
      <c r="Z192" s="863"/>
    </row>
    <row r="193" spans="1:26" ht="16.5" customHeight="1">
      <c r="A193" s="1352">
        <v>188</v>
      </c>
      <c r="B193" s="2694"/>
      <c r="C193" s="2674"/>
      <c r="D193" s="2677"/>
      <c r="E193" s="859"/>
      <c r="F193" s="859"/>
      <c r="G193" s="860"/>
      <c r="H193" s="860"/>
      <c r="I193" s="860"/>
      <c r="J193" s="860"/>
      <c r="K193" s="861"/>
      <c r="L193" s="861"/>
      <c r="M193" s="861"/>
      <c r="N193" s="861"/>
      <c r="O193" s="861"/>
      <c r="P193" s="862"/>
      <c r="Q193" s="861"/>
      <c r="R193" s="861"/>
      <c r="S193" s="866"/>
      <c r="T193" s="867"/>
      <c r="U193" s="1252"/>
      <c r="V193" s="1252"/>
      <c r="W193" s="1266"/>
      <c r="X193" s="861"/>
      <c r="Y193" s="861"/>
      <c r="Z193" s="863"/>
    </row>
    <row r="194" spans="1:26" ht="16.5" customHeight="1">
      <c r="A194" s="1352">
        <v>189</v>
      </c>
      <c r="B194" s="2694"/>
      <c r="C194" s="2674"/>
      <c r="D194" s="2236" t="s">
        <v>1408</v>
      </c>
      <c r="E194" s="866"/>
      <c r="F194" s="866"/>
      <c r="G194" s="866"/>
      <c r="H194" s="866"/>
      <c r="I194" s="866"/>
      <c r="J194" s="866"/>
      <c r="K194" s="866"/>
      <c r="L194" s="866"/>
      <c r="M194" s="866"/>
      <c r="N194" s="861">
        <f>SUM(N188:N193)</f>
        <v>0</v>
      </c>
      <c r="O194" s="861">
        <f>SUM(O188:O193)</f>
        <v>0</v>
      </c>
      <c r="P194" s="861">
        <f>SUM(P188:P193)</f>
        <v>0</v>
      </c>
      <c r="Q194" s="866"/>
      <c r="R194" s="861">
        <f>SUM(R188:R193)</f>
        <v>0</v>
      </c>
      <c r="S194" s="866"/>
      <c r="T194" s="867"/>
      <c r="U194" s="1252"/>
      <c r="V194" s="1252"/>
      <c r="W194" s="1266"/>
      <c r="X194" s="866"/>
      <c r="Y194" s="866"/>
      <c r="Z194" s="874"/>
    </row>
    <row r="195" spans="1:26" ht="16.5" customHeight="1">
      <c r="A195" s="1352">
        <v>190</v>
      </c>
      <c r="B195" s="2694"/>
      <c r="C195" s="2674"/>
      <c r="D195" s="2677" t="s">
        <v>1685</v>
      </c>
      <c r="E195" s="859"/>
      <c r="F195" s="859"/>
      <c r="G195" s="860"/>
      <c r="H195" s="860"/>
      <c r="I195" s="860"/>
      <c r="J195" s="860"/>
      <c r="K195" s="861"/>
      <c r="L195" s="861"/>
      <c r="M195" s="861"/>
      <c r="N195" s="861"/>
      <c r="O195" s="861"/>
      <c r="P195" s="862"/>
      <c r="Q195" s="861"/>
      <c r="R195" s="861"/>
      <c r="S195" s="866"/>
      <c r="T195" s="867"/>
      <c r="U195" s="1252"/>
      <c r="V195" s="1252"/>
      <c r="W195" s="1266"/>
      <c r="X195" s="861"/>
      <c r="Y195" s="861"/>
      <c r="Z195" s="863"/>
    </row>
    <row r="196" spans="1:26" ht="16.5" customHeight="1">
      <c r="A196" s="1352">
        <v>191</v>
      </c>
      <c r="B196" s="2694"/>
      <c r="C196" s="2674"/>
      <c r="D196" s="2677"/>
      <c r="E196" s="859"/>
      <c r="F196" s="859"/>
      <c r="G196" s="860"/>
      <c r="H196" s="860"/>
      <c r="I196" s="860"/>
      <c r="J196" s="860"/>
      <c r="K196" s="861"/>
      <c r="L196" s="861"/>
      <c r="M196" s="861"/>
      <c r="N196" s="861"/>
      <c r="O196" s="861"/>
      <c r="P196" s="862"/>
      <c r="Q196" s="861"/>
      <c r="R196" s="861"/>
      <c r="S196" s="866"/>
      <c r="T196" s="867"/>
      <c r="U196" s="1252"/>
      <c r="V196" s="1252"/>
      <c r="W196" s="1266"/>
      <c r="X196" s="861"/>
      <c r="Y196" s="861"/>
      <c r="Z196" s="863"/>
    </row>
    <row r="197" spans="1:26" ht="16.5" customHeight="1">
      <c r="A197" s="1352">
        <v>192</v>
      </c>
      <c r="B197" s="2694"/>
      <c r="C197" s="2674"/>
      <c r="D197" s="2677"/>
      <c r="E197" s="859"/>
      <c r="F197" s="859"/>
      <c r="G197" s="860"/>
      <c r="H197" s="860"/>
      <c r="I197" s="860"/>
      <c r="J197" s="860"/>
      <c r="K197" s="861"/>
      <c r="L197" s="861"/>
      <c r="M197" s="861"/>
      <c r="N197" s="861"/>
      <c r="O197" s="861"/>
      <c r="P197" s="862"/>
      <c r="Q197" s="861"/>
      <c r="R197" s="861"/>
      <c r="S197" s="866"/>
      <c r="T197" s="867"/>
      <c r="U197" s="1252"/>
      <c r="V197" s="1252"/>
      <c r="W197" s="1266"/>
      <c r="X197" s="861"/>
      <c r="Y197" s="861"/>
      <c r="Z197" s="863"/>
    </row>
    <row r="198" spans="1:26" ht="16.5" customHeight="1">
      <c r="A198" s="1352">
        <v>193</v>
      </c>
      <c r="B198" s="2694"/>
      <c r="C198" s="2674"/>
      <c r="D198" s="2677"/>
      <c r="E198" s="859"/>
      <c r="F198" s="859"/>
      <c r="G198" s="860"/>
      <c r="H198" s="860"/>
      <c r="I198" s="860"/>
      <c r="J198" s="860"/>
      <c r="K198" s="861"/>
      <c r="L198" s="861"/>
      <c r="M198" s="861"/>
      <c r="N198" s="861"/>
      <c r="O198" s="861"/>
      <c r="P198" s="862"/>
      <c r="Q198" s="861"/>
      <c r="R198" s="861"/>
      <c r="S198" s="866"/>
      <c r="T198" s="867"/>
      <c r="U198" s="1252"/>
      <c r="V198" s="1252"/>
      <c r="W198" s="1266"/>
      <c r="X198" s="861"/>
      <c r="Y198" s="861"/>
      <c r="Z198" s="863"/>
    </row>
    <row r="199" spans="1:26">
      <c r="A199" s="1352">
        <v>194</v>
      </c>
      <c r="B199" s="2694"/>
      <c r="C199" s="2674"/>
      <c r="D199" s="2677"/>
      <c r="E199" s="859"/>
      <c r="F199" s="859"/>
      <c r="G199" s="860"/>
      <c r="H199" s="860"/>
      <c r="I199" s="860"/>
      <c r="J199" s="860"/>
      <c r="K199" s="861"/>
      <c r="L199" s="861"/>
      <c r="M199" s="861"/>
      <c r="N199" s="861"/>
      <c r="O199" s="861"/>
      <c r="P199" s="862"/>
      <c r="Q199" s="861"/>
      <c r="R199" s="861"/>
      <c r="S199" s="866"/>
      <c r="T199" s="867"/>
      <c r="U199" s="1252"/>
      <c r="V199" s="1252"/>
      <c r="W199" s="1266"/>
      <c r="X199" s="861"/>
      <c r="Y199" s="861"/>
      <c r="Z199" s="863"/>
    </row>
    <row r="200" spans="1:26">
      <c r="A200" s="1352">
        <v>195</v>
      </c>
      <c r="B200" s="2694"/>
      <c r="C200" s="2674"/>
      <c r="D200" s="2677"/>
      <c r="E200" s="859"/>
      <c r="F200" s="859"/>
      <c r="G200" s="860"/>
      <c r="H200" s="860"/>
      <c r="I200" s="860"/>
      <c r="J200" s="860"/>
      <c r="K200" s="861"/>
      <c r="L200" s="861"/>
      <c r="M200" s="861"/>
      <c r="N200" s="861"/>
      <c r="O200" s="861"/>
      <c r="P200" s="862"/>
      <c r="Q200" s="861"/>
      <c r="R200" s="861"/>
      <c r="S200" s="866"/>
      <c r="T200" s="867"/>
      <c r="U200" s="1252"/>
      <c r="V200" s="1252"/>
      <c r="W200" s="1266"/>
      <c r="X200" s="861"/>
      <c r="Y200" s="861"/>
      <c r="Z200" s="863"/>
    </row>
    <row r="201" spans="1:26" ht="17.25" thickBot="1">
      <c r="A201" s="1352">
        <v>196</v>
      </c>
      <c r="B201" s="2694"/>
      <c r="C201" s="2675"/>
      <c r="D201" s="891" t="s">
        <v>588</v>
      </c>
      <c r="E201" s="872"/>
      <c r="F201" s="872"/>
      <c r="G201" s="872"/>
      <c r="H201" s="872"/>
      <c r="I201" s="872"/>
      <c r="J201" s="872"/>
      <c r="K201" s="872"/>
      <c r="L201" s="872"/>
      <c r="M201" s="872"/>
      <c r="N201" s="871">
        <f>SUM(N195:N200)</f>
        <v>0</v>
      </c>
      <c r="O201" s="871">
        <f>SUM(O195:O200)</f>
        <v>0</v>
      </c>
      <c r="P201" s="871">
        <f>SUM(P195:P200)</f>
        <v>0</v>
      </c>
      <c r="Q201" s="872"/>
      <c r="R201" s="871">
        <f>SUM(R195:R200)</f>
        <v>0</v>
      </c>
      <c r="S201" s="872"/>
      <c r="T201" s="892"/>
      <c r="U201" s="1262"/>
      <c r="V201" s="1262"/>
      <c r="W201" s="1270"/>
      <c r="X201" s="872"/>
      <c r="Y201" s="872"/>
      <c r="Z201" s="873"/>
    </row>
    <row r="202" spans="1:26" ht="16.5" customHeight="1">
      <c r="A202" s="1352">
        <v>197</v>
      </c>
      <c r="B202" s="2694"/>
      <c r="C202" s="2697" t="s">
        <v>589</v>
      </c>
      <c r="D202" s="2700" t="s">
        <v>1411</v>
      </c>
      <c r="E202" s="853"/>
      <c r="F202" s="853"/>
      <c r="G202" s="854"/>
      <c r="H202" s="854"/>
      <c r="I202" s="854"/>
      <c r="J202" s="854"/>
      <c r="K202" s="855"/>
      <c r="L202" s="855"/>
      <c r="M202" s="855"/>
      <c r="N202" s="855"/>
      <c r="O202" s="855"/>
      <c r="P202" s="856"/>
      <c r="Q202" s="855"/>
      <c r="R202" s="855"/>
      <c r="S202" s="893"/>
      <c r="T202" s="890"/>
      <c r="U202" s="1271"/>
      <c r="V202" s="1271"/>
      <c r="W202" s="1268"/>
      <c r="X202" s="855"/>
      <c r="Y202" s="855"/>
      <c r="Z202" s="857"/>
    </row>
    <row r="203" spans="1:26">
      <c r="A203" s="1352">
        <v>198</v>
      </c>
      <c r="B203" s="2694"/>
      <c r="C203" s="2698"/>
      <c r="D203" s="2701"/>
      <c r="E203" s="859"/>
      <c r="F203" s="859"/>
      <c r="G203" s="860"/>
      <c r="H203" s="860"/>
      <c r="I203" s="860"/>
      <c r="J203" s="860"/>
      <c r="K203" s="861"/>
      <c r="L203" s="861"/>
      <c r="M203" s="861"/>
      <c r="N203" s="861"/>
      <c r="O203" s="861"/>
      <c r="P203" s="862"/>
      <c r="Q203" s="862"/>
      <c r="R203" s="861"/>
      <c r="S203" s="866"/>
      <c r="T203" s="894"/>
      <c r="U203" s="1252"/>
      <c r="V203" s="1252"/>
      <c r="W203" s="1272"/>
      <c r="X203" s="861"/>
      <c r="Y203" s="861"/>
      <c r="Z203" s="863"/>
    </row>
    <row r="204" spans="1:26">
      <c r="A204" s="1352">
        <v>199</v>
      </c>
      <c r="B204" s="2694"/>
      <c r="C204" s="2698"/>
      <c r="D204" s="2701"/>
      <c r="E204" s="859"/>
      <c r="F204" s="859"/>
      <c r="G204" s="860"/>
      <c r="H204" s="860"/>
      <c r="I204" s="860"/>
      <c r="J204" s="860"/>
      <c r="K204" s="861"/>
      <c r="L204" s="861"/>
      <c r="M204" s="861"/>
      <c r="N204" s="861"/>
      <c r="O204" s="861"/>
      <c r="P204" s="862"/>
      <c r="Q204" s="862"/>
      <c r="R204" s="861"/>
      <c r="S204" s="866"/>
      <c r="T204" s="894"/>
      <c r="U204" s="1252"/>
      <c r="V204" s="1252"/>
      <c r="W204" s="1272"/>
      <c r="X204" s="861"/>
      <c r="Y204" s="861"/>
      <c r="Z204" s="863"/>
    </row>
    <row r="205" spans="1:26">
      <c r="A205" s="1352">
        <v>200</v>
      </c>
      <c r="B205" s="2694"/>
      <c r="C205" s="2698"/>
      <c r="D205" s="2701"/>
      <c r="E205" s="859"/>
      <c r="F205" s="859"/>
      <c r="G205" s="860"/>
      <c r="H205" s="860"/>
      <c r="I205" s="860"/>
      <c r="J205" s="860"/>
      <c r="K205" s="861"/>
      <c r="L205" s="861"/>
      <c r="M205" s="861"/>
      <c r="N205" s="861"/>
      <c r="O205" s="861"/>
      <c r="P205" s="862"/>
      <c r="Q205" s="862"/>
      <c r="R205" s="861"/>
      <c r="S205" s="866"/>
      <c r="T205" s="894"/>
      <c r="U205" s="1252"/>
      <c r="V205" s="1252"/>
      <c r="W205" s="1272"/>
      <c r="X205" s="861"/>
      <c r="Y205" s="861"/>
      <c r="Z205" s="863"/>
    </row>
    <row r="206" spans="1:26">
      <c r="A206" s="1352">
        <v>201</v>
      </c>
      <c r="B206" s="2694"/>
      <c r="C206" s="2698"/>
      <c r="D206" s="2701"/>
      <c r="E206" s="859"/>
      <c r="F206" s="859"/>
      <c r="G206" s="860"/>
      <c r="H206" s="860"/>
      <c r="I206" s="860"/>
      <c r="J206" s="860"/>
      <c r="K206" s="861"/>
      <c r="L206" s="861"/>
      <c r="M206" s="861"/>
      <c r="N206" s="861"/>
      <c r="O206" s="861"/>
      <c r="P206" s="862"/>
      <c r="Q206" s="862"/>
      <c r="R206" s="861"/>
      <c r="S206" s="866"/>
      <c r="T206" s="894"/>
      <c r="U206" s="1252"/>
      <c r="V206" s="1252"/>
      <c r="W206" s="1272"/>
      <c r="X206" s="861"/>
      <c r="Y206" s="861"/>
      <c r="Z206" s="863"/>
    </row>
    <row r="207" spans="1:26">
      <c r="A207" s="1352">
        <v>202</v>
      </c>
      <c r="B207" s="2694"/>
      <c r="C207" s="2698"/>
      <c r="D207" s="2701"/>
      <c r="E207" s="859"/>
      <c r="F207" s="859"/>
      <c r="G207" s="860"/>
      <c r="H207" s="860"/>
      <c r="I207" s="860"/>
      <c r="J207" s="860"/>
      <c r="K207" s="861"/>
      <c r="L207" s="861"/>
      <c r="M207" s="861"/>
      <c r="N207" s="861"/>
      <c r="O207" s="861"/>
      <c r="P207" s="862"/>
      <c r="Q207" s="862"/>
      <c r="R207" s="861"/>
      <c r="S207" s="866"/>
      <c r="T207" s="894"/>
      <c r="U207" s="1252"/>
      <c r="V207" s="1252"/>
      <c r="W207" s="1272"/>
      <c r="X207" s="861"/>
      <c r="Y207" s="861"/>
      <c r="Z207" s="863"/>
    </row>
    <row r="208" spans="1:26">
      <c r="A208" s="1352">
        <v>203</v>
      </c>
      <c r="B208" s="2694"/>
      <c r="C208" s="2698"/>
      <c r="D208" s="2237" t="s">
        <v>588</v>
      </c>
      <c r="E208" s="866"/>
      <c r="F208" s="866"/>
      <c r="G208" s="866"/>
      <c r="H208" s="866"/>
      <c r="I208" s="866"/>
      <c r="J208" s="866"/>
      <c r="K208" s="866"/>
      <c r="L208" s="866"/>
      <c r="M208" s="866"/>
      <c r="N208" s="861">
        <f>SUM(N202:N207)</f>
        <v>0</v>
      </c>
      <c r="O208" s="861">
        <f>SUM(O202:O207)</f>
        <v>0</v>
      </c>
      <c r="P208" s="861">
        <f>SUM(P202:P207)</f>
        <v>0</v>
      </c>
      <c r="Q208" s="866"/>
      <c r="R208" s="861">
        <f>SUM(R202:R207)</f>
        <v>0</v>
      </c>
      <c r="S208" s="866"/>
      <c r="T208" s="894"/>
      <c r="U208" s="1252"/>
      <c r="V208" s="1252"/>
      <c r="W208" s="1272"/>
      <c r="X208" s="866"/>
      <c r="Y208" s="866"/>
      <c r="Z208" s="874"/>
    </row>
    <row r="209" spans="1:26" ht="17.25" customHeight="1">
      <c r="A209" s="1352">
        <v>204</v>
      </c>
      <c r="B209" s="2694"/>
      <c r="C209" s="2698"/>
      <c r="D209" s="2687" t="s">
        <v>1684</v>
      </c>
      <c r="E209" s="859"/>
      <c r="F209" s="859"/>
      <c r="G209" s="860"/>
      <c r="H209" s="860"/>
      <c r="I209" s="860"/>
      <c r="J209" s="860"/>
      <c r="K209" s="861"/>
      <c r="L209" s="861"/>
      <c r="M209" s="861"/>
      <c r="N209" s="861"/>
      <c r="O209" s="861"/>
      <c r="P209" s="862"/>
      <c r="Q209" s="862"/>
      <c r="R209" s="861"/>
      <c r="S209" s="866"/>
      <c r="T209" s="894"/>
      <c r="U209" s="1252"/>
      <c r="V209" s="1252"/>
      <c r="W209" s="1272"/>
      <c r="X209" s="861"/>
      <c r="Y209" s="861"/>
      <c r="Z209" s="863"/>
    </row>
    <row r="210" spans="1:26">
      <c r="A210" s="1352">
        <v>205</v>
      </c>
      <c r="B210" s="2694"/>
      <c r="C210" s="2698"/>
      <c r="D210" s="2687"/>
      <c r="E210" s="859"/>
      <c r="F210" s="859"/>
      <c r="G210" s="860"/>
      <c r="H210" s="860"/>
      <c r="I210" s="860"/>
      <c r="J210" s="860"/>
      <c r="K210" s="861"/>
      <c r="L210" s="861"/>
      <c r="M210" s="861"/>
      <c r="N210" s="861"/>
      <c r="O210" s="861"/>
      <c r="P210" s="862"/>
      <c r="Q210" s="862"/>
      <c r="R210" s="861"/>
      <c r="S210" s="866"/>
      <c r="T210" s="894"/>
      <c r="U210" s="1252"/>
      <c r="V210" s="1252"/>
      <c r="W210" s="1272"/>
      <c r="X210" s="861"/>
      <c r="Y210" s="861"/>
      <c r="Z210" s="863"/>
    </row>
    <row r="211" spans="1:26">
      <c r="A211" s="1352">
        <v>206</v>
      </c>
      <c r="B211" s="2694"/>
      <c r="C211" s="2698"/>
      <c r="D211" s="2687"/>
      <c r="E211" s="859"/>
      <c r="F211" s="859"/>
      <c r="G211" s="860"/>
      <c r="H211" s="860"/>
      <c r="I211" s="860"/>
      <c r="J211" s="860"/>
      <c r="K211" s="861"/>
      <c r="L211" s="861"/>
      <c r="M211" s="861"/>
      <c r="N211" s="861"/>
      <c r="O211" s="861"/>
      <c r="P211" s="862"/>
      <c r="Q211" s="862"/>
      <c r="R211" s="861"/>
      <c r="S211" s="866"/>
      <c r="T211" s="894"/>
      <c r="U211" s="1252"/>
      <c r="V211" s="1252"/>
      <c r="W211" s="1272"/>
      <c r="X211" s="861"/>
      <c r="Y211" s="861"/>
      <c r="Z211" s="863"/>
    </row>
    <row r="212" spans="1:26">
      <c r="A212" s="1352">
        <v>207</v>
      </c>
      <c r="B212" s="2694"/>
      <c r="C212" s="2698"/>
      <c r="D212" s="2687"/>
      <c r="E212" s="859"/>
      <c r="F212" s="859"/>
      <c r="G212" s="860"/>
      <c r="H212" s="860"/>
      <c r="I212" s="860"/>
      <c r="J212" s="860"/>
      <c r="K212" s="861"/>
      <c r="L212" s="861"/>
      <c r="M212" s="861"/>
      <c r="N212" s="861"/>
      <c r="O212" s="861"/>
      <c r="P212" s="862"/>
      <c r="Q212" s="862"/>
      <c r="R212" s="861"/>
      <c r="S212" s="866"/>
      <c r="T212" s="894"/>
      <c r="U212" s="1252"/>
      <c r="V212" s="1252"/>
      <c r="W212" s="1272"/>
      <c r="X212" s="861"/>
      <c r="Y212" s="861"/>
      <c r="Z212" s="863"/>
    </row>
    <row r="213" spans="1:26">
      <c r="A213" s="1352">
        <v>208</v>
      </c>
      <c r="B213" s="2694"/>
      <c r="C213" s="2698"/>
      <c r="D213" s="2687"/>
      <c r="E213" s="859"/>
      <c r="F213" s="859"/>
      <c r="G213" s="860"/>
      <c r="H213" s="860"/>
      <c r="I213" s="860"/>
      <c r="J213" s="860"/>
      <c r="K213" s="861"/>
      <c r="L213" s="861"/>
      <c r="M213" s="861"/>
      <c r="N213" s="861"/>
      <c r="O213" s="861"/>
      <c r="P213" s="862"/>
      <c r="Q213" s="862"/>
      <c r="R213" s="861"/>
      <c r="S213" s="866"/>
      <c r="T213" s="894"/>
      <c r="U213" s="1252"/>
      <c r="V213" s="1252"/>
      <c r="W213" s="1272"/>
      <c r="X213" s="861"/>
      <c r="Y213" s="861"/>
      <c r="Z213" s="863"/>
    </row>
    <row r="214" spans="1:26">
      <c r="A214" s="1352">
        <v>209</v>
      </c>
      <c r="B214" s="2694"/>
      <c r="C214" s="2698"/>
      <c r="D214" s="2687"/>
      <c r="E214" s="859"/>
      <c r="F214" s="859"/>
      <c r="G214" s="860"/>
      <c r="H214" s="860"/>
      <c r="I214" s="860"/>
      <c r="J214" s="860"/>
      <c r="K214" s="861"/>
      <c r="L214" s="861"/>
      <c r="M214" s="861"/>
      <c r="N214" s="861"/>
      <c r="O214" s="861"/>
      <c r="P214" s="862"/>
      <c r="Q214" s="862"/>
      <c r="R214" s="861"/>
      <c r="S214" s="866"/>
      <c r="T214" s="894"/>
      <c r="U214" s="1252"/>
      <c r="V214" s="1252"/>
      <c r="W214" s="1272"/>
      <c r="X214" s="861"/>
      <c r="Y214" s="861"/>
      <c r="Z214" s="863"/>
    </row>
    <row r="215" spans="1:26">
      <c r="A215" s="1352">
        <v>210</v>
      </c>
      <c r="B215" s="2694"/>
      <c r="C215" s="2698"/>
      <c r="D215" s="2236" t="s">
        <v>1408</v>
      </c>
      <c r="E215" s="866"/>
      <c r="F215" s="866"/>
      <c r="G215" s="866"/>
      <c r="H215" s="866"/>
      <c r="I215" s="866"/>
      <c r="J215" s="866"/>
      <c r="K215" s="866"/>
      <c r="L215" s="866"/>
      <c r="M215" s="866"/>
      <c r="N215" s="861">
        <f>SUM(N209:N214)</f>
        <v>0</v>
      </c>
      <c r="O215" s="861">
        <f>SUM(O209:O214)</f>
        <v>0</v>
      </c>
      <c r="P215" s="861">
        <f>SUM(P209:P214)</f>
        <v>0</v>
      </c>
      <c r="Q215" s="866"/>
      <c r="R215" s="861">
        <f>SUM(R209:R214)</f>
        <v>0</v>
      </c>
      <c r="S215" s="866"/>
      <c r="T215" s="894"/>
      <c r="U215" s="1252"/>
      <c r="V215" s="1252"/>
      <c r="W215" s="1272"/>
      <c r="X215" s="866"/>
      <c r="Y215" s="866"/>
      <c r="Z215" s="874"/>
    </row>
    <row r="216" spans="1:26" ht="16.5" customHeight="1">
      <c r="A216" s="1352">
        <v>211</v>
      </c>
      <c r="B216" s="2694"/>
      <c r="C216" s="2698"/>
      <c r="D216" s="2687" t="s">
        <v>1685</v>
      </c>
      <c r="E216" s="859"/>
      <c r="F216" s="859"/>
      <c r="G216" s="860"/>
      <c r="H216" s="860"/>
      <c r="I216" s="860"/>
      <c r="J216" s="860"/>
      <c r="K216" s="861"/>
      <c r="L216" s="861"/>
      <c r="M216" s="861"/>
      <c r="N216" s="861"/>
      <c r="O216" s="861"/>
      <c r="P216" s="862"/>
      <c r="Q216" s="862"/>
      <c r="R216" s="861"/>
      <c r="S216" s="866"/>
      <c r="T216" s="894"/>
      <c r="U216" s="1252"/>
      <c r="V216" s="1252"/>
      <c r="W216" s="1272"/>
      <c r="X216" s="861"/>
      <c r="Y216" s="861"/>
      <c r="Z216" s="863"/>
    </row>
    <row r="217" spans="1:26" ht="15.75" customHeight="1">
      <c r="A217" s="1352">
        <v>212</v>
      </c>
      <c r="B217" s="2694"/>
      <c r="C217" s="2698"/>
      <c r="D217" s="2687"/>
      <c r="E217" s="859"/>
      <c r="F217" s="859"/>
      <c r="G217" s="860"/>
      <c r="H217" s="860"/>
      <c r="I217" s="860"/>
      <c r="J217" s="860"/>
      <c r="K217" s="861"/>
      <c r="L217" s="861"/>
      <c r="M217" s="861"/>
      <c r="N217" s="861"/>
      <c r="O217" s="861"/>
      <c r="P217" s="862"/>
      <c r="Q217" s="861"/>
      <c r="R217" s="861"/>
      <c r="S217" s="866"/>
      <c r="T217" s="867"/>
      <c r="U217" s="1252"/>
      <c r="V217" s="1252"/>
      <c r="W217" s="1266"/>
      <c r="X217" s="861"/>
      <c r="Y217" s="861"/>
      <c r="Z217" s="863"/>
    </row>
    <row r="218" spans="1:26" ht="15.75" customHeight="1">
      <c r="A218" s="1352">
        <v>213</v>
      </c>
      <c r="B218" s="2694"/>
      <c r="C218" s="2698"/>
      <c r="D218" s="2687"/>
      <c r="E218" s="859"/>
      <c r="F218" s="859"/>
      <c r="G218" s="860"/>
      <c r="H218" s="860"/>
      <c r="I218" s="860"/>
      <c r="J218" s="860"/>
      <c r="K218" s="861"/>
      <c r="L218" s="861"/>
      <c r="M218" s="861"/>
      <c r="N218" s="861"/>
      <c r="O218" s="861"/>
      <c r="P218" s="862"/>
      <c r="Q218" s="861"/>
      <c r="R218" s="861"/>
      <c r="S218" s="866"/>
      <c r="T218" s="867"/>
      <c r="U218" s="1252"/>
      <c r="V218" s="1252"/>
      <c r="W218" s="1266"/>
      <c r="X218" s="861"/>
      <c r="Y218" s="861"/>
      <c r="Z218" s="863"/>
    </row>
    <row r="219" spans="1:26" ht="16.5" customHeight="1">
      <c r="A219" s="1352">
        <v>214</v>
      </c>
      <c r="B219" s="2694"/>
      <c r="C219" s="2698"/>
      <c r="D219" s="2687"/>
      <c r="E219" s="859"/>
      <c r="F219" s="859"/>
      <c r="G219" s="860"/>
      <c r="H219" s="860"/>
      <c r="I219" s="860"/>
      <c r="J219" s="860"/>
      <c r="K219" s="861"/>
      <c r="L219" s="861"/>
      <c r="M219" s="861"/>
      <c r="N219" s="861"/>
      <c r="O219" s="861"/>
      <c r="P219" s="862"/>
      <c r="Q219" s="861"/>
      <c r="R219" s="861"/>
      <c r="S219" s="866"/>
      <c r="T219" s="867"/>
      <c r="U219" s="1252"/>
      <c r="V219" s="1252"/>
      <c r="W219" s="1266"/>
      <c r="X219" s="861"/>
      <c r="Y219" s="861"/>
      <c r="Z219" s="863"/>
    </row>
    <row r="220" spans="1:26">
      <c r="A220" s="1352">
        <v>215</v>
      </c>
      <c r="B220" s="2694"/>
      <c r="C220" s="2698"/>
      <c r="D220" s="2687"/>
      <c r="E220" s="859"/>
      <c r="F220" s="859"/>
      <c r="G220" s="860"/>
      <c r="H220" s="860"/>
      <c r="I220" s="860"/>
      <c r="J220" s="860"/>
      <c r="K220" s="861"/>
      <c r="L220" s="861"/>
      <c r="M220" s="861"/>
      <c r="N220" s="861"/>
      <c r="O220" s="861"/>
      <c r="P220" s="862"/>
      <c r="Q220" s="861"/>
      <c r="R220" s="861"/>
      <c r="S220" s="866"/>
      <c r="T220" s="867"/>
      <c r="U220" s="1252"/>
      <c r="V220" s="1252"/>
      <c r="W220" s="1266"/>
      <c r="X220" s="861"/>
      <c r="Y220" s="861"/>
      <c r="Z220" s="863"/>
    </row>
    <row r="221" spans="1:26">
      <c r="A221" s="1352">
        <v>216</v>
      </c>
      <c r="B221" s="2694"/>
      <c r="C221" s="2698"/>
      <c r="D221" s="2687"/>
      <c r="E221" s="859"/>
      <c r="F221" s="859"/>
      <c r="G221" s="860"/>
      <c r="H221" s="860"/>
      <c r="I221" s="860"/>
      <c r="J221" s="860"/>
      <c r="K221" s="861"/>
      <c r="L221" s="861"/>
      <c r="M221" s="861"/>
      <c r="N221" s="861"/>
      <c r="O221" s="861"/>
      <c r="P221" s="862"/>
      <c r="Q221" s="861"/>
      <c r="R221" s="861"/>
      <c r="S221" s="866"/>
      <c r="T221" s="867"/>
      <c r="U221" s="1252"/>
      <c r="V221" s="1252"/>
      <c r="W221" s="1266"/>
      <c r="X221" s="861"/>
      <c r="Y221" s="861"/>
      <c r="Z221" s="863"/>
    </row>
    <row r="222" spans="1:26" ht="17.25" thickBot="1">
      <c r="A222" s="1352">
        <v>217</v>
      </c>
      <c r="B222" s="2694"/>
      <c r="C222" s="2699"/>
      <c r="D222" s="891" t="s">
        <v>588</v>
      </c>
      <c r="E222" s="872"/>
      <c r="F222" s="872"/>
      <c r="G222" s="872"/>
      <c r="H222" s="872"/>
      <c r="I222" s="872"/>
      <c r="J222" s="872"/>
      <c r="K222" s="872"/>
      <c r="L222" s="872"/>
      <c r="M222" s="872"/>
      <c r="N222" s="871">
        <f>SUM(N216:N221)</f>
        <v>0</v>
      </c>
      <c r="O222" s="871">
        <f>SUM(O216:O221)</f>
        <v>0</v>
      </c>
      <c r="P222" s="871">
        <f>SUM(P216:P221)</f>
        <v>0</v>
      </c>
      <c r="Q222" s="872"/>
      <c r="R222" s="871">
        <f>SUM(R216:R221)</f>
        <v>0</v>
      </c>
      <c r="S222" s="872"/>
      <c r="T222" s="892"/>
      <c r="U222" s="1262"/>
      <c r="V222" s="1262"/>
      <c r="W222" s="1270"/>
      <c r="X222" s="872"/>
      <c r="Y222" s="872"/>
      <c r="Z222" s="873"/>
    </row>
    <row r="223" spans="1:26" ht="16.5" customHeight="1">
      <c r="A223" s="1352">
        <v>218</v>
      </c>
      <c r="B223" s="2694"/>
      <c r="C223" s="2673" t="s">
        <v>591</v>
      </c>
      <c r="D223" s="2656" t="s">
        <v>1412</v>
      </c>
      <c r="E223" s="853"/>
      <c r="F223" s="853"/>
      <c r="G223" s="854"/>
      <c r="H223" s="854"/>
      <c r="I223" s="854"/>
      <c r="J223" s="854"/>
      <c r="K223" s="855"/>
      <c r="L223" s="855"/>
      <c r="M223" s="855"/>
      <c r="N223" s="855"/>
      <c r="O223" s="855"/>
      <c r="P223" s="856"/>
      <c r="Q223" s="855"/>
      <c r="R223" s="855"/>
      <c r="S223" s="889"/>
      <c r="T223" s="890"/>
      <c r="U223" s="1267"/>
      <c r="V223" s="1267"/>
      <c r="W223" s="1268"/>
      <c r="X223" s="855"/>
      <c r="Y223" s="855"/>
      <c r="Z223" s="857"/>
    </row>
    <row r="224" spans="1:26">
      <c r="A224" s="1352">
        <v>219</v>
      </c>
      <c r="B224" s="2694"/>
      <c r="C224" s="2674"/>
      <c r="D224" s="2657"/>
      <c r="E224" s="859"/>
      <c r="F224" s="859"/>
      <c r="G224" s="860"/>
      <c r="H224" s="860"/>
      <c r="I224" s="860"/>
      <c r="J224" s="860"/>
      <c r="K224" s="861"/>
      <c r="L224" s="861"/>
      <c r="M224" s="861"/>
      <c r="N224" s="861"/>
      <c r="O224" s="861"/>
      <c r="P224" s="862"/>
      <c r="Q224" s="861"/>
      <c r="R224" s="861"/>
      <c r="S224" s="894"/>
      <c r="T224" s="867"/>
      <c r="U224" s="1272"/>
      <c r="V224" s="1272"/>
      <c r="W224" s="1266"/>
      <c r="X224" s="861"/>
      <c r="Y224" s="861"/>
      <c r="Z224" s="863"/>
    </row>
    <row r="225" spans="1:26">
      <c r="A225" s="1352">
        <v>220</v>
      </c>
      <c r="B225" s="2694"/>
      <c r="C225" s="2674"/>
      <c r="D225" s="2657"/>
      <c r="E225" s="859"/>
      <c r="F225" s="859"/>
      <c r="G225" s="860"/>
      <c r="H225" s="860"/>
      <c r="I225" s="860"/>
      <c r="J225" s="860"/>
      <c r="K225" s="861"/>
      <c r="L225" s="861"/>
      <c r="M225" s="861"/>
      <c r="N225" s="861"/>
      <c r="O225" s="861"/>
      <c r="P225" s="862"/>
      <c r="Q225" s="861"/>
      <c r="R225" s="861"/>
      <c r="S225" s="894"/>
      <c r="T225" s="867"/>
      <c r="U225" s="1272"/>
      <c r="V225" s="1272"/>
      <c r="W225" s="1266"/>
      <c r="X225" s="861"/>
      <c r="Y225" s="861"/>
      <c r="Z225" s="863"/>
    </row>
    <row r="226" spans="1:26">
      <c r="A226" s="1352">
        <v>221</v>
      </c>
      <c r="B226" s="2694"/>
      <c r="C226" s="2674"/>
      <c r="D226" s="2657"/>
      <c r="E226" s="859"/>
      <c r="F226" s="859"/>
      <c r="G226" s="860"/>
      <c r="H226" s="860"/>
      <c r="I226" s="860"/>
      <c r="J226" s="860"/>
      <c r="K226" s="861"/>
      <c r="L226" s="861"/>
      <c r="M226" s="861"/>
      <c r="N226" s="861"/>
      <c r="O226" s="861"/>
      <c r="P226" s="862"/>
      <c r="Q226" s="861"/>
      <c r="R226" s="861"/>
      <c r="S226" s="894"/>
      <c r="T226" s="867"/>
      <c r="U226" s="1272"/>
      <c r="V226" s="1272"/>
      <c r="W226" s="1266"/>
      <c r="X226" s="861"/>
      <c r="Y226" s="861"/>
      <c r="Z226" s="863"/>
    </row>
    <row r="227" spans="1:26">
      <c r="A227" s="1352">
        <v>222</v>
      </c>
      <c r="B227" s="2694"/>
      <c r="C227" s="2674"/>
      <c r="D227" s="2657"/>
      <c r="E227" s="859"/>
      <c r="F227" s="859"/>
      <c r="G227" s="860"/>
      <c r="H227" s="860"/>
      <c r="I227" s="860"/>
      <c r="J227" s="860"/>
      <c r="K227" s="861"/>
      <c r="L227" s="861"/>
      <c r="M227" s="861"/>
      <c r="N227" s="861"/>
      <c r="O227" s="861"/>
      <c r="P227" s="862"/>
      <c r="Q227" s="861"/>
      <c r="R227" s="861"/>
      <c r="S227" s="894"/>
      <c r="T227" s="867"/>
      <c r="U227" s="1272"/>
      <c r="V227" s="1272"/>
      <c r="W227" s="1266"/>
      <c r="X227" s="861"/>
      <c r="Y227" s="861"/>
      <c r="Z227" s="863"/>
    </row>
    <row r="228" spans="1:26">
      <c r="A228" s="1352">
        <v>223</v>
      </c>
      <c r="B228" s="2694"/>
      <c r="C228" s="2674"/>
      <c r="D228" s="2657"/>
      <c r="E228" s="859"/>
      <c r="F228" s="859"/>
      <c r="G228" s="860"/>
      <c r="H228" s="860"/>
      <c r="I228" s="860"/>
      <c r="J228" s="860"/>
      <c r="K228" s="861"/>
      <c r="L228" s="861"/>
      <c r="M228" s="861"/>
      <c r="N228" s="861"/>
      <c r="O228" s="861"/>
      <c r="P228" s="862"/>
      <c r="Q228" s="861"/>
      <c r="R228" s="861"/>
      <c r="S228" s="894"/>
      <c r="T228" s="867"/>
      <c r="U228" s="1272"/>
      <c r="V228" s="1272"/>
      <c r="W228" s="1266"/>
      <c r="X228" s="861"/>
      <c r="Y228" s="861"/>
      <c r="Z228" s="863"/>
    </row>
    <row r="229" spans="1:26">
      <c r="A229" s="1352">
        <v>224</v>
      </c>
      <c r="B229" s="2694"/>
      <c r="C229" s="2674"/>
      <c r="D229" s="2234" t="s">
        <v>588</v>
      </c>
      <c r="E229" s="866"/>
      <c r="F229" s="866"/>
      <c r="G229" s="866"/>
      <c r="H229" s="866"/>
      <c r="I229" s="866"/>
      <c r="J229" s="866"/>
      <c r="K229" s="866"/>
      <c r="L229" s="866"/>
      <c r="M229" s="866"/>
      <c r="N229" s="861">
        <f>SUM(N223:N228)</f>
        <v>0</v>
      </c>
      <c r="O229" s="861">
        <f>SUM(O223:O228)</f>
        <v>0</v>
      </c>
      <c r="P229" s="861">
        <f>SUM(P223:P228)</f>
        <v>0</v>
      </c>
      <c r="Q229" s="866"/>
      <c r="R229" s="861">
        <f>SUM(R223:R228)</f>
        <v>0</v>
      </c>
      <c r="S229" s="894"/>
      <c r="T229" s="867"/>
      <c r="U229" s="1272"/>
      <c r="V229" s="1272"/>
      <c r="W229" s="1266"/>
      <c r="X229" s="866"/>
      <c r="Y229" s="866"/>
      <c r="Z229" s="874"/>
    </row>
    <row r="230" spans="1:26" ht="16.5" customHeight="1">
      <c r="A230" s="1352">
        <v>225</v>
      </c>
      <c r="B230" s="2694"/>
      <c r="C230" s="2674"/>
      <c r="D230" s="2687" t="s">
        <v>1684</v>
      </c>
      <c r="E230" s="859"/>
      <c r="F230" s="859"/>
      <c r="G230" s="860"/>
      <c r="H230" s="860"/>
      <c r="I230" s="860"/>
      <c r="J230" s="860"/>
      <c r="K230" s="861"/>
      <c r="L230" s="861"/>
      <c r="M230" s="861"/>
      <c r="N230" s="861"/>
      <c r="O230" s="861"/>
      <c r="P230" s="862"/>
      <c r="Q230" s="861"/>
      <c r="R230" s="861"/>
      <c r="S230" s="894"/>
      <c r="T230" s="867"/>
      <c r="U230" s="1272"/>
      <c r="V230" s="1272"/>
      <c r="W230" s="1266"/>
      <c r="X230" s="861"/>
      <c r="Y230" s="861"/>
      <c r="Z230" s="863"/>
    </row>
    <row r="231" spans="1:26">
      <c r="A231" s="1352">
        <v>226</v>
      </c>
      <c r="B231" s="2694"/>
      <c r="C231" s="2674"/>
      <c r="D231" s="2687"/>
      <c r="E231" s="859"/>
      <c r="F231" s="859"/>
      <c r="G231" s="860"/>
      <c r="H231" s="860"/>
      <c r="I231" s="860"/>
      <c r="J231" s="860"/>
      <c r="K231" s="861"/>
      <c r="L231" s="861"/>
      <c r="M231" s="861"/>
      <c r="N231" s="861"/>
      <c r="O231" s="861"/>
      <c r="P231" s="862"/>
      <c r="Q231" s="861"/>
      <c r="R231" s="861"/>
      <c r="S231" s="894"/>
      <c r="T231" s="867"/>
      <c r="U231" s="1272"/>
      <c r="V231" s="1272"/>
      <c r="W231" s="1266"/>
      <c r="X231" s="861"/>
      <c r="Y231" s="861"/>
      <c r="Z231" s="863"/>
    </row>
    <row r="232" spans="1:26">
      <c r="A232" s="1352">
        <v>227</v>
      </c>
      <c r="B232" s="2694"/>
      <c r="C232" s="2674"/>
      <c r="D232" s="2687"/>
      <c r="E232" s="859"/>
      <c r="F232" s="859"/>
      <c r="G232" s="860"/>
      <c r="H232" s="860"/>
      <c r="I232" s="860"/>
      <c r="J232" s="860"/>
      <c r="K232" s="861"/>
      <c r="L232" s="861"/>
      <c r="M232" s="861"/>
      <c r="N232" s="861"/>
      <c r="O232" s="861"/>
      <c r="P232" s="862"/>
      <c r="Q232" s="861"/>
      <c r="R232" s="861"/>
      <c r="S232" s="894"/>
      <c r="T232" s="867"/>
      <c r="U232" s="1272"/>
      <c r="V232" s="1272"/>
      <c r="W232" s="1266"/>
      <c r="X232" s="861"/>
      <c r="Y232" s="861"/>
      <c r="Z232" s="863"/>
    </row>
    <row r="233" spans="1:26">
      <c r="A233" s="1352">
        <v>228</v>
      </c>
      <c r="B233" s="2694"/>
      <c r="C233" s="2674"/>
      <c r="D233" s="2687"/>
      <c r="E233" s="859"/>
      <c r="F233" s="859"/>
      <c r="G233" s="860"/>
      <c r="H233" s="860"/>
      <c r="I233" s="860"/>
      <c r="J233" s="860"/>
      <c r="K233" s="861"/>
      <c r="L233" s="861"/>
      <c r="M233" s="861"/>
      <c r="N233" s="861"/>
      <c r="O233" s="861"/>
      <c r="P233" s="862"/>
      <c r="Q233" s="861"/>
      <c r="R233" s="861"/>
      <c r="S233" s="894"/>
      <c r="T233" s="867"/>
      <c r="U233" s="1272"/>
      <c r="V233" s="1272"/>
      <c r="W233" s="1266"/>
      <c r="X233" s="861"/>
      <c r="Y233" s="861"/>
      <c r="Z233" s="863"/>
    </row>
    <row r="234" spans="1:26">
      <c r="A234" s="1352">
        <v>229</v>
      </c>
      <c r="B234" s="2694"/>
      <c r="C234" s="2674"/>
      <c r="D234" s="2687"/>
      <c r="E234" s="859"/>
      <c r="F234" s="859"/>
      <c r="G234" s="860"/>
      <c r="H234" s="860"/>
      <c r="I234" s="860"/>
      <c r="J234" s="860"/>
      <c r="K234" s="861"/>
      <c r="L234" s="861"/>
      <c r="M234" s="861"/>
      <c r="N234" s="861"/>
      <c r="O234" s="861"/>
      <c r="P234" s="862"/>
      <c r="Q234" s="861"/>
      <c r="R234" s="861"/>
      <c r="S234" s="894"/>
      <c r="T234" s="867"/>
      <c r="U234" s="1272"/>
      <c r="V234" s="1272"/>
      <c r="W234" s="1266"/>
      <c r="X234" s="861"/>
      <c r="Y234" s="861"/>
      <c r="Z234" s="863"/>
    </row>
    <row r="235" spans="1:26">
      <c r="A235" s="1352">
        <v>230</v>
      </c>
      <c r="B235" s="2694"/>
      <c r="C235" s="2674"/>
      <c r="D235" s="2687"/>
      <c r="E235" s="859"/>
      <c r="F235" s="859"/>
      <c r="G235" s="860"/>
      <c r="H235" s="860"/>
      <c r="I235" s="860"/>
      <c r="J235" s="860"/>
      <c r="K235" s="861"/>
      <c r="L235" s="861"/>
      <c r="M235" s="861"/>
      <c r="N235" s="861"/>
      <c r="O235" s="861"/>
      <c r="P235" s="862"/>
      <c r="Q235" s="861"/>
      <c r="R235" s="861"/>
      <c r="S235" s="894"/>
      <c r="T235" s="867"/>
      <c r="U235" s="1272"/>
      <c r="V235" s="1272"/>
      <c r="W235" s="1266"/>
      <c r="X235" s="861"/>
      <c r="Y235" s="861"/>
      <c r="Z235" s="863"/>
    </row>
    <row r="236" spans="1:26">
      <c r="A236" s="1352">
        <v>231</v>
      </c>
      <c r="B236" s="2694"/>
      <c r="C236" s="2674"/>
      <c r="D236" s="2236" t="s">
        <v>1408</v>
      </c>
      <c r="E236" s="866"/>
      <c r="F236" s="866"/>
      <c r="G236" s="866"/>
      <c r="H236" s="866"/>
      <c r="I236" s="866"/>
      <c r="J236" s="866"/>
      <c r="K236" s="866"/>
      <c r="L236" s="866"/>
      <c r="M236" s="866"/>
      <c r="N236" s="861">
        <f>SUM(N230:N235)</f>
        <v>0</v>
      </c>
      <c r="O236" s="861">
        <f>SUM(O230:O235)</f>
        <v>0</v>
      </c>
      <c r="P236" s="861">
        <f>SUM(P230:P235)</f>
        <v>0</v>
      </c>
      <c r="Q236" s="866"/>
      <c r="R236" s="861">
        <f>SUM(R230:R235)</f>
        <v>0</v>
      </c>
      <c r="S236" s="894"/>
      <c r="T236" s="867"/>
      <c r="U236" s="1272"/>
      <c r="V236" s="1272"/>
      <c r="W236" s="1266"/>
      <c r="X236" s="866"/>
      <c r="Y236" s="866"/>
      <c r="Z236" s="874"/>
    </row>
    <row r="237" spans="1:26" ht="16.5" customHeight="1">
      <c r="A237" s="1352">
        <v>232</v>
      </c>
      <c r="B237" s="2694"/>
      <c r="C237" s="2674"/>
      <c r="D237" s="2687" t="s">
        <v>1685</v>
      </c>
      <c r="E237" s="859"/>
      <c r="F237" s="859"/>
      <c r="G237" s="860"/>
      <c r="H237" s="860"/>
      <c r="I237" s="860"/>
      <c r="J237" s="860"/>
      <c r="K237" s="861"/>
      <c r="L237" s="861"/>
      <c r="M237" s="861"/>
      <c r="N237" s="861"/>
      <c r="O237" s="861"/>
      <c r="P237" s="862"/>
      <c r="Q237" s="861"/>
      <c r="R237" s="861"/>
      <c r="S237" s="894"/>
      <c r="T237" s="867"/>
      <c r="U237" s="1272"/>
      <c r="V237" s="1272"/>
      <c r="W237" s="1266"/>
      <c r="X237" s="861"/>
      <c r="Y237" s="861"/>
      <c r="Z237" s="863"/>
    </row>
    <row r="238" spans="1:26">
      <c r="A238" s="1352">
        <v>233</v>
      </c>
      <c r="B238" s="2694"/>
      <c r="C238" s="2674"/>
      <c r="D238" s="2687"/>
      <c r="E238" s="859"/>
      <c r="F238" s="859"/>
      <c r="G238" s="860"/>
      <c r="H238" s="860"/>
      <c r="I238" s="860"/>
      <c r="J238" s="860"/>
      <c r="K238" s="861"/>
      <c r="L238" s="861"/>
      <c r="M238" s="861"/>
      <c r="N238" s="861"/>
      <c r="O238" s="861"/>
      <c r="P238" s="862"/>
      <c r="Q238" s="861"/>
      <c r="R238" s="861"/>
      <c r="S238" s="894"/>
      <c r="T238" s="867"/>
      <c r="U238" s="1272"/>
      <c r="V238" s="1272"/>
      <c r="W238" s="1266"/>
      <c r="X238" s="861"/>
      <c r="Y238" s="861"/>
      <c r="Z238" s="863"/>
    </row>
    <row r="239" spans="1:26">
      <c r="A239" s="1352">
        <v>234</v>
      </c>
      <c r="B239" s="2694"/>
      <c r="C239" s="2674"/>
      <c r="D239" s="2687"/>
      <c r="E239" s="859"/>
      <c r="F239" s="859"/>
      <c r="G239" s="860"/>
      <c r="H239" s="860"/>
      <c r="I239" s="860"/>
      <c r="J239" s="860"/>
      <c r="K239" s="861"/>
      <c r="L239" s="861"/>
      <c r="M239" s="861"/>
      <c r="N239" s="861"/>
      <c r="O239" s="861"/>
      <c r="P239" s="862"/>
      <c r="Q239" s="861"/>
      <c r="R239" s="861"/>
      <c r="S239" s="894"/>
      <c r="T239" s="867"/>
      <c r="U239" s="1272"/>
      <c r="V239" s="1272"/>
      <c r="W239" s="1266"/>
      <c r="X239" s="861"/>
      <c r="Y239" s="861"/>
      <c r="Z239" s="863"/>
    </row>
    <row r="240" spans="1:26">
      <c r="A240" s="1352">
        <v>235</v>
      </c>
      <c r="B240" s="2694"/>
      <c r="C240" s="2674"/>
      <c r="D240" s="2687"/>
      <c r="E240" s="859"/>
      <c r="F240" s="859"/>
      <c r="G240" s="860"/>
      <c r="H240" s="860"/>
      <c r="I240" s="860"/>
      <c r="J240" s="860"/>
      <c r="K240" s="861"/>
      <c r="L240" s="861"/>
      <c r="M240" s="861"/>
      <c r="N240" s="861"/>
      <c r="O240" s="861"/>
      <c r="P240" s="862"/>
      <c r="Q240" s="861"/>
      <c r="R240" s="861"/>
      <c r="S240" s="894"/>
      <c r="T240" s="867"/>
      <c r="U240" s="1272"/>
      <c r="V240" s="1272"/>
      <c r="W240" s="1266"/>
      <c r="X240" s="861"/>
      <c r="Y240" s="861"/>
      <c r="Z240" s="863"/>
    </row>
    <row r="241" spans="1:26">
      <c r="A241" s="1352">
        <v>236</v>
      </c>
      <c r="B241" s="2694"/>
      <c r="C241" s="2674"/>
      <c r="D241" s="2687"/>
      <c r="E241" s="859"/>
      <c r="F241" s="859"/>
      <c r="G241" s="860"/>
      <c r="H241" s="860"/>
      <c r="I241" s="860"/>
      <c r="J241" s="860"/>
      <c r="K241" s="861"/>
      <c r="L241" s="861"/>
      <c r="M241" s="861"/>
      <c r="N241" s="861"/>
      <c r="O241" s="861"/>
      <c r="P241" s="862"/>
      <c r="Q241" s="861"/>
      <c r="R241" s="861"/>
      <c r="S241" s="894"/>
      <c r="T241" s="867"/>
      <c r="U241" s="1272"/>
      <c r="V241" s="1272"/>
      <c r="W241" s="1266"/>
      <c r="X241" s="861"/>
      <c r="Y241" s="861"/>
      <c r="Z241" s="863"/>
    </row>
    <row r="242" spans="1:26">
      <c r="A242" s="1352">
        <v>237</v>
      </c>
      <c r="B242" s="2694"/>
      <c r="C242" s="2674"/>
      <c r="D242" s="2687"/>
      <c r="E242" s="859"/>
      <c r="F242" s="859"/>
      <c r="G242" s="860"/>
      <c r="H242" s="860"/>
      <c r="I242" s="860"/>
      <c r="J242" s="860"/>
      <c r="K242" s="861"/>
      <c r="L242" s="861"/>
      <c r="M242" s="861"/>
      <c r="N242" s="861"/>
      <c r="O242" s="861"/>
      <c r="P242" s="862"/>
      <c r="Q242" s="861"/>
      <c r="R242" s="861"/>
      <c r="S242" s="894"/>
      <c r="T242" s="867"/>
      <c r="U242" s="1272"/>
      <c r="V242" s="1272"/>
      <c r="W242" s="1266"/>
      <c r="X242" s="861"/>
      <c r="Y242" s="861"/>
      <c r="Z242" s="863"/>
    </row>
    <row r="243" spans="1:26" ht="17.25" thickBot="1">
      <c r="A243" s="1358">
        <v>238</v>
      </c>
      <c r="B243" s="2695"/>
      <c r="C243" s="2702"/>
      <c r="D243" s="2245" t="s">
        <v>588</v>
      </c>
      <c r="E243" s="880"/>
      <c r="F243" s="880"/>
      <c r="G243" s="880"/>
      <c r="H243" s="880"/>
      <c r="I243" s="880"/>
      <c r="J243" s="880"/>
      <c r="K243" s="880"/>
      <c r="L243" s="880"/>
      <c r="M243" s="880"/>
      <c r="N243" s="881">
        <f>SUM(N237:N242)</f>
        <v>0</v>
      </c>
      <c r="O243" s="881">
        <f>SUM(O237:O242)</f>
        <v>0</v>
      </c>
      <c r="P243" s="881">
        <f>SUM(P237:P242)</f>
        <v>0</v>
      </c>
      <c r="Q243" s="880"/>
      <c r="R243" s="881">
        <f>SUM(R237:R242)</f>
        <v>0</v>
      </c>
      <c r="S243" s="895"/>
      <c r="T243" s="896"/>
      <c r="U243" s="1273"/>
      <c r="V243" s="1273"/>
      <c r="W243" s="1274"/>
      <c r="X243" s="880"/>
      <c r="Y243" s="880"/>
      <c r="Z243" s="882"/>
    </row>
    <row r="244" spans="1:26" ht="17.25" thickBot="1">
      <c r="A244" s="1359">
        <v>239</v>
      </c>
      <c r="B244" s="2668" t="s">
        <v>1415</v>
      </c>
      <c r="C244" s="2669"/>
      <c r="D244" s="2669"/>
      <c r="E244" s="883"/>
      <c r="F244" s="883"/>
      <c r="G244" s="884"/>
      <c r="H244" s="884"/>
      <c r="I244" s="884"/>
      <c r="J244" s="884"/>
      <c r="K244" s="885"/>
      <c r="L244" s="885"/>
      <c r="M244" s="885"/>
      <c r="N244" s="897">
        <f>N194+N201+N208+N215+N222+N229+N236+N243</f>
        <v>0</v>
      </c>
      <c r="O244" s="897">
        <f>O194+O201+O208+O215+O222+O229+O236+O243</f>
        <v>0</v>
      </c>
      <c r="P244" s="897">
        <f>P194+P201+P208+P215+P222+P229+P236+P243</f>
        <v>0</v>
      </c>
      <c r="Q244" s="885"/>
      <c r="R244" s="897">
        <f>R194+R201+R208+R215+R222+R229+R236+R243</f>
        <v>0</v>
      </c>
      <c r="S244" s="898"/>
      <c r="T244" s="887"/>
      <c r="U244" s="1275"/>
      <c r="V244" s="1275"/>
      <c r="W244" s="1269"/>
      <c r="X244" s="885"/>
      <c r="Y244" s="885"/>
      <c r="Z244" s="888"/>
    </row>
    <row r="245" spans="1:26" ht="17.25" thickBot="1">
      <c r="A245" s="1356">
        <v>240</v>
      </c>
      <c r="B245" s="2704" t="s">
        <v>598</v>
      </c>
      <c r="C245" s="2705"/>
      <c r="D245" s="2705"/>
      <c r="E245" s="900"/>
      <c r="F245" s="900"/>
      <c r="G245" s="901"/>
      <c r="H245" s="901"/>
      <c r="I245" s="901"/>
      <c r="J245" s="901"/>
      <c r="K245" s="902"/>
      <c r="L245" s="902"/>
      <c r="M245" s="902"/>
      <c r="N245" s="903">
        <f>N187+N130+N244</f>
        <v>0</v>
      </c>
      <c r="O245" s="903">
        <f>O187+O130+O244</f>
        <v>0</v>
      </c>
      <c r="P245" s="903">
        <f>P187+P130+P244</f>
        <v>0</v>
      </c>
      <c r="Q245" s="902"/>
      <c r="R245" s="903">
        <f>R187+R130+R244</f>
        <v>0</v>
      </c>
      <c r="S245" s="904"/>
      <c r="T245" s="905"/>
      <c r="U245" s="904"/>
      <c r="V245" s="905"/>
      <c r="W245" s="904"/>
      <c r="X245" s="905"/>
      <c r="Y245" s="902"/>
      <c r="Z245" s="906"/>
    </row>
    <row r="246" spans="1:26">
      <c r="A246" s="1263"/>
      <c r="B246" s="907"/>
      <c r="C246" s="775"/>
      <c r="D246" s="775"/>
      <c r="E246" s="908"/>
      <c r="F246" s="908"/>
      <c r="G246" s="908"/>
      <c r="H246" s="908"/>
      <c r="I246" s="908"/>
      <c r="J246" s="908"/>
      <c r="K246" s="908"/>
      <c r="L246" s="908"/>
      <c r="M246" s="908"/>
      <c r="N246" s="908"/>
      <c r="O246" s="908"/>
      <c r="P246" s="908"/>
      <c r="Q246" s="908"/>
      <c r="R246" s="908"/>
      <c r="S246" s="908"/>
      <c r="T246" s="909"/>
      <c r="X246" s="909"/>
      <c r="Y246" s="750"/>
    </row>
    <row r="247" spans="1:26">
      <c r="A247" s="749" t="s">
        <v>642</v>
      </c>
      <c r="B247" s="907"/>
      <c r="C247" s="775"/>
      <c r="D247" s="775"/>
      <c r="E247" s="908"/>
      <c r="F247" s="908"/>
      <c r="G247" s="908"/>
      <c r="H247" s="908"/>
      <c r="I247" s="908"/>
      <c r="J247" s="908"/>
      <c r="K247" s="908"/>
      <c r="L247" s="908"/>
      <c r="M247" s="908"/>
      <c r="N247" s="908"/>
      <c r="O247" s="908"/>
      <c r="P247" s="908"/>
      <c r="Q247" s="908"/>
      <c r="R247" s="908"/>
      <c r="S247" s="908"/>
      <c r="T247" s="909"/>
      <c r="X247" s="909"/>
      <c r="Y247" s="750"/>
    </row>
    <row r="248" spans="1:26">
      <c r="A248" s="749">
        <v>1</v>
      </c>
      <c r="B248" s="775" t="s">
        <v>1416</v>
      </c>
      <c r="D248" s="775"/>
      <c r="E248" s="908"/>
      <c r="F248" s="908"/>
      <c r="G248" s="908"/>
      <c r="H248" s="908"/>
      <c r="I248" s="908"/>
      <c r="J248" s="908"/>
      <c r="K248" s="908"/>
      <c r="L248" s="908"/>
      <c r="M248" s="908"/>
      <c r="N248" s="908"/>
      <c r="O248" s="908"/>
      <c r="P248" s="908"/>
      <c r="Q248" s="908"/>
      <c r="R248" s="908"/>
      <c r="S248" s="908"/>
      <c r="T248" s="909"/>
      <c r="X248" s="909"/>
      <c r="Y248" s="750"/>
    </row>
    <row r="249" spans="1:26">
      <c r="A249" s="907" t="s">
        <v>484</v>
      </c>
      <c r="B249" s="775" t="s">
        <v>1417</v>
      </c>
      <c r="D249" s="775"/>
      <c r="E249" s="908"/>
      <c r="F249" s="908"/>
      <c r="G249" s="908"/>
      <c r="H249" s="908"/>
      <c r="I249" s="908"/>
      <c r="J249" s="908"/>
      <c r="K249" s="908"/>
      <c r="L249" s="908"/>
      <c r="M249" s="908"/>
      <c r="N249" s="908"/>
      <c r="O249" s="908"/>
      <c r="P249" s="908"/>
      <c r="Q249" s="908"/>
      <c r="R249" s="908"/>
      <c r="S249" s="908"/>
      <c r="T249" s="909"/>
      <c r="X249" s="909"/>
      <c r="Y249" s="750"/>
    </row>
    <row r="250" spans="1:26">
      <c r="A250" s="749">
        <v>3</v>
      </c>
      <c r="B250" s="775" t="s">
        <v>1846</v>
      </c>
      <c r="D250" s="775"/>
      <c r="E250" s="908"/>
      <c r="F250" s="908"/>
      <c r="G250" s="908"/>
      <c r="H250" s="908"/>
      <c r="I250" s="908"/>
      <c r="J250" s="908"/>
      <c r="K250" s="908"/>
      <c r="L250" s="908"/>
      <c r="M250" s="908"/>
      <c r="N250" s="908"/>
      <c r="O250" s="908"/>
      <c r="P250" s="908"/>
      <c r="Q250" s="908"/>
      <c r="R250" s="908"/>
      <c r="S250" s="908"/>
      <c r="T250" s="909"/>
      <c r="X250" s="909"/>
      <c r="Y250" s="750"/>
    </row>
    <row r="251" spans="1:26">
      <c r="A251" s="907"/>
      <c r="B251" s="775" t="s">
        <v>1847</v>
      </c>
      <c r="D251" s="775"/>
      <c r="E251" s="908"/>
      <c r="F251" s="908"/>
      <c r="G251" s="908"/>
      <c r="H251" s="908"/>
      <c r="I251" s="908"/>
      <c r="J251" s="908"/>
      <c r="K251" s="908"/>
      <c r="L251" s="908"/>
      <c r="M251" s="908"/>
      <c r="N251" s="908"/>
      <c r="O251" s="908"/>
      <c r="P251" s="908"/>
      <c r="Q251" s="908"/>
      <c r="R251" s="908"/>
      <c r="S251" s="908"/>
      <c r="T251" s="909"/>
      <c r="X251" s="909"/>
      <c r="Y251" s="750"/>
    </row>
    <row r="252" spans="1:26">
      <c r="A252" s="749"/>
      <c r="B252" s="775" t="s">
        <v>1848</v>
      </c>
      <c r="D252" s="775"/>
      <c r="E252" s="908"/>
      <c r="F252" s="908"/>
      <c r="G252" s="908"/>
      <c r="H252" s="908"/>
      <c r="I252" s="908"/>
      <c r="J252" s="908"/>
      <c r="K252" s="908"/>
      <c r="L252" s="908"/>
      <c r="M252" s="908"/>
      <c r="N252" s="908"/>
      <c r="O252" s="908"/>
      <c r="P252" s="908"/>
      <c r="Q252" s="908"/>
      <c r="R252" s="908"/>
      <c r="S252" s="908"/>
      <c r="T252" s="909"/>
      <c r="X252" s="909"/>
      <c r="Y252" s="750"/>
    </row>
    <row r="253" spans="1:26">
      <c r="A253" s="907"/>
      <c r="B253" s="775" t="s">
        <v>1849</v>
      </c>
      <c r="D253" s="775"/>
      <c r="E253" s="908"/>
      <c r="F253" s="908"/>
      <c r="G253" s="908"/>
      <c r="H253" s="908"/>
      <c r="I253" s="908"/>
      <c r="J253" s="908"/>
      <c r="K253" s="908"/>
      <c r="L253" s="908"/>
      <c r="M253" s="908"/>
      <c r="N253" s="908"/>
      <c r="O253" s="908"/>
      <c r="P253" s="908"/>
      <c r="Q253" s="908"/>
      <c r="R253" s="908"/>
      <c r="S253" s="908"/>
      <c r="T253" s="909"/>
      <c r="X253" s="909"/>
      <c r="Y253" s="750"/>
    </row>
    <row r="254" spans="1:26">
      <c r="A254" s="749">
        <v>4</v>
      </c>
      <c r="B254" s="775" t="s">
        <v>1818</v>
      </c>
      <c r="D254" s="750"/>
      <c r="E254" s="750"/>
      <c r="F254" s="750"/>
      <c r="G254" s="750"/>
      <c r="H254" s="750"/>
      <c r="I254" s="750"/>
      <c r="J254" s="750"/>
      <c r="K254" s="750"/>
      <c r="L254" s="750"/>
      <c r="M254" s="750"/>
      <c r="N254" s="750"/>
    </row>
    <row r="255" spans="1:26">
      <c r="A255" s="907">
        <v>5</v>
      </c>
      <c r="B255" s="775" t="s">
        <v>1819</v>
      </c>
      <c r="D255" s="750"/>
      <c r="E255" s="750"/>
      <c r="F255" s="750"/>
      <c r="G255" s="750"/>
      <c r="H255" s="750"/>
      <c r="I255" s="750"/>
      <c r="J255" s="750"/>
      <c r="K255" s="750"/>
      <c r="L255" s="750"/>
      <c r="M255" s="750"/>
      <c r="N255" s="750"/>
    </row>
    <row r="256" spans="1:26">
      <c r="A256" s="749" t="s">
        <v>1810</v>
      </c>
      <c r="B256" s="775" t="s">
        <v>1420</v>
      </c>
      <c r="D256" s="775"/>
      <c r="E256" s="908"/>
      <c r="F256" s="908"/>
      <c r="G256" s="908"/>
      <c r="H256" s="908"/>
      <c r="I256" s="908"/>
      <c r="J256" s="908"/>
      <c r="K256" s="908"/>
      <c r="L256" s="908"/>
      <c r="M256" s="908"/>
      <c r="N256" s="908"/>
      <c r="O256" s="908"/>
      <c r="P256" s="908"/>
      <c r="Q256" s="908"/>
      <c r="R256" s="908"/>
      <c r="S256" s="908"/>
      <c r="T256" s="909"/>
      <c r="X256" s="909"/>
      <c r="Y256" s="750"/>
    </row>
    <row r="257" spans="1:25">
      <c r="A257" s="907">
        <v>7</v>
      </c>
      <c r="B257" s="775" t="s">
        <v>1850</v>
      </c>
      <c r="C257" s="775"/>
      <c r="D257" s="775"/>
      <c r="E257" s="908"/>
      <c r="F257" s="908"/>
      <c r="G257" s="908"/>
      <c r="H257" s="908"/>
      <c r="I257" s="908"/>
      <c r="J257" s="908"/>
      <c r="K257" s="908"/>
      <c r="L257" s="908"/>
      <c r="M257" s="908"/>
      <c r="N257" s="908"/>
      <c r="O257" s="908"/>
      <c r="P257" s="908"/>
      <c r="Q257" s="908"/>
      <c r="R257" s="908"/>
      <c r="S257" s="908"/>
      <c r="T257" s="909"/>
      <c r="X257" s="909"/>
      <c r="Y257" s="750"/>
    </row>
    <row r="258" spans="1:25">
      <c r="A258" s="749"/>
      <c r="B258" s="1162"/>
      <c r="C258" s="775"/>
      <c r="D258" s="775"/>
      <c r="E258" s="908"/>
      <c r="F258" s="908"/>
      <c r="G258" s="908"/>
      <c r="H258" s="908"/>
      <c r="I258" s="908"/>
      <c r="J258" s="908"/>
      <c r="K258" s="908"/>
      <c r="L258" s="908"/>
      <c r="M258" s="908"/>
      <c r="N258" s="908"/>
      <c r="O258" s="908"/>
      <c r="P258" s="908"/>
      <c r="Q258" s="908"/>
      <c r="R258" s="908"/>
      <c r="S258" s="908"/>
      <c r="T258" s="910"/>
      <c r="X258" s="910"/>
      <c r="Y258" s="750"/>
    </row>
    <row r="259" spans="1:25">
      <c r="A259" s="907"/>
      <c r="B259" s="1162"/>
      <c r="C259" s="756"/>
      <c r="D259" s="756"/>
      <c r="E259" s="908"/>
      <c r="F259" s="908"/>
      <c r="G259" s="908"/>
      <c r="H259" s="908"/>
      <c r="I259" s="908"/>
      <c r="J259" s="908"/>
      <c r="K259" s="908"/>
      <c r="L259" s="908"/>
      <c r="M259" s="908"/>
      <c r="N259" s="908"/>
      <c r="O259" s="908"/>
      <c r="P259" s="908"/>
      <c r="Q259" s="908"/>
      <c r="R259" s="908"/>
      <c r="S259" s="908"/>
      <c r="T259" s="910"/>
      <c r="X259" s="910"/>
      <c r="Y259" s="750"/>
    </row>
    <row r="260" spans="1:25">
      <c r="A260" s="749"/>
      <c r="B260" s="1162"/>
      <c r="C260" s="775"/>
      <c r="D260" s="775"/>
      <c r="E260" s="908"/>
      <c r="F260" s="908"/>
      <c r="G260" s="908"/>
      <c r="H260" s="908"/>
      <c r="I260" s="908"/>
      <c r="J260" s="908"/>
      <c r="K260" s="908"/>
      <c r="L260" s="908"/>
      <c r="M260" s="908"/>
      <c r="N260" s="908"/>
      <c r="O260" s="908"/>
      <c r="P260" s="908"/>
      <c r="Q260" s="908"/>
      <c r="R260" s="908"/>
      <c r="S260" s="908"/>
      <c r="T260" s="910"/>
      <c r="X260" s="910"/>
      <c r="Y260" s="750"/>
    </row>
    <row r="261" spans="1:25">
      <c r="A261" s="749"/>
      <c r="B261" s="1162"/>
      <c r="C261" s="775"/>
      <c r="D261" s="775"/>
      <c r="E261" s="908"/>
      <c r="F261" s="908"/>
      <c r="G261" s="908"/>
      <c r="H261" s="908"/>
      <c r="I261" s="908"/>
      <c r="J261" s="908"/>
      <c r="K261" s="908"/>
      <c r="L261" s="908"/>
      <c r="M261" s="908"/>
      <c r="N261" s="908"/>
      <c r="O261" s="908"/>
      <c r="P261" s="908"/>
      <c r="Q261" s="908"/>
      <c r="R261" s="908"/>
      <c r="S261" s="908"/>
      <c r="T261" s="909"/>
      <c r="X261" s="909"/>
      <c r="Y261" s="750"/>
    </row>
    <row r="262" spans="1:25">
      <c r="A262" s="907"/>
      <c r="B262" s="1162"/>
      <c r="C262" s="908"/>
      <c r="D262" s="775"/>
      <c r="E262" s="908"/>
      <c r="F262" s="908"/>
      <c r="G262" s="908"/>
      <c r="H262" s="908"/>
      <c r="I262" s="908"/>
      <c r="J262" s="908"/>
      <c r="K262" s="908"/>
      <c r="L262" s="908"/>
      <c r="M262" s="908"/>
      <c r="N262" s="908"/>
      <c r="O262" s="908"/>
      <c r="P262" s="908"/>
      <c r="Q262" s="908"/>
      <c r="R262" s="908"/>
      <c r="S262" s="908"/>
      <c r="T262" s="909"/>
      <c r="X262" s="909"/>
      <c r="Y262" s="750"/>
    </row>
    <row r="263" spans="1:25">
      <c r="A263" s="749"/>
      <c r="B263" s="1162"/>
      <c r="C263" s="775"/>
      <c r="D263" s="775"/>
      <c r="E263" s="908"/>
      <c r="F263" s="908"/>
      <c r="G263" s="908"/>
      <c r="H263" s="908"/>
      <c r="I263" s="908"/>
      <c r="J263" s="908"/>
      <c r="K263" s="908"/>
      <c r="L263" s="908"/>
      <c r="M263" s="908"/>
      <c r="N263" s="908"/>
      <c r="O263" s="908"/>
      <c r="P263" s="908"/>
      <c r="Q263" s="908"/>
      <c r="R263" s="908"/>
      <c r="S263" s="908"/>
      <c r="T263" s="909"/>
      <c r="X263" s="909"/>
      <c r="Y263" s="750"/>
    </row>
    <row r="264" spans="1:25">
      <c r="A264" s="749"/>
      <c r="B264" s="907"/>
      <c r="C264" s="775"/>
      <c r="D264" s="775"/>
      <c r="E264" s="908"/>
      <c r="F264" s="908"/>
      <c r="G264" s="908"/>
      <c r="H264" s="908"/>
      <c r="I264" s="908"/>
      <c r="J264" s="908"/>
      <c r="K264" s="908"/>
      <c r="L264" s="908"/>
      <c r="M264" s="908"/>
      <c r="N264" s="908"/>
      <c r="O264" s="908"/>
      <c r="P264" s="908"/>
      <c r="Q264" s="908"/>
      <c r="R264" s="908"/>
      <c r="S264" s="908"/>
      <c r="T264" s="909"/>
      <c r="X264" s="909"/>
      <c r="Y264" s="750"/>
    </row>
    <row r="265" spans="1:25">
      <c r="A265" s="907"/>
      <c r="B265" s="907"/>
      <c r="C265" s="908"/>
      <c r="D265" s="908"/>
      <c r="E265" s="908"/>
      <c r="F265" s="908"/>
      <c r="G265" s="908"/>
      <c r="H265" s="908"/>
      <c r="I265" s="908"/>
      <c r="J265" s="908"/>
      <c r="K265" s="908"/>
      <c r="L265" s="908"/>
      <c r="M265" s="908"/>
      <c r="N265" s="908"/>
      <c r="O265" s="908"/>
      <c r="P265" s="908"/>
      <c r="Q265" s="908"/>
      <c r="R265" s="908"/>
      <c r="S265" s="908"/>
    </row>
    <row r="266" spans="1:25">
      <c r="A266" s="749"/>
      <c r="B266" s="907"/>
      <c r="E266" s="908"/>
      <c r="F266" s="908"/>
      <c r="G266" s="908"/>
      <c r="H266" s="908"/>
      <c r="I266" s="908"/>
      <c r="J266" s="908"/>
      <c r="K266" s="908"/>
      <c r="L266" s="908"/>
      <c r="M266" s="908"/>
      <c r="N266" s="908"/>
      <c r="O266" s="908"/>
      <c r="P266" s="908"/>
      <c r="Q266" s="908"/>
      <c r="R266" s="908"/>
      <c r="S266" s="908"/>
    </row>
    <row r="267" spans="1:25">
      <c r="A267" s="749"/>
      <c r="B267" s="907"/>
      <c r="C267" s="908"/>
      <c r="D267" s="908"/>
      <c r="E267" s="911"/>
      <c r="F267" s="911"/>
      <c r="G267" s="911"/>
      <c r="H267" s="911"/>
      <c r="I267" s="911"/>
      <c r="J267" s="911"/>
      <c r="K267" s="911"/>
      <c r="L267" s="911"/>
      <c r="M267" s="911"/>
      <c r="N267" s="911"/>
      <c r="O267" s="911"/>
      <c r="P267" s="908"/>
      <c r="Q267" s="911"/>
      <c r="R267" s="911"/>
      <c r="S267" s="911"/>
    </row>
    <row r="268" spans="1:25">
      <c r="A268" s="907"/>
      <c r="B268" s="907"/>
      <c r="C268" s="775"/>
      <c r="D268" s="775"/>
      <c r="E268" s="911"/>
      <c r="F268" s="911"/>
      <c r="G268" s="911"/>
      <c r="H268" s="911"/>
      <c r="I268" s="911"/>
      <c r="J268" s="911"/>
      <c r="K268" s="911"/>
      <c r="L268" s="911"/>
      <c r="M268" s="911"/>
      <c r="N268" s="911"/>
      <c r="O268" s="911"/>
      <c r="P268" s="908"/>
      <c r="Q268" s="911"/>
      <c r="R268" s="911"/>
      <c r="S268" s="911"/>
    </row>
    <row r="269" spans="1:25">
      <c r="A269" s="749"/>
      <c r="B269" s="907"/>
      <c r="C269" s="908"/>
      <c r="D269" s="908"/>
      <c r="E269" s="910"/>
      <c r="F269" s="912"/>
      <c r="G269" s="910"/>
      <c r="H269" s="910"/>
      <c r="I269" s="910"/>
      <c r="J269" s="910"/>
      <c r="K269" s="910"/>
      <c r="L269" s="910"/>
      <c r="M269" s="910"/>
      <c r="N269" s="910"/>
      <c r="O269" s="910"/>
      <c r="P269" s="911"/>
      <c r="Q269" s="910"/>
      <c r="R269" s="910"/>
      <c r="S269" s="910"/>
    </row>
    <row r="270" spans="1:25">
      <c r="A270" s="749"/>
      <c r="B270" s="907"/>
      <c r="C270" s="908"/>
      <c r="D270" s="908"/>
      <c r="E270" s="910"/>
      <c r="F270" s="912"/>
      <c r="G270" s="910"/>
      <c r="H270" s="910"/>
      <c r="I270" s="910"/>
      <c r="J270" s="910"/>
      <c r="K270" s="910"/>
      <c r="L270" s="910"/>
      <c r="M270" s="910"/>
      <c r="N270" s="910"/>
      <c r="O270" s="910"/>
      <c r="P270" s="909"/>
      <c r="Q270" s="910"/>
      <c r="R270" s="910"/>
      <c r="S270" s="910"/>
    </row>
    <row r="271" spans="1:25">
      <c r="A271" s="907"/>
      <c r="B271" s="907"/>
      <c r="C271" s="908"/>
      <c r="D271" s="908"/>
      <c r="E271" s="910"/>
      <c r="F271" s="912"/>
      <c r="G271" s="910"/>
      <c r="H271" s="910"/>
      <c r="I271" s="910"/>
      <c r="J271" s="910"/>
      <c r="K271" s="910"/>
      <c r="L271" s="910"/>
      <c r="M271" s="910"/>
      <c r="N271" s="910"/>
      <c r="O271" s="910"/>
      <c r="P271" s="910"/>
      <c r="Q271" s="910"/>
      <c r="R271" s="910"/>
      <c r="S271" s="910"/>
    </row>
    <row r="272" spans="1:25">
      <c r="A272" s="907"/>
      <c r="B272" s="907"/>
      <c r="C272" s="908"/>
      <c r="D272" s="908"/>
      <c r="E272" s="750"/>
      <c r="F272" s="913"/>
      <c r="G272" s="750"/>
      <c r="H272" s="750"/>
      <c r="I272" s="750"/>
      <c r="J272" s="750"/>
      <c r="K272" s="750"/>
      <c r="L272" s="750"/>
      <c r="M272" s="750"/>
      <c r="N272" s="750"/>
      <c r="O272" s="750"/>
      <c r="P272" s="910"/>
      <c r="Q272" s="750"/>
      <c r="R272" s="750"/>
      <c r="S272" s="750"/>
    </row>
    <row r="273" spans="1:16">
      <c r="A273" s="907"/>
      <c r="B273" s="907"/>
      <c r="C273" s="908"/>
      <c r="D273" s="908"/>
      <c r="F273" s="914"/>
      <c r="P273" s="910"/>
    </row>
  </sheetData>
  <mergeCells count="68">
    <mergeCell ref="B245:D245"/>
    <mergeCell ref="D216:D221"/>
    <mergeCell ref="C223:C243"/>
    <mergeCell ref="D223:D228"/>
    <mergeCell ref="D230:D235"/>
    <mergeCell ref="D237:D242"/>
    <mergeCell ref="B244:D244"/>
    <mergeCell ref="B187:D187"/>
    <mergeCell ref="B188:B243"/>
    <mergeCell ref="C188:C201"/>
    <mergeCell ref="D188:D193"/>
    <mergeCell ref="D195:D200"/>
    <mergeCell ref="C202:C222"/>
    <mergeCell ref="D202:D207"/>
    <mergeCell ref="D209:D214"/>
    <mergeCell ref="D98:D107"/>
    <mergeCell ref="C109:C129"/>
    <mergeCell ref="D109:D114"/>
    <mergeCell ref="D116:D121"/>
    <mergeCell ref="D123:D128"/>
    <mergeCell ref="B131:B186"/>
    <mergeCell ref="C131:C144"/>
    <mergeCell ref="D131:D136"/>
    <mergeCell ref="D138:D143"/>
    <mergeCell ref="C145:C165"/>
    <mergeCell ref="D145:D150"/>
    <mergeCell ref="D152:D157"/>
    <mergeCell ref="D159:D164"/>
    <mergeCell ref="C166:C186"/>
    <mergeCell ref="D166:D171"/>
    <mergeCell ref="D173:D178"/>
    <mergeCell ref="D180:D185"/>
    <mergeCell ref="J3:J4"/>
    <mergeCell ref="K3:K4"/>
    <mergeCell ref="B130:D130"/>
    <mergeCell ref="B6:B129"/>
    <mergeCell ref="C6:C31"/>
    <mergeCell ref="D6:D17"/>
    <mergeCell ref="D19:D30"/>
    <mergeCell ref="C32:C53"/>
    <mergeCell ref="D32:D41"/>
    <mergeCell ref="D43:D52"/>
    <mergeCell ref="C76:C108"/>
    <mergeCell ref="D76:D85"/>
    <mergeCell ref="D87:D96"/>
    <mergeCell ref="C54:C75"/>
    <mergeCell ref="D54:D63"/>
    <mergeCell ref="D65:D74"/>
    <mergeCell ref="Y3:Y4"/>
    <mergeCell ref="Z3:Z4"/>
    <mergeCell ref="L3:L4"/>
    <mergeCell ref="M3:M4"/>
    <mergeCell ref="N3:N4"/>
    <mergeCell ref="O3:O4"/>
    <mergeCell ref="P3:P4"/>
    <mergeCell ref="Q3:Q4"/>
    <mergeCell ref="X3:X4"/>
    <mergeCell ref="U3:U4"/>
    <mergeCell ref="V3:V4"/>
    <mergeCell ref="W3:W4"/>
    <mergeCell ref="R3:R4"/>
    <mergeCell ref="S3:S4"/>
    <mergeCell ref="T3:T4"/>
    <mergeCell ref="A3:A5"/>
    <mergeCell ref="B3:B4"/>
    <mergeCell ref="C3:D4"/>
    <mergeCell ref="E3:I3"/>
    <mergeCell ref="C5:D5"/>
  </mergeCells>
  <phoneticPr fontId="26" type="noConversion"/>
  <printOptions horizontalCentered="1"/>
  <pageMargins left="0.39370078740157483" right="0.39370078740157483" top="0.39370078740157483" bottom="0.39370078740157483" header="0.19685039370078741" footer="0.19685039370078741"/>
  <pageSetup paperSize="9" scale="31" fitToHeight="4" orientation="portrait" horizontalDpi="4294967295" verticalDpi="4294967295" r:id="rId1"/>
  <headerFooter alignWithMargins="0">
    <oddFooter>&amp;C&amp;P+68&amp;R&amp;A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pageSetUpPr fitToPage="1"/>
  </sheetPr>
  <dimension ref="A1:O194"/>
  <sheetViews>
    <sheetView zoomScaleNormal="100" zoomScaleSheetLayoutView="100" workbookViewId="0"/>
  </sheetViews>
  <sheetFormatPr defaultColWidth="10.625" defaultRowHeight="0" customHeight="1" zeroHeight="1"/>
  <cols>
    <col min="1" max="1" width="5.625" style="1782" customWidth="1"/>
    <col min="2" max="2" width="70.625" style="1803" customWidth="1"/>
    <col min="3" max="3" width="10.625" style="1785" customWidth="1"/>
    <col min="4" max="4" width="10.625" style="1782" customWidth="1"/>
    <col min="5" max="5" width="10.625" style="1785" customWidth="1"/>
    <col min="6" max="6" width="10.625" style="1782" customWidth="1"/>
    <col min="7" max="7" width="35.625" style="1782" customWidth="1"/>
    <col min="8" max="14" width="10.625" style="1782" customWidth="1"/>
    <col min="15" max="16384" width="10.625" style="1782"/>
  </cols>
  <sheetData>
    <row r="1" spans="1:15" ht="16.5">
      <c r="A1" s="2412" t="s">
        <v>7071</v>
      </c>
      <c r="B1" s="1783"/>
      <c r="C1" s="1784"/>
      <c r="D1" s="1784"/>
      <c r="E1" s="1784"/>
      <c r="F1" s="1784"/>
      <c r="G1" s="1784"/>
      <c r="H1" s="1784"/>
      <c r="I1" s="1784"/>
      <c r="J1" s="1784"/>
      <c r="K1" s="1784"/>
      <c r="L1" s="1784"/>
    </row>
    <row r="2" spans="1:15" ht="16.5">
      <c r="A2" s="1779" t="s">
        <v>5419</v>
      </c>
      <c r="B2" s="1784"/>
      <c r="C2" s="1784"/>
      <c r="D2" s="1784"/>
      <c r="E2" s="1784"/>
      <c r="F2" s="1784"/>
      <c r="G2" s="1784"/>
      <c r="H2" s="1784"/>
      <c r="I2" s="1784"/>
      <c r="J2" s="1784"/>
      <c r="K2" s="1784"/>
      <c r="L2" s="1784"/>
    </row>
    <row r="3" spans="1:15" s="1786" customFormat="1" ht="66">
      <c r="A3" s="2506" t="s">
        <v>5420</v>
      </c>
      <c r="B3" s="2204" t="s">
        <v>5421</v>
      </c>
      <c r="C3" s="2204" t="s">
        <v>3584</v>
      </c>
      <c r="D3" s="2204" t="s">
        <v>3585</v>
      </c>
      <c r="E3" s="2204" t="s">
        <v>5422</v>
      </c>
      <c r="F3" s="2204" t="s">
        <v>5423</v>
      </c>
      <c r="G3" s="2204" t="s">
        <v>5424</v>
      </c>
      <c r="H3" s="2204" t="s">
        <v>3437</v>
      </c>
      <c r="I3" s="2204" t="s">
        <v>3586</v>
      </c>
      <c r="J3" s="2204" t="s">
        <v>3438</v>
      </c>
      <c r="K3" s="2204" t="s">
        <v>3587</v>
      </c>
      <c r="L3" s="2204" t="s">
        <v>5425</v>
      </c>
      <c r="M3" s="2204" t="s">
        <v>5426</v>
      </c>
      <c r="N3" s="2204" t="s">
        <v>383</v>
      </c>
    </row>
    <row r="4" spans="1:15" s="1786" customFormat="1" ht="15.75">
      <c r="A4" s="2506"/>
      <c r="B4" s="1787" t="s">
        <v>66</v>
      </c>
      <c r="C4" s="1787" t="s">
        <v>67</v>
      </c>
      <c r="D4" s="1787" t="s">
        <v>68</v>
      </c>
      <c r="E4" s="1787" t="s">
        <v>69</v>
      </c>
      <c r="F4" s="1787" t="s">
        <v>70</v>
      </c>
      <c r="G4" s="1787" t="s">
        <v>71</v>
      </c>
      <c r="H4" s="1787" t="s">
        <v>72</v>
      </c>
      <c r="I4" s="1787" t="s">
        <v>73</v>
      </c>
      <c r="J4" s="1787" t="s">
        <v>74</v>
      </c>
      <c r="K4" s="1787" t="s">
        <v>75</v>
      </c>
      <c r="L4" s="1787" t="s">
        <v>234</v>
      </c>
      <c r="M4" s="1787" t="s">
        <v>235</v>
      </c>
      <c r="N4" s="1787" t="s">
        <v>286</v>
      </c>
    </row>
    <row r="5" spans="1:15" s="1786" customFormat="1" ht="16.5">
      <c r="A5" s="1788">
        <v>1</v>
      </c>
      <c r="B5" s="1774" t="s">
        <v>3439</v>
      </c>
      <c r="C5" s="1789"/>
      <c r="D5" s="1769" t="s">
        <v>3440</v>
      </c>
      <c r="E5" s="1788" t="s">
        <v>3441</v>
      </c>
      <c r="F5" s="1788" t="s">
        <v>3442</v>
      </c>
      <c r="G5" s="1790"/>
      <c r="H5" s="1788" t="s">
        <v>3441</v>
      </c>
      <c r="I5" s="1791"/>
      <c r="J5" s="1791"/>
      <c r="K5" s="1791"/>
      <c r="L5" s="1790"/>
      <c r="M5" s="1791"/>
      <c r="N5" s="1790"/>
      <c r="O5" s="1793"/>
    </row>
    <row r="6" spans="1:15" s="1786" customFormat="1" ht="16.5">
      <c r="A6" s="1788">
        <f>A5+1</f>
        <v>2</v>
      </c>
      <c r="B6" s="1774" t="s">
        <v>3443</v>
      </c>
      <c r="C6" s="1789"/>
      <c r="D6" s="1769" t="s">
        <v>3444</v>
      </c>
      <c r="E6" s="1788" t="s">
        <v>3441</v>
      </c>
      <c r="F6" s="1788" t="s">
        <v>5427</v>
      </c>
      <c r="G6" s="1790"/>
      <c r="H6" s="1788" t="s">
        <v>3441</v>
      </c>
      <c r="I6" s="1791"/>
      <c r="J6" s="1791"/>
      <c r="K6" s="1791"/>
      <c r="L6" s="1791"/>
      <c r="M6" s="1791"/>
      <c r="N6" s="1791"/>
      <c r="O6" s="1793"/>
    </row>
    <row r="7" spans="1:15" s="1786" customFormat="1" ht="16.5">
      <c r="A7" s="1788">
        <f>A6+1</f>
        <v>3</v>
      </c>
      <c r="B7" s="1774" t="s">
        <v>5428</v>
      </c>
      <c r="C7" s="1789"/>
      <c r="D7" s="1769" t="s">
        <v>3444</v>
      </c>
      <c r="E7" s="1788" t="s">
        <v>3441</v>
      </c>
      <c r="F7" s="1788" t="s">
        <v>3445</v>
      </c>
      <c r="G7" s="1788" t="s">
        <v>3446</v>
      </c>
      <c r="H7" s="1788" t="s">
        <v>3441</v>
      </c>
      <c r="I7" s="1791"/>
      <c r="J7" s="1791"/>
      <c r="K7" s="1791"/>
      <c r="L7" s="1791"/>
      <c r="M7" s="1791"/>
      <c r="N7" s="1791"/>
      <c r="O7" s="1793"/>
    </row>
    <row r="8" spans="1:15" s="1786" customFormat="1" ht="16.5">
      <c r="A8" s="1788">
        <v>4</v>
      </c>
      <c r="B8" s="1774" t="s">
        <v>3447</v>
      </c>
      <c r="C8" s="1789"/>
      <c r="D8" s="1769" t="s">
        <v>3444</v>
      </c>
      <c r="E8" s="1788" t="s">
        <v>3441</v>
      </c>
      <c r="F8" s="1788" t="s">
        <v>3442</v>
      </c>
      <c r="G8" s="1788" t="s">
        <v>3446</v>
      </c>
      <c r="H8" s="1788" t="s">
        <v>3441</v>
      </c>
      <c r="I8" s="1791"/>
      <c r="J8" s="1791"/>
      <c r="K8" s="1791"/>
      <c r="L8" s="1791"/>
      <c r="M8" s="1791"/>
      <c r="N8" s="1791"/>
      <c r="O8" s="1793"/>
    </row>
    <row r="9" spans="1:15" s="1786" customFormat="1" ht="16.5">
      <c r="A9" s="1788">
        <f t="shared" ref="A9:A72" si="0">A8+1</f>
        <v>5</v>
      </c>
      <c r="B9" s="1774" t="s">
        <v>3448</v>
      </c>
      <c r="C9" s="1789"/>
      <c r="D9" s="1769" t="s">
        <v>3449</v>
      </c>
      <c r="E9" s="1788" t="s">
        <v>3450</v>
      </c>
      <c r="F9" s="1788" t="s">
        <v>3450</v>
      </c>
      <c r="G9" s="1788"/>
      <c r="H9" s="1788" t="s">
        <v>3442</v>
      </c>
      <c r="I9" s="1791"/>
      <c r="J9" s="1791"/>
      <c r="K9" s="1791"/>
      <c r="L9" s="1791"/>
      <c r="M9" s="1791"/>
      <c r="N9" s="1791"/>
      <c r="O9" s="1793"/>
    </row>
    <row r="10" spans="1:15" s="1786" customFormat="1" ht="16.5">
      <c r="A10" s="1788">
        <f t="shared" si="0"/>
        <v>6</v>
      </c>
      <c r="B10" s="1774" t="s">
        <v>3451</v>
      </c>
      <c r="C10" s="1789"/>
      <c r="D10" s="1769" t="s">
        <v>3444</v>
      </c>
      <c r="E10" s="1788" t="s">
        <v>3441</v>
      </c>
      <c r="F10" s="1788" t="s">
        <v>5429</v>
      </c>
      <c r="G10" s="1792"/>
      <c r="H10" s="1788" t="s">
        <v>3445</v>
      </c>
      <c r="I10" s="1791"/>
      <c r="J10" s="1791"/>
      <c r="K10" s="1791"/>
      <c r="L10" s="1791"/>
      <c r="M10" s="1791"/>
      <c r="N10" s="1791"/>
      <c r="O10" s="1793"/>
    </row>
    <row r="11" spans="1:15" s="1786" customFormat="1" ht="16.5">
      <c r="A11" s="1788">
        <f t="shared" si="0"/>
        <v>7</v>
      </c>
      <c r="B11" s="1774" t="s">
        <v>3452</v>
      </c>
      <c r="C11" s="1789"/>
      <c r="D11" s="1788" t="s">
        <v>3449</v>
      </c>
      <c r="E11" s="1788" t="s">
        <v>3441</v>
      </c>
      <c r="F11" s="1788" t="s">
        <v>3442</v>
      </c>
      <c r="G11" s="1792"/>
      <c r="H11" s="1788" t="s">
        <v>3445</v>
      </c>
      <c r="I11" s="1791"/>
      <c r="J11" s="1791"/>
      <c r="K11" s="1791"/>
      <c r="L11" s="1791"/>
      <c r="M11" s="1791"/>
      <c r="N11" s="1791"/>
      <c r="O11" s="1793"/>
    </row>
    <row r="12" spans="1:15" s="1786" customFormat="1" ht="16.5">
      <c r="A12" s="1788">
        <f t="shared" si="0"/>
        <v>8</v>
      </c>
      <c r="B12" s="1794" t="s">
        <v>3557</v>
      </c>
      <c r="C12" s="1789"/>
      <c r="D12" s="1769" t="s">
        <v>3440</v>
      </c>
      <c r="E12" s="1795" t="s">
        <v>3441</v>
      </c>
      <c r="F12" s="1795" t="s">
        <v>3445</v>
      </c>
      <c r="G12" s="1792"/>
      <c r="H12" s="1788" t="s">
        <v>3441</v>
      </c>
      <c r="I12" s="1791"/>
      <c r="J12" s="1791"/>
      <c r="K12" s="1791"/>
      <c r="L12" s="1791"/>
      <c r="M12" s="1791"/>
      <c r="N12" s="1791"/>
      <c r="O12" s="1793"/>
    </row>
    <row r="13" spans="1:15" ht="16.5">
      <c r="A13" s="1788">
        <f t="shared" si="0"/>
        <v>9</v>
      </c>
      <c r="B13" s="1774" t="s">
        <v>3453</v>
      </c>
      <c r="C13" s="1789"/>
      <c r="D13" s="1788" t="s">
        <v>3454</v>
      </c>
      <c r="E13" s="1788" t="s">
        <v>3445</v>
      </c>
      <c r="F13" s="1788" t="s">
        <v>3441</v>
      </c>
      <c r="G13" s="1792"/>
      <c r="H13" s="1788" t="s">
        <v>3441</v>
      </c>
      <c r="I13" s="1791"/>
      <c r="J13" s="1791"/>
      <c r="K13" s="1791"/>
      <c r="L13" s="1791"/>
      <c r="M13" s="1791"/>
      <c r="N13" s="1791"/>
      <c r="O13" s="1793"/>
    </row>
    <row r="14" spans="1:15" ht="16.5">
      <c r="A14" s="1788">
        <f t="shared" si="0"/>
        <v>10</v>
      </c>
      <c r="B14" s="1774" t="s">
        <v>3455</v>
      </c>
      <c r="C14" s="1789"/>
      <c r="D14" s="1788" t="s">
        <v>3454</v>
      </c>
      <c r="E14" s="1788" t="s">
        <v>3445</v>
      </c>
      <c r="F14" s="1788" t="s">
        <v>3441</v>
      </c>
      <c r="G14" s="1792"/>
      <c r="H14" s="1788" t="s">
        <v>3441</v>
      </c>
      <c r="I14" s="1791"/>
      <c r="J14" s="1791"/>
      <c r="K14" s="1791"/>
      <c r="L14" s="1791"/>
      <c r="M14" s="1791"/>
      <c r="N14" s="1791"/>
      <c r="O14" s="1793"/>
    </row>
    <row r="15" spans="1:15" ht="16.5">
      <c r="A15" s="1788">
        <f t="shared" si="0"/>
        <v>11</v>
      </c>
      <c r="B15" s="1774" t="s">
        <v>3456</v>
      </c>
      <c r="C15" s="1789"/>
      <c r="D15" s="1788" t="s">
        <v>3454</v>
      </c>
      <c r="E15" s="1788" t="s">
        <v>3445</v>
      </c>
      <c r="F15" s="1788" t="s">
        <v>3441</v>
      </c>
      <c r="G15" s="1792"/>
      <c r="H15" s="1788" t="s">
        <v>3441</v>
      </c>
      <c r="I15" s="1791"/>
      <c r="J15" s="1791"/>
      <c r="K15" s="1791"/>
      <c r="L15" s="1791"/>
      <c r="M15" s="1791"/>
      <c r="N15" s="1791"/>
      <c r="O15" s="1793"/>
    </row>
    <row r="16" spans="1:15" ht="16.5">
      <c r="A16" s="1788">
        <f t="shared" si="0"/>
        <v>12</v>
      </c>
      <c r="B16" s="1774" t="s">
        <v>3457</v>
      </c>
      <c r="C16" s="1789"/>
      <c r="D16" s="1788" t="s">
        <v>3454</v>
      </c>
      <c r="E16" s="1788" t="s">
        <v>3441</v>
      </c>
      <c r="F16" s="1788" t="s">
        <v>3441</v>
      </c>
      <c r="G16" s="1792"/>
      <c r="H16" s="1788" t="s">
        <v>3441</v>
      </c>
      <c r="I16" s="1791"/>
      <c r="J16" s="1791"/>
      <c r="K16" s="1791"/>
      <c r="L16" s="1791"/>
      <c r="M16" s="1791"/>
      <c r="N16" s="1791"/>
    </row>
    <row r="17" spans="1:14" ht="16.5">
      <c r="A17" s="1788">
        <f t="shared" si="0"/>
        <v>13</v>
      </c>
      <c r="B17" s="1774" t="s">
        <v>3458</v>
      </c>
      <c r="C17" s="1789"/>
      <c r="D17" s="1788" t="s">
        <v>3454</v>
      </c>
      <c r="E17" s="1788" t="s">
        <v>3441</v>
      </c>
      <c r="F17" s="1788" t="s">
        <v>3441</v>
      </c>
      <c r="G17" s="1792"/>
      <c r="H17" s="1788" t="s">
        <v>3441</v>
      </c>
      <c r="I17" s="1791"/>
      <c r="J17" s="1791"/>
      <c r="K17" s="1791"/>
      <c r="L17" s="1791"/>
      <c r="M17" s="1791"/>
      <c r="N17" s="1791"/>
    </row>
    <row r="18" spans="1:14" ht="16.5">
      <c r="A18" s="1788">
        <f t="shared" si="0"/>
        <v>14</v>
      </c>
      <c r="B18" s="1774" t="s">
        <v>3459</v>
      </c>
      <c r="C18" s="1789"/>
      <c r="D18" s="1788" t="s">
        <v>3454</v>
      </c>
      <c r="E18" s="1788" t="s">
        <v>3445</v>
      </c>
      <c r="F18" s="1788" t="s">
        <v>3441</v>
      </c>
      <c r="G18" s="1792"/>
      <c r="H18" s="1788" t="s">
        <v>3441</v>
      </c>
      <c r="I18" s="1791"/>
      <c r="J18" s="1791"/>
      <c r="K18" s="1791"/>
      <c r="L18" s="1791"/>
      <c r="M18" s="1791"/>
      <c r="N18" s="1791"/>
    </row>
    <row r="19" spans="1:14" ht="16.5">
      <c r="A19" s="1788">
        <f t="shared" si="0"/>
        <v>15</v>
      </c>
      <c r="B19" s="1774" t="s">
        <v>5430</v>
      </c>
      <c r="C19" s="1789"/>
      <c r="D19" s="1788" t="s">
        <v>3454</v>
      </c>
      <c r="E19" s="1788" t="s">
        <v>3441</v>
      </c>
      <c r="F19" s="1788" t="s">
        <v>3441</v>
      </c>
      <c r="G19" s="1792"/>
      <c r="H19" s="1788" t="s">
        <v>3441</v>
      </c>
      <c r="I19" s="1791"/>
      <c r="J19" s="1791"/>
      <c r="K19" s="1791"/>
      <c r="L19" s="1791"/>
      <c r="M19" s="1791"/>
      <c r="N19" s="1791"/>
    </row>
    <row r="20" spans="1:14" ht="16.5">
      <c r="A20" s="1788">
        <f t="shared" si="0"/>
        <v>16</v>
      </c>
      <c r="B20" s="1774" t="s">
        <v>5431</v>
      </c>
      <c r="C20" s="1789"/>
      <c r="D20" s="1788" t="s">
        <v>3444</v>
      </c>
      <c r="E20" s="1788" t="s">
        <v>3450</v>
      </c>
      <c r="F20" s="1788" t="s">
        <v>5429</v>
      </c>
      <c r="G20" s="1792"/>
      <c r="H20" s="1788" t="s">
        <v>5432</v>
      </c>
      <c r="I20" s="1791"/>
      <c r="J20" s="1791"/>
      <c r="K20" s="1791"/>
      <c r="L20" s="1791"/>
      <c r="M20" s="1791"/>
      <c r="N20" s="1791"/>
    </row>
    <row r="21" spans="1:14" ht="16.5">
      <c r="A21" s="1788">
        <f t="shared" si="0"/>
        <v>17</v>
      </c>
      <c r="B21" s="1774" t="s">
        <v>3461</v>
      </c>
      <c r="C21" s="1789"/>
      <c r="D21" s="1769" t="s">
        <v>3440</v>
      </c>
      <c r="E21" s="1788" t="s">
        <v>3441</v>
      </c>
      <c r="F21" s="1788" t="s">
        <v>3445</v>
      </c>
      <c r="G21" s="1788" t="s">
        <v>3446</v>
      </c>
      <c r="H21" s="1788" t="s">
        <v>3441</v>
      </c>
      <c r="I21" s="1791"/>
      <c r="J21" s="1791"/>
      <c r="K21" s="1791"/>
      <c r="L21" s="1791"/>
      <c r="M21" s="1791"/>
      <c r="N21" s="1791"/>
    </row>
    <row r="22" spans="1:14" ht="16.5">
      <c r="A22" s="1788">
        <f t="shared" si="0"/>
        <v>18</v>
      </c>
      <c r="B22" s="1774" t="s">
        <v>3558</v>
      </c>
      <c r="C22" s="1789"/>
      <c r="D22" s="1769" t="s">
        <v>5433</v>
      </c>
      <c r="E22" s="1788" t="s">
        <v>3441</v>
      </c>
      <c r="F22" s="1788" t="s">
        <v>3445</v>
      </c>
      <c r="G22" s="1788" t="s">
        <v>3446</v>
      </c>
      <c r="H22" s="1788" t="s">
        <v>3441</v>
      </c>
      <c r="I22" s="1791"/>
      <c r="J22" s="1791"/>
      <c r="K22" s="1791"/>
      <c r="L22" s="1791"/>
      <c r="M22" s="1791"/>
      <c r="N22" s="1791"/>
    </row>
    <row r="23" spans="1:14" ht="16.5">
      <c r="A23" s="1788">
        <f t="shared" si="0"/>
        <v>19</v>
      </c>
      <c r="B23" s="1774" t="s">
        <v>3462</v>
      </c>
      <c r="C23" s="1789"/>
      <c r="D23" s="1769" t="s">
        <v>3440</v>
      </c>
      <c r="E23" s="1788" t="s">
        <v>3441</v>
      </c>
      <c r="F23" s="1788" t="s">
        <v>3445</v>
      </c>
      <c r="G23" s="1788" t="s">
        <v>3446</v>
      </c>
      <c r="H23" s="1788" t="s">
        <v>3441</v>
      </c>
      <c r="I23" s="1791"/>
      <c r="J23" s="1791"/>
      <c r="K23" s="1791"/>
      <c r="L23" s="1791"/>
      <c r="M23" s="1791"/>
      <c r="N23" s="1791"/>
    </row>
    <row r="24" spans="1:14" ht="16.5">
      <c r="A24" s="1788">
        <f t="shared" si="0"/>
        <v>20</v>
      </c>
      <c r="B24" s="1774" t="s">
        <v>3463</v>
      </c>
      <c r="C24" s="1789"/>
      <c r="D24" s="1769" t="s">
        <v>3440</v>
      </c>
      <c r="E24" s="1788" t="s">
        <v>3441</v>
      </c>
      <c r="F24" s="1788" t="s">
        <v>3445</v>
      </c>
      <c r="G24" s="1788" t="s">
        <v>3446</v>
      </c>
      <c r="H24" s="1788" t="s">
        <v>3441</v>
      </c>
      <c r="I24" s="1791"/>
      <c r="J24" s="1791"/>
      <c r="K24" s="1791"/>
      <c r="L24" s="1791"/>
      <c r="M24" s="1791"/>
      <c r="N24" s="1791"/>
    </row>
    <row r="25" spans="1:14" ht="16.5">
      <c r="A25" s="1788">
        <f t="shared" si="0"/>
        <v>21</v>
      </c>
      <c r="B25" s="1774" t="s">
        <v>3559</v>
      </c>
      <c r="C25" s="1789"/>
      <c r="D25" s="1769" t="s">
        <v>3440</v>
      </c>
      <c r="E25" s="1788" t="s">
        <v>5432</v>
      </c>
      <c r="F25" s="1788" t="s">
        <v>3464</v>
      </c>
      <c r="G25" s="1788" t="s">
        <v>3465</v>
      </c>
      <c r="H25" s="1788" t="s">
        <v>3460</v>
      </c>
      <c r="I25" s="1791"/>
      <c r="J25" s="1791"/>
      <c r="K25" s="1791"/>
      <c r="L25" s="1791"/>
      <c r="M25" s="1791"/>
      <c r="N25" s="1791"/>
    </row>
    <row r="26" spans="1:14" ht="16.5">
      <c r="A26" s="1788">
        <f t="shared" si="0"/>
        <v>22</v>
      </c>
      <c r="B26" s="1774" t="s">
        <v>3466</v>
      </c>
      <c r="C26" s="1789"/>
      <c r="D26" s="1769" t="s">
        <v>3440</v>
      </c>
      <c r="E26" s="1788" t="s">
        <v>3441</v>
      </c>
      <c r="F26" s="1788" t="s">
        <v>3445</v>
      </c>
      <c r="G26" s="1788" t="s">
        <v>3525</v>
      </c>
      <c r="H26" s="1788" t="s">
        <v>3441</v>
      </c>
      <c r="I26" s="1791"/>
      <c r="J26" s="1791"/>
      <c r="K26" s="1791"/>
      <c r="L26" s="1791"/>
      <c r="M26" s="1791"/>
      <c r="N26" s="1791"/>
    </row>
    <row r="27" spans="1:14" ht="16.5">
      <c r="A27" s="1788">
        <f t="shared" si="0"/>
        <v>23</v>
      </c>
      <c r="B27" s="1774" t="s">
        <v>3467</v>
      </c>
      <c r="C27" s="1789"/>
      <c r="D27" s="1769" t="s">
        <v>3440</v>
      </c>
      <c r="E27" s="1788" t="s">
        <v>3441</v>
      </c>
      <c r="F27" s="1788" t="s">
        <v>3445</v>
      </c>
      <c r="G27" s="1788" t="s">
        <v>3468</v>
      </c>
      <c r="H27" s="1788" t="s">
        <v>3441</v>
      </c>
      <c r="I27" s="1791"/>
      <c r="J27" s="1791"/>
      <c r="K27" s="1791"/>
      <c r="L27" s="1791"/>
      <c r="M27" s="1791"/>
      <c r="N27" s="1791"/>
    </row>
    <row r="28" spans="1:14" ht="16.5">
      <c r="A28" s="1788">
        <f t="shared" si="0"/>
        <v>24</v>
      </c>
      <c r="B28" s="1774" t="s">
        <v>3469</v>
      </c>
      <c r="C28" s="1789"/>
      <c r="D28" s="1769" t="s">
        <v>3440</v>
      </c>
      <c r="E28" s="1788" t="s">
        <v>3441</v>
      </c>
      <c r="F28" s="1788" t="s">
        <v>3441</v>
      </c>
      <c r="G28" s="1792"/>
      <c r="H28" s="1788" t="s">
        <v>3441</v>
      </c>
      <c r="I28" s="1791"/>
      <c r="J28" s="1791"/>
      <c r="K28" s="1791"/>
      <c r="L28" s="1791"/>
      <c r="M28" s="1791"/>
      <c r="N28" s="1791"/>
    </row>
    <row r="29" spans="1:14" ht="16.5">
      <c r="A29" s="1788">
        <f t="shared" si="0"/>
        <v>25</v>
      </c>
      <c r="B29" s="1774" t="s">
        <v>3470</v>
      </c>
      <c r="C29" s="1789"/>
      <c r="D29" s="1769" t="s">
        <v>3440</v>
      </c>
      <c r="E29" s="1788" t="s">
        <v>3441</v>
      </c>
      <c r="F29" s="1788" t="s">
        <v>3445</v>
      </c>
      <c r="G29" s="1788" t="s">
        <v>5434</v>
      </c>
      <c r="H29" s="1788" t="s">
        <v>3441</v>
      </c>
      <c r="I29" s="1791"/>
      <c r="J29" s="1791"/>
      <c r="K29" s="1791"/>
      <c r="L29" s="1791"/>
      <c r="M29" s="1791"/>
      <c r="N29" s="1791"/>
    </row>
    <row r="30" spans="1:14" ht="16.5">
      <c r="A30" s="1788">
        <f t="shared" si="0"/>
        <v>26</v>
      </c>
      <c r="B30" s="1774" t="s">
        <v>5435</v>
      </c>
      <c r="C30" s="1789"/>
      <c r="D30" s="1769" t="s">
        <v>3440</v>
      </c>
      <c r="E30" s="1788" t="s">
        <v>3441</v>
      </c>
      <c r="F30" s="1788" t="s">
        <v>3441</v>
      </c>
      <c r="G30" s="1792"/>
      <c r="H30" s="1788" t="s">
        <v>3441</v>
      </c>
      <c r="I30" s="1791"/>
      <c r="J30" s="1791"/>
      <c r="K30" s="1791"/>
      <c r="L30" s="1791"/>
      <c r="M30" s="1791"/>
      <c r="N30" s="1791"/>
    </row>
    <row r="31" spans="1:14" ht="16.5">
      <c r="A31" s="1788">
        <f t="shared" si="0"/>
        <v>27</v>
      </c>
      <c r="B31" s="1796" t="s">
        <v>3540</v>
      </c>
      <c r="C31" s="1789"/>
      <c r="D31" s="1769" t="s">
        <v>3440</v>
      </c>
      <c r="E31" s="1788" t="s">
        <v>3441</v>
      </c>
      <c r="F31" s="1788" t="s">
        <v>3445</v>
      </c>
      <c r="G31" s="1788" t="s">
        <v>3560</v>
      </c>
      <c r="H31" s="1788" t="s">
        <v>3441</v>
      </c>
      <c r="I31" s="1791"/>
      <c r="J31" s="1791"/>
      <c r="K31" s="1791"/>
      <c r="L31" s="1791"/>
      <c r="M31" s="1791"/>
      <c r="N31" s="1791"/>
    </row>
    <row r="32" spans="1:14" ht="16.5">
      <c r="A32" s="1788">
        <f t="shared" si="0"/>
        <v>28</v>
      </c>
      <c r="B32" s="1797" t="s">
        <v>3541</v>
      </c>
      <c r="C32" s="1789"/>
      <c r="D32" s="1769" t="s">
        <v>3440</v>
      </c>
      <c r="E32" s="1788" t="s">
        <v>3441</v>
      </c>
      <c r="F32" s="1788" t="s">
        <v>3441</v>
      </c>
      <c r="G32" s="1792"/>
      <c r="H32" s="1788" t="s">
        <v>3441</v>
      </c>
      <c r="I32" s="1791"/>
      <c r="J32" s="1791"/>
      <c r="K32" s="1791"/>
      <c r="L32" s="1791"/>
      <c r="M32" s="1791"/>
      <c r="N32" s="1791"/>
    </row>
    <row r="33" spans="1:14" ht="16.5">
      <c r="A33" s="1788">
        <f t="shared" si="0"/>
        <v>29</v>
      </c>
      <c r="B33" s="1774" t="s">
        <v>3471</v>
      </c>
      <c r="C33" s="1789"/>
      <c r="D33" s="1769" t="s">
        <v>5433</v>
      </c>
      <c r="E33" s="1788" t="s">
        <v>3441</v>
      </c>
      <c r="F33" s="1788" t="s">
        <v>3445</v>
      </c>
      <c r="G33" s="1788" t="s">
        <v>3561</v>
      </c>
      <c r="H33" s="1788" t="s">
        <v>3441</v>
      </c>
      <c r="I33" s="1791"/>
      <c r="J33" s="1791"/>
      <c r="K33" s="1791"/>
      <c r="L33" s="1791"/>
      <c r="M33" s="1791"/>
      <c r="N33" s="1791"/>
    </row>
    <row r="34" spans="1:14" ht="16.5">
      <c r="A34" s="1788">
        <f t="shared" si="0"/>
        <v>30</v>
      </c>
      <c r="B34" s="1774" t="s">
        <v>3472</v>
      </c>
      <c r="C34" s="1789"/>
      <c r="D34" s="1769" t="s">
        <v>3440</v>
      </c>
      <c r="E34" s="1788" t="s">
        <v>3441</v>
      </c>
      <c r="F34" s="1788" t="s">
        <v>3441</v>
      </c>
      <c r="G34" s="1792"/>
      <c r="H34" s="1788" t="s">
        <v>3441</v>
      </c>
      <c r="I34" s="1791"/>
      <c r="J34" s="1791"/>
      <c r="K34" s="1791"/>
      <c r="L34" s="1791"/>
      <c r="M34" s="1791"/>
      <c r="N34" s="1791"/>
    </row>
    <row r="35" spans="1:14" ht="16.5">
      <c r="A35" s="1788">
        <f t="shared" si="0"/>
        <v>31</v>
      </c>
      <c r="B35" s="1798" t="s">
        <v>3562</v>
      </c>
      <c r="C35" s="1798"/>
      <c r="D35" s="1769" t="s">
        <v>3440</v>
      </c>
      <c r="E35" s="1788" t="s">
        <v>3441</v>
      </c>
      <c r="F35" s="1788" t="s">
        <v>3445</v>
      </c>
      <c r="G35" s="1788" t="s">
        <v>5436</v>
      </c>
      <c r="H35" s="1788" t="s">
        <v>3441</v>
      </c>
      <c r="I35" s="1791"/>
      <c r="J35" s="1791"/>
      <c r="K35" s="1791"/>
      <c r="L35" s="1791"/>
      <c r="M35" s="1791"/>
      <c r="N35" s="1791"/>
    </row>
    <row r="36" spans="1:14" ht="16.5">
      <c r="A36" s="1788">
        <f t="shared" si="0"/>
        <v>32</v>
      </c>
      <c r="B36" s="1798" t="s">
        <v>3563</v>
      </c>
      <c r="C36" s="1789"/>
      <c r="D36" s="1769" t="s">
        <v>5433</v>
      </c>
      <c r="E36" s="1788" t="s">
        <v>3441</v>
      </c>
      <c r="F36" s="1788" t="s">
        <v>3445</v>
      </c>
      <c r="G36" s="1788" t="s">
        <v>3465</v>
      </c>
      <c r="H36" s="1788" t="s">
        <v>3441</v>
      </c>
      <c r="I36" s="1791"/>
      <c r="J36" s="1791"/>
      <c r="K36" s="1791"/>
      <c r="L36" s="1791"/>
      <c r="M36" s="1791"/>
      <c r="N36" s="1791"/>
    </row>
    <row r="37" spans="1:14" ht="16.5">
      <c r="A37" s="1788">
        <f t="shared" si="0"/>
        <v>33</v>
      </c>
      <c r="B37" s="1774" t="s">
        <v>3473</v>
      </c>
      <c r="C37" s="1789"/>
      <c r="D37" s="1769" t="s">
        <v>5433</v>
      </c>
      <c r="E37" s="1788" t="s">
        <v>3441</v>
      </c>
      <c r="F37" s="1788" t="s">
        <v>3445</v>
      </c>
      <c r="G37" s="1788" t="s">
        <v>3564</v>
      </c>
      <c r="H37" s="1788" t="s">
        <v>3441</v>
      </c>
      <c r="I37" s="1791"/>
      <c r="J37" s="1791"/>
      <c r="K37" s="1791"/>
      <c r="L37" s="1791"/>
      <c r="M37" s="1791"/>
      <c r="N37" s="1791"/>
    </row>
    <row r="38" spans="1:14" ht="16.5">
      <c r="A38" s="1788">
        <f t="shared" si="0"/>
        <v>34</v>
      </c>
      <c r="B38" s="1774" t="s">
        <v>3474</v>
      </c>
      <c r="C38" s="1789"/>
      <c r="D38" s="1769" t="s">
        <v>3440</v>
      </c>
      <c r="E38" s="1788" t="s">
        <v>3441</v>
      </c>
      <c r="F38" s="1788" t="s">
        <v>3441</v>
      </c>
      <c r="G38" s="1792"/>
      <c r="H38" s="1788" t="s">
        <v>3441</v>
      </c>
      <c r="I38" s="1791"/>
      <c r="J38" s="1791"/>
      <c r="K38" s="1791"/>
      <c r="L38" s="1791"/>
      <c r="M38" s="1791"/>
      <c r="N38" s="1791"/>
    </row>
    <row r="39" spans="1:14" ht="16.5">
      <c r="A39" s="1788">
        <f t="shared" si="0"/>
        <v>35</v>
      </c>
      <c r="B39" s="1774" t="s">
        <v>3565</v>
      </c>
      <c r="C39" s="1789"/>
      <c r="D39" s="1769" t="s">
        <v>3440</v>
      </c>
      <c r="E39" s="1788" t="s">
        <v>3441</v>
      </c>
      <c r="F39" s="1788" t="s">
        <v>3445</v>
      </c>
      <c r="G39" s="1788" t="s">
        <v>5437</v>
      </c>
      <c r="H39" s="1788" t="s">
        <v>3441</v>
      </c>
      <c r="I39" s="1791"/>
      <c r="J39" s="1791"/>
      <c r="K39" s="1791"/>
      <c r="L39" s="1791"/>
      <c r="M39" s="1791"/>
      <c r="N39" s="1791"/>
    </row>
    <row r="40" spans="1:14" ht="16.5">
      <c r="A40" s="1788">
        <f t="shared" si="0"/>
        <v>36</v>
      </c>
      <c r="B40" s="1774" t="s">
        <v>5438</v>
      </c>
      <c r="C40" s="1789"/>
      <c r="D40" s="1769" t="s">
        <v>5433</v>
      </c>
      <c r="E40" s="1788" t="s">
        <v>3441</v>
      </c>
      <c r="F40" s="1788" t="s">
        <v>3441</v>
      </c>
      <c r="G40" s="1792"/>
      <c r="H40" s="1788" t="s">
        <v>3441</v>
      </c>
      <c r="I40" s="1791"/>
      <c r="J40" s="1791"/>
      <c r="K40" s="1791"/>
      <c r="L40" s="1791"/>
      <c r="M40" s="1791"/>
      <c r="N40" s="1791"/>
    </row>
    <row r="41" spans="1:14" ht="16.5">
      <c r="A41" s="1788">
        <f t="shared" si="0"/>
        <v>37</v>
      </c>
      <c r="B41" s="1774" t="s">
        <v>3475</v>
      </c>
      <c r="C41" s="1789"/>
      <c r="D41" s="1788" t="s">
        <v>3454</v>
      </c>
      <c r="E41" s="1788" t="s">
        <v>3441</v>
      </c>
      <c r="F41" s="1788" t="s">
        <v>3445</v>
      </c>
      <c r="G41" s="1788" t="s">
        <v>3446</v>
      </c>
      <c r="H41" s="1788" t="s">
        <v>3441</v>
      </c>
      <c r="I41" s="1791"/>
      <c r="J41" s="1791"/>
      <c r="K41" s="1791"/>
      <c r="L41" s="1791"/>
      <c r="M41" s="1791"/>
      <c r="N41" s="1791"/>
    </row>
    <row r="42" spans="1:14" ht="16.5">
      <c r="A42" s="1788">
        <f t="shared" si="0"/>
        <v>38</v>
      </c>
      <c r="B42" s="1774" t="s">
        <v>3476</v>
      </c>
      <c r="C42" s="1789"/>
      <c r="D42" s="1788" t="s">
        <v>3454</v>
      </c>
      <c r="E42" s="1788" t="s">
        <v>3441</v>
      </c>
      <c r="F42" s="1788" t="s">
        <v>3441</v>
      </c>
      <c r="G42" s="1792"/>
      <c r="H42" s="1788" t="s">
        <v>3441</v>
      </c>
      <c r="I42" s="1791"/>
      <c r="J42" s="1791"/>
      <c r="K42" s="1791"/>
      <c r="L42" s="1791"/>
      <c r="M42" s="1791"/>
      <c r="N42" s="1791"/>
    </row>
    <row r="43" spans="1:14" ht="16.5">
      <c r="A43" s="1788">
        <f t="shared" si="0"/>
        <v>39</v>
      </c>
      <c r="B43" s="1774" t="s">
        <v>3477</v>
      </c>
      <c r="C43" s="1789"/>
      <c r="D43" s="1769" t="s">
        <v>5433</v>
      </c>
      <c r="E43" s="1788" t="s">
        <v>3441</v>
      </c>
      <c r="F43" s="1788" t="s">
        <v>3445</v>
      </c>
      <c r="G43" s="1788" t="s">
        <v>3478</v>
      </c>
      <c r="H43" s="1788" t="s">
        <v>3441</v>
      </c>
      <c r="I43" s="1791"/>
      <c r="J43" s="1791"/>
      <c r="K43" s="1791"/>
      <c r="L43" s="1791"/>
      <c r="M43" s="1791"/>
      <c r="N43" s="1791"/>
    </row>
    <row r="44" spans="1:14" ht="16.5">
      <c r="A44" s="1788">
        <f t="shared" si="0"/>
        <v>40</v>
      </c>
      <c r="B44" s="1774" t="s">
        <v>3479</v>
      </c>
      <c r="C44" s="1789"/>
      <c r="D44" s="1769" t="s">
        <v>3440</v>
      </c>
      <c r="E44" s="1788" t="s">
        <v>3441</v>
      </c>
      <c r="F44" s="1769" t="s">
        <v>3464</v>
      </c>
      <c r="G44" s="1769" t="s">
        <v>3446</v>
      </c>
      <c r="H44" s="1788" t="s">
        <v>3441</v>
      </c>
      <c r="I44" s="1791"/>
      <c r="J44" s="1791"/>
      <c r="K44" s="1791"/>
      <c r="L44" s="1791"/>
      <c r="M44" s="1791"/>
      <c r="N44" s="1791"/>
    </row>
    <row r="45" spans="1:14" ht="16.5">
      <c r="A45" s="1788">
        <f t="shared" si="0"/>
        <v>41</v>
      </c>
      <c r="B45" s="1774" t="s">
        <v>3480</v>
      </c>
      <c r="C45" s="1789"/>
      <c r="D45" s="1788" t="s">
        <v>3454</v>
      </c>
      <c r="E45" s="1788" t="s">
        <v>3441</v>
      </c>
      <c r="F45" s="1788" t="s">
        <v>3445</v>
      </c>
      <c r="G45" s="1788" t="s">
        <v>3481</v>
      </c>
      <c r="H45" s="1788" t="s">
        <v>3441</v>
      </c>
      <c r="I45" s="1791"/>
      <c r="J45" s="1791"/>
      <c r="K45" s="1791"/>
      <c r="L45" s="1791"/>
      <c r="M45" s="1791"/>
      <c r="N45" s="1791"/>
    </row>
    <row r="46" spans="1:14" s="1770" customFormat="1" ht="16.5">
      <c r="A46" s="1788">
        <f t="shared" si="0"/>
        <v>42</v>
      </c>
      <c r="B46" s="1771" t="s">
        <v>3482</v>
      </c>
      <c r="C46" s="1772"/>
      <c r="D46" s="1769" t="s">
        <v>3440</v>
      </c>
      <c r="E46" s="1769" t="s">
        <v>3441</v>
      </c>
      <c r="F46" s="1769" t="s">
        <v>3445</v>
      </c>
      <c r="G46" s="1788" t="s">
        <v>5439</v>
      </c>
      <c r="H46" s="1773" t="s">
        <v>3441</v>
      </c>
      <c r="I46" s="1772"/>
      <c r="J46" s="1772"/>
      <c r="K46" s="1772"/>
      <c r="L46" s="1772"/>
      <c r="M46" s="1772"/>
      <c r="N46" s="1772"/>
    </row>
    <row r="47" spans="1:14" ht="16.5">
      <c r="A47" s="1788">
        <f t="shared" si="0"/>
        <v>43</v>
      </c>
      <c r="B47" s="1774" t="s">
        <v>3483</v>
      </c>
      <c r="C47" s="1789"/>
      <c r="D47" s="1769" t="s">
        <v>3440</v>
      </c>
      <c r="E47" s="1788" t="s">
        <v>3441</v>
      </c>
      <c r="F47" s="1788" t="s">
        <v>3445</v>
      </c>
      <c r="G47" s="1792" t="s">
        <v>3446</v>
      </c>
      <c r="H47" s="1788" t="s">
        <v>3441</v>
      </c>
      <c r="I47" s="1791"/>
      <c r="J47" s="1791"/>
      <c r="K47" s="1791"/>
      <c r="L47" s="1791"/>
      <c r="M47" s="1791"/>
      <c r="N47" s="1791"/>
    </row>
    <row r="48" spans="1:14" ht="16.5">
      <c r="A48" s="1788">
        <f t="shared" si="0"/>
        <v>44</v>
      </c>
      <c r="B48" s="1774" t="s">
        <v>3484</v>
      </c>
      <c r="C48" s="1789"/>
      <c r="D48" s="1769" t="s">
        <v>5433</v>
      </c>
      <c r="E48" s="1788" t="s">
        <v>3441</v>
      </c>
      <c r="F48" s="1788" t="s">
        <v>3445</v>
      </c>
      <c r="G48" s="1788" t="s">
        <v>3485</v>
      </c>
      <c r="H48" s="1788" t="s">
        <v>3441</v>
      </c>
      <c r="I48" s="1791"/>
      <c r="J48" s="1791"/>
      <c r="K48" s="1791"/>
      <c r="L48" s="1791"/>
      <c r="M48" s="1791"/>
      <c r="N48" s="1791"/>
    </row>
    <row r="49" spans="1:14" ht="16.5">
      <c r="A49" s="1788">
        <f t="shared" si="0"/>
        <v>45</v>
      </c>
      <c r="B49" s="1774" t="s">
        <v>3486</v>
      </c>
      <c r="C49" s="1789"/>
      <c r="D49" s="1788" t="s">
        <v>3454</v>
      </c>
      <c r="E49" s="1788" t="s">
        <v>3441</v>
      </c>
      <c r="F49" s="1788" t="s">
        <v>3441</v>
      </c>
      <c r="G49" s="1792"/>
      <c r="H49" s="1788" t="s">
        <v>3441</v>
      </c>
      <c r="I49" s="1791"/>
      <c r="J49" s="1791"/>
      <c r="K49" s="1791"/>
      <c r="L49" s="1791"/>
      <c r="M49" s="1791"/>
      <c r="N49" s="1791"/>
    </row>
    <row r="50" spans="1:14" ht="16.5">
      <c r="A50" s="1788">
        <f t="shared" si="0"/>
        <v>46</v>
      </c>
      <c r="B50" s="1774" t="s">
        <v>3566</v>
      </c>
      <c r="C50" s="1789"/>
      <c r="D50" s="1788" t="s">
        <v>3440</v>
      </c>
      <c r="E50" s="1788" t="s">
        <v>3441</v>
      </c>
      <c r="F50" s="1788" t="s">
        <v>3445</v>
      </c>
      <c r="G50" s="1792" t="s">
        <v>3446</v>
      </c>
      <c r="H50" s="1788" t="s">
        <v>3441</v>
      </c>
      <c r="I50" s="1791"/>
      <c r="J50" s="1791"/>
      <c r="K50" s="1791"/>
      <c r="L50" s="1791"/>
      <c r="M50" s="1791"/>
      <c r="N50" s="1791"/>
    </row>
    <row r="51" spans="1:14" ht="16.5">
      <c r="A51" s="1788">
        <f t="shared" si="0"/>
        <v>47</v>
      </c>
      <c r="B51" s="1774" t="s">
        <v>3487</v>
      </c>
      <c r="C51" s="1789"/>
      <c r="D51" s="1788" t="s">
        <v>3454</v>
      </c>
      <c r="E51" s="1788" t="s">
        <v>3441</v>
      </c>
      <c r="F51" s="1788" t="s">
        <v>3441</v>
      </c>
      <c r="G51" s="1792"/>
      <c r="H51" s="1788" t="s">
        <v>3441</v>
      </c>
      <c r="I51" s="1791"/>
      <c r="J51" s="1791"/>
      <c r="K51" s="1791"/>
      <c r="L51" s="1791"/>
      <c r="M51" s="1791"/>
      <c r="N51" s="1791"/>
    </row>
    <row r="52" spans="1:14" ht="16.5">
      <c r="A52" s="1788">
        <f t="shared" si="0"/>
        <v>48</v>
      </c>
      <c r="B52" s="1799" t="s">
        <v>3567</v>
      </c>
      <c r="C52" s="1789"/>
      <c r="D52" s="1769" t="s">
        <v>3444</v>
      </c>
      <c r="E52" s="1788" t="s">
        <v>3441</v>
      </c>
      <c r="F52" s="1795" t="s">
        <v>3445</v>
      </c>
      <c r="G52" s="1795"/>
      <c r="H52" s="1788" t="s">
        <v>3441</v>
      </c>
      <c r="I52" s="1791"/>
      <c r="J52" s="1791"/>
      <c r="K52" s="1791"/>
      <c r="L52" s="1791"/>
      <c r="M52" s="1791"/>
      <c r="N52" s="1791"/>
    </row>
    <row r="53" spans="1:14" ht="16.5">
      <c r="A53" s="1788">
        <f t="shared" si="0"/>
        <v>49</v>
      </c>
      <c r="B53" s="1799" t="s">
        <v>3488</v>
      </c>
      <c r="C53" s="1789"/>
      <c r="D53" s="1769" t="s">
        <v>5433</v>
      </c>
      <c r="E53" s="1788" t="s">
        <v>3441</v>
      </c>
      <c r="F53" s="1795" t="s">
        <v>3445</v>
      </c>
      <c r="G53" s="1795" t="s">
        <v>5440</v>
      </c>
      <c r="H53" s="1788" t="s">
        <v>3441</v>
      </c>
      <c r="I53" s="1791"/>
      <c r="J53" s="1791"/>
      <c r="K53" s="1791"/>
      <c r="L53" s="1791"/>
      <c r="M53" s="1791"/>
      <c r="N53" s="1791"/>
    </row>
    <row r="54" spans="1:14" ht="16.5">
      <c r="A54" s="1788">
        <f t="shared" si="0"/>
        <v>50</v>
      </c>
      <c r="B54" s="1799" t="s">
        <v>5441</v>
      </c>
      <c r="C54" s="1789"/>
      <c r="D54" s="1769" t="s">
        <v>5433</v>
      </c>
      <c r="E54" s="1788" t="s">
        <v>3441</v>
      </c>
      <c r="F54" s="1795" t="s">
        <v>3445</v>
      </c>
      <c r="G54" s="1795" t="s">
        <v>5442</v>
      </c>
      <c r="H54" s="1788" t="s">
        <v>3441</v>
      </c>
      <c r="I54" s="1791"/>
      <c r="J54" s="1791"/>
      <c r="K54" s="1791"/>
      <c r="L54" s="1791"/>
      <c r="M54" s="1791"/>
      <c r="N54" s="1791"/>
    </row>
    <row r="55" spans="1:14" ht="16.5">
      <c r="A55" s="1788">
        <f t="shared" si="0"/>
        <v>51</v>
      </c>
      <c r="B55" s="1799" t="s">
        <v>3542</v>
      </c>
      <c r="C55" s="1789"/>
      <c r="D55" s="1769" t="s">
        <v>3440</v>
      </c>
      <c r="E55" s="1788" t="s">
        <v>3441</v>
      </c>
      <c r="F55" s="1795" t="s">
        <v>3445</v>
      </c>
      <c r="G55" s="1795" t="s">
        <v>5443</v>
      </c>
      <c r="H55" s="1788" t="s">
        <v>3441</v>
      </c>
      <c r="I55" s="1791"/>
      <c r="J55" s="1791"/>
      <c r="K55" s="1791"/>
      <c r="L55" s="1791"/>
      <c r="M55" s="1791"/>
      <c r="N55" s="1791"/>
    </row>
    <row r="56" spans="1:14" ht="16.5">
      <c r="A56" s="1788">
        <f t="shared" si="0"/>
        <v>52</v>
      </c>
      <c r="B56" s="1799" t="s">
        <v>5444</v>
      </c>
      <c r="C56" s="1789"/>
      <c r="D56" s="1769" t="s">
        <v>3440</v>
      </c>
      <c r="E56" s="1788" t="s">
        <v>3441</v>
      </c>
      <c r="F56" s="1795" t="s">
        <v>3445</v>
      </c>
      <c r="G56" s="1795" t="s">
        <v>3489</v>
      </c>
      <c r="H56" s="1788" t="s">
        <v>3441</v>
      </c>
      <c r="I56" s="1791"/>
      <c r="J56" s="1791"/>
      <c r="K56" s="1791"/>
      <c r="L56" s="1791"/>
      <c r="M56" s="1791"/>
      <c r="N56" s="1791"/>
    </row>
    <row r="57" spans="1:14" ht="16.5">
      <c r="A57" s="1788">
        <f t="shared" si="0"/>
        <v>53</v>
      </c>
      <c r="B57" s="1800" t="s">
        <v>3490</v>
      </c>
      <c r="C57" s="1789"/>
      <c r="D57" s="1769" t="s">
        <v>3440</v>
      </c>
      <c r="E57" s="1788" t="s">
        <v>3441</v>
      </c>
      <c r="F57" s="1795" t="s">
        <v>3445</v>
      </c>
      <c r="G57" s="1788" t="s">
        <v>5445</v>
      </c>
      <c r="H57" s="1788" t="s">
        <v>3441</v>
      </c>
      <c r="I57" s="1791"/>
      <c r="J57" s="1791"/>
      <c r="K57" s="1791"/>
      <c r="L57" s="1791"/>
      <c r="M57" s="1791"/>
      <c r="N57" s="1791"/>
    </row>
    <row r="58" spans="1:14" ht="16.5">
      <c r="A58" s="1788">
        <f t="shared" si="0"/>
        <v>54</v>
      </c>
      <c r="B58" s="1800" t="s">
        <v>3491</v>
      </c>
      <c r="C58" s="1789"/>
      <c r="D58" s="1769" t="s">
        <v>5433</v>
      </c>
      <c r="E58" s="1788" t="s">
        <v>3441</v>
      </c>
      <c r="F58" s="1795" t="s">
        <v>3445</v>
      </c>
      <c r="G58" s="1788" t="s">
        <v>3446</v>
      </c>
      <c r="H58" s="1788" t="s">
        <v>3441</v>
      </c>
      <c r="I58" s="1791"/>
      <c r="J58" s="1791"/>
      <c r="K58" s="1791"/>
      <c r="L58" s="1791"/>
      <c r="M58" s="1791"/>
      <c r="N58" s="1791"/>
    </row>
    <row r="59" spans="1:14" ht="16.5">
      <c r="A59" s="1788">
        <f t="shared" si="0"/>
        <v>55</v>
      </c>
      <c r="B59" s="1800" t="s">
        <v>3543</v>
      </c>
      <c r="C59" s="1789"/>
      <c r="D59" s="1769" t="s">
        <v>5433</v>
      </c>
      <c r="E59" s="1788" t="s">
        <v>3441</v>
      </c>
      <c r="F59" s="1795" t="s">
        <v>3445</v>
      </c>
      <c r="G59" s="1788" t="s">
        <v>3446</v>
      </c>
      <c r="H59" s="1788" t="s">
        <v>3441</v>
      </c>
      <c r="I59" s="1791"/>
      <c r="J59" s="1791"/>
      <c r="K59" s="1791"/>
      <c r="L59" s="1791"/>
      <c r="M59" s="1791"/>
      <c r="N59" s="1791"/>
    </row>
    <row r="60" spans="1:14" ht="16.5">
      <c r="A60" s="1788">
        <f t="shared" si="0"/>
        <v>56</v>
      </c>
      <c r="B60" s="1774" t="s">
        <v>5446</v>
      </c>
      <c r="C60" s="1789"/>
      <c r="D60" s="1788" t="s">
        <v>5433</v>
      </c>
      <c r="E60" s="1788" t="s">
        <v>3441</v>
      </c>
      <c r="F60" s="1788" t="s">
        <v>3445</v>
      </c>
      <c r="G60" s="1788" t="s">
        <v>3446</v>
      </c>
      <c r="H60" s="1788" t="s">
        <v>3441</v>
      </c>
      <c r="I60" s="1791"/>
      <c r="J60" s="1791"/>
      <c r="K60" s="1791"/>
      <c r="L60" s="1791"/>
      <c r="M60" s="1791"/>
      <c r="N60" s="1791"/>
    </row>
    <row r="61" spans="1:14" ht="16.5">
      <c r="A61" s="1788">
        <f t="shared" si="0"/>
        <v>57</v>
      </c>
      <c r="B61" s="1774" t="s">
        <v>3492</v>
      </c>
      <c r="C61" s="1789"/>
      <c r="D61" s="1788" t="s">
        <v>3454</v>
      </c>
      <c r="E61" s="1788" t="s">
        <v>3441</v>
      </c>
      <c r="F61" s="1788" t="s">
        <v>3445</v>
      </c>
      <c r="G61" s="1792" t="s">
        <v>3493</v>
      </c>
      <c r="H61" s="1788" t="s">
        <v>3441</v>
      </c>
      <c r="I61" s="1791"/>
      <c r="J61" s="1791"/>
      <c r="K61" s="1791"/>
      <c r="L61" s="1791"/>
      <c r="M61" s="1791"/>
      <c r="N61" s="1791"/>
    </row>
    <row r="62" spans="1:14" ht="16.5">
      <c r="A62" s="1788">
        <f t="shared" si="0"/>
        <v>58</v>
      </c>
      <c r="B62" s="1774" t="s">
        <v>5447</v>
      </c>
      <c r="C62" s="1789"/>
      <c r="D62" s="1769" t="s">
        <v>3444</v>
      </c>
      <c r="E62" s="1788" t="s">
        <v>3441</v>
      </c>
      <c r="F62" s="1788" t="s">
        <v>3445</v>
      </c>
      <c r="G62" s="1788" t="s">
        <v>3446</v>
      </c>
      <c r="H62" s="1788" t="s">
        <v>3441</v>
      </c>
      <c r="I62" s="1791"/>
      <c r="J62" s="1791"/>
      <c r="K62" s="1791"/>
      <c r="L62" s="1791"/>
      <c r="M62" s="1791"/>
      <c r="N62" s="1791"/>
    </row>
    <row r="63" spans="1:14" ht="16.5">
      <c r="A63" s="1788">
        <f t="shared" si="0"/>
        <v>59</v>
      </c>
      <c r="B63" s="1774" t="s">
        <v>3494</v>
      </c>
      <c r="C63" s="1789"/>
      <c r="D63" s="1769" t="s">
        <v>3440</v>
      </c>
      <c r="E63" s="1788" t="s">
        <v>3460</v>
      </c>
      <c r="F63" s="1788" t="s">
        <v>3450</v>
      </c>
      <c r="G63" s="1792"/>
      <c r="H63" s="1788" t="s">
        <v>3441</v>
      </c>
      <c r="I63" s="1791"/>
      <c r="J63" s="1791"/>
      <c r="K63" s="1791"/>
      <c r="L63" s="1791"/>
      <c r="M63" s="1791"/>
      <c r="N63" s="1791"/>
    </row>
    <row r="64" spans="1:14" ht="16.5">
      <c r="A64" s="1788">
        <f t="shared" si="0"/>
        <v>60</v>
      </c>
      <c r="B64" s="1774" t="s">
        <v>3495</v>
      </c>
      <c r="C64" s="1789"/>
      <c r="D64" s="1769" t="s">
        <v>3440</v>
      </c>
      <c r="E64" s="1788" t="s">
        <v>3460</v>
      </c>
      <c r="F64" s="1788" t="s">
        <v>3450</v>
      </c>
      <c r="G64" s="1792"/>
      <c r="H64" s="1788" t="s">
        <v>3441</v>
      </c>
      <c r="I64" s="1791"/>
      <c r="J64" s="1791"/>
      <c r="K64" s="1791"/>
      <c r="L64" s="1791"/>
      <c r="M64" s="1791"/>
      <c r="N64" s="1791"/>
    </row>
    <row r="65" spans="1:14" ht="16.5">
      <c r="A65" s="1788">
        <f t="shared" si="0"/>
        <v>61</v>
      </c>
      <c r="B65" s="1774" t="s">
        <v>5448</v>
      </c>
      <c r="C65" s="1789"/>
      <c r="D65" s="1769" t="s">
        <v>5433</v>
      </c>
      <c r="E65" s="1788" t="s">
        <v>3460</v>
      </c>
      <c r="F65" s="1788" t="s">
        <v>3460</v>
      </c>
      <c r="G65" s="1792"/>
      <c r="H65" s="1788" t="s">
        <v>5429</v>
      </c>
      <c r="I65" s="1791"/>
      <c r="J65" s="1791"/>
      <c r="K65" s="1791"/>
      <c r="L65" s="1791"/>
      <c r="M65" s="1791"/>
      <c r="N65" s="1791"/>
    </row>
    <row r="66" spans="1:14" ht="16.5">
      <c r="A66" s="1788">
        <f t="shared" si="0"/>
        <v>62</v>
      </c>
      <c r="B66" s="1774" t="s">
        <v>3568</v>
      </c>
      <c r="C66" s="1789"/>
      <c r="D66" s="1769" t="s">
        <v>3440</v>
      </c>
      <c r="E66" s="1788" t="s">
        <v>5432</v>
      </c>
      <c r="F66" s="1788" t="s">
        <v>3460</v>
      </c>
      <c r="G66" s="1792"/>
      <c r="H66" s="1788" t="s">
        <v>3441</v>
      </c>
      <c r="I66" s="1791"/>
      <c r="J66" s="1791"/>
      <c r="K66" s="1791"/>
      <c r="L66" s="1791"/>
      <c r="M66" s="1791"/>
      <c r="N66" s="1791"/>
    </row>
    <row r="67" spans="1:14" ht="16.5">
      <c r="A67" s="1788">
        <f t="shared" si="0"/>
        <v>63</v>
      </c>
      <c r="B67" s="1774" t="s">
        <v>5449</v>
      </c>
      <c r="C67" s="1789"/>
      <c r="D67" s="1769" t="s">
        <v>5433</v>
      </c>
      <c r="E67" s="1788" t="s">
        <v>3441</v>
      </c>
      <c r="F67" s="1788" t="s">
        <v>3460</v>
      </c>
      <c r="G67" s="1792"/>
      <c r="H67" s="1788" t="s">
        <v>3441</v>
      </c>
      <c r="I67" s="1791"/>
      <c r="J67" s="1791"/>
      <c r="K67" s="1791"/>
      <c r="L67" s="1791"/>
      <c r="M67" s="1791"/>
      <c r="N67" s="1791"/>
    </row>
    <row r="68" spans="1:14" ht="16.5">
      <c r="A68" s="1788">
        <f t="shared" si="0"/>
        <v>64</v>
      </c>
      <c r="B68" s="1774" t="s">
        <v>3569</v>
      </c>
      <c r="C68" s="1789"/>
      <c r="D68" s="1769" t="s">
        <v>3570</v>
      </c>
      <c r="E68" s="1788" t="s">
        <v>5429</v>
      </c>
      <c r="F68" s="1788" t="s">
        <v>3450</v>
      </c>
      <c r="G68" s="1792"/>
      <c r="H68" s="1788" t="s">
        <v>3450</v>
      </c>
      <c r="I68" s="1791"/>
      <c r="J68" s="1791"/>
      <c r="K68" s="1791"/>
      <c r="L68" s="1791"/>
      <c r="M68" s="1791"/>
      <c r="N68" s="1791"/>
    </row>
    <row r="69" spans="1:14" ht="16.5">
      <c r="A69" s="1788">
        <f t="shared" si="0"/>
        <v>65</v>
      </c>
      <c r="B69" s="1774" t="s">
        <v>3496</v>
      </c>
      <c r="C69" s="1789"/>
      <c r="D69" s="1788" t="s">
        <v>5433</v>
      </c>
      <c r="E69" s="1788" t="s">
        <v>3441</v>
      </c>
      <c r="F69" s="1788" t="s">
        <v>3460</v>
      </c>
      <c r="G69" s="1788"/>
      <c r="H69" s="1788" t="s">
        <v>3442</v>
      </c>
      <c r="I69" s="1791"/>
      <c r="J69" s="1791"/>
      <c r="K69" s="1791"/>
      <c r="L69" s="1791"/>
      <c r="M69" s="1791"/>
      <c r="N69" s="1791"/>
    </row>
    <row r="70" spans="1:14" ht="16.5">
      <c r="A70" s="1788">
        <f t="shared" si="0"/>
        <v>66</v>
      </c>
      <c r="B70" s="1774" t="s">
        <v>3497</v>
      </c>
      <c r="C70" s="1789"/>
      <c r="D70" s="1769" t="s">
        <v>3440</v>
      </c>
      <c r="E70" s="1788" t="s">
        <v>3441</v>
      </c>
      <c r="F70" s="1788" t="s">
        <v>5432</v>
      </c>
      <c r="G70" s="1788"/>
      <c r="H70" s="1788" t="s">
        <v>3442</v>
      </c>
      <c r="I70" s="1791"/>
      <c r="J70" s="1791"/>
      <c r="K70" s="1791"/>
      <c r="L70" s="1791"/>
      <c r="M70" s="1791"/>
      <c r="N70" s="1791"/>
    </row>
    <row r="71" spans="1:14" ht="33">
      <c r="A71" s="1788">
        <f t="shared" si="0"/>
        <v>67</v>
      </c>
      <c r="B71" s="1774" t="s">
        <v>3498</v>
      </c>
      <c r="C71" s="1789"/>
      <c r="D71" s="1769" t="s">
        <v>5433</v>
      </c>
      <c r="E71" s="1788" t="s">
        <v>3441</v>
      </c>
      <c r="F71" s="1788" t="s">
        <v>3464</v>
      </c>
      <c r="G71" s="1788" t="s">
        <v>3544</v>
      </c>
      <c r="H71" s="1788" t="s">
        <v>3545</v>
      </c>
      <c r="I71" s="1791"/>
      <c r="J71" s="1791"/>
      <c r="K71" s="1791"/>
      <c r="L71" s="1791"/>
      <c r="M71" s="1791"/>
      <c r="N71" s="1791"/>
    </row>
    <row r="72" spans="1:14" ht="16.5">
      <c r="A72" s="1788">
        <f t="shared" si="0"/>
        <v>68</v>
      </c>
      <c r="B72" s="1774" t="s">
        <v>3499</v>
      </c>
      <c r="C72" s="1789"/>
      <c r="D72" s="1769" t="s">
        <v>3440</v>
      </c>
      <c r="E72" s="1788" t="s">
        <v>3441</v>
      </c>
      <c r="F72" s="1788" t="s">
        <v>3464</v>
      </c>
      <c r="G72" s="1788" t="s">
        <v>3571</v>
      </c>
      <c r="H72" s="1788" t="s">
        <v>3441</v>
      </c>
      <c r="I72" s="1791"/>
      <c r="J72" s="1791"/>
      <c r="K72" s="1791"/>
      <c r="L72" s="1791"/>
      <c r="M72" s="1791"/>
      <c r="N72" s="1791"/>
    </row>
    <row r="73" spans="1:14" ht="16.5">
      <c r="A73" s="1788">
        <f t="shared" ref="A73:A137" si="1">A72+1</f>
        <v>69</v>
      </c>
      <c r="B73" s="1774" t="s">
        <v>3546</v>
      </c>
      <c r="C73" s="1789"/>
      <c r="D73" s="1769" t="s">
        <v>3440</v>
      </c>
      <c r="E73" s="1788" t="s">
        <v>3441</v>
      </c>
      <c r="F73" s="1788" t="s">
        <v>3464</v>
      </c>
      <c r="G73" s="1788" t="s">
        <v>5450</v>
      </c>
      <c r="H73" s="1788" t="s">
        <v>3450</v>
      </c>
      <c r="I73" s="1791"/>
      <c r="J73" s="1791"/>
      <c r="K73" s="1791"/>
      <c r="L73" s="1791"/>
      <c r="M73" s="1791"/>
      <c r="N73" s="1791"/>
    </row>
    <row r="74" spans="1:14" ht="16.5">
      <c r="A74" s="1788">
        <f t="shared" si="1"/>
        <v>70</v>
      </c>
      <c r="B74" s="1774" t="s">
        <v>3547</v>
      </c>
      <c r="C74" s="1789"/>
      <c r="D74" s="1769" t="s">
        <v>3444</v>
      </c>
      <c r="E74" s="1788" t="s">
        <v>3441</v>
      </c>
      <c r="F74" s="1788" t="s">
        <v>3442</v>
      </c>
      <c r="G74" s="1792"/>
      <c r="H74" s="1788" t="s">
        <v>3441</v>
      </c>
      <c r="I74" s="1791"/>
      <c r="J74" s="1791"/>
      <c r="K74" s="1791"/>
      <c r="L74" s="1791"/>
      <c r="M74" s="1791"/>
      <c r="N74" s="1791"/>
    </row>
    <row r="75" spans="1:14" ht="16.5">
      <c r="A75" s="1788">
        <f t="shared" si="1"/>
        <v>71</v>
      </c>
      <c r="B75" s="1774" t="s">
        <v>3500</v>
      </c>
      <c r="C75" s="1789"/>
      <c r="D75" s="1788" t="s">
        <v>3440</v>
      </c>
      <c r="E75" s="1788" t="s">
        <v>3460</v>
      </c>
      <c r="F75" s="1788" t="s">
        <v>3464</v>
      </c>
      <c r="G75" s="1792" t="s">
        <v>3501</v>
      </c>
      <c r="H75" s="1788" t="s">
        <v>3441</v>
      </c>
      <c r="I75" s="1791"/>
      <c r="J75" s="1791"/>
      <c r="K75" s="1791"/>
      <c r="L75" s="1791"/>
      <c r="M75" s="1791"/>
      <c r="N75" s="1791"/>
    </row>
    <row r="76" spans="1:14" ht="16.5">
      <c r="A76" s="1788">
        <f t="shared" si="1"/>
        <v>72</v>
      </c>
      <c r="B76" s="1774" t="s">
        <v>3572</v>
      </c>
      <c r="C76" s="1789"/>
      <c r="D76" s="1769" t="s">
        <v>5433</v>
      </c>
      <c r="E76" s="1788" t="s">
        <v>5432</v>
      </c>
      <c r="F76" s="1788" t="s">
        <v>3442</v>
      </c>
      <c r="G76" s="1792" t="s">
        <v>5451</v>
      </c>
      <c r="H76" s="1788" t="s">
        <v>3441</v>
      </c>
      <c r="I76" s="1791"/>
      <c r="J76" s="1791"/>
      <c r="K76" s="1791"/>
      <c r="L76" s="1791"/>
      <c r="M76" s="1791"/>
      <c r="N76" s="1791"/>
    </row>
    <row r="77" spans="1:14" ht="16.5">
      <c r="A77" s="1788">
        <f t="shared" si="1"/>
        <v>73</v>
      </c>
      <c r="B77" s="1774" t="s">
        <v>3503</v>
      </c>
      <c r="C77" s="1789"/>
      <c r="D77" s="1788" t="s">
        <v>5433</v>
      </c>
      <c r="E77" s="1788" t="s">
        <v>3460</v>
      </c>
      <c r="F77" s="1788" t="s">
        <v>3464</v>
      </c>
      <c r="G77" s="1792" t="s">
        <v>3501</v>
      </c>
      <c r="H77" s="1788" t="s">
        <v>3441</v>
      </c>
      <c r="I77" s="1791"/>
      <c r="J77" s="1791"/>
      <c r="K77" s="1791"/>
      <c r="L77" s="1791"/>
      <c r="M77" s="1791"/>
      <c r="N77" s="1791"/>
    </row>
    <row r="78" spans="1:14" ht="16.5">
      <c r="A78" s="1788">
        <f t="shared" si="1"/>
        <v>74</v>
      </c>
      <c r="B78" s="1774" t="s">
        <v>3504</v>
      </c>
      <c r="C78" s="1789"/>
      <c r="D78" s="1769" t="s">
        <v>3440</v>
      </c>
      <c r="E78" s="1788" t="s">
        <v>3460</v>
      </c>
      <c r="F78" s="1788" t="s">
        <v>5427</v>
      </c>
      <c r="G78" s="1792" t="s">
        <v>3502</v>
      </c>
      <c r="H78" s="1788" t="s">
        <v>3441</v>
      </c>
      <c r="I78" s="1791"/>
      <c r="J78" s="1791"/>
      <c r="K78" s="1791"/>
      <c r="L78" s="1791"/>
      <c r="M78" s="1791"/>
      <c r="N78" s="1791"/>
    </row>
    <row r="79" spans="1:14" ht="16.5">
      <c r="A79" s="1788">
        <f t="shared" si="1"/>
        <v>75</v>
      </c>
      <c r="B79" s="1774" t="s">
        <v>3505</v>
      </c>
      <c r="C79" s="1789"/>
      <c r="D79" s="1769" t="s">
        <v>3440</v>
      </c>
      <c r="E79" s="1788" t="s">
        <v>3460</v>
      </c>
      <c r="F79" s="1788" t="s">
        <v>3442</v>
      </c>
      <c r="G79" s="1792" t="s">
        <v>3501</v>
      </c>
      <c r="H79" s="1788" t="s">
        <v>3441</v>
      </c>
      <c r="I79" s="1791"/>
      <c r="J79" s="1791"/>
      <c r="K79" s="1791"/>
      <c r="L79" s="1791"/>
      <c r="M79" s="1791"/>
      <c r="N79" s="1791"/>
    </row>
    <row r="80" spans="1:14" ht="16.5">
      <c r="A80" s="1788">
        <f t="shared" si="1"/>
        <v>76</v>
      </c>
      <c r="B80" s="1774" t="s">
        <v>3506</v>
      </c>
      <c r="C80" s="1789"/>
      <c r="D80" s="1769" t="s">
        <v>3440</v>
      </c>
      <c r="E80" s="1788" t="s">
        <v>3460</v>
      </c>
      <c r="F80" s="1788" t="s">
        <v>3442</v>
      </c>
      <c r="G80" s="1792" t="s">
        <v>3502</v>
      </c>
      <c r="H80" s="1788" t="s">
        <v>3441</v>
      </c>
      <c r="I80" s="1791"/>
      <c r="J80" s="1791"/>
      <c r="K80" s="1791"/>
      <c r="L80" s="1791"/>
      <c r="M80" s="1791"/>
      <c r="N80" s="1791"/>
    </row>
    <row r="81" spans="1:14" ht="16.5">
      <c r="A81" s="1788">
        <f t="shared" si="1"/>
        <v>77</v>
      </c>
      <c r="B81" s="1774" t="s">
        <v>3507</v>
      </c>
      <c r="C81" s="1789"/>
      <c r="D81" s="1769" t="s">
        <v>5433</v>
      </c>
      <c r="E81" s="1788" t="s">
        <v>3460</v>
      </c>
      <c r="F81" s="1788" t="s">
        <v>3442</v>
      </c>
      <c r="G81" s="1792" t="s">
        <v>3501</v>
      </c>
      <c r="H81" s="1788" t="s">
        <v>3441</v>
      </c>
      <c r="I81" s="1791"/>
      <c r="J81" s="1791"/>
      <c r="K81" s="1791"/>
      <c r="L81" s="1791"/>
      <c r="M81" s="1791"/>
      <c r="N81" s="1791"/>
    </row>
    <row r="82" spans="1:14" ht="16.5">
      <c r="A82" s="1788">
        <f t="shared" si="1"/>
        <v>78</v>
      </c>
      <c r="B82" s="1774" t="s">
        <v>3548</v>
      </c>
      <c r="C82" s="1789"/>
      <c r="D82" s="1769" t="s">
        <v>5433</v>
      </c>
      <c r="E82" s="1788" t="s">
        <v>5432</v>
      </c>
      <c r="F82" s="1788" t="s">
        <v>3442</v>
      </c>
      <c r="G82" s="1792" t="s">
        <v>3502</v>
      </c>
      <c r="H82" s="1788" t="s">
        <v>3441</v>
      </c>
      <c r="I82" s="1791"/>
      <c r="J82" s="1791"/>
      <c r="K82" s="1791"/>
      <c r="L82" s="1791"/>
      <c r="M82" s="1791"/>
      <c r="N82" s="1791"/>
    </row>
    <row r="83" spans="1:14" ht="16.5">
      <c r="A83" s="1788">
        <f t="shared" si="1"/>
        <v>79</v>
      </c>
      <c r="B83" s="1774" t="s">
        <v>5452</v>
      </c>
      <c r="C83" s="1789"/>
      <c r="D83" s="1769" t="s">
        <v>3440</v>
      </c>
      <c r="E83" s="1788" t="s">
        <v>3460</v>
      </c>
      <c r="F83" s="1788" t="s">
        <v>3450</v>
      </c>
      <c r="G83" s="1792"/>
      <c r="H83" s="1788" t="s">
        <v>5427</v>
      </c>
      <c r="I83" s="1791"/>
      <c r="J83" s="1791"/>
      <c r="K83" s="1791"/>
      <c r="L83" s="1791"/>
      <c r="M83" s="1791"/>
      <c r="N83" s="1791"/>
    </row>
    <row r="84" spans="1:14" ht="16.5">
      <c r="A84" s="1788">
        <f t="shared" si="1"/>
        <v>80</v>
      </c>
      <c r="B84" s="1774" t="s">
        <v>3508</v>
      </c>
      <c r="C84" s="1789"/>
      <c r="D84" s="1769" t="s">
        <v>3440</v>
      </c>
      <c r="E84" s="1788" t="s">
        <v>3460</v>
      </c>
      <c r="F84" s="1788" t="s">
        <v>3450</v>
      </c>
      <c r="G84" s="1792"/>
      <c r="H84" s="1788" t="s">
        <v>3442</v>
      </c>
      <c r="I84" s="1791"/>
      <c r="J84" s="1791"/>
      <c r="K84" s="1791"/>
      <c r="L84" s="1791"/>
      <c r="M84" s="1791"/>
      <c r="N84" s="1791"/>
    </row>
    <row r="85" spans="1:14" ht="16.5">
      <c r="A85" s="1788">
        <f t="shared" si="1"/>
        <v>81</v>
      </c>
      <c r="B85" s="1774" t="s">
        <v>3549</v>
      </c>
      <c r="C85" s="1789"/>
      <c r="D85" s="1769" t="s">
        <v>3440</v>
      </c>
      <c r="E85" s="1788" t="s">
        <v>5432</v>
      </c>
      <c r="F85" s="1788" t="s">
        <v>3450</v>
      </c>
      <c r="G85" s="1792"/>
      <c r="H85" s="1788" t="s">
        <v>3442</v>
      </c>
      <c r="I85" s="1791"/>
      <c r="J85" s="1791"/>
      <c r="K85" s="1791"/>
      <c r="L85" s="1791"/>
      <c r="M85" s="1791"/>
      <c r="N85" s="1791"/>
    </row>
    <row r="86" spans="1:14" ht="16.5">
      <c r="A86" s="1788">
        <f t="shared" si="1"/>
        <v>82</v>
      </c>
      <c r="B86" s="1774" t="s">
        <v>3509</v>
      </c>
      <c r="C86" s="1789"/>
      <c r="D86" s="1788" t="s">
        <v>3440</v>
      </c>
      <c r="E86" s="1788" t="s">
        <v>3460</v>
      </c>
      <c r="F86" s="1788" t="s">
        <v>3460</v>
      </c>
      <c r="G86" s="1792"/>
      <c r="H86" s="1788" t="s">
        <v>3442</v>
      </c>
      <c r="I86" s="1791"/>
      <c r="J86" s="1791"/>
      <c r="K86" s="1791"/>
      <c r="L86" s="1791"/>
      <c r="M86" s="1791"/>
      <c r="N86" s="1791"/>
    </row>
    <row r="87" spans="1:14" ht="16.5">
      <c r="A87" s="1788">
        <f t="shared" si="1"/>
        <v>83</v>
      </c>
      <c r="B87" s="1774" t="s">
        <v>3510</v>
      </c>
      <c r="C87" s="1789"/>
      <c r="D87" s="1769" t="s">
        <v>3440</v>
      </c>
      <c r="E87" s="1788" t="s">
        <v>3460</v>
      </c>
      <c r="F87" s="1788" t="s">
        <v>3450</v>
      </c>
      <c r="G87" s="1792"/>
      <c r="H87" s="1788" t="s">
        <v>3442</v>
      </c>
      <c r="I87" s="1791"/>
      <c r="J87" s="1791"/>
      <c r="K87" s="1791"/>
      <c r="L87" s="1791"/>
      <c r="M87" s="1791"/>
      <c r="N87" s="1791"/>
    </row>
    <row r="88" spans="1:14" ht="16.5">
      <c r="A88" s="1788">
        <f t="shared" si="1"/>
        <v>84</v>
      </c>
      <c r="B88" s="1774" t="s">
        <v>3511</v>
      </c>
      <c r="C88" s="1789"/>
      <c r="D88" s="1769" t="s">
        <v>3440</v>
      </c>
      <c r="E88" s="1788" t="s">
        <v>3460</v>
      </c>
      <c r="F88" s="1788" t="s">
        <v>3450</v>
      </c>
      <c r="G88" s="1792"/>
      <c r="H88" s="1788" t="s">
        <v>3442</v>
      </c>
      <c r="I88" s="1791"/>
      <c r="J88" s="1791"/>
      <c r="K88" s="1791"/>
      <c r="L88" s="1791"/>
      <c r="M88" s="1791"/>
      <c r="N88" s="1791"/>
    </row>
    <row r="89" spans="1:14" ht="16.5">
      <c r="A89" s="1788">
        <f t="shared" si="1"/>
        <v>85</v>
      </c>
      <c r="B89" s="1774" t="s">
        <v>3512</v>
      </c>
      <c r="C89" s="1789"/>
      <c r="D89" s="1788" t="s">
        <v>3440</v>
      </c>
      <c r="E89" s="1788" t="s">
        <v>3460</v>
      </c>
      <c r="F89" s="1788" t="s">
        <v>3464</v>
      </c>
      <c r="G89" s="1792"/>
      <c r="H89" s="1788" t="s">
        <v>3442</v>
      </c>
      <c r="I89" s="1791"/>
      <c r="J89" s="1791"/>
      <c r="K89" s="1791"/>
      <c r="L89" s="1791"/>
      <c r="M89" s="1791"/>
      <c r="N89" s="1791"/>
    </row>
    <row r="90" spans="1:14" ht="16.5">
      <c r="A90" s="1788">
        <f t="shared" si="1"/>
        <v>86</v>
      </c>
      <c r="B90" s="1774" t="s">
        <v>3513</v>
      </c>
      <c r="C90" s="1789"/>
      <c r="D90" s="1788" t="s">
        <v>3440</v>
      </c>
      <c r="E90" s="1788" t="s">
        <v>3460</v>
      </c>
      <c r="F90" s="1788" t="s">
        <v>3460</v>
      </c>
      <c r="G90" s="1792"/>
      <c r="H90" s="1788" t="s">
        <v>3450</v>
      </c>
      <c r="I90" s="1791"/>
      <c r="J90" s="1791"/>
      <c r="K90" s="1791"/>
      <c r="L90" s="1791"/>
      <c r="M90" s="1791"/>
      <c r="N90" s="1791"/>
    </row>
    <row r="91" spans="1:14" ht="16.5">
      <c r="A91" s="1788">
        <f t="shared" si="1"/>
        <v>87</v>
      </c>
      <c r="B91" s="1774" t="s">
        <v>3573</v>
      </c>
      <c r="C91" s="1789"/>
      <c r="D91" s="1769" t="s">
        <v>3440</v>
      </c>
      <c r="E91" s="1788" t="s">
        <v>3460</v>
      </c>
      <c r="F91" s="1788" t="s">
        <v>3460</v>
      </c>
      <c r="G91" s="1792"/>
      <c r="H91" s="1788" t="s">
        <v>3460</v>
      </c>
      <c r="I91" s="1791"/>
      <c r="J91" s="1791"/>
      <c r="K91" s="1791"/>
      <c r="L91" s="1791"/>
      <c r="M91" s="1791"/>
      <c r="N91" s="1791"/>
    </row>
    <row r="92" spans="1:14" ht="16.5">
      <c r="A92" s="1788">
        <f t="shared" si="1"/>
        <v>88</v>
      </c>
      <c r="B92" s="1774" t="s">
        <v>3514</v>
      </c>
      <c r="C92" s="1789"/>
      <c r="D92" s="1769" t="s">
        <v>3440</v>
      </c>
      <c r="E92" s="1788" t="s">
        <v>3460</v>
      </c>
      <c r="F92" s="1788" t="s">
        <v>3450</v>
      </c>
      <c r="G92" s="1792"/>
      <c r="H92" s="1788" t="s">
        <v>3442</v>
      </c>
      <c r="I92" s="1791"/>
      <c r="J92" s="1791"/>
      <c r="K92" s="1791"/>
      <c r="L92" s="1791"/>
      <c r="M92" s="1791"/>
      <c r="N92" s="1791"/>
    </row>
    <row r="93" spans="1:14" ht="16.5">
      <c r="A93" s="1788">
        <f t="shared" si="1"/>
        <v>89</v>
      </c>
      <c r="B93" s="1774" t="s">
        <v>3515</v>
      </c>
      <c r="C93" s="1789"/>
      <c r="D93" s="1769" t="s">
        <v>3440</v>
      </c>
      <c r="E93" s="1788" t="s">
        <v>5432</v>
      </c>
      <c r="F93" s="1788" t="s">
        <v>3450</v>
      </c>
      <c r="G93" s="1792"/>
      <c r="H93" s="1788" t="s">
        <v>3442</v>
      </c>
      <c r="I93" s="1791"/>
      <c r="J93" s="1791"/>
      <c r="K93" s="1791"/>
      <c r="L93" s="1791"/>
      <c r="M93" s="1791"/>
      <c r="N93" s="1791"/>
    </row>
    <row r="94" spans="1:14" ht="16.5">
      <c r="A94" s="1788">
        <f t="shared" si="1"/>
        <v>90</v>
      </c>
      <c r="B94" s="1774" t="s">
        <v>3516</v>
      </c>
      <c r="C94" s="1789"/>
      <c r="D94" s="1788" t="s">
        <v>3440</v>
      </c>
      <c r="E94" s="1788" t="s">
        <v>3450</v>
      </c>
      <c r="F94" s="1788" t="s">
        <v>3450</v>
      </c>
      <c r="G94" s="1792"/>
      <c r="H94" s="1788" t="s">
        <v>3442</v>
      </c>
      <c r="I94" s="1791"/>
      <c r="J94" s="1791"/>
      <c r="K94" s="1791"/>
      <c r="L94" s="1791"/>
      <c r="M94" s="1791"/>
      <c r="N94" s="1791"/>
    </row>
    <row r="95" spans="1:14" ht="16.5">
      <c r="A95" s="1788">
        <f t="shared" si="1"/>
        <v>91</v>
      </c>
      <c r="B95" s="1774" t="s">
        <v>3517</v>
      </c>
      <c r="C95" s="1789"/>
      <c r="D95" s="1788" t="s">
        <v>3440</v>
      </c>
      <c r="E95" s="1788" t="s">
        <v>3441</v>
      </c>
      <c r="F95" s="1788" t="s">
        <v>3450</v>
      </c>
      <c r="G95" s="1792"/>
      <c r="H95" s="1788" t="s">
        <v>3445</v>
      </c>
      <c r="I95" s="1791"/>
      <c r="J95" s="1791"/>
      <c r="K95" s="1791"/>
      <c r="L95" s="1791"/>
      <c r="M95" s="1791"/>
      <c r="N95" s="1791"/>
    </row>
    <row r="96" spans="1:14" ht="16.5">
      <c r="A96" s="1788">
        <f t="shared" si="1"/>
        <v>92</v>
      </c>
      <c r="B96" s="1774" t="s">
        <v>3518</v>
      </c>
      <c r="C96" s="1789"/>
      <c r="D96" s="1788" t="s">
        <v>3440</v>
      </c>
      <c r="E96" s="1788" t="s">
        <v>3441</v>
      </c>
      <c r="F96" s="1788" t="s">
        <v>3450</v>
      </c>
      <c r="G96" s="1792"/>
      <c r="H96" s="1788" t="s">
        <v>3445</v>
      </c>
      <c r="I96" s="1791"/>
      <c r="J96" s="1791"/>
      <c r="K96" s="1791"/>
      <c r="L96" s="1791"/>
      <c r="M96" s="1791"/>
      <c r="N96" s="1791"/>
    </row>
    <row r="97" spans="1:14" ht="16.5">
      <c r="A97" s="1788">
        <f t="shared" si="1"/>
        <v>93</v>
      </c>
      <c r="B97" s="1774" t="s">
        <v>3519</v>
      </c>
      <c r="C97" s="1789"/>
      <c r="D97" s="1788" t="s">
        <v>3440</v>
      </c>
      <c r="E97" s="1788" t="s">
        <v>3441</v>
      </c>
      <c r="F97" s="1788" t="s">
        <v>5429</v>
      </c>
      <c r="G97" s="1792"/>
      <c r="H97" s="1788" t="s">
        <v>3445</v>
      </c>
      <c r="I97" s="1791"/>
      <c r="J97" s="1791"/>
      <c r="K97" s="1791"/>
      <c r="L97" s="1791"/>
      <c r="M97" s="1791"/>
      <c r="N97" s="1791"/>
    </row>
    <row r="98" spans="1:14" ht="16.5">
      <c r="A98" s="1788">
        <f t="shared" si="1"/>
        <v>94</v>
      </c>
      <c r="B98" s="1774" t="s">
        <v>3520</v>
      </c>
      <c r="C98" s="1789"/>
      <c r="D98" s="1788" t="s">
        <v>3440</v>
      </c>
      <c r="E98" s="1788" t="s">
        <v>3441</v>
      </c>
      <c r="F98" s="1788" t="s">
        <v>3450</v>
      </c>
      <c r="G98" s="1788"/>
      <c r="H98" s="1788" t="s">
        <v>3445</v>
      </c>
      <c r="I98" s="1791"/>
      <c r="J98" s="1791"/>
      <c r="K98" s="1791"/>
      <c r="L98" s="1791"/>
      <c r="M98" s="1791"/>
      <c r="N98" s="1791"/>
    </row>
    <row r="99" spans="1:14" ht="16.5">
      <c r="A99" s="1788">
        <f t="shared" si="1"/>
        <v>95</v>
      </c>
      <c r="B99" s="1774" t="s">
        <v>3574</v>
      </c>
      <c r="C99" s="1789"/>
      <c r="D99" s="1788" t="s">
        <v>5453</v>
      </c>
      <c r="E99" s="1788" t="s">
        <v>3460</v>
      </c>
      <c r="F99" s="1788" t="s">
        <v>3464</v>
      </c>
      <c r="G99" s="1788" t="s">
        <v>3465</v>
      </c>
      <c r="H99" s="1788" t="s">
        <v>3460</v>
      </c>
      <c r="I99" s="1791"/>
      <c r="J99" s="1791"/>
      <c r="K99" s="1791"/>
      <c r="L99" s="1791"/>
      <c r="M99" s="1791"/>
      <c r="N99" s="1791"/>
    </row>
    <row r="100" spans="1:14" ht="16.5">
      <c r="A100" s="1788">
        <f t="shared" si="1"/>
        <v>96</v>
      </c>
      <c r="B100" s="1774" t="s">
        <v>3550</v>
      </c>
      <c r="C100" s="1789"/>
      <c r="D100" s="1788" t="s">
        <v>3440</v>
      </c>
      <c r="E100" s="1788" t="s">
        <v>3441</v>
      </c>
      <c r="F100" s="1788" t="s">
        <v>3445</v>
      </c>
      <c r="G100" s="1788" t="s">
        <v>3446</v>
      </c>
      <c r="H100" s="1788" t="s">
        <v>3441</v>
      </c>
      <c r="I100" s="1791"/>
      <c r="J100" s="1791"/>
      <c r="K100" s="1791"/>
      <c r="L100" s="1791"/>
      <c r="M100" s="1791"/>
      <c r="N100" s="1791"/>
    </row>
    <row r="101" spans="1:14" ht="33">
      <c r="A101" s="1788">
        <f t="shared" si="1"/>
        <v>97</v>
      </c>
      <c r="B101" s="1774" t="s">
        <v>3575</v>
      </c>
      <c r="C101" s="1789"/>
      <c r="D101" s="1788" t="s">
        <v>3440</v>
      </c>
      <c r="E101" s="1788" t="s">
        <v>3441</v>
      </c>
      <c r="F101" s="1788" t="s">
        <v>3445</v>
      </c>
      <c r="G101" s="1788" t="s">
        <v>3446</v>
      </c>
      <c r="H101" s="1788" t="s">
        <v>3441</v>
      </c>
      <c r="I101" s="1791"/>
      <c r="J101" s="1791"/>
      <c r="K101" s="1791"/>
      <c r="L101" s="1791"/>
      <c r="M101" s="1791"/>
      <c r="N101" s="1791"/>
    </row>
    <row r="102" spans="1:14" ht="16.5">
      <c r="A102" s="1788">
        <f t="shared" si="1"/>
        <v>98</v>
      </c>
      <c r="B102" s="1774" t="s">
        <v>3521</v>
      </c>
      <c r="C102" s="1789"/>
      <c r="D102" s="1788" t="s">
        <v>3440</v>
      </c>
      <c r="E102" s="1788" t="s">
        <v>3441</v>
      </c>
      <c r="F102" s="1788" t="s">
        <v>3445</v>
      </c>
      <c r="G102" s="1788" t="s">
        <v>3446</v>
      </c>
      <c r="H102" s="1788" t="s">
        <v>3441</v>
      </c>
      <c r="I102" s="1791"/>
      <c r="J102" s="1791"/>
      <c r="K102" s="1791"/>
      <c r="L102" s="1791"/>
      <c r="M102" s="1791"/>
      <c r="N102" s="1791"/>
    </row>
    <row r="103" spans="1:14" ht="16.5">
      <c r="A103" s="1788">
        <f t="shared" si="1"/>
        <v>99</v>
      </c>
      <c r="B103" s="1774" t="s">
        <v>3522</v>
      </c>
      <c r="C103" s="1789"/>
      <c r="D103" s="1788" t="s">
        <v>3440</v>
      </c>
      <c r="E103" s="1788" t="s">
        <v>3441</v>
      </c>
      <c r="F103" s="1788" t="s">
        <v>3445</v>
      </c>
      <c r="G103" s="1788" t="s">
        <v>3446</v>
      </c>
      <c r="H103" s="1788" t="s">
        <v>3441</v>
      </c>
      <c r="I103" s="1791"/>
      <c r="J103" s="1791"/>
      <c r="K103" s="1791"/>
      <c r="L103" s="1791"/>
      <c r="M103" s="1791"/>
      <c r="N103" s="1791"/>
    </row>
    <row r="104" spans="1:14" ht="33">
      <c r="A104" s="1788">
        <f t="shared" si="1"/>
        <v>100</v>
      </c>
      <c r="B104" s="1774" t="s">
        <v>5454</v>
      </c>
      <c r="C104" s="1789"/>
      <c r="D104" s="1788" t="s">
        <v>5433</v>
      </c>
      <c r="E104" s="1788" t="s">
        <v>3441</v>
      </c>
      <c r="F104" s="1788" t="s">
        <v>3445</v>
      </c>
      <c r="G104" s="1788" t="s">
        <v>3446</v>
      </c>
      <c r="H104" s="1788" t="s">
        <v>3441</v>
      </c>
      <c r="I104" s="1791"/>
      <c r="J104" s="1791"/>
      <c r="K104" s="1791"/>
      <c r="L104" s="1791"/>
      <c r="M104" s="1791"/>
      <c r="N104" s="1791"/>
    </row>
    <row r="105" spans="1:14" ht="16.5">
      <c r="A105" s="1788">
        <f t="shared" si="1"/>
        <v>101</v>
      </c>
      <c r="B105" s="1774" t="s">
        <v>5455</v>
      </c>
      <c r="C105" s="1789"/>
      <c r="D105" s="1788" t="s">
        <v>5433</v>
      </c>
      <c r="E105" s="1788" t="s">
        <v>3441</v>
      </c>
      <c r="F105" s="1788" t="s">
        <v>3445</v>
      </c>
      <c r="G105" s="1788" t="s">
        <v>3446</v>
      </c>
      <c r="H105" s="1788" t="s">
        <v>3441</v>
      </c>
      <c r="I105" s="1791"/>
      <c r="J105" s="1791"/>
      <c r="K105" s="1791"/>
      <c r="L105" s="1791"/>
      <c r="M105" s="1791"/>
      <c r="N105" s="1791"/>
    </row>
    <row r="106" spans="1:14" ht="33">
      <c r="A106" s="1788">
        <f t="shared" si="1"/>
        <v>102</v>
      </c>
      <c r="B106" s="1774" t="s">
        <v>5456</v>
      </c>
      <c r="C106" s="1789"/>
      <c r="D106" s="1788" t="s">
        <v>3440</v>
      </c>
      <c r="E106" s="1788" t="s">
        <v>3441</v>
      </c>
      <c r="F106" s="1788" t="s">
        <v>3445</v>
      </c>
      <c r="G106" s="1788" t="s">
        <v>3446</v>
      </c>
      <c r="H106" s="1788" t="s">
        <v>3441</v>
      </c>
      <c r="I106" s="1791"/>
      <c r="J106" s="1791"/>
      <c r="K106" s="1791"/>
      <c r="L106" s="1791"/>
      <c r="M106" s="1791"/>
      <c r="N106" s="1791"/>
    </row>
    <row r="107" spans="1:14" ht="33">
      <c r="A107" s="1788">
        <f t="shared" si="1"/>
        <v>103</v>
      </c>
      <c r="B107" s="1774" t="s">
        <v>3576</v>
      </c>
      <c r="C107" s="1789"/>
      <c r="D107" s="1788" t="s">
        <v>3440</v>
      </c>
      <c r="E107" s="1788" t="s">
        <v>3441</v>
      </c>
      <c r="F107" s="1788" t="s">
        <v>3445</v>
      </c>
      <c r="G107" s="1788" t="s">
        <v>3446</v>
      </c>
      <c r="H107" s="1788" t="s">
        <v>3441</v>
      </c>
      <c r="I107" s="1791"/>
      <c r="J107" s="1791"/>
      <c r="K107" s="1791"/>
      <c r="L107" s="1791"/>
      <c r="M107" s="1791"/>
      <c r="N107" s="1791"/>
    </row>
    <row r="108" spans="1:14" ht="33">
      <c r="A108" s="1788">
        <f t="shared" si="1"/>
        <v>104</v>
      </c>
      <c r="B108" s="1774" t="s">
        <v>3523</v>
      </c>
      <c r="C108" s="1789"/>
      <c r="D108" s="1788" t="s">
        <v>3440</v>
      </c>
      <c r="E108" s="1788" t="s">
        <v>3441</v>
      </c>
      <c r="F108" s="1788" t="s">
        <v>3445</v>
      </c>
      <c r="G108" s="1788" t="s">
        <v>3446</v>
      </c>
      <c r="H108" s="1788" t="s">
        <v>3441</v>
      </c>
      <c r="I108" s="1791"/>
      <c r="J108" s="1791"/>
      <c r="K108" s="1791"/>
      <c r="L108" s="1791"/>
      <c r="M108" s="1791"/>
      <c r="N108" s="1791"/>
    </row>
    <row r="109" spans="1:14" ht="16.5">
      <c r="A109" s="1788">
        <f t="shared" si="1"/>
        <v>105</v>
      </c>
      <c r="B109" s="1774" t="s">
        <v>3551</v>
      </c>
      <c r="C109" s="1789"/>
      <c r="D109" s="1788" t="s">
        <v>3440</v>
      </c>
      <c r="E109" s="1788" t="s">
        <v>3441</v>
      </c>
      <c r="F109" s="1788" t="s">
        <v>3445</v>
      </c>
      <c r="G109" s="1788" t="s">
        <v>3525</v>
      </c>
      <c r="H109" s="1788" t="s">
        <v>3445</v>
      </c>
      <c r="I109" s="1791"/>
      <c r="J109" s="1791"/>
      <c r="K109" s="1791"/>
      <c r="L109" s="1791"/>
      <c r="M109" s="1791"/>
      <c r="N109" s="1791"/>
    </row>
    <row r="110" spans="1:14" ht="16.5">
      <c r="A110" s="1788">
        <f t="shared" si="1"/>
        <v>106</v>
      </c>
      <c r="B110" s="1774" t="s">
        <v>3524</v>
      </c>
      <c r="C110" s="1789"/>
      <c r="D110" s="1769" t="s">
        <v>3444</v>
      </c>
      <c r="E110" s="1788" t="s">
        <v>3441</v>
      </c>
      <c r="F110" s="1788" t="s">
        <v>3442</v>
      </c>
      <c r="G110" s="1792" t="s">
        <v>3446</v>
      </c>
      <c r="H110" s="1788" t="s">
        <v>3445</v>
      </c>
      <c r="I110" s="1791"/>
      <c r="J110" s="1791"/>
      <c r="K110" s="1791"/>
      <c r="L110" s="1791"/>
      <c r="M110" s="1791"/>
      <c r="N110" s="1791"/>
    </row>
    <row r="111" spans="1:14" ht="16.5">
      <c r="A111" s="1788">
        <f t="shared" si="1"/>
        <v>107</v>
      </c>
      <c r="B111" s="1774" t="s">
        <v>3577</v>
      </c>
      <c r="C111" s="1789"/>
      <c r="D111" s="1769" t="s">
        <v>3444</v>
      </c>
      <c r="E111" s="1788" t="s">
        <v>3441</v>
      </c>
      <c r="F111" s="1788" t="s">
        <v>3442</v>
      </c>
      <c r="G111" s="1788" t="s">
        <v>3525</v>
      </c>
      <c r="H111" s="1788" t="s">
        <v>3441</v>
      </c>
      <c r="I111" s="1791"/>
      <c r="J111" s="1791"/>
      <c r="K111" s="1791"/>
      <c r="L111" s="1791"/>
      <c r="M111" s="1791"/>
      <c r="N111" s="1791"/>
    </row>
    <row r="112" spans="1:14" ht="16.5">
      <c r="A112" s="1788">
        <f t="shared" si="1"/>
        <v>108</v>
      </c>
      <c r="B112" s="1774" t="s">
        <v>7305</v>
      </c>
      <c r="C112" s="1789"/>
      <c r="D112" s="1769" t="s">
        <v>3440</v>
      </c>
      <c r="E112" s="1788" t="s">
        <v>3441</v>
      </c>
      <c r="F112" s="1788" t="s">
        <v>3442</v>
      </c>
      <c r="G112" s="1788" t="s">
        <v>5457</v>
      </c>
      <c r="H112" s="1788" t="s">
        <v>3441</v>
      </c>
      <c r="I112" s="1791"/>
      <c r="J112" s="1791"/>
      <c r="K112" s="1791"/>
      <c r="L112" s="1791"/>
      <c r="M112" s="1791"/>
      <c r="N112" s="1791"/>
    </row>
    <row r="113" spans="1:14" ht="16.5">
      <c r="A113" s="1788">
        <f t="shared" si="1"/>
        <v>109</v>
      </c>
      <c r="B113" s="1774" t="s">
        <v>3578</v>
      </c>
      <c r="C113" s="1789"/>
      <c r="D113" s="1769" t="s">
        <v>3440</v>
      </c>
      <c r="E113" s="1788" t="s">
        <v>3441</v>
      </c>
      <c r="F113" s="1788" t="s">
        <v>3442</v>
      </c>
      <c r="G113" s="1788" t="s">
        <v>3525</v>
      </c>
      <c r="H113" s="1788" t="s">
        <v>3441</v>
      </c>
      <c r="I113" s="1791"/>
      <c r="J113" s="1791"/>
      <c r="K113" s="1791"/>
      <c r="L113" s="1791"/>
      <c r="M113" s="1791"/>
      <c r="N113" s="1791"/>
    </row>
    <row r="114" spans="1:14" ht="16.5">
      <c r="A114" s="1788">
        <f t="shared" si="1"/>
        <v>110</v>
      </c>
      <c r="B114" s="1774" t="s">
        <v>3300</v>
      </c>
      <c r="C114" s="1789"/>
      <c r="D114" s="1769" t="s">
        <v>3440</v>
      </c>
      <c r="E114" s="1788" t="s">
        <v>3441</v>
      </c>
      <c r="F114" s="1788" t="s">
        <v>3442</v>
      </c>
      <c r="G114" s="1788" t="s">
        <v>3525</v>
      </c>
      <c r="H114" s="1788" t="s">
        <v>3441</v>
      </c>
      <c r="I114" s="1791"/>
      <c r="J114" s="1791"/>
      <c r="K114" s="1791"/>
      <c r="L114" s="1791"/>
      <c r="M114" s="1791"/>
      <c r="N114" s="1791"/>
    </row>
    <row r="115" spans="1:14" ht="33">
      <c r="A115" s="1788">
        <f t="shared" si="1"/>
        <v>111</v>
      </c>
      <c r="B115" s="1774" t="s">
        <v>5458</v>
      </c>
      <c r="C115" s="1789"/>
      <c r="D115" s="1769" t="s">
        <v>3440</v>
      </c>
      <c r="E115" s="1788" t="s">
        <v>3441</v>
      </c>
      <c r="F115" s="1788" t="s">
        <v>3442</v>
      </c>
      <c r="G115" s="1788" t="s">
        <v>3525</v>
      </c>
      <c r="H115" s="1788" t="s">
        <v>3441</v>
      </c>
      <c r="I115" s="1791"/>
      <c r="J115" s="1791"/>
      <c r="K115" s="1791"/>
      <c r="L115" s="1791"/>
      <c r="M115" s="1791"/>
      <c r="N115" s="1791"/>
    </row>
    <row r="116" spans="1:14" ht="16.5">
      <c r="A116" s="1788">
        <f t="shared" si="1"/>
        <v>112</v>
      </c>
      <c r="B116" s="1774" t="s">
        <v>3526</v>
      </c>
      <c r="C116" s="1789"/>
      <c r="D116" s="1769" t="s">
        <v>3440</v>
      </c>
      <c r="E116" s="1788" t="s">
        <v>3441</v>
      </c>
      <c r="F116" s="1788" t="s">
        <v>3442</v>
      </c>
      <c r="G116" s="1788" t="s">
        <v>3525</v>
      </c>
      <c r="H116" s="1788" t="s">
        <v>3441</v>
      </c>
      <c r="I116" s="1791"/>
      <c r="J116" s="1791"/>
      <c r="K116" s="1791"/>
      <c r="L116" s="1791"/>
      <c r="M116" s="1791"/>
      <c r="N116" s="1791"/>
    </row>
    <row r="117" spans="1:14" ht="16.5">
      <c r="A117" s="1788">
        <f t="shared" si="1"/>
        <v>113</v>
      </c>
      <c r="B117" s="1774" t="s">
        <v>3579</v>
      </c>
      <c r="C117" s="1789"/>
      <c r="D117" s="1769" t="s">
        <v>3440</v>
      </c>
      <c r="E117" s="1788" t="s">
        <v>3441</v>
      </c>
      <c r="F117" s="1788" t="s">
        <v>3442</v>
      </c>
      <c r="G117" s="1788" t="s">
        <v>3525</v>
      </c>
      <c r="H117" s="1769" t="s">
        <v>3460</v>
      </c>
      <c r="I117" s="1791"/>
      <c r="J117" s="1791"/>
      <c r="K117" s="1791"/>
      <c r="L117" s="1791"/>
      <c r="M117" s="1791"/>
      <c r="N117" s="1791"/>
    </row>
    <row r="118" spans="1:14" ht="16.5">
      <c r="A118" s="1788">
        <f t="shared" si="1"/>
        <v>114</v>
      </c>
      <c r="B118" s="1774" t="s">
        <v>3527</v>
      </c>
      <c r="C118" s="1789"/>
      <c r="D118" s="1769" t="s">
        <v>3440</v>
      </c>
      <c r="E118" s="1788" t="s">
        <v>3441</v>
      </c>
      <c r="F118" s="1788" t="s">
        <v>3442</v>
      </c>
      <c r="G118" s="1788" t="s">
        <v>3525</v>
      </c>
      <c r="H118" s="1788" t="s">
        <v>3441</v>
      </c>
      <c r="I118" s="1791"/>
      <c r="J118" s="1791"/>
      <c r="K118" s="1791"/>
      <c r="L118" s="1791"/>
      <c r="M118" s="1791"/>
      <c r="N118" s="1791"/>
    </row>
    <row r="119" spans="1:14" ht="33">
      <c r="A119" s="1788">
        <f t="shared" si="1"/>
        <v>115</v>
      </c>
      <c r="B119" s="1774" t="s">
        <v>3528</v>
      </c>
      <c r="C119" s="1789"/>
      <c r="D119" s="1769" t="s">
        <v>3440</v>
      </c>
      <c r="E119" s="1788" t="s">
        <v>3441</v>
      </c>
      <c r="F119" s="1788" t="s">
        <v>3442</v>
      </c>
      <c r="G119" s="1788" t="s">
        <v>3525</v>
      </c>
      <c r="H119" s="1788" t="s">
        <v>3464</v>
      </c>
      <c r="I119" s="1791"/>
      <c r="J119" s="1791"/>
      <c r="K119" s="1791"/>
      <c r="L119" s="1791"/>
      <c r="M119" s="1791"/>
      <c r="N119" s="1791"/>
    </row>
    <row r="120" spans="1:14" ht="33">
      <c r="A120" s="1788">
        <f t="shared" si="1"/>
        <v>116</v>
      </c>
      <c r="B120" s="1774" t="s">
        <v>3552</v>
      </c>
      <c r="C120" s="1789"/>
      <c r="D120" s="1769" t="s">
        <v>3440</v>
      </c>
      <c r="E120" s="1788" t="s">
        <v>3441</v>
      </c>
      <c r="F120" s="1788" t="s">
        <v>3442</v>
      </c>
      <c r="G120" s="1788" t="s">
        <v>3525</v>
      </c>
      <c r="H120" s="1788" t="s">
        <v>3464</v>
      </c>
      <c r="I120" s="1791"/>
      <c r="J120" s="1791"/>
      <c r="K120" s="1791"/>
      <c r="L120" s="1791"/>
      <c r="M120" s="1791"/>
      <c r="N120" s="1791"/>
    </row>
    <row r="121" spans="1:14" ht="16.5">
      <c r="A121" s="1788">
        <f t="shared" si="1"/>
        <v>117</v>
      </c>
      <c r="B121" s="1774" t="s">
        <v>3529</v>
      </c>
      <c r="C121" s="1789"/>
      <c r="D121" s="1769" t="s">
        <v>3440</v>
      </c>
      <c r="E121" s="1788" t="s">
        <v>3441</v>
      </c>
      <c r="F121" s="1788" t="s">
        <v>5427</v>
      </c>
      <c r="G121" s="1788" t="s">
        <v>3525</v>
      </c>
      <c r="H121" s="1788" t="s">
        <v>3445</v>
      </c>
      <c r="I121" s="1791"/>
      <c r="J121" s="1791"/>
      <c r="K121" s="1791"/>
      <c r="L121" s="1791"/>
      <c r="M121" s="1791"/>
      <c r="N121" s="1791"/>
    </row>
    <row r="122" spans="1:14" ht="16.5">
      <c r="A122" s="1788">
        <f t="shared" si="1"/>
        <v>118</v>
      </c>
      <c r="B122" s="1774" t="s">
        <v>3530</v>
      </c>
      <c r="C122" s="1789"/>
      <c r="D122" s="1769" t="s">
        <v>3440</v>
      </c>
      <c r="E122" s="1788" t="s">
        <v>3441</v>
      </c>
      <c r="F122" s="1788" t="s">
        <v>5427</v>
      </c>
      <c r="G122" s="1788" t="s">
        <v>3525</v>
      </c>
      <c r="H122" s="1788" t="s">
        <v>3445</v>
      </c>
      <c r="I122" s="1791"/>
      <c r="J122" s="1791"/>
      <c r="K122" s="1791"/>
      <c r="L122" s="1791"/>
      <c r="M122" s="1791"/>
      <c r="N122" s="1791"/>
    </row>
    <row r="123" spans="1:14" ht="16.5">
      <c r="A123" s="1788">
        <f t="shared" si="1"/>
        <v>119</v>
      </c>
      <c r="B123" s="1774" t="s">
        <v>5459</v>
      </c>
      <c r="C123" s="1789"/>
      <c r="D123" s="1769" t="s">
        <v>5433</v>
      </c>
      <c r="E123" s="1788" t="s">
        <v>3441</v>
      </c>
      <c r="F123" s="1788" t="s">
        <v>3442</v>
      </c>
      <c r="G123" s="1788" t="s">
        <v>5457</v>
      </c>
      <c r="H123" s="1788" t="s">
        <v>3445</v>
      </c>
      <c r="I123" s="1791"/>
      <c r="J123" s="1791"/>
      <c r="K123" s="1791"/>
      <c r="L123" s="1791"/>
      <c r="M123" s="1791"/>
      <c r="N123" s="1791"/>
    </row>
    <row r="124" spans="1:14" ht="16.5">
      <c r="A124" s="1788">
        <f t="shared" si="1"/>
        <v>120</v>
      </c>
      <c r="B124" s="1774" t="s">
        <v>3531</v>
      </c>
      <c r="C124" s="1789"/>
      <c r="D124" s="1769" t="s">
        <v>3440</v>
      </c>
      <c r="E124" s="1788" t="s">
        <v>3441</v>
      </c>
      <c r="F124" s="1788" t="s">
        <v>3442</v>
      </c>
      <c r="G124" s="1788" t="s">
        <v>3525</v>
      </c>
      <c r="H124" s="1788" t="s">
        <v>3445</v>
      </c>
      <c r="I124" s="1791"/>
      <c r="J124" s="1791"/>
      <c r="K124" s="1791"/>
      <c r="L124" s="1791"/>
      <c r="M124" s="1791"/>
      <c r="N124" s="1791"/>
    </row>
    <row r="125" spans="1:14" s="1770" customFormat="1" ht="16.5">
      <c r="A125" s="1788">
        <f t="shared" si="1"/>
        <v>121</v>
      </c>
      <c r="B125" s="1771" t="s">
        <v>3580</v>
      </c>
      <c r="C125" s="1772"/>
      <c r="D125" s="1769" t="s">
        <v>3440</v>
      </c>
      <c r="E125" s="1769" t="s">
        <v>3441</v>
      </c>
      <c r="F125" s="1769" t="s">
        <v>3442</v>
      </c>
      <c r="G125" s="1801" t="s">
        <v>3525</v>
      </c>
      <c r="H125" s="1773" t="s">
        <v>3445</v>
      </c>
      <c r="I125" s="1772"/>
      <c r="J125" s="1772"/>
      <c r="K125" s="1772"/>
      <c r="L125" s="1772"/>
      <c r="M125" s="1772"/>
      <c r="N125" s="1772"/>
    </row>
    <row r="126" spans="1:14" s="1770" customFormat="1" ht="16.5">
      <c r="A126" s="1788">
        <f t="shared" si="1"/>
        <v>122</v>
      </c>
      <c r="B126" s="1771" t="s">
        <v>3532</v>
      </c>
      <c r="C126" s="1772"/>
      <c r="D126" s="1769" t="s">
        <v>5433</v>
      </c>
      <c r="E126" s="1769" t="s">
        <v>3441</v>
      </c>
      <c r="F126" s="1769" t="s">
        <v>3442</v>
      </c>
      <c r="G126" s="1801" t="s">
        <v>3525</v>
      </c>
      <c r="H126" s="1773" t="s">
        <v>3441</v>
      </c>
      <c r="I126" s="1772"/>
      <c r="J126" s="1772"/>
      <c r="K126" s="1772"/>
      <c r="L126" s="1772"/>
      <c r="M126" s="1772"/>
      <c r="N126" s="1772"/>
    </row>
    <row r="127" spans="1:14" s="1770" customFormat="1" ht="16.5">
      <c r="A127" s="1788">
        <f t="shared" si="1"/>
        <v>123</v>
      </c>
      <c r="B127" s="1771" t="s">
        <v>3581</v>
      </c>
      <c r="C127" s="1772"/>
      <c r="D127" s="1769" t="s">
        <v>3440</v>
      </c>
      <c r="E127" s="1788" t="s">
        <v>3441</v>
      </c>
      <c r="F127" s="1788" t="s">
        <v>3442</v>
      </c>
      <c r="G127" s="1788" t="s">
        <v>3525</v>
      </c>
      <c r="H127" s="1788" t="s">
        <v>3441</v>
      </c>
      <c r="I127" s="1791"/>
      <c r="J127" s="1791"/>
      <c r="K127" s="1791"/>
      <c r="L127" s="1791"/>
      <c r="M127" s="1791"/>
      <c r="N127" s="1791"/>
    </row>
    <row r="128" spans="1:14" s="1770" customFormat="1" ht="16.5">
      <c r="A128" s="1788">
        <f t="shared" si="1"/>
        <v>124</v>
      </c>
      <c r="B128" s="1771" t="s">
        <v>3224</v>
      </c>
      <c r="C128" s="1772"/>
      <c r="D128" s="1769" t="s">
        <v>3440</v>
      </c>
      <c r="E128" s="1788" t="s">
        <v>3441</v>
      </c>
      <c r="F128" s="1788" t="s">
        <v>5427</v>
      </c>
      <c r="G128" s="1788" t="s">
        <v>3525</v>
      </c>
      <c r="H128" s="1788" t="s">
        <v>3441</v>
      </c>
      <c r="I128" s="1791"/>
      <c r="J128" s="1791"/>
      <c r="K128" s="1791"/>
      <c r="L128" s="1791"/>
      <c r="M128" s="1791"/>
      <c r="N128" s="1791"/>
    </row>
    <row r="129" spans="1:14" s="1770" customFormat="1" ht="16.5">
      <c r="A129" s="1788">
        <f t="shared" si="1"/>
        <v>125</v>
      </c>
      <c r="B129" s="1771" t="s">
        <v>2342</v>
      </c>
      <c r="C129" s="1772"/>
      <c r="D129" s="1769" t="s">
        <v>3440</v>
      </c>
      <c r="E129" s="1769" t="s">
        <v>3441</v>
      </c>
      <c r="F129" s="1769" t="s">
        <v>3442</v>
      </c>
      <c r="G129" s="1801" t="s">
        <v>3525</v>
      </c>
      <c r="H129" s="1773" t="s">
        <v>3450</v>
      </c>
      <c r="I129" s="1772"/>
      <c r="J129" s="1772"/>
      <c r="K129" s="1772"/>
      <c r="L129" s="1772"/>
      <c r="M129" s="1772"/>
      <c r="N129" s="1772"/>
    </row>
    <row r="130" spans="1:14" ht="16.5">
      <c r="A130" s="1788">
        <f t="shared" si="1"/>
        <v>126</v>
      </c>
      <c r="B130" s="1774" t="s">
        <v>3533</v>
      </c>
      <c r="C130" s="1789"/>
      <c r="D130" s="1769" t="s">
        <v>3440</v>
      </c>
      <c r="E130" s="1788" t="s">
        <v>3441</v>
      </c>
      <c r="F130" s="1788" t="s">
        <v>3442</v>
      </c>
      <c r="G130" s="1788" t="s">
        <v>3525</v>
      </c>
      <c r="H130" s="1788" t="s">
        <v>3441</v>
      </c>
      <c r="I130" s="1791"/>
      <c r="J130" s="1791"/>
      <c r="K130" s="1791"/>
      <c r="L130" s="1791"/>
      <c r="M130" s="1791"/>
      <c r="N130" s="1791"/>
    </row>
    <row r="131" spans="1:14" ht="16.5">
      <c r="A131" s="1788">
        <f t="shared" si="1"/>
        <v>127</v>
      </c>
      <c r="B131" s="1774" t="s">
        <v>3553</v>
      </c>
      <c r="C131" s="1789"/>
      <c r="D131" s="1769" t="s">
        <v>3440</v>
      </c>
      <c r="E131" s="1788" t="s">
        <v>3441</v>
      </c>
      <c r="F131" s="1788" t="s">
        <v>3442</v>
      </c>
      <c r="G131" s="1788" t="s">
        <v>3525</v>
      </c>
      <c r="H131" s="1788" t="s">
        <v>3441</v>
      </c>
      <c r="I131" s="1791"/>
      <c r="J131" s="1791"/>
      <c r="K131" s="1791"/>
      <c r="L131" s="1791"/>
      <c r="M131" s="1791"/>
      <c r="N131" s="1791"/>
    </row>
    <row r="132" spans="1:14" ht="33">
      <c r="A132" s="1788">
        <f t="shared" si="1"/>
        <v>128</v>
      </c>
      <c r="B132" s="1774" t="s">
        <v>3534</v>
      </c>
      <c r="C132" s="1789"/>
      <c r="D132" s="1769" t="s">
        <v>3440</v>
      </c>
      <c r="E132" s="1788" t="s">
        <v>3441</v>
      </c>
      <c r="F132" s="1788" t="s">
        <v>5427</v>
      </c>
      <c r="G132" s="1788" t="s">
        <v>3525</v>
      </c>
      <c r="H132" s="1788" t="s">
        <v>3441</v>
      </c>
      <c r="I132" s="1791"/>
      <c r="J132" s="1791"/>
      <c r="K132" s="1791"/>
      <c r="L132" s="1791"/>
      <c r="M132" s="1791"/>
      <c r="N132" s="1791"/>
    </row>
    <row r="133" spans="1:14" ht="16.5">
      <c r="A133" s="1788">
        <f t="shared" si="1"/>
        <v>129</v>
      </c>
      <c r="B133" s="1774" t="s">
        <v>3535</v>
      </c>
      <c r="C133" s="1789"/>
      <c r="D133" s="1769" t="s">
        <v>5433</v>
      </c>
      <c r="E133" s="1788" t="s">
        <v>3441</v>
      </c>
      <c r="F133" s="1788" t="s">
        <v>5427</v>
      </c>
      <c r="G133" s="1788" t="s">
        <v>3525</v>
      </c>
      <c r="H133" s="1788" t="s">
        <v>3536</v>
      </c>
      <c r="I133" s="1791"/>
      <c r="J133" s="1791"/>
      <c r="K133" s="1791"/>
      <c r="L133" s="1791"/>
      <c r="M133" s="1791"/>
      <c r="N133" s="1791"/>
    </row>
    <row r="134" spans="1:14" ht="16.5">
      <c r="A134" s="1788">
        <f t="shared" si="1"/>
        <v>130</v>
      </c>
      <c r="B134" s="1774" t="s">
        <v>3582</v>
      </c>
      <c r="C134" s="1789"/>
      <c r="D134" s="1769" t="s">
        <v>5433</v>
      </c>
      <c r="E134" s="1788" t="s">
        <v>3441</v>
      </c>
      <c r="F134" s="1788" t="s">
        <v>5427</v>
      </c>
      <c r="G134" s="1788" t="s">
        <v>5457</v>
      </c>
      <c r="H134" s="1788" t="s">
        <v>3536</v>
      </c>
      <c r="I134" s="1791"/>
      <c r="J134" s="1791"/>
      <c r="K134" s="1791"/>
      <c r="L134" s="1791"/>
      <c r="M134" s="1791"/>
      <c r="N134" s="1791"/>
    </row>
    <row r="135" spans="1:14" ht="33">
      <c r="A135" s="1788">
        <f t="shared" si="1"/>
        <v>131</v>
      </c>
      <c r="B135" s="1774" t="s">
        <v>5460</v>
      </c>
      <c r="C135" s="1789"/>
      <c r="D135" s="1769" t="s">
        <v>3440</v>
      </c>
      <c r="E135" s="1788" t="s">
        <v>3441</v>
      </c>
      <c r="F135" s="1788" t="s">
        <v>3445</v>
      </c>
      <c r="G135" s="1801" t="s">
        <v>3525</v>
      </c>
      <c r="H135" s="2293" t="s">
        <v>5418</v>
      </c>
      <c r="I135" s="1791"/>
      <c r="J135" s="1791"/>
      <c r="K135" s="1791"/>
      <c r="L135" s="1791"/>
      <c r="M135" s="1791"/>
      <c r="N135" s="1791"/>
    </row>
    <row r="136" spans="1:14" ht="16.5">
      <c r="A136" s="1788">
        <f t="shared" si="1"/>
        <v>132</v>
      </c>
      <c r="B136" s="1774" t="s">
        <v>5461</v>
      </c>
      <c r="C136" s="1789"/>
      <c r="D136" s="1769" t="s">
        <v>3440</v>
      </c>
      <c r="E136" s="1788" t="s">
        <v>3441</v>
      </c>
      <c r="F136" s="1788" t="s">
        <v>3442</v>
      </c>
      <c r="G136" s="1801" t="s">
        <v>3525</v>
      </c>
      <c r="H136" s="1788" t="s">
        <v>3441</v>
      </c>
      <c r="I136" s="1791"/>
      <c r="J136" s="1791"/>
      <c r="K136" s="1791"/>
      <c r="L136" s="1791"/>
      <c r="M136" s="1791"/>
      <c r="N136" s="1791"/>
    </row>
    <row r="137" spans="1:14" ht="16.5">
      <c r="A137" s="1788">
        <f t="shared" si="1"/>
        <v>133</v>
      </c>
      <c r="B137" s="1774" t="s">
        <v>5462</v>
      </c>
      <c r="C137" s="1789"/>
      <c r="D137" s="1769" t="s">
        <v>3440</v>
      </c>
      <c r="E137" s="1788" t="s">
        <v>3441</v>
      </c>
      <c r="F137" s="1788" t="s">
        <v>3442</v>
      </c>
      <c r="G137" s="1801" t="s">
        <v>3525</v>
      </c>
      <c r="H137" s="1788" t="s">
        <v>3441</v>
      </c>
      <c r="I137" s="1791"/>
      <c r="J137" s="1791"/>
      <c r="K137" s="1791"/>
      <c r="L137" s="1791"/>
      <c r="M137" s="1791"/>
      <c r="N137" s="1791"/>
    </row>
    <row r="138" spans="1:14" ht="16.5">
      <c r="A138" s="1788">
        <f t="shared" ref="A138:A146" si="2">A137+1</f>
        <v>134</v>
      </c>
      <c r="B138" s="1774" t="s">
        <v>5463</v>
      </c>
      <c r="C138" s="1789"/>
      <c r="D138" s="1769" t="s">
        <v>3440</v>
      </c>
      <c r="E138" s="1788" t="s">
        <v>3441</v>
      </c>
      <c r="F138" s="1788" t="s">
        <v>5427</v>
      </c>
      <c r="G138" s="1788" t="s">
        <v>3525</v>
      </c>
      <c r="H138" s="1788" t="s">
        <v>3445</v>
      </c>
      <c r="I138" s="1791"/>
      <c r="J138" s="1791"/>
      <c r="K138" s="1791"/>
      <c r="L138" s="1791"/>
      <c r="M138" s="1791"/>
      <c r="N138" s="1791"/>
    </row>
    <row r="139" spans="1:14" ht="16.5">
      <c r="A139" s="1788">
        <f t="shared" si="2"/>
        <v>135</v>
      </c>
      <c r="B139" s="1774" t="s">
        <v>3583</v>
      </c>
      <c r="C139" s="1789"/>
      <c r="D139" s="1769" t="s">
        <v>5433</v>
      </c>
      <c r="E139" s="1788" t="s">
        <v>3441</v>
      </c>
      <c r="F139" s="1788" t="s">
        <v>3442</v>
      </c>
      <c r="G139" s="1788" t="s">
        <v>3525</v>
      </c>
      <c r="H139" s="1788" t="s">
        <v>3445</v>
      </c>
      <c r="I139" s="1791"/>
      <c r="J139" s="1791"/>
      <c r="K139" s="1791"/>
      <c r="L139" s="1791"/>
      <c r="M139" s="1791"/>
      <c r="N139" s="1791"/>
    </row>
    <row r="140" spans="1:14" ht="16.5">
      <c r="A140" s="1788">
        <f t="shared" si="2"/>
        <v>136</v>
      </c>
      <c r="B140" s="1774" t="s">
        <v>3537</v>
      </c>
      <c r="C140" s="1789"/>
      <c r="D140" s="1769" t="s">
        <v>3440</v>
      </c>
      <c r="E140" s="1788" t="s">
        <v>3441</v>
      </c>
      <c r="F140" s="1788" t="s">
        <v>5427</v>
      </c>
      <c r="G140" s="1788" t="s">
        <v>3525</v>
      </c>
      <c r="H140" s="1788" t="s">
        <v>3441</v>
      </c>
      <c r="I140" s="1791"/>
      <c r="J140" s="1791"/>
      <c r="K140" s="1791"/>
      <c r="L140" s="1791"/>
      <c r="M140" s="1791"/>
      <c r="N140" s="1791"/>
    </row>
    <row r="141" spans="1:14" ht="16.5">
      <c r="A141" s="1788">
        <f t="shared" si="2"/>
        <v>137</v>
      </c>
      <c r="B141" s="1774" t="s">
        <v>3588</v>
      </c>
      <c r="C141" s="1789"/>
      <c r="D141" s="1769" t="s">
        <v>3440</v>
      </c>
      <c r="E141" s="1788" t="s">
        <v>3441</v>
      </c>
      <c r="F141" s="1788" t="s">
        <v>3442</v>
      </c>
      <c r="G141" s="1788" t="s">
        <v>5457</v>
      </c>
      <c r="H141" s="1788" t="s">
        <v>3441</v>
      </c>
      <c r="I141" s="1791"/>
      <c r="J141" s="1791"/>
      <c r="K141" s="1791"/>
      <c r="L141" s="1791"/>
      <c r="M141" s="1791"/>
      <c r="N141" s="1791"/>
    </row>
    <row r="142" spans="1:14" ht="33">
      <c r="A142" s="1788">
        <f t="shared" si="2"/>
        <v>138</v>
      </c>
      <c r="B142" s="1774" t="s">
        <v>5464</v>
      </c>
      <c r="C142" s="1789"/>
      <c r="D142" s="1769" t="s">
        <v>5433</v>
      </c>
      <c r="E142" s="1788" t="s">
        <v>3441</v>
      </c>
      <c r="F142" s="1788" t="s">
        <v>3442</v>
      </c>
      <c r="G142" s="1788" t="s">
        <v>3525</v>
      </c>
      <c r="H142" s="1788" t="s">
        <v>3441</v>
      </c>
      <c r="I142" s="1791"/>
      <c r="J142" s="1791"/>
      <c r="K142" s="1791"/>
      <c r="L142" s="1791"/>
      <c r="M142" s="1791"/>
      <c r="N142" s="1791"/>
    </row>
    <row r="143" spans="1:14" ht="16.5">
      <c r="A143" s="1788">
        <f t="shared" si="2"/>
        <v>139</v>
      </c>
      <c r="B143" s="1774" t="s">
        <v>3589</v>
      </c>
      <c r="C143" s="1789"/>
      <c r="D143" s="1769" t="s">
        <v>3440</v>
      </c>
      <c r="E143" s="1788" t="s">
        <v>3441</v>
      </c>
      <c r="F143" s="1788" t="s">
        <v>3442</v>
      </c>
      <c r="G143" s="1788" t="s">
        <v>3525</v>
      </c>
      <c r="H143" s="1788" t="s">
        <v>3441</v>
      </c>
      <c r="I143" s="1791"/>
      <c r="J143" s="1791"/>
      <c r="K143" s="1791"/>
      <c r="L143" s="1791"/>
      <c r="M143" s="1791"/>
      <c r="N143" s="1791"/>
    </row>
    <row r="144" spans="1:14" ht="16.5">
      <c r="A144" s="1788">
        <f t="shared" si="2"/>
        <v>140</v>
      </c>
      <c r="B144" s="1774" t="s">
        <v>5465</v>
      </c>
      <c r="C144" s="1789"/>
      <c r="D144" s="1769" t="s">
        <v>5433</v>
      </c>
      <c r="E144" s="1788" t="s">
        <v>3441</v>
      </c>
      <c r="F144" s="1788" t="s">
        <v>5427</v>
      </c>
      <c r="G144" s="1788" t="s">
        <v>3525</v>
      </c>
      <c r="H144" s="1788" t="s">
        <v>3441</v>
      </c>
      <c r="I144" s="1791"/>
      <c r="J144" s="1791"/>
      <c r="K144" s="1791"/>
      <c r="L144" s="1791"/>
      <c r="M144" s="1791"/>
      <c r="N144" s="1791"/>
    </row>
    <row r="145" spans="1:14" ht="16.5">
      <c r="A145" s="1788">
        <f t="shared" si="2"/>
        <v>141</v>
      </c>
      <c r="B145" s="1774" t="s">
        <v>5466</v>
      </c>
      <c r="C145" s="1789"/>
      <c r="D145" s="1769" t="s">
        <v>3440</v>
      </c>
      <c r="E145" s="1788" t="s">
        <v>3441</v>
      </c>
      <c r="F145" s="1788" t="s">
        <v>5427</v>
      </c>
      <c r="G145" s="1788" t="s">
        <v>5457</v>
      </c>
      <c r="H145" s="1788" t="s">
        <v>3441</v>
      </c>
      <c r="I145" s="1791"/>
      <c r="J145" s="1791"/>
      <c r="K145" s="1791"/>
      <c r="L145" s="1791"/>
      <c r="M145" s="1791"/>
      <c r="N145" s="1791"/>
    </row>
    <row r="146" spans="1:14" ht="16.5">
      <c r="A146" s="1788">
        <f t="shared" si="2"/>
        <v>142</v>
      </c>
      <c r="B146" s="1774" t="s">
        <v>3590</v>
      </c>
      <c r="C146" s="1789"/>
      <c r="D146" s="1769" t="s">
        <v>3440</v>
      </c>
      <c r="E146" s="1788" t="s">
        <v>3441</v>
      </c>
      <c r="F146" s="1788" t="s">
        <v>3450</v>
      </c>
      <c r="G146" s="1788"/>
      <c r="H146" s="1788" t="s">
        <v>3441</v>
      </c>
      <c r="I146" s="1791"/>
      <c r="J146" s="1791"/>
      <c r="K146" s="1791"/>
      <c r="L146" s="1791"/>
      <c r="M146" s="1791"/>
      <c r="N146" s="1791"/>
    </row>
    <row r="147" spans="1:14" ht="16.5">
      <c r="A147" s="1781" t="s">
        <v>3556</v>
      </c>
      <c r="B147" s="1782"/>
      <c r="C147" s="1802"/>
      <c r="D147" s="1776"/>
      <c r="E147" s="1776"/>
      <c r="F147" s="1776"/>
      <c r="G147" s="1802"/>
      <c r="H147" s="1776"/>
    </row>
    <row r="148" spans="1:14" ht="16.5">
      <c r="A148" s="1776">
        <v>1</v>
      </c>
      <c r="B148" s="1777" t="s">
        <v>3554</v>
      </c>
      <c r="C148" s="1784"/>
    </row>
    <row r="149" spans="1:14" ht="16.5">
      <c r="A149" s="1776">
        <v>2</v>
      </c>
      <c r="B149" s="1778" t="s">
        <v>5467</v>
      </c>
    </row>
    <row r="150" spans="1:14" ht="16.5">
      <c r="A150" s="1776">
        <v>3</v>
      </c>
      <c r="B150" s="1780" t="s">
        <v>3591</v>
      </c>
    </row>
    <row r="151" spans="1:14" ht="16.5">
      <c r="A151" s="1776">
        <v>4</v>
      </c>
      <c r="B151" s="1779" t="s">
        <v>3592</v>
      </c>
    </row>
    <row r="152" spans="1:14" ht="16.5">
      <c r="A152" s="1776">
        <v>5</v>
      </c>
      <c r="B152" s="1778" t="s">
        <v>3555</v>
      </c>
    </row>
    <row r="153" spans="1:14" ht="16.5">
      <c r="A153" s="1776">
        <v>6</v>
      </c>
      <c r="B153" s="1778" t="s">
        <v>3539</v>
      </c>
    </row>
    <row r="154" spans="1:14" ht="16.5">
      <c r="A154" s="1776">
        <v>7</v>
      </c>
      <c r="B154" s="1692" t="s">
        <v>5468</v>
      </c>
    </row>
    <row r="155" spans="1:14" ht="16.5">
      <c r="A155" s="1776">
        <v>8</v>
      </c>
      <c r="B155" s="1692" t="s">
        <v>3593</v>
      </c>
    </row>
    <row r="156" spans="1:14" ht="15.75"/>
    <row r="157" spans="1:14" ht="15.75"/>
    <row r="158" spans="1:14" ht="15.75"/>
    <row r="159" spans="1:14" ht="15.75"/>
    <row r="160" spans="1:14" ht="15.75"/>
    <row r="161" ht="15.75"/>
    <row r="162" ht="15.75"/>
    <row r="163" ht="15.75"/>
    <row r="164" ht="15.75"/>
    <row r="165" ht="15.75"/>
    <row r="166" ht="15.75"/>
    <row r="167" ht="15.75"/>
    <row r="168" ht="15.75"/>
    <row r="169" ht="15.75"/>
    <row r="170" ht="15.75"/>
    <row r="171" ht="15.75"/>
    <row r="172" ht="15.75"/>
    <row r="173" ht="15.75"/>
    <row r="174" ht="15.75"/>
    <row r="175" ht="15.75"/>
    <row r="176" ht="15.75"/>
    <row r="177" ht="15.75"/>
    <row r="178" ht="15.75"/>
    <row r="179" ht="15.75"/>
    <row r="180" ht="15.75"/>
    <row r="181" ht="15.75"/>
    <row r="182" ht="15.75"/>
    <row r="183" ht="15.75"/>
    <row r="184" ht="15.75"/>
    <row r="185" ht="15.75"/>
    <row r="186" ht="15.75"/>
    <row r="187" ht="15.75"/>
    <row r="188" ht="15.75"/>
    <row r="189" ht="15.75"/>
    <row r="190" ht="15.75"/>
    <row r="191" ht="15.75"/>
    <row r="192" ht="15.75"/>
    <row r="193" ht="15.75"/>
    <row r="194" ht="15.75"/>
  </sheetData>
  <mergeCells count="1">
    <mergeCell ref="A3:A4"/>
  </mergeCells>
  <phoneticPr fontId="26" type="noConversion"/>
  <printOptions horizontalCentered="1"/>
  <pageMargins left="0.23622047244094491" right="0.23622047244094491" top="0.19685039370078741" bottom="0.19685039370078741" header="0.31496062992125984" footer="0.31496062992125984"/>
  <pageSetup paperSize="9" scale="59" fitToHeight="0" orientation="landscape" horizontalDpi="4294967295" verticalDpi="4294967295" r:id="rId1"/>
  <headerFooter alignWithMargins="0">
    <oddFooter>&amp;C&amp;"Times New Roman,標準"&amp;P&amp;R&amp;"Times New Roman,標準"&amp;A</oddFooter>
  </headerFooter>
  <rowBreaks count="1" manualBreakCount="1">
    <brk id="70"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W185"/>
  <sheetViews>
    <sheetView zoomScale="85" zoomScaleNormal="85" workbookViewId="0">
      <pane xSplit="4" ySplit="5" topLeftCell="E6" activePane="bottomRight" state="frozen"/>
      <selection pane="topRight"/>
      <selection pane="bottomLeft"/>
      <selection pane="bottomRight"/>
    </sheetView>
  </sheetViews>
  <sheetFormatPr defaultRowHeight="13.5"/>
  <cols>
    <col min="1" max="1" width="5.125" style="848" customWidth="1"/>
    <col min="2" max="3" width="9" style="848"/>
    <col min="4" max="4" width="13" style="848" customWidth="1"/>
    <col min="5" max="9" width="9" style="848"/>
    <col min="10" max="10" width="11.625" style="848" customWidth="1"/>
    <col min="11" max="12" width="9.25" style="848" bestFit="1" customWidth="1"/>
    <col min="13" max="13" width="16.25" style="848" customWidth="1"/>
    <col min="14" max="14" width="14.875" style="848" customWidth="1"/>
    <col min="15" max="18" width="5.625" style="848" bestFit="1" customWidth="1"/>
    <col min="19" max="19" width="14.625" style="848" customWidth="1"/>
    <col min="20" max="20" width="12.25" style="848" customWidth="1"/>
    <col min="21" max="21" width="18.125" style="848" customWidth="1"/>
    <col min="22" max="16384" width="9" style="848"/>
  </cols>
  <sheetData>
    <row r="1" spans="1:23" ht="14.25">
      <c r="A1" s="105" t="str">
        <f>表03!A1</f>
        <v xml:space="preserve"> 保險股份有限公司    年度(月)報表</v>
      </c>
      <c r="B1" s="844"/>
      <c r="C1" s="845"/>
      <c r="D1" s="845"/>
      <c r="E1" s="845"/>
      <c r="F1" s="846"/>
      <c r="G1" s="845"/>
      <c r="H1" s="845"/>
      <c r="I1" s="845"/>
      <c r="J1" s="845"/>
      <c r="K1" s="845"/>
      <c r="L1" s="845"/>
      <c r="M1" s="845"/>
      <c r="N1" s="845"/>
      <c r="O1" s="845"/>
      <c r="P1" s="845"/>
      <c r="Q1" s="845"/>
      <c r="R1" s="845"/>
      <c r="S1" s="845"/>
      <c r="T1" s="845"/>
      <c r="U1" s="915"/>
      <c r="V1" s="847" t="s">
        <v>1389</v>
      </c>
    </row>
    <row r="2" spans="1:23" ht="15" thickBot="1">
      <c r="A2" s="847" t="s">
        <v>1421</v>
      </c>
      <c r="B2" s="847"/>
      <c r="C2" s="845"/>
      <c r="D2" s="845"/>
      <c r="E2" s="845"/>
      <c r="F2" s="846"/>
      <c r="G2" s="845"/>
      <c r="H2" s="845"/>
      <c r="I2" s="845"/>
      <c r="J2" s="845"/>
      <c r="K2" s="845"/>
      <c r="L2" s="845"/>
      <c r="M2" s="845"/>
      <c r="N2" s="845"/>
      <c r="O2" s="845"/>
      <c r="P2" s="845"/>
      <c r="Q2" s="845"/>
      <c r="R2" s="845"/>
      <c r="S2" s="845"/>
      <c r="T2" s="845"/>
      <c r="U2" s="915"/>
      <c r="V2" s="845"/>
    </row>
    <row r="3" spans="1:23" ht="16.5" customHeight="1">
      <c r="A3" s="2651" t="s">
        <v>677</v>
      </c>
      <c r="B3" s="2654" t="s">
        <v>1390</v>
      </c>
      <c r="C3" s="2656" t="s">
        <v>1391</v>
      </c>
      <c r="D3" s="2656"/>
      <c r="E3" s="2654" t="s">
        <v>1392</v>
      </c>
      <c r="F3" s="2654"/>
      <c r="G3" s="2654"/>
      <c r="H3" s="2654"/>
      <c r="I3" s="2654"/>
      <c r="J3" s="2667" t="s">
        <v>1393</v>
      </c>
      <c r="K3" s="2654" t="s">
        <v>1394</v>
      </c>
      <c r="L3" s="2661" t="s">
        <v>678</v>
      </c>
      <c r="M3" s="2654" t="s">
        <v>1396</v>
      </c>
      <c r="N3" s="2654" t="s">
        <v>1387</v>
      </c>
      <c r="O3" s="2654" t="s">
        <v>1422</v>
      </c>
      <c r="P3" s="2700"/>
      <c r="Q3" s="2706" t="s">
        <v>1423</v>
      </c>
      <c r="R3" s="2707"/>
      <c r="S3" s="2710" t="s">
        <v>1400</v>
      </c>
      <c r="T3" s="2654" t="s">
        <v>1401</v>
      </c>
      <c r="U3" s="2665" t="s">
        <v>1402</v>
      </c>
      <c r="V3" s="2654" t="s">
        <v>1388</v>
      </c>
      <c r="W3" s="2659" t="s">
        <v>1291</v>
      </c>
    </row>
    <row r="4" spans="1:23" ht="28.5">
      <c r="A4" s="2652"/>
      <c r="B4" s="2655"/>
      <c r="C4" s="2657"/>
      <c r="D4" s="2657"/>
      <c r="E4" s="2239" t="s">
        <v>1292</v>
      </c>
      <c r="F4" s="2239" t="s">
        <v>1293</v>
      </c>
      <c r="G4" s="2285" t="s">
        <v>1404</v>
      </c>
      <c r="H4" s="2285" t="s">
        <v>1405</v>
      </c>
      <c r="I4" s="2285" t="s">
        <v>1308</v>
      </c>
      <c r="J4" s="2662"/>
      <c r="K4" s="2655"/>
      <c r="L4" s="2662"/>
      <c r="M4" s="2657"/>
      <c r="N4" s="2655"/>
      <c r="O4" s="2703"/>
      <c r="P4" s="2703"/>
      <c r="Q4" s="2708"/>
      <c r="R4" s="2709"/>
      <c r="S4" s="2662"/>
      <c r="T4" s="2655"/>
      <c r="U4" s="2666"/>
      <c r="V4" s="2655"/>
      <c r="W4" s="2660"/>
    </row>
    <row r="5" spans="1:23" ht="15" thickBot="1">
      <c r="A5" s="2653"/>
      <c r="B5" s="2240" t="s">
        <v>66</v>
      </c>
      <c r="C5" s="2658" t="s">
        <v>67</v>
      </c>
      <c r="D5" s="2658"/>
      <c r="E5" s="2240" t="s">
        <v>68</v>
      </c>
      <c r="F5" s="2240" t="s">
        <v>69</v>
      </c>
      <c r="G5" s="2240" t="s">
        <v>70</v>
      </c>
      <c r="H5" s="2240" t="s">
        <v>71</v>
      </c>
      <c r="I5" s="2240" t="s">
        <v>72</v>
      </c>
      <c r="J5" s="2240" t="s">
        <v>470</v>
      </c>
      <c r="K5" s="2240" t="s">
        <v>471</v>
      </c>
      <c r="L5" s="2240" t="s">
        <v>472</v>
      </c>
      <c r="M5" s="2240" t="s">
        <v>473</v>
      </c>
      <c r="N5" s="2240" t="s">
        <v>485</v>
      </c>
      <c r="O5" s="2240" t="s">
        <v>1424</v>
      </c>
      <c r="P5" s="2240" t="s">
        <v>1425</v>
      </c>
      <c r="Q5" s="2240" t="s">
        <v>1424</v>
      </c>
      <c r="R5" s="2240" t="s">
        <v>1425</v>
      </c>
      <c r="S5" s="2240" t="s">
        <v>476</v>
      </c>
      <c r="T5" s="2240" t="s">
        <v>477</v>
      </c>
      <c r="U5" s="2240" t="s">
        <v>478</v>
      </c>
      <c r="V5" s="2240" t="s">
        <v>479</v>
      </c>
      <c r="W5" s="850" t="s">
        <v>480</v>
      </c>
    </row>
    <row r="6" spans="1:23" ht="14.25" customHeight="1">
      <c r="A6" s="851">
        <v>1</v>
      </c>
      <c r="B6" s="2670" t="s">
        <v>587</v>
      </c>
      <c r="C6" s="2673" t="s">
        <v>1406</v>
      </c>
      <c r="D6" s="2710" t="s">
        <v>1686</v>
      </c>
      <c r="E6" s="853"/>
      <c r="F6" s="853"/>
      <c r="G6" s="916"/>
      <c r="H6" s="854"/>
      <c r="I6" s="916"/>
      <c r="J6" s="854"/>
      <c r="K6" s="917"/>
      <c r="L6" s="917"/>
      <c r="M6" s="918"/>
      <c r="N6" s="919"/>
      <c r="O6" s="920"/>
      <c r="P6" s="917"/>
      <c r="Q6" s="920"/>
      <c r="R6" s="917"/>
      <c r="S6" s="919"/>
      <c r="T6" s="855"/>
      <c r="U6" s="920"/>
      <c r="V6" s="855"/>
      <c r="W6" s="857"/>
    </row>
    <row r="7" spans="1:23">
      <c r="A7" s="858">
        <f>A6+1</f>
        <v>2</v>
      </c>
      <c r="B7" s="2671"/>
      <c r="C7" s="2674"/>
      <c r="D7" s="2711"/>
      <c r="E7" s="859"/>
      <c r="F7" s="859"/>
      <c r="G7" s="921"/>
      <c r="H7" s="860"/>
      <c r="I7" s="921"/>
      <c r="J7" s="860"/>
      <c r="K7" s="922"/>
      <c r="L7" s="922"/>
      <c r="M7" s="923"/>
      <c r="N7" s="924"/>
      <c r="O7" s="925"/>
      <c r="P7" s="922"/>
      <c r="Q7" s="925"/>
      <c r="R7" s="922"/>
      <c r="S7" s="924"/>
      <c r="T7" s="861"/>
      <c r="U7" s="925"/>
      <c r="V7" s="861"/>
      <c r="W7" s="863"/>
    </row>
    <row r="8" spans="1:23">
      <c r="A8" s="858">
        <f t="shared" ref="A8:A71" si="0">A7+1</f>
        <v>3</v>
      </c>
      <c r="B8" s="2671"/>
      <c r="C8" s="2674"/>
      <c r="D8" s="2711"/>
      <c r="E8" s="859"/>
      <c r="F8" s="859"/>
      <c r="G8" s="921"/>
      <c r="H8" s="860"/>
      <c r="I8" s="921"/>
      <c r="J8" s="860"/>
      <c r="K8" s="922"/>
      <c r="L8" s="922"/>
      <c r="M8" s="923"/>
      <c r="N8" s="924"/>
      <c r="O8" s="925"/>
      <c r="P8" s="922"/>
      <c r="Q8" s="925"/>
      <c r="R8" s="922"/>
      <c r="S8" s="924"/>
      <c r="T8" s="861"/>
      <c r="U8" s="925"/>
      <c r="V8" s="861"/>
      <c r="W8" s="863"/>
    </row>
    <row r="9" spans="1:23">
      <c r="A9" s="858">
        <f t="shared" si="0"/>
        <v>4</v>
      </c>
      <c r="B9" s="2671"/>
      <c r="C9" s="2674"/>
      <c r="D9" s="2711"/>
      <c r="E9" s="859"/>
      <c r="F9" s="859"/>
      <c r="G9" s="921"/>
      <c r="H9" s="860"/>
      <c r="I9" s="921"/>
      <c r="J9" s="860"/>
      <c r="K9" s="922"/>
      <c r="L9" s="922"/>
      <c r="M9" s="923"/>
      <c r="N9" s="924"/>
      <c r="O9" s="925"/>
      <c r="P9" s="922"/>
      <c r="Q9" s="925"/>
      <c r="R9" s="922"/>
      <c r="S9" s="924"/>
      <c r="T9" s="861"/>
      <c r="U9" s="925"/>
      <c r="V9" s="861"/>
      <c r="W9" s="863"/>
    </row>
    <row r="10" spans="1:23">
      <c r="A10" s="858">
        <f t="shared" si="0"/>
        <v>5</v>
      </c>
      <c r="B10" s="2671"/>
      <c r="C10" s="2674"/>
      <c r="D10" s="2711"/>
      <c r="E10" s="859"/>
      <c r="F10" s="859"/>
      <c r="G10" s="921"/>
      <c r="H10" s="860"/>
      <c r="I10" s="921"/>
      <c r="J10" s="860"/>
      <c r="K10" s="922"/>
      <c r="L10" s="922"/>
      <c r="M10" s="923"/>
      <c r="N10" s="924"/>
      <c r="O10" s="925"/>
      <c r="P10" s="922"/>
      <c r="Q10" s="925"/>
      <c r="R10" s="922"/>
      <c r="S10" s="924"/>
      <c r="T10" s="861"/>
      <c r="U10" s="925"/>
      <c r="V10" s="861"/>
      <c r="W10" s="863"/>
    </row>
    <row r="11" spans="1:23">
      <c r="A11" s="858">
        <f t="shared" si="0"/>
        <v>6</v>
      </c>
      <c r="B11" s="2671"/>
      <c r="C11" s="2674"/>
      <c r="D11" s="2711"/>
      <c r="E11" s="859"/>
      <c r="F11" s="859"/>
      <c r="G11" s="921"/>
      <c r="H11" s="860"/>
      <c r="I11" s="921"/>
      <c r="J11" s="860"/>
      <c r="K11" s="922"/>
      <c r="L11" s="922"/>
      <c r="M11" s="923"/>
      <c r="N11" s="924"/>
      <c r="O11" s="925"/>
      <c r="P11" s="922"/>
      <c r="Q11" s="925"/>
      <c r="R11" s="922"/>
      <c r="S11" s="924"/>
      <c r="T11" s="861"/>
      <c r="U11" s="925"/>
      <c r="V11" s="861"/>
      <c r="W11" s="863"/>
    </row>
    <row r="12" spans="1:23">
      <c r="A12" s="858">
        <f t="shared" si="0"/>
        <v>7</v>
      </c>
      <c r="B12" s="2671"/>
      <c r="C12" s="2674"/>
      <c r="D12" s="2711"/>
      <c r="E12" s="859"/>
      <c r="F12" s="859"/>
      <c r="G12" s="921"/>
      <c r="H12" s="860"/>
      <c r="I12" s="921"/>
      <c r="J12" s="860"/>
      <c r="K12" s="922"/>
      <c r="L12" s="922"/>
      <c r="M12" s="923"/>
      <c r="N12" s="924"/>
      <c r="O12" s="925"/>
      <c r="P12" s="922"/>
      <c r="Q12" s="925"/>
      <c r="R12" s="922"/>
      <c r="S12" s="924"/>
      <c r="T12" s="861"/>
      <c r="U12" s="925"/>
      <c r="V12" s="861"/>
      <c r="W12" s="863"/>
    </row>
    <row r="13" spans="1:23">
      <c r="A13" s="858">
        <f t="shared" si="0"/>
        <v>8</v>
      </c>
      <c r="B13" s="2671"/>
      <c r="C13" s="2674"/>
      <c r="D13" s="2711"/>
      <c r="E13" s="859"/>
      <c r="F13" s="859"/>
      <c r="G13" s="921"/>
      <c r="H13" s="860"/>
      <c r="I13" s="921"/>
      <c r="J13" s="860"/>
      <c r="K13" s="922"/>
      <c r="L13" s="922"/>
      <c r="M13" s="923"/>
      <c r="N13" s="924"/>
      <c r="O13" s="925"/>
      <c r="P13" s="922"/>
      <c r="Q13" s="925"/>
      <c r="R13" s="922"/>
      <c r="S13" s="924"/>
      <c r="T13" s="861"/>
      <c r="U13" s="925"/>
      <c r="V13" s="861"/>
      <c r="W13" s="863"/>
    </row>
    <row r="14" spans="1:23">
      <c r="A14" s="858">
        <f t="shared" si="0"/>
        <v>9</v>
      </c>
      <c r="B14" s="2671"/>
      <c r="C14" s="2674"/>
      <c r="D14" s="2711"/>
      <c r="E14" s="859"/>
      <c r="F14" s="859"/>
      <c r="G14" s="921"/>
      <c r="H14" s="860"/>
      <c r="I14" s="921"/>
      <c r="J14" s="860"/>
      <c r="K14" s="922"/>
      <c r="L14" s="922"/>
      <c r="M14" s="923"/>
      <c r="N14" s="924"/>
      <c r="O14" s="925"/>
      <c r="P14" s="922"/>
      <c r="Q14" s="925"/>
      <c r="R14" s="922"/>
      <c r="S14" s="924"/>
      <c r="T14" s="861"/>
      <c r="U14" s="925"/>
      <c r="V14" s="861"/>
      <c r="W14" s="863"/>
    </row>
    <row r="15" spans="1:23">
      <c r="A15" s="858">
        <f t="shared" si="0"/>
        <v>10</v>
      </c>
      <c r="B15" s="2671"/>
      <c r="C15" s="2674"/>
      <c r="D15" s="2711"/>
      <c r="E15" s="859"/>
      <c r="F15" s="859"/>
      <c r="G15" s="921"/>
      <c r="H15" s="860"/>
      <c r="I15" s="921"/>
      <c r="J15" s="860"/>
      <c r="K15" s="922"/>
      <c r="L15" s="922"/>
      <c r="M15" s="923"/>
      <c r="N15" s="924"/>
      <c r="O15" s="925"/>
      <c r="P15" s="922"/>
      <c r="Q15" s="925"/>
      <c r="R15" s="922"/>
      <c r="S15" s="924"/>
      <c r="T15" s="861"/>
      <c r="U15" s="925"/>
      <c r="V15" s="861"/>
      <c r="W15" s="863"/>
    </row>
    <row r="16" spans="1:23">
      <c r="A16" s="858">
        <f t="shared" si="0"/>
        <v>11</v>
      </c>
      <c r="B16" s="2671"/>
      <c r="C16" s="2674"/>
      <c r="D16" s="2711"/>
      <c r="E16" s="859"/>
      <c r="F16" s="859"/>
      <c r="G16" s="921"/>
      <c r="H16" s="860"/>
      <c r="I16" s="921"/>
      <c r="J16" s="860"/>
      <c r="K16" s="922"/>
      <c r="L16" s="922"/>
      <c r="M16" s="923"/>
      <c r="N16" s="924"/>
      <c r="O16" s="925"/>
      <c r="P16" s="922"/>
      <c r="Q16" s="925"/>
      <c r="R16" s="922"/>
      <c r="S16" s="924"/>
      <c r="T16" s="861"/>
      <c r="U16" s="925"/>
      <c r="V16" s="861"/>
      <c r="W16" s="863"/>
    </row>
    <row r="17" spans="1:23">
      <c r="A17" s="858">
        <f t="shared" si="0"/>
        <v>12</v>
      </c>
      <c r="B17" s="2671"/>
      <c r="C17" s="2674"/>
      <c r="D17" s="2711"/>
      <c r="E17" s="859"/>
      <c r="F17" s="859"/>
      <c r="G17" s="921"/>
      <c r="H17" s="860"/>
      <c r="I17" s="921"/>
      <c r="J17" s="860"/>
      <c r="K17" s="922"/>
      <c r="L17" s="922"/>
      <c r="M17" s="923"/>
      <c r="N17" s="924"/>
      <c r="O17" s="925"/>
      <c r="P17" s="922"/>
      <c r="Q17" s="925"/>
      <c r="R17" s="922"/>
      <c r="S17" s="924"/>
      <c r="T17" s="861"/>
      <c r="U17" s="925"/>
      <c r="V17" s="861"/>
      <c r="W17" s="863"/>
    </row>
    <row r="18" spans="1:23">
      <c r="A18" s="858">
        <f t="shared" si="0"/>
        <v>13</v>
      </c>
      <c r="B18" s="2671"/>
      <c r="C18" s="2674"/>
      <c r="D18" s="2711"/>
      <c r="E18" s="859"/>
      <c r="F18" s="859"/>
      <c r="G18" s="921"/>
      <c r="H18" s="860"/>
      <c r="I18" s="921"/>
      <c r="J18" s="860"/>
      <c r="K18" s="922"/>
      <c r="L18" s="922"/>
      <c r="M18" s="923"/>
      <c r="N18" s="924"/>
      <c r="O18" s="925"/>
      <c r="P18" s="922"/>
      <c r="Q18" s="925"/>
      <c r="R18" s="922"/>
      <c r="S18" s="924"/>
      <c r="T18" s="861"/>
      <c r="U18" s="925"/>
      <c r="V18" s="861"/>
      <c r="W18" s="863"/>
    </row>
    <row r="19" spans="1:23">
      <c r="A19" s="858">
        <f t="shared" si="0"/>
        <v>14</v>
      </c>
      <c r="B19" s="2671"/>
      <c r="C19" s="2674"/>
      <c r="D19" s="2662"/>
      <c r="E19" s="859"/>
      <c r="F19" s="859"/>
      <c r="G19" s="921"/>
      <c r="H19" s="860"/>
      <c r="I19" s="921"/>
      <c r="J19" s="860"/>
      <c r="K19" s="922"/>
      <c r="L19" s="922"/>
      <c r="M19" s="923"/>
      <c r="N19" s="924"/>
      <c r="O19" s="925"/>
      <c r="P19" s="922"/>
      <c r="Q19" s="925"/>
      <c r="R19" s="922"/>
      <c r="S19" s="924"/>
      <c r="T19" s="861"/>
      <c r="U19" s="925"/>
      <c r="V19" s="861"/>
      <c r="W19" s="863"/>
    </row>
    <row r="20" spans="1:23" ht="14.25">
      <c r="A20" s="858">
        <f t="shared" si="0"/>
        <v>15</v>
      </c>
      <c r="B20" s="2671"/>
      <c r="C20" s="2674"/>
      <c r="D20" s="2234" t="s">
        <v>588</v>
      </c>
      <c r="E20" s="864"/>
      <c r="F20" s="864"/>
      <c r="G20" s="926"/>
      <c r="H20" s="865"/>
      <c r="I20" s="926"/>
      <c r="J20" s="865"/>
      <c r="K20" s="927"/>
      <c r="L20" s="927"/>
      <c r="M20" s="923">
        <f>SUM(M6:M19)</f>
        <v>0</v>
      </c>
      <c r="N20" s="924">
        <f>SUM(N6:N19)</f>
        <v>0</v>
      </c>
      <c r="O20" s="927"/>
      <c r="P20" s="927"/>
      <c r="Q20" s="927"/>
      <c r="R20" s="927"/>
      <c r="S20" s="924">
        <f>SUM(S6:S19)</f>
        <v>0</v>
      </c>
      <c r="T20" s="866"/>
      <c r="U20" s="928"/>
      <c r="V20" s="866"/>
      <c r="W20" s="868"/>
    </row>
    <row r="21" spans="1:23">
      <c r="A21" s="858">
        <f t="shared" si="0"/>
        <v>16</v>
      </c>
      <c r="B21" s="2671"/>
      <c r="C21" s="2674"/>
      <c r="D21" s="2703" t="s">
        <v>1687</v>
      </c>
      <c r="E21" s="859"/>
      <c r="F21" s="859"/>
      <c r="G21" s="921"/>
      <c r="H21" s="860"/>
      <c r="I21" s="921"/>
      <c r="J21" s="860"/>
      <c r="K21" s="922"/>
      <c r="L21" s="922"/>
      <c r="M21" s="923"/>
      <c r="N21" s="924"/>
      <c r="O21" s="925"/>
      <c r="P21" s="922"/>
      <c r="Q21" s="925"/>
      <c r="R21" s="922"/>
      <c r="S21" s="924"/>
      <c r="T21" s="861"/>
      <c r="U21" s="925"/>
      <c r="V21" s="861"/>
      <c r="W21" s="863"/>
    </row>
    <row r="22" spans="1:23">
      <c r="A22" s="858">
        <f t="shared" si="0"/>
        <v>17</v>
      </c>
      <c r="B22" s="2671"/>
      <c r="C22" s="2674"/>
      <c r="D22" s="2703"/>
      <c r="E22" s="859"/>
      <c r="F22" s="859"/>
      <c r="G22" s="921"/>
      <c r="H22" s="860"/>
      <c r="I22" s="921"/>
      <c r="J22" s="860"/>
      <c r="K22" s="922"/>
      <c r="L22" s="922"/>
      <c r="M22" s="923"/>
      <c r="N22" s="924"/>
      <c r="O22" s="925"/>
      <c r="P22" s="922"/>
      <c r="Q22" s="925"/>
      <c r="R22" s="922"/>
      <c r="S22" s="924"/>
      <c r="T22" s="861"/>
      <c r="U22" s="925"/>
      <c r="V22" s="861"/>
      <c r="W22" s="863"/>
    </row>
    <row r="23" spans="1:23">
      <c r="A23" s="858">
        <f t="shared" si="0"/>
        <v>18</v>
      </c>
      <c r="B23" s="2671"/>
      <c r="C23" s="2674"/>
      <c r="D23" s="2703"/>
      <c r="E23" s="859"/>
      <c r="F23" s="859"/>
      <c r="G23" s="921"/>
      <c r="H23" s="860"/>
      <c r="I23" s="921"/>
      <c r="J23" s="860"/>
      <c r="K23" s="922"/>
      <c r="L23" s="922"/>
      <c r="M23" s="923"/>
      <c r="N23" s="924"/>
      <c r="O23" s="925"/>
      <c r="P23" s="922"/>
      <c r="Q23" s="925"/>
      <c r="R23" s="922"/>
      <c r="S23" s="924"/>
      <c r="T23" s="861"/>
      <c r="U23" s="925"/>
      <c r="V23" s="861"/>
      <c r="W23" s="863"/>
    </row>
    <row r="24" spans="1:23">
      <c r="A24" s="858">
        <f t="shared" si="0"/>
        <v>19</v>
      </c>
      <c r="B24" s="2671"/>
      <c r="C24" s="2674"/>
      <c r="D24" s="2703"/>
      <c r="E24" s="859"/>
      <c r="F24" s="859"/>
      <c r="G24" s="921"/>
      <c r="H24" s="860"/>
      <c r="I24" s="921"/>
      <c r="J24" s="860"/>
      <c r="K24" s="922"/>
      <c r="L24" s="922"/>
      <c r="M24" s="923"/>
      <c r="N24" s="924"/>
      <c r="O24" s="925"/>
      <c r="P24" s="922"/>
      <c r="Q24" s="925"/>
      <c r="R24" s="922"/>
      <c r="S24" s="924"/>
      <c r="T24" s="861"/>
      <c r="U24" s="925"/>
      <c r="V24" s="861"/>
      <c r="W24" s="863"/>
    </row>
    <row r="25" spans="1:23">
      <c r="A25" s="858">
        <f t="shared" si="0"/>
        <v>20</v>
      </c>
      <c r="B25" s="2671"/>
      <c r="C25" s="2674"/>
      <c r="D25" s="2703"/>
      <c r="E25" s="859"/>
      <c r="F25" s="859"/>
      <c r="G25" s="921"/>
      <c r="H25" s="860"/>
      <c r="I25" s="921"/>
      <c r="J25" s="860"/>
      <c r="K25" s="922"/>
      <c r="L25" s="922"/>
      <c r="M25" s="923"/>
      <c r="N25" s="924"/>
      <c r="O25" s="925"/>
      <c r="P25" s="922"/>
      <c r="Q25" s="925"/>
      <c r="R25" s="922"/>
      <c r="S25" s="924"/>
      <c r="T25" s="861"/>
      <c r="U25" s="925"/>
      <c r="V25" s="861"/>
      <c r="W25" s="863"/>
    </row>
    <row r="26" spans="1:23">
      <c r="A26" s="858">
        <f t="shared" si="0"/>
        <v>21</v>
      </c>
      <c r="B26" s="2671"/>
      <c r="C26" s="2674"/>
      <c r="D26" s="2703"/>
      <c r="E26" s="859"/>
      <c r="F26" s="859"/>
      <c r="G26" s="921"/>
      <c r="H26" s="860"/>
      <c r="I26" s="921"/>
      <c r="J26" s="860"/>
      <c r="K26" s="922"/>
      <c r="L26" s="922"/>
      <c r="M26" s="923"/>
      <c r="N26" s="924"/>
      <c r="O26" s="925"/>
      <c r="P26" s="922"/>
      <c r="Q26" s="925"/>
      <c r="R26" s="922"/>
      <c r="S26" s="924"/>
      <c r="T26" s="861"/>
      <c r="U26" s="925"/>
      <c r="V26" s="861"/>
      <c r="W26" s="863"/>
    </row>
    <row r="27" spans="1:23" ht="15" thickBot="1">
      <c r="A27" s="858">
        <f t="shared" si="0"/>
        <v>22</v>
      </c>
      <c r="B27" s="2671"/>
      <c r="C27" s="2675"/>
      <c r="D27" s="869" t="s">
        <v>588</v>
      </c>
      <c r="E27" s="870"/>
      <c r="F27" s="870"/>
      <c r="G27" s="870"/>
      <c r="H27" s="870"/>
      <c r="I27" s="870"/>
      <c r="J27" s="870"/>
      <c r="K27" s="870"/>
      <c r="L27" s="870"/>
      <c r="M27" s="929">
        <f>SUM(M21:M26)</f>
        <v>0</v>
      </c>
      <c r="N27" s="930">
        <f>SUM(N21:N26)</f>
        <v>0</v>
      </c>
      <c r="O27" s="872"/>
      <c r="P27" s="872"/>
      <c r="Q27" s="872"/>
      <c r="R27" s="872"/>
      <c r="S27" s="930">
        <f>SUM(S21:S26)</f>
        <v>0</v>
      </c>
      <c r="T27" s="872"/>
      <c r="U27" s="872"/>
      <c r="V27" s="872"/>
      <c r="W27" s="873"/>
    </row>
    <row r="28" spans="1:23" ht="16.5" customHeight="1">
      <c r="A28" s="858">
        <f t="shared" si="0"/>
        <v>23</v>
      </c>
      <c r="B28" s="2671"/>
      <c r="C28" s="2673" t="s">
        <v>1409</v>
      </c>
      <c r="D28" s="2696" t="s">
        <v>1681</v>
      </c>
      <c r="E28" s="853"/>
      <c r="F28" s="853"/>
      <c r="G28" s="854"/>
      <c r="H28" s="854"/>
      <c r="I28" s="854"/>
      <c r="J28" s="854"/>
      <c r="K28" s="855"/>
      <c r="L28" s="855"/>
      <c r="M28" s="855"/>
      <c r="N28" s="855"/>
      <c r="O28" s="856"/>
      <c r="P28" s="855"/>
      <c r="Q28" s="856"/>
      <c r="R28" s="855"/>
      <c r="S28" s="855"/>
      <c r="T28" s="855"/>
      <c r="U28" s="856"/>
      <c r="V28" s="855"/>
      <c r="W28" s="857"/>
    </row>
    <row r="29" spans="1:23">
      <c r="A29" s="858">
        <f t="shared" si="0"/>
        <v>24</v>
      </c>
      <c r="B29" s="2671"/>
      <c r="C29" s="2674"/>
      <c r="D29" s="2677"/>
      <c r="E29" s="859"/>
      <c r="F29" s="859"/>
      <c r="G29" s="860"/>
      <c r="H29" s="860"/>
      <c r="I29" s="860"/>
      <c r="J29" s="860"/>
      <c r="K29" s="861"/>
      <c r="L29" s="861"/>
      <c r="M29" s="861"/>
      <c r="N29" s="861"/>
      <c r="O29" s="862"/>
      <c r="P29" s="861"/>
      <c r="Q29" s="862"/>
      <c r="R29" s="861"/>
      <c r="S29" s="861"/>
      <c r="T29" s="861"/>
      <c r="U29" s="862"/>
      <c r="V29" s="861"/>
      <c r="W29" s="863"/>
    </row>
    <row r="30" spans="1:23">
      <c r="A30" s="858">
        <f t="shared" si="0"/>
        <v>25</v>
      </c>
      <c r="B30" s="2671"/>
      <c r="C30" s="2674"/>
      <c r="D30" s="2677"/>
      <c r="E30" s="859"/>
      <c r="F30" s="859"/>
      <c r="G30" s="860"/>
      <c r="H30" s="860"/>
      <c r="I30" s="860"/>
      <c r="J30" s="860"/>
      <c r="K30" s="861"/>
      <c r="L30" s="861"/>
      <c r="M30" s="861"/>
      <c r="N30" s="861"/>
      <c r="O30" s="862"/>
      <c r="P30" s="861"/>
      <c r="Q30" s="862"/>
      <c r="R30" s="861"/>
      <c r="S30" s="861"/>
      <c r="T30" s="861"/>
      <c r="U30" s="862"/>
      <c r="V30" s="861"/>
      <c r="W30" s="863"/>
    </row>
    <row r="31" spans="1:23">
      <c r="A31" s="858">
        <f t="shared" si="0"/>
        <v>26</v>
      </c>
      <c r="B31" s="2671"/>
      <c r="C31" s="2674"/>
      <c r="D31" s="2677"/>
      <c r="E31" s="859"/>
      <c r="F31" s="859"/>
      <c r="G31" s="860"/>
      <c r="H31" s="860"/>
      <c r="I31" s="860"/>
      <c r="J31" s="860"/>
      <c r="K31" s="861"/>
      <c r="L31" s="861"/>
      <c r="M31" s="861"/>
      <c r="N31" s="861"/>
      <c r="O31" s="862"/>
      <c r="P31" s="861"/>
      <c r="Q31" s="862"/>
      <c r="R31" s="861"/>
      <c r="S31" s="861"/>
      <c r="T31" s="861"/>
      <c r="U31" s="862"/>
      <c r="V31" s="861"/>
      <c r="W31" s="863"/>
    </row>
    <row r="32" spans="1:23">
      <c r="A32" s="858">
        <f t="shared" si="0"/>
        <v>27</v>
      </c>
      <c r="B32" s="2671"/>
      <c r="C32" s="2674"/>
      <c r="D32" s="2677"/>
      <c r="E32" s="859"/>
      <c r="F32" s="859"/>
      <c r="G32" s="860"/>
      <c r="H32" s="860"/>
      <c r="I32" s="860"/>
      <c r="J32" s="860"/>
      <c r="K32" s="861"/>
      <c r="L32" s="861"/>
      <c r="M32" s="861"/>
      <c r="N32" s="861"/>
      <c r="O32" s="862"/>
      <c r="P32" s="861"/>
      <c r="Q32" s="862"/>
      <c r="R32" s="861"/>
      <c r="S32" s="861"/>
      <c r="T32" s="861"/>
      <c r="U32" s="862"/>
      <c r="V32" s="861"/>
      <c r="W32" s="863"/>
    </row>
    <row r="33" spans="1:23">
      <c r="A33" s="858">
        <f t="shared" si="0"/>
        <v>28</v>
      </c>
      <c r="B33" s="2671"/>
      <c r="C33" s="2674"/>
      <c r="D33" s="2677"/>
      <c r="E33" s="859"/>
      <c r="F33" s="859"/>
      <c r="G33" s="860"/>
      <c r="H33" s="860"/>
      <c r="I33" s="860"/>
      <c r="J33" s="860"/>
      <c r="K33" s="861"/>
      <c r="L33" s="861"/>
      <c r="M33" s="861"/>
      <c r="N33" s="861"/>
      <c r="O33" s="862"/>
      <c r="P33" s="861"/>
      <c r="Q33" s="862"/>
      <c r="R33" s="861"/>
      <c r="S33" s="861"/>
      <c r="T33" s="861"/>
      <c r="U33" s="862"/>
      <c r="V33" s="861"/>
      <c r="W33" s="863"/>
    </row>
    <row r="34" spans="1:23">
      <c r="A34" s="858">
        <f t="shared" si="0"/>
        <v>29</v>
      </c>
      <c r="B34" s="2671"/>
      <c r="C34" s="2674"/>
      <c r="D34" s="2677"/>
      <c r="E34" s="859"/>
      <c r="F34" s="859"/>
      <c r="G34" s="860"/>
      <c r="H34" s="860"/>
      <c r="I34" s="860"/>
      <c r="J34" s="860"/>
      <c r="K34" s="861"/>
      <c r="L34" s="861"/>
      <c r="M34" s="861"/>
      <c r="N34" s="861"/>
      <c r="O34" s="862"/>
      <c r="P34" s="861"/>
      <c r="Q34" s="862"/>
      <c r="R34" s="861"/>
      <c r="S34" s="861"/>
      <c r="T34" s="861"/>
      <c r="U34" s="862"/>
      <c r="V34" s="861"/>
      <c r="W34" s="863"/>
    </row>
    <row r="35" spans="1:23">
      <c r="A35" s="858">
        <f t="shared" si="0"/>
        <v>30</v>
      </c>
      <c r="B35" s="2671"/>
      <c r="C35" s="2674"/>
      <c r="D35" s="2677"/>
      <c r="E35" s="859"/>
      <c r="F35" s="859"/>
      <c r="G35" s="860"/>
      <c r="H35" s="860"/>
      <c r="I35" s="860"/>
      <c r="J35" s="860"/>
      <c r="K35" s="861"/>
      <c r="L35" s="861"/>
      <c r="M35" s="861"/>
      <c r="N35" s="861"/>
      <c r="O35" s="862"/>
      <c r="P35" s="861"/>
      <c r="Q35" s="862"/>
      <c r="R35" s="861"/>
      <c r="S35" s="861"/>
      <c r="T35" s="861"/>
      <c r="U35" s="862"/>
      <c r="V35" s="861"/>
      <c r="W35" s="863"/>
    </row>
    <row r="36" spans="1:23">
      <c r="A36" s="858">
        <f t="shared" si="0"/>
        <v>31</v>
      </c>
      <c r="B36" s="2671"/>
      <c r="C36" s="2674"/>
      <c r="D36" s="2677"/>
      <c r="E36" s="859"/>
      <c r="F36" s="859"/>
      <c r="G36" s="860"/>
      <c r="H36" s="860"/>
      <c r="I36" s="860"/>
      <c r="J36" s="860"/>
      <c r="K36" s="861"/>
      <c r="L36" s="861"/>
      <c r="M36" s="861"/>
      <c r="N36" s="861"/>
      <c r="O36" s="862"/>
      <c r="P36" s="861"/>
      <c r="Q36" s="862"/>
      <c r="R36" s="861"/>
      <c r="S36" s="861"/>
      <c r="T36" s="861"/>
      <c r="U36" s="862"/>
      <c r="V36" s="861"/>
      <c r="W36" s="863"/>
    </row>
    <row r="37" spans="1:23">
      <c r="A37" s="858">
        <f t="shared" si="0"/>
        <v>32</v>
      </c>
      <c r="B37" s="2671"/>
      <c r="C37" s="2674"/>
      <c r="D37" s="2677"/>
      <c r="E37" s="859"/>
      <c r="F37" s="859"/>
      <c r="G37" s="860"/>
      <c r="H37" s="860"/>
      <c r="I37" s="860"/>
      <c r="J37" s="860"/>
      <c r="K37" s="861"/>
      <c r="L37" s="861"/>
      <c r="M37" s="861"/>
      <c r="N37" s="861"/>
      <c r="O37" s="862"/>
      <c r="P37" s="861"/>
      <c r="Q37" s="862"/>
      <c r="R37" s="861"/>
      <c r="S37" s="861"/>
      <c r="T37" s="861"/>
      <c r="U37" s="862"/>
      <c r="V37" s="861"/>
      <c r="W37" s="863"/>
    </row>
    <row r="38" spans="1:23" ht="16.5">
      <c r="A38" s="858">
        <f t="shared" si="0"/>
        <v>33</v>
      </c>
      <c r="B38" s="2671"/>
      <c r="C38" s="2674"/>
      <c r="D38" s="2233" t="s">
        <v>1408</v>
      </c>
      <c r="E38" s="866"/>
      <c r="F38" s="866"/>
      <c r="G38" s="866"/>
      <c r="H38" s="866"/>
      <c r="I38" s="866"/>
      <c r="J38" s="866"/>
      <c r="K38" s="866"/>
      <c r="L38" s="866"/>
      <c r="M38" s="861">
        <f>SUM(M28:M37)</f>
        <v>0</v>
      </c>
      <c r="N38" s="861">
        <f>SUM(N28:N37)</f>
        <v>0</v>
      </c>
      <c r="O38" s="866"/>
      <c r="P38" s="866"/>
      <c r="Q38" s="866"/>
      <c r="R38" s="866"/>
      <c r="S38" s="861">
        <f>SUM(S28:S37)</f>
        <v>0</v>
      </c>
      <c r="T38" s="866"/>
      <c r="U38" s="867"/>
      <c r="V38" s="866"/>
      <c r="W38" s="868"/>
    </row>
    <row r="39" spans="1:23" ht="14.25" customHeight="1">
      <c r="A39" s="858">
        <f t="shared" si="0"/>
        <v>34</v>
      </c>
      <c r="B39" s="2671"/>
      <c r="C39" s="2674"/>
      <c r="D39" s="2677" t="s">
        <v>1682</v>
      </c>
      <c r="E39" s="859"/>
      <c r="F39" s="859"/>
      <c r="G39" s="860"/>
      <c r="H39" s="860"/>
      <c r="I39" s="860"/>
      <c r="J39" s="860"/>
      <c r="K39" s="861"/>
      <c r="L39" s="861"/>
      <c r="M39" s="861"/>
      <c r="N39" s="861"/>
      <c r="O39" s="862"/>
      <c r="P39" s="861"/>
      <c r="Q39" s="862"/>
      <c r="R39" s="861"/>
      <c r="S39" s="861"/>
      <c r="T39" s="861"/>
      <c r="U39" s="862"/>
      <c r="V39" s="861"/>
      <c r="W39" s="863"/>
    </row>
    <row r="40" spans="1:23">
      <c r="A40" s="858">
        <f t="shared" si="0"/>
        <v>35</v>
      </c>
      <c r="B40" s="2671"/>
      <c r="C40" s="2674"/>
      <c r="D40" s="2677"/>
      <c r="E40" s="859"/>
      <c r="F40" s="859"/>
      <c r="G40" s="860"/>
      <c r="H40" s="860"/>
      <c r="I40" s="860"/>
      <c r="J40" s="860"/>
      <c r="K40" s="861"/>
      <c r="L40" s="861"/>
      <c r="M40" s="861"/>
      <c r="N40" s="861"/>
      <c r="O40" s="862"/>
      <c r="P40" s="861"/>
      <c r="Q40" s="862"/>
      <c r="R40" s="861"/>
      <c r="S40" s="861"/>
      <c r="T40" s="861"/>
      <c r="U40" s="862"/>
      <c r="V40" s="861"/>
      <c r="W40" s="863"/>
    </row>
    <row r="41" spans="1:23">
      <c r="A41" s="858">
        <f t="shared" si="0"/>
        <v>36</v>
      </c>
      <c r="B41" s="2671"/>
      <c r="C41" s="2674"/>
      <c r="D41" s="2677"/>
      <c r="E41" s="859"/>
      <c r="F41" s="859"/>
      <c r="G41" s="860"/>
      <c r="H41" s="860"/>
      <c r="I41" s="860"/>
      <c r="J41" s="860"/>
      <c r="K41" s="861"/>
      <c r="L41" s="861"/>
      <c r="M41" s="861"/>
      <c r="N41" s="861"/>
      <c r="O41" s="862"/>
      <c r="P41" s="861"/>
      <c r="Q41" s="862"/>
      <c r="R41" s="861"/>
      <c r="S41" s="861"/>
      <c r="T41" s="861"/>
      <c r="U41" s="862"/>
      <c r="V41" s="861"/>
      <c r="W41" s="863"/>
    </row>
    <row r="42" spans="1:23">
      <c r="A42" s="858">
        <f t="shared" si="0"/>
        <v>37</v>
      </c>
      <c r="B42" s="2671"/>
      <c r="C42" s="2674"/>
      <c r="D42" s="2677"/>
      <c r="E42" s="859"/>
      <c r="F42" s="859"/>
      <c r="G42" s="860"/>
      <c r="H42" s="860"/>
      <c r="I42" s="860"/>
      <c r="J42" s="860"/>
      <c r="K42" s="861"/>
      <c r="L42" s="861"/>
      <c r="M42" s="861"/>
      <c r="N42" s="861"/>
      <c r="O42" s="862"/>
      <c r="P42" s="861"/>
      <c r="Q42" s="862"/>
      <c r="R42" s="861"/>
      <c r="S42" s="861"/>
      <c r="T42" s="861"/>
      <c r="U42" s="862"/>
      <c r="V42" s="861"/>
      <c r="W42" s="863"/>
    </row>
    <row r="43" spans="1:23">
      <c r="A43" s="858">
        <f t="shared" si="0"/>
        <v>38</v>
      </c>
      <c r="B43" s="2671"/>
      <c r="C43" s="2674"/>
      <c r="D43" s="2677"/>
      <c r="E43" s="859"/>
      <c r="F43" s="859"/>
      <c r="G43" s="860"/>
      <c r="H43" s="860"/>
      <c r="I43" s="860"/>
      <c r="J43" s="860"/>
      <c r="K43" s="861"/>
      <c r="L43" s="861"/>
      <c r="M43" s="861"/>
      <c r="N43" s="861"/>
      <c r="O43" s="862"/>
      <c r="P43" s="861"/>
      <c r="Q43" s="862"/>
      <c r="R43" s="861"/>
      <c r="S43" s="861"/>
      <c r="T43" s="861"/>
      <c r="U43" s="862"/>
      <c r="V43" s="861"/>
      <c r="W43" s="863"/>
    </row>
    <row r="44" spans="1:23">
      <c r="A44" s="858">
        <f t="shared" si="0"/>
        <v>39</v>
      </c>
      <c r="B44" s="2671"/>
      <c r="C44" s="2674"/>
      <c r="D44" s="2677"/>
      <c r="E44" s="859"/>
      <c r="F44" s="859"/>
      <c r="G44" s="860"/>
      <c r="H44" s="860"/>
      <c r="I44" s="860"/>
      <c r="J44" s="860"/>
      <c r="K44" s="861"/>
      <c r="L44" s="861"/>
      <c r="M44" s="861"/>
      <c r="N44" s="861"/>
      <c r="O44" s="862"/>
      <c r="P44" s="861"/>
      <c r="Q44" s="862"/>
      <c r="R44" s="861"/>
      <c r="S44" s="861"/>
      <c r="T44" s="861"/>
      <c r="U44" s="862"/>
      <c r="V44" s="861"/>
      <c r="W44" s="863"/>
    </row>
    <row r="45" spans="1:23">
      <c r="A45" s="858">
        <f t="shared" si="0"/>
        <v>40</v>
      </c>
      <c r="B45" s="2671"/>
      <c r="C45" s="2674"/>
      <c r="D45" s="2677"/>
      <c r="E45" s="859"/>
      <c r="F45" s="859"/>
      <c r="G45" s="860"/>
      <c r="H45" s="860"/>
      <c r="I45" s="860"/>
      <c r="J45" s="860"/>
      <c r="K45" s="861"/>
      <c r="L45" s="861"/>
      <c r="M45" s="861"/>
      <c r="N45" s="861"/>
      <c r="O45" s="862"/>
      <c r="P45" s="861"/>
      <c r="Q45" s="862"/>
      <c r="R45" s="861"/>
      <c r="S45" s="861"/>
      <c r="T45" s="861"/>
      <c r="U45" s="862"/>
      <c r="V45" s="861"/>
      <c r="W45" s="863"/>
    </row>
    <row r="46" spans="1:23">
      <c r="A46" s="858">
        <f t="shared" si="0"/>
        <v>41</v>
      </c>
      <c r="B46" s="2671"/>
      <c r="C46" s="2674"/>
      <c r="D46" s="2677"/>
      <c r="E46" s="859"/>
      <c r="F46" s="859"/>
      <c r="G46" s="860"/>
      <c r="H46" s="860"/>
      <c r="I46" s="860"/>
      <c r="J46" s="860"/>
      <c r="K46" s="861"/>
      <c r="L46" s="861"/>
      <c r="M46" s="861"/>
      <c r="N46" s="861"/>
      <c r="O46" s="862"/>
      <c r="P46" s="861"/>
      <c r="Q46" s="862"/>
      <c r="R46" s="861"/>
      <c r="S46" s="861"/>
      <c r="T46" s="861"/>
      <c r="U46" s="862"/>
      <c r="V46" s="861"/>
      <c r="W46" s="863"/>
    </row>
    <row r="47" spans="1:23">
      <c r="A47" s="858">
        <f t="shared" si="0"/>
        <v>42</v>
      </c>
      <c r="B47" s="2671"/>
      <c r="C47" s="2674"/>
      <c r="D47" s="2677"/>
      <c r="E47" s="859"/>
      <c r="F47" s="859"/>
      <c r="G47" s="860"/>
      <c r="H47" s="860"/>
      <c r="I47" s="860"/>
      <c r="J47" s="860"/>
      <c r="K47" s="861"/>
      <c r="L47" s="861"/>
      <c r="M47" s="861"/>
      <c r="N47" s="861"/>
      <c r="O47" s="862"/>
      <c r="P47" s="861"/>
      <c r="Q47" s="862"/>
      <c r="R47" s="861"/>
      <c r="S47" s="861"/>
      <c r="T47" s="861"/>
      <c r="U47" s="862"/>
      <c r="V47" s="861"/>
      <c r="W47" s="863"/>
    </row>
    <row r="48" spans="1:23">
      <c r="A48" s="858">
        <f t="shared" si="0"/>
        <v>43</v>
      </c>
      <c r="B48" s="2671"/>
      <c r="C48" s="2674"/>
      <c r="D48" s="2677"/>
      <c r="E48" s="859"/>
      <c r="F48" s="859"/>
      <c r="G48" s="860"/>
      <c r="H48" s="860"/>
      <c r="I48" s="860"/>
      <c r="J48" s="860"/>
      <c r="K48" s="861"/>
      <c r="L48" s="861"/>
      <c r="M48" s="861"/>
      <c r="N48" s="861"/>
      <c r="O48" s="862"/>
      <c r="P48" s="861"/>
      <c r="Q48" s="862"/>
      <c r="R48" s="861"/>
      <c r="S48" s="861"/>
      <c r="T48" s="861"/>
      <c r="U48" s="862"/>
      <c r="V48" s="861"/>
      <c r="W48" s="863"/>
    </row>
    <row r="49" spans="1:23" ht="15" thickBot="1">
      <c r="A49" s="858">
        <f t="shared" si="0"/>
        <v>44</v>
      </c>
      <c r="B49" s="2671"/>
      <c r="C49" s="2675"/>
      <c r="D49" s="869" t="s">
        <v>588</v>
      </c>
      <c r="E49" s="872"/>
      <c r="F49" s="872"/>
      <c r="G49" s="872"/>
      <c r="H49" s="872"/>
      <c r="I49" s="872"/>
      <c r="J49" s="872"/>
      <c r="K49" s="872"/>
      <c r="L49" s="872"/>
      <c r="M49" s="871">
        <f>SUM(M39:M48)</f>
        <v>0</v>
      </c>
      <c r="N49" s="871">
        <f>SUM(N39:N48)</f>
        <v>0</v>
      </c>
      <c r="O49" s="872"/>
      <c r="P49" s="872"/>
      <c r="Q49" s="872"/>
      <c r="R49" s="872"/>
      <c r="S49" s="871">
        <f>SUM(S39:S48)</f>
        <v>0</v>
      </c>
      <c r="T49" s="872"/>
      <c r="U49" s="872"/>
      <c r="V49" s="872"/>
      <c r="W49" s="873"/>
    </row>
    <row r="50" spans="1:23">
      <c r="A50" s="858">
        <f t="shared" si="0"/>
        <v>45</v>
      </c>
      <c r="B50" s="2671"/>
      <c r="C50" s="2697" t="s">
        <v>589</v>
      </c>
      <c r="D50" s="2656" t="s">
        <v>590</v>
      </c>
      <c r="E50" s="853"/>
      <c r="F50" s="853"/>
      <c r="G50" s="854"/>
      <c r="H50" s="854"/>
      <c r="I50" s="854"/>
      <c r="J50" s="854"/>
      <c r="K50" s="855"/>
      <c r="L50" s="855"/>
      <c r="M50" s="855"/>
      <c r="N50" s="855"/>
      <c r="O50" s="856"/>
      <c r="P50" s="855"/>
      <c r="Q50" s="856"/>
      <c r="R50" s="855"/>
      <c r="S50" s="855"/>
      <c r="T50" s="855"/>
      <c r="U50" s="856"/>
      <c r="V50" s="855"/>
      <c r="W50" s="857"/>
    </row>
    <row r="51" spans="1:23">
      <c r="A51" s="858">
        <f t="shared" si="0"/>
        <v>46</v>
      </c>
      <c r="B51" s="2671"/>
      <c r="C51" s="2698"/>
      <c r="D51" s="2657"/>
      <c r="E51" s="859"/>
      <c r="F51" s="859"/>
      <c r="G51" s="860"/>
      <c r="H51" s="860"/>
      <c r="I51" s="860"/>
      <c r="J51" s="860"/>
      <c r="K51" s="861"/>
      <c r="L51" s="861"/>
      <c r="M51" s="861"/>
      <c r="N51" s="861"/>
      <c r="O51" s="862"/>
      <c r="P51" s="861"/>
      <c r="Q51" s="862"/>
      <c r="R51" s="861"/>
      <c r="S51" s="861"/>
      <c r="T51" s="861"/>
      <c r="U51" s="862"/>
      <c r="V51" s="861"/>
      <c r="W51" s="863"/>
    </row>
    <row r="52" spans="1:23">
      <c r="A52" s="858">
        <f t="shared" si="0"/>
        <v>47</v>
      </c>
      <c r="B52" s="2671"/>
      <c r="C52" s="2698"/>
      <c r="D52" s="2657"/>
      <c r="E52" s="859"/>
      <c r="F52" s="859"/>
      <c r="G52" s="860"/>
      <c r="H52" s="860"/>
      <c r="I52" s="860"/>
      <c r="J52" s="860"/>
      <c r="K52" s="861"/>
      <c r="L52" s="861"/>
      <c r="M52" s="861"/>
      <c r="N52" s="861"/>
      <c r="O52" s="862"/>
      <c r="P52" s="861"/>
      <c r="Q52" s="862"/>
      <c r="R52" s="861"/>
      <c r="S52" s="861"/>
      <c r="T52" s="861"/>
      <c r="U52" s="862"/>
      <c r="V52" s="861"/>
      <c r="W52" s="863"/>
    </row>
    <row r="53" spans="1:23">
      <c r="A53" s="858">
        <f t="shared" si="0"/>
        <v>48</v>
      </c>
      <c r="B53" s="2671"/>
      <c r="C53" s="2698"/>
      <c r="D53" s="2657"/>
      <c r="E53" s="859"/>
      <c r="F53" s="859"/>
      <c r="G53" s="860"/>
      <c r="H53" s="860"/>
      <c r="I53" s="860"/>
      <c r="J53" s="860"/>
      <c r="K53" s="861"/>
      <c r="L53" s="861"/>
      <c r="M53" s="861"/>
      <c r="N53" s="861"/>
      <c r="O53" s="862"/>
      <c r="P53" s="861"/>
      <c r="Q53" s="862"/>
      <c r="R53" s="861"/>
      <c r="S53" s="861"/>
      <c r="T53" s="861"/>
      <c r="U53" s="862"/>
      <c r="V53" s="861"/>
      <c r="W53" s="863"/>
    </row>
    <row r="54" spans="1:23">
      <c r="A54" s="858">
        <f t="shared" si="0"/>
        <v>49</v>
      </c>
      <c r="B54" s="2671"/>
      <c r="C54" s="2698"/>
      <c r="D54" s="2657"/>
      <c r="E54" s="859"/>
      <c r="F54" s="859"/>
      <c r="G54" s="860"/>
      <c r="H54" s="860"/>
      <c r="I54" s="860"/>
      <c r="J54" s="860"/>
      <c r="K54" s="861"/>
      <c r="L54" s="861"/>
      <c r="M54" s="861"/>
      <c r="N54" s="861"/>
      <c r="O54" s="862"/>
      <c r="P54" s="861"/>
      <c r="Q54" s="862"/>
      <c r="R54" s="861"/>
      <c r="S54" s="861"/>
      <c r="T54" s="861"/>
      <c r="U54" s="862"/>
      <c r="V54" s="861"/>
      <c r="W54" s="863"/>
    </row>
    <row r="55" spans="1:23">
      <c r="A55" s="858">
        <f t="shared" si="0"/>
        <v>50</v>
      </c>
      <c r="B55" s="2671"/>
      <c r="C55" s="2698"/>
      <c r="D55" s="2657"/>
      <c r="E55" s="859"/>
      <c r="F55" s="859"/>
      <c r="G55" s="860"/>
      <c r="H55" s="860"/>
      <c r="I55" s="860"/>
      <c r="J55" s="860"/>
      <c r="K55" s="861"/>
      <c r="L55" s="861"/>
      <c r="M55" s="861"/>
      <c r="N55" s="861"/>
      <c r="O55" s="862"/>
      <c r="P55" s="861"/>
      <c r="Q55" s="862"/>
      <c r="R55" s="861"/>
      <c r="S55" s="861"/>
      <c r="T55" s="861"/>
      <c r="U55" s="862"/>
      <c r="V55" s="861"/>
      <c r="W55" s="863"/>
    </row>
    <row r="56" spans="1:23">
      <c r="A56" s="858">
        <f t="shared" si="0"/>
        <v>51</v>
      </c>
      <c r="B56" s="2671"/>
      <c r="C56" s="2698"/>
      <c r="D56" s="2657"/>
      <c r="E56" s="859"/>
      <c r="F56" s="859"/>
      <c r="G56" s="860"/>
      <c r="H56" s="860"/>
      <c r="I56" s="860"/>
      <c r="J56" s="860"/>
      <c r="K56" s="861"/>
      <c r="L56" s="861"/>
      <c r="M56" s="861"/>
      <c r="N56" s="861"/>
      <c r="O56" s="862"/>
      <c r="P56" s="861"/>
      <c r="Q56" s="862"/>
      <c r="R56" s="861"/>
      <c r="S56" s="861"/>
      <c r="T56" s="861"/>
      <c r="U56" s="862"/>
      <c r="V56" s="861"/>
      <c r="W56" s="863"/>
    </row>
    <row r="57" spans="1:23">
      <c r="A57" s="858">
        <f t="shared" si="0"/>
        <v>52</v>
      </c>
      <c r="B57" s="2671"/>
      <c r="C57" s="2698"/>
      <c r="D57" s="2657"/>
      <c r="E57" s="859"/>
      <c r="F57" s="859"/>
      <c r="G57" s="860"/>
      <c r="H57" s="860"/>
      <c r="I57" s="860"/>
      <c r="J57" s="860"/>
      <c r="K57" s="861"/>
      <c r="L57" s="861"/>
      <c r="M57" s="861"/>
      <c r="N57" s="861"/>
      <c r="O57" s="862"/>
      <c r="P57" s="861"/>
      <c r="Q57" s="862"/>
      <c r="R57" s="861"/>
      <c r="S57" s="861"/>
      <c r="T57" s="861"/>
      <c r="U57" s="862"/>
      <c r="V57" s="861"/>
      <c r="W57" s="863"/>
    </row>
    <row r="58" spans="1:23">
      <c r="A58" s="858">
        <f t="shared" si="0"/>
        <v>53</v>
      </c>
      <c r="B58" s="2671"/>
      <c r="C58" s="2698"/>
      <c r="D58" s="2657"/>
      <c r="E58" s="859"/>
      <c r="F58" s="859"/>
      <c r="G58" s="860"/>
      <c r="H58" s="860"/>
      <c r="I58" s="860"/>
      <c r="J58" s="860"/>
      <c r="K58" s="861"/>
      <c r="L58" s="861"/>
      <c r="M58" s="861"/>
      <c r="N58" s="861"/>
      <c r="O58" s="862"/>
      <c r="P58" s="861"/>
      <c r="Q58" s="862"/>
      <c r="R58" s="861"/>
      <c r="S58" s="861"/>
      <c r="T58" s="861"/>
      <c r="U58" s="862"/>
      <c r="V58" s="861"/>
      <c r="W58" s="863"/>
    </row>
    <row r="59" spans="1:23">
      <c r="A59" s="858">
        <f t="shared" si="0"/>
        <v>54</v>
      </c>
      <c r="B59" s="2671"/>
      <c r="C59" s="2698"/>
      <c r="D59" s="2657"/>
      <c r="E59" s="859"/>
      <c r="F59" s="859"/>
      <c r="G59" s="860"/>
      <c r="H59" s="860"/>
      <c r="I59" s="860"/>
      <c r="J59" s="860"/>
      <c r="K59" s="861"/>
      <c r="L59" s="861"/>
      <c r="M59" s="861"/>
      <c r="N59" s="861"/>
      <c r="O59" s="862"/>
      <c r="P59" s="861"/>
      <c r="Q59" s="862"/>
      <c r="R59" s="861"/>
      <c r="S59" s="861"/>
      <c r="T59" s="861"/>
      <c r="U59" s="862"/>
      <c r="V59" s="861"/>
      <c r="W59" s="863"/>
    </row>
    <row r="60" spans="1:23" ht="14.25">
      <c r="A60" s="858">
        <f t="shared" si="0"/>
        <v>55</v>
      </c>
      <c r="B60" s="2671"/>
      <c r="C60" s="2698"/>
      <c r="D60" s="2234" t="s">
        <v>588</v>
      </c>
      <c r="E60" s="866"/>
      <c r="F60" s="866"/>
      <c r="G60" s="866"/>
      <c r="H60" s="866"/>
      <c r="I60" s="866"/>
      <c r="J60" s="866"/>
      <c r="K60" s="866"/>
      <c r="L60" s="866"/>
      <c r="M60" s="861">
        <f>SUM(M50:M59)</f>
        <v>0</v>
      </c>
      <c r="N60" s="861">
        <f>SUM(N50:N59)</f>
        <v>0</v>
      </c>
      <c r="O60" s="866"/>
      <c r="P60" s="866"/>
      <c r="Q60" s="866"/>
      <c r="R60" s="866"/>
      <c r="S60" s="861">
        <f>SUM(S50:S59)</f>
        <v>0</v>
      </c>
      <c r="T60" s="866"/>
      <c r="U60" s="866"/>
      <c r="V60" s="866"/>
      <c r="W60" s="874"/>
    </row>
    <row r="61" spans="1:23" ht="14.25" customHeight="1">
      <c r="A61" s="858">
        <f t="shared" si="0"/>
        <v>56</v>
      </c>
      <c r="B61" s="2671"/>
      <c r="C61" s="2698"/>
      <c r="D61" s="2686" t="s">
        <v>1683</v>
      </c>
      <c r="E61" s="859"/>
      <c r="F61" s="859"/>
      <c r="G61" s="860"/>
      <c r="H61" s="860"/>
      <c r="I61" s="860"/>
      <c r="J61" s="860"/>
      <c r="K61" s="861"/>
      <c r="L61" s="861"/>
      <c r="M61" s="861"/>
      <c r="N61" s="861"/>
      <c r="O61" s="862"/>
      <c r="P61" s="861"/>
      <c r="Q61" s="862"/>
      <c r="R61" s="861"/>
      <c r="S61" s="861"/>
      <c r="T61" s="861"/>
      <c r="U61" s="862"/>
      <c r="V61" s="861"/>
      <c r="W61" s="863"/>
    </row>
    <row r="62" spans="1:23">
      <c r="A62" s="858">
        <f t="shared" si="0"/>
        <v>57</v>
      </c>
      <c r="B62" s="2671"/>
      <c r="C62" s="2698"/>
      <c r="D62" s="2687"/>
      <c r="E62" s="859"/>
      <c r="F62" s="859"/>
      <c r="G62" s="860"/>
      <c r="H62" s="860"/>
      <c r="I62" s="860"/>
      <c r="J62" s="860"/>
      <c r="K62" s="861"/>
      <c r="L62" s="861"/>
      <c r="M62" s="861"/>
      <c r="N62" s="861"/>
      <c r="O62" s="862"/>
      <c r="P62" s="862"/>
      <c r="Q62" s="862"/>
      <c r="R62" s="862"/>
      <c r="S62" s="861"/>
      <c r="T62" s="861"/>
      <c r="U62" s="875"/>
      <c r="V62" s="861"/>
      <c r="W62" s="863"/>
    </row>
    <row r="63" spans="1:23">
      <c r="A63" s="858">
        <f t="shared" si="0"/>
        <v>58</v>
      </c>
      <c r="B63" s="2671"/>
      <c r="C63" s="2698"/>
      <c r="D63" s="2687"/>
      <c r="E63" s="859"/>
      <c r="F63" s="859"/>
      <c r="G63" s="860"/>
      <c r="H63" s="860"/>
      <c r="I63" s="860"/>
      <c r="J63" s="860"/>
      <c r="K63" s="861"/>
      <c r="L63" s="861"/>
      <c r="M63" s="861"/>
      <c r="N63" s="861"/>
      <c r="O63" s="862"/>
      <c r="P63" s="862"/>
      <c r="Q63" s="862"/>
      <c r="R63" s="862"/>
      <c r="S63" s="861"/>
      <c r="T63" s="861"/>
      <c r="U63" s="875"/>
      <c r="V63" s="861"/>
      <c r="W63" s="863"/>
    </row>
    <row r="64" spans="1:23">
      <c r="A64" s="858">
        <f t="shared" si="0"/>
        <v>59</v>
      </c>
      <c r="B64" s="2671"/>
      <c r="C64" s="2698"/>
      <c r="D64" s="2687"/>
      <c r="E64" s="859"/>
      <c r="F64" s="859"/>
      <c r="G64" s="860"/>
      <c r="H64" s="860"/>
      <c r="I64" s="860"/>
      <c r="J64" s="860"/>
      <c r="K64" s="861"/>
      <c r="L64" s="861"/>
      <c r="M64" s="861"/>
      <c r="N64" s="861"/>
      <c r="O64" s="862"/>
      <c r="P64" s="862"/>
      <c r="Q64" s="862"/>
      <c r="R64" s="862"/>
      <c r="S64" s="861"/>
      <c r="T64" s="861"/>
      <c r="U64" s="875"/>
      <c r="V64" s="861"/>
      <c r="W64" s="863"/>
    </row>
    <row r="65" spans="1:23">
      <c r="A65" s="858">
        <f t="shared" si="0"/>
        <v>60</v>
      </c>
      <c r="B65" s="2671"/>
      <c r="C65" s="2698"/>
      <c r="D65" s="2687"/>
      <c r="E65" s="859"/>
      <c r="F65" s="859"/>
      <c r="G65" s="860"/>
      <c r="H65" s="860"/>
      <c r="I65" s="860"/>
      <c r="J65" s="860"/>
      <c r="K65" s="861"/>
      <c r="L65" s="861"/>
      <c r="M65" s="861"/>
      <c r="N65" s="861"/>
      <c r="O65" s="862"/>
      <c r="P65" s="862"/>
      <c r="Q65" s="862"/>
      <c r="R65" s="862"/>
      <c r="S65" s="861"/>
      <c r="T65" s="861"/>
      <c r="U65" s="875"/>
      <c r="V65" s="861"/>
      <c r="W65" s="863"/>
    </row>
    <row r="66" spans="1:23">
      <c r="A66" s="858">
        <f t="shared" si="0"/>
        <v>61</v>
      </c>
      <c r="B66" s="2671"/>
      <c r="C66" s="2698"/>
      <c r="D66" s="2687"/>
      <c r="E66" s="859"/>
      <c r="F66" s="859"/>
      <c r="G66" s="860"/>
      <c r="H66" s="860"/>
      <c r="I66" s="860"/>
      <c r="J66" s="860"/>
      <c r="K66" s="861"/>
      <c r="L66" s="861"/>
      <c r="M66" s="861"/>
      <c r="N66" s="861"/>
      <c r="O66" s="862"/>
      <c r="P66" s="862"/>
      <c r="Q66" s="862"/>
      <c r="R66" s="862"/>
      <c r="S66" s="861"/>
      <c r="T66" s="861"/>
      <c r="U66" s="875"/>
      <c r="V66" s="861"/>
      <c r="W66" s="863"/>
    </row>
    <row r="67" spans="1:23">
      <c r="A67" s="858">
        <f t="shared" si="0"/>
        <v>62</v>
      </c>
      <c r="B67" s="2671"/>
      <c r="C67" s="2698"/>
      <c r="D67" s="2687"/>
      <c r="E67" s="859"/>
      <c r="F67" s="859"/>
      <c r="G67" s="860"/>
      <c r="H67" s="860"/>
      <c r="I67" s="860"/>
      <c r="J67" s="860"/>
      <c r="K67" s="861"/>
      <c r="L67" s="861"/>
      <c r="M67" s="861"/>
      <c r="N67" s="861"/>
      <c r="O67" s="862"/>
      <c r="P67" s="862"/>
      <c r="Q67" s="862"/>
      <c r="R67" s="862"/>
      <c r="S67" s="861"/>
      <c r="T67" s="861"/>
      <c r="U67" s="875"/>
      <c r="V67" s="861"/>
      <c r="W67" s="863"/>
    </row>
    <row r="68" spans="1:23">
      <c r="A68" s="858">
        <f t="shared" si="0"/>
        <v>63</v>
      </c>
      <c r="B68" s="2671"/>
      <c r="C68" s="2698"/>
      <c r="D68" s="2687"/>
      <c r="E68" s="859"/>
      <c r="F68" s="859"/>
      <c r="G68" s="860"/>
      <c r="H68" s="860"/>
      <c r="I68" s="860"/>
      <c r="J68" s="860"/>
      <c r="K68" s="861"/>
      <c r="L68" s="861"/>
      <c r="M68" s="861"/>
      <c r="N68" s="861"/>
      <c r="O68" s="862"/>
      <c r="P68" s="862"/>
      <c r="Q68" s="862"/>
      <c r="R68" s="862"/>
      <c r="S68" s="861"/>
      <c r="T68" s="861"/>
      <c r="U68" s="875"/>
      <c r="V68" s="861"/>
      <c r="W68" s="863"/>
    </row>
    <row r="69" spans="1:23">
      <c r="A69" s="858">
        <f t="shared" si="0"/>
        <v>64</v>
      </c>
      <c r="B69" s="2671"/>
      <c r="C69" s="2698"/>
      <c r="D69" s="2687"/>
      <c r="E69" s="859"/>
      <c r="F69" s="859"/>
      <c r="G69" s="860"/>
      <c r="H69" s="860"/>
      <c r="I69" s="860"/>
      <c r="J69" s="860"/>
      <c r="K69" s="861"/>
      <c r="L69" s="861"/>
      <c r="M69" s="861"/>
      <c r="N69" s="861"/>
      <c r="O69" s="862"/>
      <c r="P69" s="862"/>
      <c r="Q69" s="862"/>
      <c r="R69" s="862"/>
      <c r="S69" s="861"/>
      <c r="T69" s="861"/>
      <c r="U69" s="875"/>
      <c r="V69" s="861"/>
      <c r="W69" s="863"/>
    </row>
    <row r="70" spans="1:23">
      <c r="A70" s="858">
        <f t="shared" si="0"/>
        <v>65</v>
      </c>
      <c r="B70" s="2671"/>
      <c r="C70" s="2698"/>
      <c r="D70" s="2687"/>
      <c r="E70" s="859"/>
      <c r="F70" s="859"/>
      <c r="G70" s="860"/>
      <c r="H70" s="860"/>
      <c r="I70" s="860"/>
      <c r="J70" s="860"/>
      <c r="K70" s="861"/>
      <c r="L70" s="861"/>
      <c r="M70" s="861"/>
      <c r="N70" s="861"/>
      <c r="O70" s="862"/>
      <c r="P70" s="862"/>
      <c r="Q70" s="862"/>
      <c r="R70" s="862"/>
      <c r="S70" s="861"/>
      <c r="T70" s="861"/>
      <c r="U70" s="875"/>
      <c r="V70" s="861"/>
      <c r="W70" s="863"/>
    </row>
    <row r="71" spans="1:23" ht="16.5">
      <c r="A71" s="858">
        <f t="shared" si="0"/>
        <v>66</v>
      </c>
      <c r="B71" s="2671"/>
      <c r="C71" s="2698"/>
      <c r="D71" s="2233" t="s">
        <v>1408</v>
      </c>
      <c r="E71" s="866"/>
      <c r="F71" s="866"/>
      <c r="G71" s="866"/>
      <c r="H71" s="866"/>
      <c r="I71" s="866"/>
      <c r="J71" s="866"/>
      <c r="K71" s="866"/>
      <c r="L71" s="866"/>
      <c r="M71" s="861">
        <f>SUM(M61:M70)</f>
        <v>0</v>
      </c>
      <c r="N71" s="861">
        <f>SUM(N61:N70)</f>
        <v>0</v>
      </c>
      <c r="O71" s="866"/>
      <c r="P71" s="866"/>
      <c r="Q71" s="866"/>
      <c r="R71" s="866"/>
      <c r="S71" s="861">
        <f>SUM(S61:S70)</f>
        <v>0</v>
      </c>
      <c r="T71" s="866"/>
      <c r="U71" s="866"/>
      <c r="V71" s="866"/>
      <c r="W71" s="874"/>
    </row>
    <row r="72" spans="1:23" ht="14.25" customHeight="1">
      <c r="A72" s="858">
        <f t="shared" ref="A72:A135" si="1">A71+1</f>
        <v>67</v>
      </c>
      <c r="B72" s="2671"/>
      <c r="C72" s="2698"/>
      <c r="D72" s="2677" t="s">
        <v>1682</v>
      </c>
      <c r="E72" s="859"/>
      <c r="F72" s="859"/>
      <c r="G72" s="860"/>
      <c r="H72" s="860"/>
      <c r="I72" s="860"/>
      <c r="J72" s="860"/>
      <c r="K72" s="861"/>
      <c r="L72" s="861"/>
      <c r="M72" s="861"/>
      <c r="N72" s="861"/>
      <c r="O72" s="862"/>
      <c r="P72" s="862"/>
      <c r="Q72" s="862"/>
      <c r="R72" s="862"/>
      <c r="S72" s="861"/>
      <c r="T72" s="861"/>
      <c r="U72" s="875"/>
      <c r="V72" s="861"/>
      <c r="W72" s="863"/>
    </row>
    <row r="73" spans="1:23">
      <c r="A73" s="858">
        <f t="shared" si="1"/>
        <v>68</v>
      </c>
      <c r="B73" s="2671"/>
      <c r="C73" s="2698"/>
      <c r="D73" s="2677"/>
      <c r="E73" s="859"/>
      <c r="F73" s="859"/>
      <c r="G73" s="860"/>
      <c r="H73" s="860"/>
      <c r="I73" s="860"/>
      <c r="J73" s="860"/>
      <c r="K73" s="861"/>
      <c r="L73" s="861"/>
      <c r="M73" s="861"/>
      <c r="N73" s="861"/>
      <c r="O73" s="862"/>
      <c r="P73" s="862"/>
      <c r="Q73" s="862"/>
      <c r="R73" s="862"/>
      <c r="S73" s="861"/>
      <c r="T73" s="861"/>
      <c r="U73" s="875"/>
      <c r="V73" s="861"/>
      <c r="W73" s="863"/>
    </row>
    <row r="74" spans="1:23">
      <c r="A74" s="858">
        <f t="shared" si="1"/>
        <v>69</v>
      </c>
      <c r="B74" s="2671"/>
      <c r="C74" s="2698"/>
      <c r="D74" s="2677"/>
      <c r="E74" s="859"/>
      <c r="F74" s="859"/>
      <c r="G74" s="860"/>
      <c r="H74" s="860"/>
      <c r="I74" s="860"/>
      <c r="J74" s="860"/>
      <c r="K74" s="861"/>
      <c r="L74" s="861"/>
      <c r="M74" s="861"/>
      <c r="N74" s="861"/>
      <c r="O74" s="862"/>
      <c r="P74" s="862"/>
      <c r="Q74" s="862"/>
      <c r="R74" s="862"/>
      <c r="S74" s="861"/>
      <c r="T74" s="861"/>
      <c r="U74" s="875"/>
      <c r="V74" s="861"/>
      <c r="W74" s="863"/>
    </row>
    <row r="75" spans="1:23">
      <c r="A75" s="858">
        <f t="shared" si="1"/>
        <v>70</v>
      </c>
      <c r="B75" s="2671"/>
      <c r="C75" s="2698"/>
      <c r="D75" s="2677"/>
      <c r="E75" s="859"/>
      <c r="F75" s="859"/>
      <c r="G75" s="860"/>
      <c r="H75" s="860"/>
      <c r="I75" s="860"/>
      <c r="J75" s="860"/>
      <c r="K75" s="861"/>
      <c r="L75" s="861"/>
      <c r="M75" s="861"/>
      <c r="N75" s="861"/>
      <c r="O75" s="862"/>
      <c r="P75" s="862"/>
      <c r="Q75" s="862"/>
      <c r="R75" s="862"/>
      <c r="S75" s="861"/>
      <c r="T75" s="861"/>
      <c r="U75" s="875"/>
      <c r="V75" s="861"/>
      <c r="W75" s="863"/>
    </row>
    <row r="76" spans="1:23">
      <c r="A76" s="858">
        <f t="shared" si="1"/>
        <v>71</v>
      </c>
      <c r="B76" s="2671"/>
      <c r="C76" s="2698"/>
      <c r="D76" s="2677"/>
      <c r="E76" s="859"/>
      <c r="F76" s="859"/>
      <c r="G76" s="860"/>
      <c r="H76" s="860"/>
      <c r="I76" s="860"/>
      <c r="J76" s="860"/>
      <c r="K76" s="861"/>
      <c r="L76" s="861"/>
      <c r="M76" s="861"/>
      <c r="N76" s="861"/>
      <c r="O76" s="862"/>
      <c r="P76" s="862"/>
      <c r="Q76" s="862"/>
      <c r="R76" s="862"/>
      <c r="S76" s="861"/>
      <c r="T76" s="861"/>
      <c r="U76" s="875"/>
      <c r="V76" s="861"/>
      <c r="W76" s="863"/>
    </row>
    <row r="77" spans="1:23">
      <c r="A77" s="858">
        <f t="shared" si="1"/>
        <v>72</v>
      </c>
      <c r="B77" s="2671"/>
      <c r="C77" s="2698"/>
      <c r="D77" s="2677"/>
      <c r="E77" s="859"/>
      <c r="F77" s="859"/>
      <c r="G77" s="860"/>
      <c r="H77" s="860"/>
      <c r="I77" s="860"/>
      <c r="J77" s="860"/>
      <c r="K77" s="861"/>
      <c r="L77" s="861"/>
      <c r="M77" s="861"/>
      <c r="N77" s="861"/>
      <c r="O77" s="862"/>
      <c r="P77" s="862"/>
      <c r="Q77" s="862"/>
      <c r="R77" s="862"/>
      <c r="S77" s="861"/>
      <c r="T77" s="861"/>
      <c r="U77" s="875"/>
      <c r="V77" s="861"/>
      <c r="W77" s="863"/>
    </row>
    <row r="78" spans="1:23">
      <c r="A78" s="858">
        <f t="shared" si="1"/>
        <v>73</v>
      </c>
      <c r="B78" s="2671"/>
      <c r="C78" s="2698"/>
      <c r="D78" s="2677"/>
      <c r="E78" s="859"/>
      <c r="F78" s="859"/>
      <c r="G78" s="860"/>
      <c r="H78" s="860"/>
      <c r="I78" s="860"/>
      <c r="J78" s="860"/>
      <c r="K78" s="861"/>
      <c r="L78" s="861"/>
      <c r="M78" s="861"/>
      <c r="N78" s="861"/>
      <c r="O78" s="862"/>
      <c r="P78" s="861"/>
      <c r="Q78" s="862"/>
      <c r="R78" s="861"/>
      <c r="S78" s="861"/>
      <c r="T78" s="861"/>
      <c r="U78" s="862"/>
      <c r="V78" s="861"/>
      <c r="W78" s="863"/>
    </row>
    <row r="79" spans="1:23">
      <c r="A79" s="858">
        <f t="shared" si="1"/>
        <v>74</v>
      </c>
      <c r="B79" s="2671"/>
      <c r="C79" s="2698"/>
      <c r="D79" s="2677"/>
      <c r="E79" s="859"/>
      <c r="F79" s="859"/>
      <c r="G79" s="860"/>
      <c r="H79" s="860"/>
      <c r="I79" s="860"/>
      <c r="J79" s="860"/>
      <c r="K79" s="861"/>
      <c r="L79" s="861"/>
      <c r="M79" s="861"/>
      <c r="N79" s="861"/>
      <c r="O79" s="862"/>
      <c r="P79" s="861"/>
      <c r="Q79" s="862"/>
      <c r="R79" s="861"/>
      <c r="S79" s="861"/>
      <c r="T79" s="861"/>
      <c r="U79" s="862"/>
      <c r="V79" s="861"/>
      <c r="W79" s="863"/>
    </row>
    <row r="80" spans="1:23">
      <c r="A80" s="858">
        <f t="shared" si="1"/>
        <v>75</v>
      </c>
      <c r="B80" s="2671"/>
      <c r="C80" s="2698"/>
      <c r="D80" s="2677"/>
      <c r="E80" s="859"/>
      <c r="F80" s="859"/>
      <c r="G80" s="860"/>
      <c r="H80" s="860"/>
      <c r="I80" s="860"/>
      <c r="J80" s="860"/>
      <c r="K80" s="861"/>
      <c r="L80" s="861"/>
      <c r="M80" s="861"/>
      <c r="N80" s="861"/>
      <c r="O80" s="862"/>
      <c r="P80" s="861"/>
      <c r="Q80" s="862"/>
      <c r="R80" s="861"/>
      <c r="S80" s="861"/>
      <c r="T80" s="861"/>
      <c r="U80" s="862"/>
      <c r="V80" s="861"/>
      <c r="W80" s="863"/>
    </row>
    <row r="81" spans="1:23">
      <c r="A81" s="858">
        <f t="shared" si="1"/>
        <v>76</v>
      </c>
      <c r="B81" s="2671"/>
      <c r="C81" s="2698"/>
      <c r="D81" s="2677"/>
      <c r="E81" s="859"/>
      <c r="F81" s="859"/>
      <c r="G81" s="860"/>
      <c r="H81" s="860"/>
      <c r="I81" s="860"/>
      <c r="J81" s="860"/>
      <c r="K81" s="861"/>
      <c r="L81" s="861"/>
      <c r="M81" s="861"/>
      <c r="N81" s="861"/>
      <c r="O81" s="862"/>
      <c r="P81" s="861"/>
      <c r="Q81" s="862"/>
      <c r="R81" s="861"/>
      <c r="S81" s="861"/>
      <c r="T81" s="861"/>
      <c r="U81" s="862"/>
      <c r="V81" s="861"/>
      <c r="W81" s="863"/>
    </row>
    <row r="82" spans="1:23" ht="15" thickBot="1">
      <c r="A82" s="858">
        <f t="shared" si="1"/>
        <v>77</v>
      </c>
      <c r="B82" s="2671"/>
      <c r="C82" s="2699"/>
      <c r="D82" s="869" t="s">
        <v>588</v>
      </c>
      <c r="E82" s="872"/>
      <c r="F82" s="872"/>
      <c r="G82" s="872"/>
      <c r="H82" s="872"/>
      <c r="I82" s="872"/>
      <c r="J82" s="872"/>
      <c r="K82" s="872"/>
      <c r="L82" s="872"/>
      <c r="M82" s="871">
        <f>SUM(M72:M81)</f>
        <v>0</v>
      </c>
      <c r="N82" s="871">
        <f>SUM(N72:N81)</f>
        <v>0</v>
      </c>
      <c r="O82" s="872"/>
      <c r="P82" s="872"/>
      <c r="Q82" s="872"/>
      <c r="R82" s="872"/>
      <c r="S82" s="871">
        <f>SUM(S72:S81)</f>
        <v>0</v>
      </c>
      <c r="T82" s="872"/>
      <c r="U82" s="872"/>
      <c r="V82" s="872"/>
      <c r="W82" s="873"/>
    </row>
    <row r="83" spans="1:23" ht="16.5" customHeight="1">
      <c r="A83" s="858">
        <f t="shared" si="1"/>
        <v>78</v>
      </c>
      <c r="B83" s="2671"/>
      <c r="C83" s="2673" t="s">
        <v>591</v>
      </c>
      <c r="D83" s="2700" t="s">
        <v>592</v>
      </c>
      <c r="E83" s="853"/>
      <c r="F83" s="853"/>
      <c r="G83" s="854"/>
      <c r="H83" s="854"/>
      <c r="I83" s="854"/>
      <c r="J83" s="854"/>
      <c r="K83" s="855"/>
      <c r="L83" s="855"/>
      <c r="M83" s="855"/>
      <c r="N83" s="855"/>
      <c r="O83" s="856"/>
      <c r="P83" s="855"/>
      <c r="Q83" s="856"/>
      <c r="R83" s="855"/>
      <c r="S83" s="855"/>
      <c r="T83" s="876"/>
      <c r="U83" s="856"/>
      <c r="V83" s="855"/>
      <c r="W83" s="857"/>
    </row>
    <row r="84" spans="1:23">
      <c r="A84" s="858">
        <f t="shared" si="1"/>
        <v>79</v>
      </c>
      <c r="B84" s="2671"/>
      <c r="C84" s="2674"/>
      <c r="D84" s="2703"/>
      <c r="E84" s="859"/>
      <c r="F84" s="859"/>
      <c r="G84" s="860"/>
      <c r="H84" s="860"/>
      <c r="I84" s="860"/>
      <c r="J84" s="860"/>
      <c r="K84" s="861"/>
      <c r="L84" s="861"/>
      <c r="M84" s="861"/>
      <c r="N84" s="861"/>
      <c r="O84" s="862"/>
      <c r="P84" s="861"/>
      <c r="Q84" s="862"/>
      <c r="R84" s="861"/>
      <c r="S84" s="861"/>
      <c r="T84" s="875"/>
      <c r="U84" s="862"/>
      <c r="V84" s="861"/>
      <c r="W84" s="863"/>
    </row>
    <row r="85" spans="1:23">
      <c r="A85" s="858">
        <f t="shared" si="1"/>
        <v>80</v>
      </c>
      <c r="B85" s="2671"/>
      <c r="C85" s="2674"/>
      <c r="D85" s="2703"/>
      <c r="E85" s="859"/>
      <c r="F85" s="859"/>
      <c r="G85" s="860"/>
      <c r="H85" s="860"/>
      <c r="I85" s="860"/>
      <c r="J85" s="860"/>
      <c r="K85" s="861"/>
      <c r="L85" s="861"/>
      <c r="M85" s="861"/>
      <c r="N85" s="861"/>
      <c r="O85" s="862"/>
      <c r="P85" s="861"/>
      <c r="Q85" s="862"/>
      <c r="R85" s="861"/>
      <c r="S85" s="861"/>
      <c r="T85" s="875"/>
      <c r="U85" s="862"/>
      <c r="V85" s="861"/>
      <c r="W85" s="863"/>
    </row>
    <row r="86" spans="1:23">
      <c r="A86" s="858">
        <f t="shared" si="1"/>
        <v>81</v>
      </c>
      <c r="B86" s="2671"/>
      <c r="C86" s="2674"/>
      <c r="D86" s="2703"/>
      <c r="E86" s="859"/>
      <c r="F86" s="859"/>
      <c r="G86" s="860"/>
      <c r="H86" s="860"/>
      <c r="I86" s="860"/>
      <c r="J86" s="860"/>
      <c r="K86" s="861"/>
      <c r="L86" s="861"/>
      <c r="M86" s="861"/>
      <c r="N86" s="861"/>
      <c r="O86" s="862"/>
      <c r="P86" s="861"/>
      <c r="Q86" s="862"/>
      <c r="R86" s="861"/>
      <c r="S86" s="861"/>
      <c r="T86" s="875"/>
      <c r="U86" s="862"/>
      <c r="V86" s="861"/>
      <c r="W86" s="863"/>
    </row>
    <row r="87" spans="1:23">
      <c r="A87" s="858">
        <f t="shared" si="1"/>
        <v>82</v>
      </c>
      <c r="B87" s="2671"/>
      <c r="C87" s="2674"/>
      <c r="D87" s="2703"/>
      <c r="E87" s="859"/>
      <c r="F87" s="859"/>
      <c r="G87" s="860"/>
      <c r="H87" s="860"/>
      <c r="I87" s="860"/>
      <c r="J87" s="860"/>
      <c r="K87" s="861"/>
      <c r="L87" s="861"/>
      <c r="M87" s="861"/>
      <c r="N87" s="861"/>
      <c r="O87" s="862"/>
      <c r="P87" s="861"/>
      <c r="Q87" s="862"/>
      <c r="R87" s="861"/>
      <c r="S87" s="861"/>
      <c r="T87" s="875"/>
      <c r="U87" s="862"/>
      <c r="V87" s="861"/>
      <c r="W87" s="863"/>
    </row>
    <row r="88" spans="1:23">
      <c r="A88" s="858">
        <f t="shared" si="1"/>
        <v>83</v>
      </c>
      <c r="B88" s="2671"/>
      <c r="C88" s="2674"/>
      <c r="D88" s="2703"/>
      <c r="E88" s="859"/>
      <c r="F88" s="859"/>
      <c r="G88" s="860"/>
      <c r="H88" s="860"/>
      <c r="I88" s="860"/>
      <c r="J88" s="860"/>
      <c r="K88" s="861"/>
      <c r="L88" s="861"/>
      <c r="M88" s="861"/>
      <c r="N88" s="861"/>
      <c r="O88" s="862"/>
      <c r="P88" s="861"/>
      <c r="Q88" s="862"/>
      <c r="R88" s="861"/>
      <c r="S88" s="861"/>
      <c r="T88" s="875"/>
      <c r="U88" s="862"/>
      <c r="V88" s="861"/>
      <c r="W88" s="863"/>
    </row>
    <row r="89" spans="1:23" ht="14.25">
      <c r="A89" s="858">
        <f t="shared" si="1"/>
        <v>84</v>
      </c>
      <c r="B89" s="2671"/>
      <c r="C89" s="2674"/>
      <c r="D89" s="2234" t="s">
        <v>588</v>
      </c>
      <c r="E89" s="866"/>
      <c r="F89" s="866"/>
      <c r="G89" s="866"/>
      <c r="H89" s="866"/>
      <c r="I89" s="866"/>
      <c r="J89" s="866"/>
      <c r="K89" s="866"/>
      <c r="L89" s="866"/>
      <c r="M89" s="861">
        <f>SUM(M83:M88)</f>
        <v>0</v>
      </c>
      <c r="N89" s="861">
        <f>SUM(N83:N88)</f>
        <v>0</v>
      </c>
      <c r="O89" s="866"/>
      <c r="P89" s="866"/>
      <c r="Q89" s="866"/>
      <c r="R89" s="866"/>
      <c r="S89" s="861">
        <f>SUM(S83:S88)</f>
        <v>0</v>
      </c>
      <c r="T89" s="866"/>
      <c r="U89" s="866"/>
      <c r="V89" s="866"/>
      <c r="W89" s="874"/>
    </row>
    <row r="90" spans="1:23" ht="14.25" customHeight="1">
      <c r="A90" s="858">
        <f t="shared" si="1"/>
        <v>85</v>
      </c>
      <c r="B90" s="2671"/>
      <c r="C90" s="2674"/>
      <c r="D90" s="2677" t="s">
        <v>1681</v>
      </c>
      <c r="E90" s="859"/>
      <c r="F90" s="859"/>
      <c r="G90" s="860"/>
      <c r="H90" s="860"/>
      <c r="I90" s="860"/>
      <c r="J90" s="860"/>
      <c r="K90" s="861"/>
      <c r="L90" s="861"/>
      <c r="M90" s="861"/>
      <c r="N90" s="861"/>
      <c r="O90" s="862"/>
      <c r="P90" s="861"/>
      <c r="Q90" s="862"/>
      <c r="R90" s="861"/>
      <c r="S90" s="861"/>
      <c r="T90" s="875"/>
      <c r="U90" s="862"/>
      <c r="V90" s="861"/>
      <c r="W90" s="863"/>
    </row>
    <row r="91" spans="1:23">
      <c r="A91" s="858">
        <f t="shared" si="1"/>
        <v>86</v>
      </c>
      <c r="B91" s="2671"/>
      <c r="C91" s="2674"/>
      <c r="D91" s="2677"/>
      <c r="E91" s="859"/>
      <c r="F91" s="859"/>
      <c r="G91" s="860"/>
      <c r="H91" s="860"/>
      <c r="I91" s="860"/>
      <c r="J91" s="860"/>
      <c r="K91" s="861"/>
      <c r="L91" s="861"/>
      <c r="M91" s="861"/>
      <c r="N91" s="861"/>
      <c r="O91" s="862"/>
      <c r="P91" s="861"/>
      <c r="Q91" s="862"/>
      <c r="R91" s="861"/>
      <c r="S91" s="861"/>
      <c r="T91" s="875"/>
      <c r="U91" s="862"/>
      <c r="V91" s="861"/>
      <c r="W91" s="863"/>
    </row>
    <row r="92" spans="1:23">
      <c r="A92" s="858">
        <f t="shared" si="1"/>
        <v>87</v>
      </c>
      <c r="B92" s="2671"/>
      <c r="C92" s="2674"/>
      <c r="D92" s="2677"/>
      <c r="E92" s="859"/>
      <c r="F92" s="859"/>
      <c r="G92" s="860"/>
      <c r="H92" s="860"/>
      <c r="I92" s="860"/>
      <c r="J92" s="860"/>
      <c r="K92" s="861"/>
      <c r="L92" s="861"/>
      <c r="M92" s="861"/>
      <c r="N92" s="861"/>
      <c r="O92" s="862"/>
      <c r="P92" s="861"/>
      <c r="Q92" s="862"/>
      <c r="R92" s="861"/>
      <c r="S92" s="861"/>
      <c r="T92" s="875"/>
      <c r="U92" s="862"/>
      <c r="V92" s="861"/>
      <c r="W92" s="863"/>
    </row>
    <row r="93" spans="1:23">
      <c r="A93" s="858">
        <f t="shared" si="1"/>
        <v>88</v>
      </c>
      <c r="B93" s="2671"/>
      <c r="C93" s="2674"/>
      <c r="D93" s="2677"/>
      <c r="E93" s="859"/>
      <c r="F93" s="859"/>
      <c r="G93" s="860"/>
      <c r="H93" s="860"/>
      <c r="I93" s="860"/>
      <c r="J93" s="860"/>
      <c r="K93" s="861"/>
      <c r="L93" s="861"/>
      <c r="M93" s="861"/>
      <c r="N93" s="861"/>
      <c r="O93" s="862"/>
      <c r="P93" s="861"/>
      <c r="Q93" s="862"/>
      <c r="R93" s="861"/>
      <c r="S93" s="861"/>
      <c r="T93" s="875"/>
      <c r="U93" s="862"/>
      <c r="V93" s="861"/>
      <c r="W93" s="863"/>
    </row>
    <row r="94" spans="1:23" ht="16.5" customHeight="1">
      <c r="A94" s="858">
        <f t="shared" si="1"/>
        <v>89</v>
      </c>
      <c r="B94" s="2671"/>
      <c r="C94" s="2674"/>
      <c r="D94" s="2677"/>
      <c r="E94" s="859"/>
      <c r="F94" s="859"/>
      <c r="G94" s="860"/>
      <c r="H94" s="860"/>
      <c r="I94" s="860"/>
      <c r="J94" s="860"/>
      <c r="K94" s="861"/>
      <c r="L94" s="861"/>
      <c r="M94" s="861"/>
      <c r="N94" s="861"/>
      <c r="O94" s="862"/>
      <c r="P94" s="861"/>
      <c r="Q94" s="862"/>
      <c r="R94" s="861"/>
      <c r="S94" s="861"/>
      <c r="T94" s="875"/>
      <c r="U94" s="862"/>
      <c r="V94" s="861"/>
      <c r="W94" s="863"/>
    </row>
    <row r="95" spans="1:23" ht="16.5" customHeight="1">
      <c r="A95" s="858">
        <f t="shared" si="1"/>
        <v>90</v>
      </c>
      <c r="B95" s="2671"/>
      <c r="C95" s="2674"/>
      <c r="D95" s="2677"/>
      <c r="E95" s="859"/>
      <c r="F95" s="859"/>
      <c r="G95" s="860"/>
      <c r="H95" s="860"/>
      <c r="I95" s="860"/>
      <c r="J95" s="860"/>
      <c r="K95" s="861"/>
      <c r="L95" s="861"/>
      <c r="M95" s="861"/>
      <c r="N95" s="861"/>
      <c r="O95" s="862"/>
      <c r="P95" s="861"/>
      <c r="Q95" s="862"/>
      <c r="R95" s="861"/>
      <c r="S95" s="861"/>
      <c r="T95" s="875"/>
      <c r="U95" s="862"/>
      <c r="V95" s="861"/>
      <c r="W95" s="863"/>
    </row>
    <row r="96" spans="1:23" ht="16.5">
      <c r="A96" s="858">
        <f t="shared" si="1"/>
        <v>91</v>
      </c>
      <c r="B96" s="2671"/>
      <c r="C96" s="2674"/>
      <c r="D96" s="2233" t="s">
        <v>1408</v>
      </c>
      <c r="E96" s="866"/>
      <c r="F96" s="866"/>
      <c r="G96" s="866"/>
      <c r="H96" s="866"/>
      <c r="I96" s="866"/>
      <c r="J96" s="866"/>
      <c r="K96" s="866"/>
      <c r="L96" s="866"/>
      <c r="M96" s="861">
        <f>SUM(M90:M95)</f>
        <v>0</v>
      </c>
      <c r="N96" s="861">
        <f>SUM(N90:N95)</f>
        <v>0</v>
      </c>
      <c r="O96" s="866"/>
      <c r="P96" s="866"/>
      <c r="Q96" s="866"/>
      <c r="R96" s="866"/>
      <c r="S96" s="861">
        <f>SUM(S90:S95)</f>
        <v>0</v>
      </c>
      <c r="T96" s="866"/>
      <c r="U96" s="866"/>
      <c r="V96" s="866"/>
      <c r="W96" s="874"/>
    </row>
    <row r="97" spans="1:23" ht="14.25" customHeight="1">
      <c r="A97" s="858">
        <f t="shared" si="1"/>
        <v>92</v>
      </c>
      <c r="B97" s="2671"/>
      <c r="C97" s="2674"/>
      <c r="D97" s="2677" t="s">
        <v>1682</v>
      </c>
      <c r="E97" s="859"/>
      <c r="F97" s="859"/>
      <c r="G97" s="860"/>
      <c r="H97" s="860"/>
      <c r="I97" s="860"/>
      <c r="J97" s="860"/>
      <c r="K97" s="861"/>
      <c r="L97" s="861"/>
      <c r="M97" s="861"/>
      <c r="N97" s="861"/>
      <c r="O97" s="862"/>
      <c r="P97" s="861"/>
      <c r="Q97" s="862"/>
      <c r="R97" s="861"/>
      <c r="S97" s="861"/>
      <c r="T97" s="875"/>
      <c r="U97" s="862"/>
      <c r="V97" s="861"/>
      <c r="W97" s="863"/>
    </row>
    <row r="98" spans="1:23">
      <c r="A98" s="858">
        <f t="shared" si="1"/>
        <v>93</v>
      </c>
      <c r="B98" s="2671"/>
      <c r="C98" s="2674"/>
      <c r="D98" s="2677"/>
      <c r="E98" s="859"/>
      <c r="F98" s="859"/>
      <c r="G98" s="860"/>
      <c r="H98" s="860"/>
      <c r="I98" s="860"/>
      <c r="J98" s="860"/>
      <c r="K98" s="861"/>
      <c r="L98" s="861"/>
      <c r="M98" s="861"/>
      <c r="N98" s="861"/>
      <c r="O98" s="862"/>
      <c r="P98" s="861"/>
      <c r="Q98" s="862"/>
      <c r="R98" s="861"/>
      <c r="S98" s="861"/>
      <c r="T98" s="875"/>
      <c r="U98" s="862"/>
      <c r="V98" s="861"/>
      <c r="W98" s="863"/>
    </row>
    <row r="99" spans="1:23">
      <c r="A99" s="858">
        <f t="shared" si="1"/>
        <v>94</v>
      </c>
      <c r="B99" s="2671"/>
      <c r="C99" s="2674"/>
      <c r="D99" s="2677"/>
      <c r="E99" s="859"/>
      <c r="F99" s="859"/>
      <c r="G99" s="860"/>
      <c r="H99" s="860"/>
      <c r="I99" s="860"/>
      <c r="J99" s="860"/>
      <c r="K99" s="861"/>
      <c r="L99" s="861"/>
      <c r="M99" s="861"/>
      <c r="N99" s="861"/>
      <c r="O99" s="862"/>
      <c r="P99" s="861"/>
      <c r="Q99" s="862"/>
      <c r="R99" s="861"/>
      <c r="S99" s="861"/>
      <c r="T99" s="875"/>
      <c r="U99" s="862"/>
      <c r="V99" s="861"/>
      <c r="W99" s="863"/>
    </row>
    <row r="100" spans="1:23">
      <c r="A100" s="858">
        <f t="shared" si="1"/>
        <v>95</v>
      </c>
      <c r="B100" s="2671"/>
      <c r="C100" s="2674"/>
      <c r="D100" s="2677"/>
      <c r="E100" s="859"/>
      <c r="F100" s="859"/>
      <c r="G100" s="860"/>
      <c r="H100" s="860"/>
      <c r="I100" s="860"/>
      <c r="J100" s="860"/>
      <c r="K100" s="861"/>
      <c r="L100" s="861"/>
      <c r="M100" s="861"/>
      <c r="N100" s="861"/>
      <c r="O100" s="862"/>
      <c r="P100" s="861"/>
      <c r="Q100" s="862"/>
      <c r="R100" s="861"/>
      <c r="S100" s="861"/>
      <c r="T100" s="875"/>
      <c r="U100" s="862"/>
      <c r="V100" s="861"/>
      <c r="W100" s="863"/>
    </row>
    <row r="101" spans="1:23">
      <c r="A101" s="858">
        <f t="shared" si="1"/>
        <v>96</v>
      </c>
      <c r="B101" s="2671"/>
      <c r="C101" s="2674"/>
      <c r="D101" s="2677"/>
      <c r="E101" s="859"/>
      <c r="F101" s="859"/>
      <c r="G101" s="860"/>
      <c r="H101" s="860"/>
      <c r="I101" s="860"/>
      <c r="J101" s="860"/>
      <c r="K101" s="861"/>
      <c r="L101" s="861"/>
      <c r="M101" s="861"/>
      <c r="N101" s="861"/>
      <c r="O101" s="862"/>
      <c r="P101" s="861"/>
      <c r="Q101" s="862"/>
      <c r="R101" s="861"/>
      <c r="S101" s="861"/>
      <c r="T101" s="875"/>
      <c r="U101" s="862"/>
      <c r="V101" s="861"/>
      <c r="W101" s="863"/>
    </row>
    <row r="102" spans="1:23">
      <c r="A102" s="858">
        <f t="shared" si="1"/>
        <v>97</v>
      </c>
      <c r="B102" s="2671"/>
      <c r="C102" s="2674"/>
      <c r="D102" s="2677"/>
      <c r="E102" s="859"/>
      <c r="F102" s="859"/>
      <c r="G102" s="860"/>
      <c r="H102" s="860"/>
      <c r="I102" s="860"/>
      <c r="J102" s="860"/>
      <c r="K102" s="861"/>
      <c r="L102" s="861"/>
      <c r="M102" s="861"/>
      <c r="N102" s="861"/>
      <c r="O102" s="862"/>
      <c r="P102" s="861"/>
      <c r="Q102" s="862"/>
      <c r="R102" s="861"/>
      <c r="S102" s="861"/>
      <c r="T102" s="875"/>
      <c r="U102" s="862"/>
      <c r="V102" s="861"/>
      <c r="W102" s="863"/>
    </row>
    <row r="103" spans="1:23" ht="15" thickBot="1">
      <c r="A103" s="858">
        <f t="shared" si="1"/>
        <v>98</v>
      </c>
      <c r="B103" s="2671"/>
      <c r="C103" s="2675"/>
      <c r="D103" s="869" t="s">
        <v>588</v>
      </c>
      <c r="E103" s="870"/>
      <c r="F103" s="870"/>
      <c r="G103" s="931"/>
      <c r="H103" s="931"/>
      <c r="I103" s="931"/>
      <c r="J103" s="931"/>
      <c r="K103" s="872"/>
      <c r="L103" s="872"/>
      <c r="M103" s="871">
        <f>SUM(M97:M102)</f>
        <v>0</v>
      </c>
      <c r="N103" s="871">
        <f>SUM(N97:N102)</f>
        <v>0</v>
      </c>
      <c r="O103" s="872"/>
      <c r="P103" s="872"/>
      <c r="Q103" s="872"/>
      <c r="R103" s="872"/>
      <c r="S103" s="871">
        <f>SUM(S97:S102)</f>
        <v>0</v>
      </c>
      <c r="T103" s="872"/>
      <c r="U103" s="872"/>
      <c r="V103" s="872"/>
      <c r="W103" s="873"/>
    </row>
    <row r="104" spans="1:23" ht="15" thickBot="1">
      <c r="A104" s="858">
        <f t="shared" si="1"/>
        <v>99</v>
      </c>
      <c r="B104" s="2712" t="s">
        <v>593</v>
      </c>
      <c r="C104" s="2705"/>
      <c r="D104" s="2232"/>
      <c r="E104" s="900"/>
      <c r="F104" s="900"/>
      <c r="G104" s="901"/>
      <c r="H104" s="901"/>
      <c r="I104" s="901"/>
      <c r="J104" s="901"/>
      <c r="K104" s="902"/>
      <c r="L104" s="902"/>
      <c r="M104" s="932">
        <f>M103+M96+M89+M82+M71+M60+M49+M38+M27+M20</f>
        <v>0</v>
      </c>
      <c r="N104" s="932">
        <f>N103+N96+N89+N82+N71+N60+N49+N38+N27+N20</f>
        <v>0</v>
      </c>
      <c r="O104" s="902"/>
      <c r="P104" s="902"/>
      <c r="Q104" s="902"/>
      <c r="R104" s="902"/>
      <c r="S104" s="932">
        <f>S103+S96+S89+S82+S71+S60+S49+S38+S27+S20</f>
        <v>0</v>
      </c>
      <c r="T104" s="902"/>
      <c r="U104" s="905"/>
      <c r="V104" s="902"/>
      <c r="W104" s="906"/>
    </row>
    <row r="105" spans="1:23" ht="16.5" customHeight="1">
      <c r="A105" s="858">
        <f t="shared" si="1"/>
        <v>100</v>
      </c>
      <c r="B105" s="2670" t="s">
        <v>594</v>
      </c>
      <c r="C105" s="2673" t="s">
        <v>595</v>
      </c>
      <c r="D105" s="2696" t="s">
        <v>1688</v>
      </c>
      <c r="E105" s="853"/>
      <c r="F105" s="853"/>
      <c r="G105" s="854"/>
      <c r="H105" s="854"/>
      <c r="I105" s="854"/>
      <c r="J105" s="854"/>
      <c r="K105" s="855"/>
      <c r="L105" s="855"/>
      <c r="M105" s="855"/>
      <c r="N105" s="855"/>
      <c r="O105" s="856"/>
      <c r="P105" s="855"/>
      <c r="Q105" s="856"/>
      <c r="R105" s="855"/>
      <c r="S105" s="855"/>
      <c r="T105" s="889"/>
      <c r="U105" s="890"/>
      <c r="V105" s="855"/>
      <c r="W105" s="857"/>
    </row>
    <row r="106" spans="1:23" ht="16.5" customHeight="1">
      <c r="A106" s="858">
        <f t="shared" si="1"/>
        <v>101</v>
      </c>
      <c r="B106" s="2694"/>
      <c r="C106" s="2674"/>
      <c r="D106" s="2677"/>
      <c r="E106" s="859"/>
      <c r="F106" s="859"/>
      <c r="G106" s="860"/>
      <c r="H106" s="860"/>
      <c r="I106" s="860"/>
      <c r="J106" s="860"/>
      <c r="K106" s="861"/>
      <c r="L106" s="861"/>
      <c r="M106" s="861"/>
      <c r="N106" s="861"/>
      <c r="O106" s="862"/>
      <c r="P106" s="861"/>
      <c r="Q106" s="862"/>
      <c r="R106" s="861"/>
      <c r="S106" s="861"/>
      <c r="T106" s="866"/>
      <c r="U106" s="867"/>
      <c r="V106" s="861"/>
      <c r="W106" s="863"/>
    </row>
    <row r="107" spans="1:23" ht="16.5" customHeight="1">
      <c r="A107" s="858">
        <f t="shared" si="1"/>
        <v>102</v>
      </c>
      <c r="B107" s="2694"/>
      <c r="C107" s="2674"/>
      <c r="D107" s="2677"/>
      <c r="E107" s="859"/>
      <c r="F107" s="859"/>
      <c r="G107" s="860"/>
      <c r="H107" s="860"/>
      <c r="I107" s="860"/>
      <c r="J107" s="860"/>
      <c r="K107" s="861"/>
      <c r="L107" s="861"/>
      <c r="M107" s="861"/>
      <c r="N107" s="861"/>
      <c r="O107" s="862"/>
      <c r="P107" s="861"/>
      <c r="Q107" s="862"/>
      <c r="R107" s="861"/>
      <c r="S107" s="861"/>
      <c r="T107" s="866"/>
      <c r="U107" s="867"/>
      <c r="V107" s="861"/>
      <c r="W107" s="863"/>
    </row>
    <row r="108" spans="1:23" ht="16.5" customHeight="1">
      <c r="A108" s="858">
        <f t="shared" si="1"/>
        <v>103</v>
      </c>
      <c r="B108" s="2694"/>
      <c r="C108" s="2674"/>
      <c r="D108" s="2677"/>
      <c r="E108" s="859"/>
      <c r="F108" s="859"/>
      <c r="G108" s="860"/>
      <c r="H108" s="860"/>
      <c r="I108" s="860"/>
      <c r="J108" s="860"/>
      <c r="K108" s="861"/>
      <c r="L108" s="861"/>
      <c r="M108" s="861"/>
      <c r="N108" s="861"/>
      <c r="O108" s="862"/>
      <c r="P108" s="861"/>
      <c r="Q108" s="862"/>
      <c r="R108" s="861"/>
      <c r="S108" s="861"/>
      <c r="T108" s="866"/>
      <c r="U108" s="867"/>
      <c r="V108" s="861"/>
      <c r="W108" s="863"/>
    </row>
    <row r="109" spans="1:23" ht="16.5" customHeight="1">
      <c r="A109" s="858">
        <f t="shared" si="1"/>
        <v>104</v>
      </c>
      <c r="B109" s="2694"/>
      <c r="C109" s="2674"/>
      <c r="D109" s="2677"/>
      <c r="E109" s="859"/>
      <c r="F109" s="859"/>
      <c r="G109" s="860"/>
      <c r="H109" s="860"/>
      <c r="I109" s="860"/>
      <c r="J109" s="860"/>
      <c r="K109" s="861"/>
      <c r="L109" s="861"/>
      <c r="M109" s="861"/>
      <c r="N109" s="861"/>
      <c r="O109" s="862"/>
      <c r="P109" s="861"/>
      <c r="Q109" s="862"/>
      <c r="R109" s="861"/>
      <c r="S109" s="861"/>
      <c r="T109" s="866"/>
      <c r="U109" s="867"/>
      <c r="V109" s="861"/>
      <c r="W109" s="863"/>
    </row>
    <row r="110" spans="1:23" ht="16.5" customHeight="1">
      <c r="A110" s="858">
        <f t="shared" si="1"/>
        <v>105</v>
      </c>
      <c r="B110" s="2694"/>
      <c r="C110" s="2674"/>
      <c r="D110" s="2677"/>
      <c r="E110" s="859"/>
      <c r="F110" s="859"/>
      <c r="G110" s="860"/>
      <c r="H110" s="860"/>
      <c r="I110" s="860"/>
      <c r="J110" s="860"/>
      <c r="K110" s="861"/>
      <c r="L110" s="861"/>
      <c r="M110" s="861"/>
      <c r="N110" s="861"/>
      <c r="O110" s="862"/>
      <c r="P110" s="861"/>
      <c r="Q110" s="862"/>
      <c r="R110" s="861"/>
      <c r="S110" s="861"/>
      <c r="T110" s="866"/>
      <c r="U110" s="867"/>
      <c r="V110" s="861"/>
      <c r="W110" s="863"/>
    </row>
    <row r="111" spans="1:23" ht="16.5" customHeight="1">
      <c r="A111" s="858">
        <f t="shared" si="1"/>
        <v>106</v>
      </c>
      <c r="B111" s="2694"/>
      <c r="C111" s="2674"/>
      <c r="D111" s="2233" t="s">
        <v>1408</v>
      </c>
      <c r="E111" s="866"/>
      <c r="F111" s="866"/>
      <c r="G111" s="866"/>
      <c r="H111" s="866"/>
      <c r="I111" s="866"/>
      <c r="J111" s="866"/>
      <c r="K111" s="866"/>
      <c r="L111" s="866"/>
      <c r="M111" s="861">
        <f>SUM(M105:M110)</f>
        <v>0</v>
      </c>
      <c r="N111" s="861">
        <f>SUM(N105:N110)</f>
        <v>0</v>
      </c>
      <c r="O111" s="866"/>
      <c r="P111" s="866"/>
      <c r="Q111" s="866"/>
      <c r="R111" s="866"/>
      <c r="S111" s="861">
        <f>SUM(S105:S110)</f>
        <v>0</v>
      </c>
      <c r="T111" s="866"/>
      <c r="U111" s="867"/>
      <c r="V111" s="866"/>
      <c r="W111" s="874"/>
    </row>
    <row r="112" spans="1:23" ht="16.5" customHeight="1">
      <c r="A112" s="858">
        <f t="shared" si="1"/>
        <v>107</v>
      </c>
      <c r="B112" s="2694"/>
      <c r="C112" s="2674"/>
      <c r="D112" s="2677" t="s">
        <v>1689</v>
      </c>
      <c r="E112" s="859"/>
      <c r="F112" s="859"/>
      <c r="G112" s="860"/>
      <c r="H112" s="860"/>
      <c r="I112" s="860"/>
      <c r="J112" s="860"/>
      <c r="K112" s="861"/>
      <c r="L112" s="861"/>
      <c r="M112" s="861"/>
      <c r="N112" s="861"/>
      <c r="O112" s="862"/>
      <c r="P112" s="861"/>
      <c r="Q112" s="862"/>
      <c r="R112" s="861"/>
      <c r="S112" s="861"/>
      <c r="T112" s="866"/>
      <c r="U112" s="867"/>
      <c r="V112" s="861"/>
      <c r="W112" s="863"/>
    </row>
    <row r="113" spans="1:23" ht="16.5" customHeight="1">
      <c r="A113" s="858">
        <f t="shared" si="1"/>
        <v>108</v>
      </c>
      <c r="B113" s="2694"/>
      <c r="C113" s="2674"/>
      <c r="D113" s="2677"/>
      <c r="E113" s="859"/>
      <c r="F113" s="859"/>
      <c r="G113" s="860"/>
      <c r="H113" s="860"/>
      <c r="I113" s="860"/>
      <c r="J113" s="860"/>
      <c r="K113" s="861"/>
      <c r="L113" s="861"/>
      <c r="M113" s="861"/>
      <c r="N113" s="861"/>
      <c r="O113" s="862"/>
      <c r="P113" s="861"/>
      <c r="Q113" s="862"/>
      <c r="R113" s="861"/>
      <c r="S113" s="861"/>
      <c r="T113" s="866"/>
      <c r="U113" s="867"/>
      <c r="V113" s="861"/>
      <c r="W113" s="863"/>
    </row>
    <row r="114" spans="1:23" ht="16.5" customHeight="1">
      <c r="A114" s="858">
        <f t="shared" si="1"/>
        <v>109</v>
      </c>
      <c r="B114" s="2694"/>
      <c r="C114" s="2674"/>
      <c r="D114" s="2677"/>
      <c r="E114" s="859"/>
      <c r="F114" s="859"/>
      <c r="G114" s="860"/>
      <c r="H114" s="860"/>
      <c r="I114" s="860"/>
      <c r="J114" s="860"/>
      <c r="K114" s="861"/>
      <c r="L114" s="861"/>
      <c r="M114" s="861"/>
      <c r="N114" s="861"/>
      <c r="O114" s="862"/>
      <c r="P114" s="861"/>
      <c r="Q114" s="862"/>
      <c r="R114" s="861"/>
      <c r="S114" s="861"/>
      <c r="T114" s="866"/>
      <c r="U114" s="867"/>
      <c r="V114" s="861"/>
      <c r="W114" s="863"/>
    </row>
    <row r="115" spans="1:23" ht="16.5" customHeight="1">
      <c r="A115" s="858">
        <f t="shared" si="1"/>
        <v>110</v>
      </c>
      <c r="B115" s="2694"/>
      <c r="C115" s="2674"/>
      <c r="D115" s="2677"/>
      <c r="E115" s="859"/>
      <c r="F115" s="859"/>
      <c r="G115" s="860"/>
      <c r="H115" s="860"/>
      <c r="I115" s="860"/>
      <c r="J115" s="860"/>
      <c r="K115" s="861"/>
      <c r="L115" s="861"/>
      <c r="M115" s="861"/>
      <c r="N115" s="861"/>
      <c r="O115" s="862"/>
      <c r="P115" s="861"/>
      <c r="Q115" s="862"/>
      <c r="R115" s="861"/>
      <c r="S115" s="861"/>
      <c r="T115" s="866"/>
      <c r="U115" s="867"/>
      <c r="V115" s="861"/>
      <c r="W115" s="863"/>
    </row>
    <row r="116" spans="1:23">
      <c r="A116" s="858">
        <f t="shared" si="1"/>
        <v>111</v>
      </c>
      <c r="B116" s="2694"/>
      <c r="C116" s="2674"/>
      <c r="D116" s="2677"/>
      <c r="E116" s="859"/>
      <c r="F116" s="859"/>
      <c r="G116" s="860"/>
      <c r="H116" s="860"/>
      <c r="I116" s="860"/>
      <c r="J116" s="860"/>
      <c r="K116" s="861"/>
      <c r="L116" s="861"/>
      <c r="M116" s="861"/>
      <c r="N116" s="861"/>
      <c r="O116" s="862"/>
      <c r="P116" s="861"/>
      <c r="Q116" s="862"/>
      <c r="R116" s="861"/>
      <c r="S116" s="861"/>
      <c r="T116" s="866"/>
      <c r="U116" s="867"/>
      <c r="V116" s="861"/>
      <c r="W116" s="863"/>
    </row>
    <row r="117" spans="1:23">
      <c r="A117" s="858">
        <f t="shared" si="1"/>
        <v>112</v>
      </c>
      <c r="B117" s="2694"/>
      <c r="C117" s="2674"/>
      <c r="D117" s="2677"/>
      <c r="E117" s="859"/>
      <c r="F117" s="859"/>
      <c r="G117" s="860"/>
      <c r="H117" s="860"/>
      <c r="I117" s="860"/>
      <c r="J117" s="860"/>
      <c r="K117" s="861"/>
      <c r="L117" s="861"/>
      <c r="M117" s="861"/>
      <c r="N117" s="861"/>
      <c r="O117" s="862"/>
      <c r="P117" s="861"/>
      <c r="Q117" s="862"/>
      <c r="R117" s="861"/>
      <c r="S117" s="861"/>
      <c r="T117" s="866"/>
      <c r="U117" s="867"/>
      <c r="V117" s="861"/>
      <c r="W117" s="863"/>
    </row>
    <row r="118" spans="1:23" ht="15" thickBot="1">
      <c r="A118" s="858">
        <f t="shared" si="1"/>
        <v>113</v>
      </c>
      <c r="B118" s="2694"/>
      <c r="C118" s="2675"/>
      <c r="D118" s="869" t="s">
        <v>588</v>
      </c>
      <c r="E118" s="872"/>
      <c r="F118" s="872"/>
      <c r="G118" s="872"/>
      <c r="H118" s="872"/>
      <c r="I118" s="872"/>
      <c r="J118" s="872"/>
      <c r="K118" s="872"/>
      <c r="L118" s="872"/>
      <c r="M118" s="871">
        <f>SUM(M112:M117)</f>
        <v>0</v>
      </c>
      <c r="N118" s="871">
        <f>SUM(N112:N117)</f>
        <v>0</v>
      </c>
      <c r="O118" s="872"/>
      <c r="P118" s="872"/>
      <c r="Q118" s="872"/>
      <c r="R118" s="872"/>
      <c r="S118" s="871">
        <f>SUM(S112:S117)</f>
        <v>0</v>
      </c>
      <c r="T118" s="872"/>
      <c r="U118" s="892"/>
      <c r="V118" s="872"/>
      <c r="W118" s="873"/>
    </row>
    <row r="119" spans="1:23" ht="16.5" customHeight="1">
      <c r="A119" s="858">
        <f t="shared" si="1"/>
        <v>114</v>
      </c>
      <c r="B119" s="2694"/>
      <c r="C119" s="2697" t="s">
        <v>589</v>
      </c>
      <c r="D119" s="2700" t="s">
        <v>596</v>
      </c>
      <c r="E119" s="853"/>
      <c r="F119" s="853"/>
      <c r="G119" s="854"/>
      <c r="H119" s="854"/>
      <c r="I119" s="854"/>
      <c r="J119" s="854"/>
      <c r="K119" s="855"/>
      <c r="L119" s="855"/>
      <c r="M119" s="855"/>
      <c r="N119" s="855"/>
      <c r="O119" s="856"/>
      <c r="P119" s="855"/>
      <c r="Q119" s="856"/>
      <c r="R119" s="855"/>
      <c r="S119" s="855"/>
      <c r="T119" s="893"/>
      <c r="U119" s="890"/>
      <c r="V119" s="855"/>
      <c r="W119" s="857"/>
    </row>
    <row r="120" spans="1:23">
      <c r="A120" s="858">
        <f t="shared" si="1"/>
        <v>115</v>
      </c>
      <c r="B120" s="2694"/>
      <c r="C120" s="2698"/>
      <c r="D120" s="2701"/>
      <c r="E120" s="859"/>
      <c r="F120" s="859"/>
      <c r="G120" s="860"/>
      <c r="H120" s="860"/>
      <c r="I120" s="860"/>
      <c r="J120" s="860"/>
      <c r="K120" s="861"/>
      <c r="L120" s="861"/>
      <c r="M120" s="861"/>
      <c r="N120" s="861"/>
      <c r="O120" s="862"/>
      <c r="P120" s="862"/>
      <c r="Q120" s="862"/>
      <c r="R120" s="862"/>
      <c r="S120" s="861"/>
      <c r="T120" s="866"/>
      <c r="U120" s="894"/>
      <c r="V120" s="861"/>
      <c r="W120" s="863"/>
    </row>
    <row r="121" spans="1:23">
      <c r="A121" s="858">
        <f t="shared" si="1"/>
        <v>116</v>
      </c>
      <c r="B121" s="2694"/>
      <c r="C121" s="2698"/>
      <c r="D121" s="2701"/>
      <c r="E121" s="859"/>
      <c r="F121" s="859"/>
      <c r="G121" s="860"/>
      <c r="H121" s="860"/>
      <c r="I121" s="860"/>
      <c r="J121" s="860"/>
      <c r="K121" s="861"/>
      <c r="L121" s="861"/>
      <c r="M121" s="861"/>
      <c r="N121" s="861"/>
      <c r="O121" s="862"/>
      <c r="P121" s="862"/>
      <c r="Q121" s="862"/>
      <c r="R121" s="862"/>
      <c r="S121" s="861"/>
      <c r="T121" s="866"/>
      <c r="U121" s="894"/>
      <c r="V121" s="861"/>
      <c r="W121" s="863"/>
    </row>
    <row r="122" spans="1:23">
      <c r="A122" s="858">
        <f t="shared" si="1"/>
        <v>117</v>
      </c>
      <c r="B122" s="2694"/>
      <c r="C122" s="2698"/>
      <c r="D122" s="2701"/>
      <c r="E122" s="859"/>
      <c r="F122" s="859"/>
      <c r="G122" s="860"/>
      <c r="H122" s="860"/>
      <c r="I122" s="860"/>
      <c r="J122" s="860"/>
      <c r="K122" s="861"/>
      <c r="L122" s="861"/>
      <c r="M122" s="861"/>
      <c r="N122" s="861"/>
      <c r="O122" s="862"/>
      <c r="P122" s="862"/>
      <c r="Q122" s="862"/>
      <c r="R122" s="862"/>
      <c r="S122" s="861"/>
      <c r="T122" s="866"/>
      <c r="U122" s="894"/>
      <c r="V122" s="861"/>
      <c r="W122" s="863"/>
    </row>
    <row r="123" spans="1:23">
      <c r="A123" s="858">
        <f t="shared" si="1"/>
        <v>118</v>
      </c>
      <c r="B123" s="2694"/>
      <c r="C123" s="2698"/>
      <c r="D123" s="2701"/>
      <c r="E123" s="859"/>
      <c r="F123" s="859"/>
      <c r="G123" s="860"/>
      <c r="H123" s="860"/>
      <c r="I123" s="860"/>
      <c r="J123" s="860"/>
      <c r="K123" s="861"/>
      <c r="L123" s="861"/>
      <c r="M123" s="861"/>
      <c r="N123" s="861"/>
      <c r="O123" s="862"/>
      <c r="P123" s="862"/>
      <c r="Q123" s="862"/>
      <c r="R123" s="862"/>
      <c r="S123" s="861"/>
      <c r="T123" s="866"/>
      <c r="U123" s="894"/>
      <c r="V123" s="861"/>
      <c r="W123" s="863"/>
    </row>
    <row r="124" spans="1:23">
      <c r="A124" s="858">
        <f t="shared" si="1"/>
        <v>119</v>
      </c>
      <c r="B124" s="2694"/>
      <c r="C124" s="2698"/>
      <c r="D124" s="2701"/>
      <c r="E124" s="859"/>
      <c r="F124" s="859"/>
      <c r="G124" s="860"/>
      <c r="H124" s="860"/>
      <c r="I124" s="860"/>
      <c r="J124" s="860"/>
      <c r="K124" s="861"/>
      <c r="L124" s="861"/>
      <c r="M124" s="861"/>
      <c r="N124" s="861"/>
      <c r="O124" s="862"/>
      <c r="P124" s="862"/>
      <c r="Q124" s="862"/>
      <c r="R124" s="862"/>
      <c r="S124" s="861"/>
      <c r="T124" s="866"/>
      <c r="U124" s="894"/>
      <c r="V124" s="861"/>
      <c r="W124" s="863"/>
    </row>
    <row r="125" spans="1:23" ht="14.25">
      <c r="A125" s="858">
        <f t="shared" si="1"/>
        <v>120</v>
      </c>
      <c r="B125" s="2694"/>
      <c r="C125" s="2698"/>
      <c r="D125" s="2234" t="s">
        <v>588</v>
      </c>
      <c r="E125" s="866"/>
      <c r="F125" s="866"/>
      <c r="G125" s="866"/>
      <c r="H125" s="866"/>
      <c r="I125" s="866"/>
      <c r="J125" s="866"/>
      <c r="K125" s="866"/>
      <c r="L125" s="866"/>
      <c r="M125" s="861">
        <f>SUM(M119:M124)</f>
        <v>0</v>
      </c>
      <c r="N125" s="861">
        <f>SUM(N119:N124)</f>
        <v>0</v>
      </c>
      <c r="O125" s="866"/>
      <c r="P125" s="866"/>
      <c r="Q125" s="866"/>
      <c r="R125" s="866"/>
      <c r="S125" s="861">
        <f>SUM(S119:S124)</f>
        <v>0</v>
      </c>
      <c r="T125" s="866"/>
      <c r="U125" s="894"/>
      <c r="V125" s="866"/>
      <c r="W125" s="874"/>
    </row>
    <row r="126" spans="1:23" ht="17.25" customHeight="1">
      <c r="A126" s="858">
        <f t="shared" si="1"/>
        <v>121</v>
      </c>
      <c r="B126" s="2694"/>
      <c r="C126" s="2698"/>
      <c r="D126" s="2687" t="s">
        <v>1688</v>
      </c>
      <c r="E126" s="859"/>
      <c r="F126" s="859"/>
      <c r="G126" s="860"/>
      <c r="H126" s="860"/>
      <c r="I126" s="860"/>
      <c r="J126" s="860"/>
      <c r="K126" s="861"/>
      <c r="L126" s="861"/>
      <c r="M126" s="861"/>
      <c r="N126" s="861"/>
      <c r="O126" s="862"/>
      <c r="P126" s="862"/>
      <c r="Q126" s="862"/>
      <c r="R126" s="862"/>
      <c r="S126" s="861"/>
      <c r="T126" s="866"/>
      <c r="U126" s="894"/>
      <c r="V126" s="861"/>
      <c r="W126" s="863"/>
    </row>
    <row r="127" spans="1:23">
      <c r="A127" s="858">
        <f t="shared" si="1"/>
        <v>122</v>
      </c>
      <c r="B127" s="2694"/>
      <c r="C127" s="2698"/>
      <c r="D127" s="2687"/>
      <c r="E127" s="859"/>
      <c r="F127" s="859"/>
      <c r="G127" s="860"/>
      <c r="H127" s="860"/>
      <c r="I127" s="860"/>
      <c r="J127" s="860"/>
      <c r="K127" s="861"/>
      <c r="L127" s="861"/>
      <c r="M127" s="861"/>
      <c r="N127" s="861"/>
      <c r="O127" s="862"/>
      <c r="P127" s="862"/>
      <c r="Q127" s="862"/>
      <c r="R127" s="862"/>
      <c r="S127" s="861"/>
      <c r="T127" s="866"/>
      <c r="U127" s="894"/>
      <c r="V127" s="861"/>
      <c r="W127" s="863"/>
    </row>
    <row r="128" spans="1:23">
      <c r="A128" s="858">
        <f t="shared" si="1"/>
        <v>123</v>
      </c>
      <c r="B128" s="2694"/>
      <c r="C128" s="2698"/>
      <c r="D128" s="2687"/>
      <c r="E128" s="859"/>
      <c r="F128" s="859"/>
      <c r="G128" s="860"/>
      <c r="H128" s="860"/>
      <c r="I128" s="860"/>
      <c r="J128" s="860"/>
      <c r="K128" s="861"/>
      <c r="L128" s="861"/>
      <c r="M128" s="861"/>
      <c r="N128" s="861"/>
      <c r="O128" s="862"/>
      <c r="P128" s="862"/>
      <c r="Q128" s="862"/>
      <c r="R128" s="862"/>
      <c r="S128" s="861"/>
      <c r="T128" s="866"/>
      <c r="U128" s="894"/>
      <c r="V128" s="861"/>
      <c r="W128" s="863"/>
    </row>
    <row r="129" spans="1:23">
      <c r="A129" s="858">
        <f t="shared" si="1"/>
        <v>124</v>
      </c>
      <c r="B129" s="2694"/>
      <c r="C129" s="2698"/>
      <c r="D129" s="2687"/>
      <c r="E129" s="859"/>
      <c r="F129" s="859"/>
      <c r="G129" s="860"/>
      <c r="H129" s="860"/>
      <c r="I129" s="860"/>
      <c r="J129" s="860"/>
      <c r="K129" s="861"/>
      <c r="L129" s="861"/>
      <c r="M129" s="861"/>
      <c r="N129" s="861"/>
      <c r="O129" s="862"/>
      <c r="P129" s="862"/>
      <c r="Q129" s="862"/>
      <c r="R129" s="862"/>
      <c r="S129" s="861"/>
      <c r="T129" s="866"/>
      <c r="U129" s="894"/>
      <c r="V129" s="861"/>
      <c r="W129" s="863"/>
    </row>
    <row r="130" spans="1:23">
      <c r="A130" s="858">
        <f t="shared" si="1"/>
        <v>125</v>
      </c>
      <c r="B130" s="2694"/>
      <c r="C130" s="2698"/>
      <c r="D130" s="2687"/>
      <c r="E130" s="859"/>
      <c r="F130" s="859"/>
      <c r="G130" s="860"/>
      <c r="H130" s="860"/>
      <c r="I130" s="860"/>
      <c r="J130" s="860"/>
      <c r="K130" s="861"/>
      <c r="L130" s="861"/>
      <c r="M130" s="861"/>
      <c r="N130" s="861"/>
      <c r="O130" s="862"/>
      <c r="P130" s="862"/>
      <c r="Q130" s="862"/>
      <c r="R130" s="862"/>
      <c r="S130" s="861"/>
      <c r="T130" s="866"/>
      <c r="U130" s="894"/>
      <c r="V130" s="861"/>
      <c r="W130" s="863"/>
    </row>
    <row r="131" spans="1:23">
      <c r="A131" s="858">
        <f t="shared" si="1"/>
        <v>126</v>
      </c>
      <c r="B131" s="2694"/>
      <c r="C131" s="2698"/>
      <c r="D131" s="2687"/>
      <c r="E131" s="859"/>
      <c r="F131" s="859"/>
      <c r="G131" s="860"/>
      <c r="H131" s="860"/>
      <c r="I131" s="860"/>
      <c r="J131" s="860"/>
      <c r="K131" s="861"/>
      <c r="L131" s="861"/>
      <c r="M131" s="861"/>
      <c r="N131" s="861"/>
      <c r="O131" s="862"/>
      <c r="P131" s="862"/>
      <c r="Q131" s="862"/>
      <c r="R131" s="862"/>
      <c r="S131" s="861"/>
      <c r="T131" s="866"/>
      <c r="U131" s="894"/>
      <c r="V131" s="861"/>
      <c r="W131" s="863"/>
    </row>
    <row r="132" spans="1:23" ht="16.5">
      <c r="A132" s="858">
        <f t="shared" si="1"/>
        <v>127</v>
      </c>
      <c r="B132" s="2694"/>
      <c r="C132" s="2698"/>
      <c r="D132" s="2233" t="s">
        <v>1408</v>
      </c>
      <c r="E132" s="866"/>
      <c r="F132" s="866"/>
      <c r="G132" s="866"/>
      <c r="H132" s="866"/>
      <c r="I132" s="866"/>
      <c r="J132" s="866"/>
      <c r="K132" s="866"/>
      <c r="L132" s="866"/>
      <c r="M132" s="861">
        <f>SUM(M126:M131)</f>
        <v>0</v>
      </c>
      <c r="N132" s="861">
        <f>SUM(N126:N131)</f>
        <v>0</v>
      </c>
      <c r="O132" s="866"/>
      <c r="P132" s="866"/>
      <c r="Q132" s="866"/>
      <c r="R132" s="866"/>
      <c r="S132" s="861">
        <f>SUM(S126:S131)</f>
        <v>0</v>
      </c>
      <c r="T132" s="866"/>
      <c r="U132" s="894"/>
      <c r="V132" s="866"/>
      <c r="W132" s="874"/>
    </row>
    <row r="133" spans="1:23" ht="16.5" customHeight="1">
      <c r="A133" s="858">
        <f t="shared" si="1"/>
        <v>128</v>
      </c>
      <c r="B133" s="2694"/>
      <c r="C133" s="2698"/>
      <c r="D133" s="2687" t="s">
        <v>1689</v>
      </c>
      <c r="E133" s="859"/>
      <c r="F133" s="859"/>
      <c r="G133" s="860"/>
      <c r="H133" s="860"/>
      <c r="I133" s="860"/>
      <c r="J133" s="860"/>
      <c r="K133" s="861"/>
      <c r="L133" s="861"/>
      <c r="M133" s="861"/>
      <c r="N133" s="861"/>
      <c r="O133" s="862"/>
      <c r="P133" s="862"/>
      <c r="Q133" s="862"/>
      <c r="R133" s="862"/>
      <c r="S133" s="861"/>
      <c r="T133" s="866"/>
      <c r="U133" s="894"/>
      <c r="V133" s="861"/>
      <c r="W133" s="863"/>
    </row>
    <row r="134" spans="1:23" ht="15.75" customHeight="1">
      <c r="A134" s="858">
        <f t="shared" si="1"/>
        <v>129</v>
      </c>
      <c r="B134" s="2694"/>
      <c r="C134" s="2698"/>
      <c r="D134" s="2687"/>
      <c r="E134" s="859"/>
      <c r="F134" s="859"/>
      <c r="G134" s="860"/>
      <c r="H134" s="860"/>
      <c r="I134" s="860"/>
      <c r="J134" s="860"/>
      <c r="K134" s="861"/>
      <c r="L134" s="861"/>
      <c r="M134" s="861"/>
      <c r="N134" s="861"/>
      <c r="O134" s="862"/>
      <c r="P134" s="861"/>
      <c r="Q134" s="862"/>
      <c r="R134" s="861"/>
      <c r="S134" s="861"/>
      <c r="T134" s="866"/>
      <c r="U134" s="867"/>
      <c r="V134" s="861"/>
      <c r="W134" s="863"/>
    </row>
    <row r="135" spans="1:23" ht="15.75" customHeight="1">
      <c r="A135" s="858">
        <f t="shared" si="1"/>
        <v>130</v>
      </c>
      <c r="B135" s="2694"/>
      <c r="C135" s="2698"/>
      <c r="D135" s="2687"/>
      <c r="E135" s="859"/>
      <c r="F135" s="859"/>
      <c r="G135" s="860"/>
      <c r="H135" s="860"/>
      <c r="I135" s="860"/>
      <c r="J135" s="860"/>
      <c r="K135" s="861"/>
      <c r="L135" s="861"/>
      <c r="M135" s="861"/>
      <c r="N135" s="861"/>
      <c r="O135" s="862"/>
      <c r="P135" s="861"/>
      <c r="Q135" s="862"/>
      <c r="R135" s="861"/>
      <c r="S135" s="861"/>
      <c r="T135" s="866"/>
      <c r="U135" s="867"/>
      <c r="V135" s="861"/>
      <c r="W135" s="863"/>
    </row>
    <row r="136" spans="1:23" ht="16.5" customHeight="1">
      <c r="A136" s="858">
        <f t="shared" ref="A136:A162" si="2">A135+1</f>
        <v>131</v>
      </c>
      <c r="B136" s="2694"/>
      <c r="C136" s="2698"/>
      <c r="D136" s="2687"/>
      <c r="E136" s="859"/>
      <c r="F136" s="859"/>
      <c r="G136" s="860"/>
      <c r="H136" s="860"/>
      <c r="I136" s="860"/>
      <c r="J136" s="860"/>
      <c r="K136" s="861"/>
      <c r="L136" s="861"/>
      <c r="M136" s="861"/>
      <c r="N136" s="861"/>
      <c r="O136" s="862"/>
      <c r="P136" s="861"/>
      <c r="Q136" s="862"/>
      <c r="R136" s="861"/>
      <c r="S136" s="861"/>
      <c r="T136" s="866"/>
      <c r="U136" s="867"/>
      <c r="V136" s="861"/>
      <c r="W136" s="863"/>
    </row>
    <row r="137" spans="1:23">
      <c r="A137" s="858">
        <f t="shared" si="2"/>
        <v>132</v>
      </c>
      <c r="B137" s="2694"/>
      <c r="C137" s="2698"/>
      <c r="D137" s="2687"/>
      <c r="E137" s="859"/>
      <c r="F137" s="859"/>
      <c r="G137" s="860"/>
      <c r="H137" s="860"/>
      <c r="I137" s="860"/>
      <c r="J137" s="860"/>
      <c r="K137" s="861"/>
      <c r="L137" s="861"/>
      <c r="M137" s="861"/>
      <c r="N137" s="861"/>
      <c r="O137" s="862"/>
      <c r="P137" s="861"/>
      <c r="Q137" s="862"/>
      <c r="R137" s="861"/>
      <c r="S137" s="861"/>
      <c r="T137" s="866"/>
      <c r="U137" s="867"/>
      <c r="V137" s="861"/>
      <c r="W137" s="863"/>
    </row>
    <row r="138" spans="1:23">
      <c r="A138" s="858">
        <f t="shared" si="2"/>
        <v>133</v>
      </c>
      <c r="B138" s="2694"/>
      <c r="C138" s="2698"/>
      <c r="D138" s="2687"/>
      <c r="E138" s="859"/>
      <c r="F138" s="859"/>
      <c r="G138" s="860"/>
      <c r="H138" s="860"/>
      <c r="I138" s="860"/>
      <c r="J138" s="860"/>
      <c r="K138" s="861"/>
      <c r="L138" s="861"/>
      <c r="M138" s="861"/>
      <c r="N138" s="861"/>
      <c r="O138" s="862"/>
      <c r="P138" s="861"/>
      <c r="Q138" s="862"/>
      <c r="R138" s="861"/>
      <c r="S138" s="861"/>
      <c r="T138" s="866"/>
      <c r="U138" s="867"/>
      <c r="V138" s="861"/>
      <c r="W138" s="863"/>
    </row>
    <row r="139" spans="1:23" ht="15" thickBot="1">
      <c r="A139" s="858">
        <f t="shared" si="2"/>
        <v>134</v>
      </c>
      <c r="B139" s="2694"/>
      <c r="C139" s="2699"/>
      <c r="D139" s="869" t="s">
        <v>588</v>
      </c>
      <c r="E139" s="872"/>
      <c r="F139" s="872"/>
      <c r="G139" s="872"/>
      <c r="H139" s="872"/>
      <c r="I139" s="872"/>
      <c r="J139" s="872"/>
      <c r="K139" s="872"/>
      <c r="L139" s="872"/>
      <c r="M139" s="871">
        <f>SUM(M133:M138)</f>
        <v>0</v>
      </c>
      <c r="N139" s="871">
        <f>SUM(N133:N138)</f>
        <v>0</v>
      </c>
      <c r="O139" s="872"/>
      <c r="P139" s="872"/>
      <c r="Q139" s="872"/>
      <c r="R139" s="872"/>
      <c r="S139" s="871">
        <f>SUM(S133:S138)</f>
        <v>0</v>
      </c>
      <c r="T139" s="872"/>
      <c r="U139" s="892"/>
      <c r="V139" s="872"/>
      <c r="W139" s="873"/>
    </row>
    <row r="140" spans="1:23" ht="16.5" customHeight="1">
      <c r="A140" s="858">
        <f t="shared" si="2"/>
        <v>135</v>
      </c>
      <c r="B140" s="2694"/>
      <c r="C140" s="2673" t="s">
        <v>591</v>
      </c>
      <c r="D140" s="2656" t="s">
        <v>596</v>
      </c>
      <c r="E140" s="853"/>
      <c r="F140" s="853"/>
      <c r="G140" s="854"/>
      <c r="H140" s="854"/>
      <c r="I140" s="854"/>
      <c r="J140" s="854"/>
      <c r="K140" s="855"/>
      <c r="L140" s="855"/>
      <c r="M140" s="855"/>
      <c r="N140" s="855"/>
      <c r="O140" s="856"/>
      <c r="P140" s="855"/>
      <c r="Q140" s="856"/>
      <c r="R140" s="855"/>
      <c r="S140" s="855"/>
      <c r="T140" s="889"/>
      <c r="U140" s="890"/>
      <c r="V140" s="855"/>
      <c r="W140" s="857"/>
    </row>
    <row r="141" spans="1:23">
      <c r="A141" s="858">
        <f t="shared" si="2"/>
        <v>136</v>
      </c>
      <c r="B141" s="2694"/>
      <c r="C141" s="2674"/>
      <c r="D141" s="2657"/>
      <c r="E141" s="859"/>
      <c r="F141" s="859"/>
      <c r="G141" s="860"/>
      <c r="H141" s="860"/>
      <c r="I141" s="860"/>
      <c r="J141" s="860"/>
      <c r="K141" s="861"/>
      <c r="L141" s="861"/>
      <c r="M141" s="861"/>
      <c r="N141" s="861"/>
      <c r="O141" s="862"/>
      <c r="P141" s="861"/>
      <c r="Q141" s="862"/>
      <c r="R141" s="861"/>
      <c r="S141" s="861"/>
      <c r="T141" s="894"/>
      <c r="U141" s="867"/>
      <c r="V141" s="861"/>
      <c r="W141" s="863"/>
    </row>
    <row r="142" spans="1:23">
      <c r="A142" s="858">
        <f t="shared" si="2"/>
        <v>137</v>
      </c>
      <c r="B142" s="2694"/>
      <c r="C142" s="2674"/>
      <c r="D142" s="2657"/>
      <c r="E142" s="859"/>
      <c r="F142" s="859"/>
      <c r="G142" s="860"/>
      <c r="H142" s="860"/>
      <c r="I142" s="860"/>
      <c r="J142" s="860"/>
      <c r="K142" s="861"/>
      <c r="L142" s="861"/>
      <c r="M142" s="861"/>
      <c r="N142" s="861"/>
      <c r="O142" s="862"/>
      <c r="P142" s="861"/>
      <c r="Q142" s="862"/>
      <c r="R142" s="861"/>
      <c r="S142" s="861"/>
      <c r="T142" s="894"/>
      <c r="U142" s="867"/>
      <c r="V142" s="861"/>
      <c r="W142" s="863"/>
    </row>
    <row r="143" spans="1:23">
      <c r="A143" s="858">
        <f t="shared" si="2"/>
        <v>138</v>
      </c>
      <c r="B143" s="2694"/>
      <c r="C143" s="2674"/>
      <c r="D143" s="2657"/>
      <c r="E143" s="859"/>
      <c r="F143" s="859"/>
      <c r="G143" s="860"/>
      <c r="H143" s="860"/>
      <c r="I143" s="860"/>
      <c r="J143" s="860"/>
      <c r="K143" s="861"/>
      <c r="L143" s="861"/>
      <c r="M143" s="861"/>
      <c r="N143" s="861"/>
      <c r="O143" s="862"/>
      <c r="P143" s="861"/>
      <c r="Q143" s="862"/>
      <c r="R143" s="861"/>
      <c r="S143" s="861"/>
      <c r="T143" s="894"/>
      <c r="U143" s="867"/>
      <c r="V143" s="861"/>
      <c r="W143" s="863"/>
    </row>
    <row r="144" spans="1:23">
      <c r="A144" s="858">
        <f t="shared" si="2"/>
        <v>139</v>
      </c>
      <c r="B144" s="2694"/>
      <c r="C144" s="2674"/>
      <c r="D144" s="2657"/>
      <c r="E144" s="859"/>
      <c r="F144" s="859"/>
      <c r="G144" s="860"/>
      <c r="H144" s="860"/>
      <c r="I144" s="860"/>
      <c r="J144" s="860"/>
      <c r="K144" s="861"/>
      <c r="L144" s="861"/>
      <c r="M144" s="861"/>
      <c r="N144" s="861"/>
      <c r="O144" s="862"/>
      <c r="P144" s="861"/>
      <c r="Q144" s="862"/>
      <c r="R144" s="861"/>
      <c r="S144" s="861"/>
      <c r="T144" s="894"/>
      <c r="U144" s="867"/>
      <c r="V144" s="861"/>
      <c r="W144" s="863"/>
    </row>
    <row r="145" spans="1:23">
      <c r="A145" s="858">
        <f t="shared" si="2"/>
        <v>140</v>
      </c>
      <c r="B145" s="2694"/>
      <c r="C145" s="2674"/>
      <c r="D145" s="2657"/>
      <c r="E145" s="859"/>
      <c r="F145" s="859"/>
      <c r="G145" s="860"/>
      <c r="H145" s="860"/>
      <c r="I145" s="860"/>
      <c r="J145" s="860"/>
      <c r="K145" s="861"/>
      <c r="L145" s="861"/>
      <c r="M145" s="861"/>
      <c r="N145" s="861"/>
      <c r="O145" s="862"/>
      <c r="P145" s="861"/>
      <c r="Q145" s="862"/>
      <c r="R145" s="861"/>
      <c r="S145" s="861"/>
      <c r="T145" s="894"/>
      <c r="U145" s="867"/>
      <c r="V145" s="861"/>
      <c r="W145" s="863"/>
    </row>
    <row r="146" spans="1:23" ht="14.25">
      <c r="A146" s="858">
        <f t="shared" si="2"/>
        <v>141</v>
      </c>
      <c r="B146" s="2694"/>
      <c r="C146" s="2674"/>
      <c r="D146" s="2234" t="s">
        <v>588</v>
      </c>
      <c r="E146" s="866"/>
      <c r="F146" s="866"/>
      <c r="G146" s="866"/>
      <c r="H146" s="866"/>
      <c r="I146" s="866"/>
      <c r="J146" s="866"/>
      <c r="K146" s="866"/>
      <c r="L146" s="866"/>
      <c r="M146" s="861">
        <f>SUM(M140:M145)</f>
        <v>0</v>
      </c>
      <c r="N146" s="861">
        <f>SUM(N140:N145)</f>
        <v>0</v>
      </c>
      <c r="O146" s="866"/>
      <c r="P146" s="866"/>
      <c r="Q146" s="866"/>
      <c r="R146" s="866"/>
      <c r="S146" s="861">
        <f>SUM(S140:S145)</f>
        <v>0</v>
      </c>
      <c r="T146" s="894"/>
      <c r="U146" s="867"/>
      <c r="V146" s="866"/>
      <c r="W146" s="874"/>
    </row>
    <row r="147" spans="1:23" ht="16.5" customHeight="1">
      <c r="A147" s="858">
        <f t="shared" si="2"/>
        <v>142</v>
      </c>
      <c r="B147" s="2694"/>
      <c r="C147" s="2674"/>
      <c r="D147" s="2687" t="s">
        <v>1688</v>
      </c>
      <c r="E147" s="859"/>
      <c r="F147" s="859"/>
      <c r="G147" s="860"/>
      <c r="H147" s="860"/>
      <c r="I147" s="860"/>
      <c r="J147" s="860"/>
      <c r="K147" s="861"/>
      <c r="L147" s="861"/>
      <c r="M147" s="861"/>
      <c r="N147" s="861"/>
      <c r="O147" s="862"/>
      <c r="P147" s="861"/>
      <c r="Q147" s="862"/>
      <c r="R147" s="861"/>
      <c r="S147" s="861"/>
      <c r="T147" s="894"/>
      <c r="U147" s="867"/>
      <c r="V147" s="861"/>
      <c r="W147" s="863"/>
    </row>
    <row r="148" spans="1:23">
      <c r="A148" s="858">
        <f t="shared" si="2"/>
        <v>143</v>
      </c>
      <c r="B148" s="2694"/>
      <c r="C148" s="2674"/>
      <c r="D148" s="2687"/>
      <c r="E148" s="859"/>
      <c r="F148" s="859"/>
      <c r="G148" s="860"/>
      <c r="H148" s="860"/>
      <c r="I148" s="860"/>
      <c r="J148" s="860"/>
      <c r="K148" s="861"/>
      <c r="L148" s="861"/>
      <c r="M148" s="861"/>
      <c r="N148" s="861"/>
      <c r="O148" s="862"/>
      <c r="P148" s="861"/>
      <c r="Q148" s="862"/>
      <c r="R148" s="861"/>
      <c r="S148" s="861"/>
      <c r="T148" s="894"/>
      <c r="U148" s="867"/>
      <c r="V148" s="861"/>
      <c r="W148" s="863"/>
    </row>
    <row r="149" spans="1:23">
      <c r="A149" s="858">
        <f t="shared" si="2"/>
        <v>144</v>
      </c>
      <c r="B149" s="2694"/>
      <c r="C149" s="2674"/>
      <c r="D149" s="2687"/>
      <c r="E149" s="859"/>
      <c r="F149" s="859"/>
      <c r="G149" s="860"/>
      <c r="H149" s="860"/>
      <c r="I149" s="860"/>
      <c r="J149" s="860"/>
      <c r="K149" s="861"/>
      <c r="L149" s="861"/>
      <c r="M149" s="861"/>
      <c r="N149" s="861"/>
      <c r="O149" s="862"/>
      <c r="P149" s="861"/>
      <c r="Q149" s="862"/>
      <c r="R149" s="861"/>
      <c r="S149" s="861"/>
      <c r="T149" s="894"/>
      <c r="U149" s="867"/>
      <c r="V149" s="861"/>
      <c r="W149" s="863"/>
    </row>
    <row r="150" spans="1:23">
      <c r="A150" s="858">
        <f t="shared" si="2"/>
        <v>145</v>
      </c>
      <c r="B150" s="2694"/>
      <c r="C150" s="2674"/>
      <c r="D150" s="2687"/>
      <c r="E150" s="859"/>
      <c r="F150" s="859"/>
      <c r="G150" s="860"/>
      <c r="H150" s="860"/>
      <c r="I150" s="860"/>
      <c r="J150" s="860"/>
      <c r="K150" s="861"/>
      <c r="L150" s="861"/>
      <c r="M150" s="861"/>
      <c r="N150" s="861"/>
      <c r="O150" s="862"/>
      <c r="P150" s="861"/>
      <c r="Q150" s="862"/>
      <c r="R150" s="861"/>
      <c r="S150" s="861"/>
      <c r="T150" s="894"/>
      <c r="U150" s="867"/>
      <c r="V150" s="861"/>
      <c r="W150" s="863"/>
    </row>
    <row r="151" spans="1:23">
      <c r="A151" s="858">
        <f t="shared" si="2"/>
        <v>146</v>
      </c>
      <c r="B151" s="2694"/>
      <c r="C151" s="2674"/>
      <c r="D151" s="2687"/>
      <c r="E151" s="859"/>
      <c r="F151" s="859"/>
      <c r="G151" s="860"/>
      <c r="H151" s="860"/>
      <c r="I151" s="860"/>
      <c r="J151" s="860"/>
      <c r="K151" s="861"/>
      <c r="L151" s="861"/>
      <c r="M151" s="861"/>
      <c r="N151" s="861"/>
      <c r="O151" s="862"/>
      <c r="P151" s="861"/>
      <c r="Q151" s="862"/>
      <c r="R151" s="861"/>
      <c r="S151" s="861"/>
      <c r="T151" s="894"/>
      <c r="U151" s="867"/>
      <c r="V151" s="861"/>
      <c r="W151" s="863"/>
    </row>
    <row r="152" spans="1:23">
      <c r="A152" s="858">
        <f t="shared" si="2"/>
        <v>147</v>
      </c>
      <c r="B152" s="2694"/>
      <c r="C152" s="2674"/>
      <c r="D152" s="2687"/>
      <c r="E152" s="859"/>
      <c r="F152" s="859"/>
      <c r="G152" s="860"/>
      <c r="H152" s="860"/>
      <c r="I152" s="860"/>
      <c r="J152" s="860"/>
      <c r="K152" s="861"/>
      <c r="L152" s="861"/>
      <c r="M152" s="861"/>
      <c r="N152" s="861"/>
      <c r="O152" s="862"/>
      <c r="P152" s="861"/>
      <c r="Q152" s="862"/>
      <c r="R152" s="861"/>
      <c r="S152" s="861"/>
      <c r="T152" s="894"/>
      <c r="U152" s="867"/>
      <c r="V152" s="861"/>
      <c r="W152" s="863"/>
    </row>
    <row r="153" spans="1:23" ht="16.5">
      <c r="A153" s="858">
        <f t="shared" si="2"/>
        <v>148</v>
      </c>
      <c r="B153" s="2694"/>
      <c r="C153" s="2674"/>
      <c r="D153" s="2236" t="s">
        <v>1408</v>
      </c>
      <c r="E153" s="866"/>
      <c r="F153" s="866"/>
      <c r="G153" s="866"/>
      <c r="H153" s="866"/>
      <c r="I153" s="866"/>
      <c r="J153" s="866"/>
      <c r="K153" s="866"/>
      <c r="L153" s="866"/>
      <c r="M153" s="861">
        <f>SUM(M147:M152)</f>
        <v>0</v>
      </c>
      <c r="N153" s="861">
        <f>SUM(N147:N152)</f>
        <v>0</v>
      </c>
      <c r="O153" s="866"/>
      <c r="P153" s="866"/>
      <c r="Q153" s="866"/>
      <c r="R153" s="866"/>
      <c r="S153" s="861">
        <f>SUM(S147:S152)</f>
        <v>0</v>
      </c>
      <c r="T153" s="894"/>
      <c r="U153" s="867"/>
      <c r="V153" s="866"/>
      <c r="W153" s="874"/>
    </row>
    <row r="154" spans="1:23" ht="16.5" customHeight="1">
      <c r="A154" s="858">
        <f t="shared" si="2"/>
        <v>149</v>
      </c>
      <c r="B154" s="2694"/>
      <c r="C154" s="2674"/>
      <c r="D154" s="2687" t="s">
        <v>1689</v>
      </c>
      <c r="E154" s="859"/>
      <c r="F154" s="859"/>
      <c r="G154" s="860"/>
      <c r="H154" s="860"/>
      <c r="I154" s="860"/>
      <c r="J154" s="860"/>
      <c r="K154" s="861"/>
      <c r="L154" s="861"/>
      <c r="M154" s="861"/>
      <c r="N154" s="861"/>
      <c r="O154" s="862"/>
      <c r="P154" s="861"/>
      <c r="Q154" s="862"/>
      <c r="R154" s="861"/>
      <c r="S154" s="861"/>
      <c r="T154" s="894"/>
      <c r="U154" s="867"/>
      <c r="V154" s="861"/>
      <c r="W154" s="863"/>
    </row>
    <row r="155" spans="1:23">
      <c r="A155" s="858">
        <f t="shared" si="2"/>
        <v>150</v>
      </c>
      <c r="B155" s="2694"/>
      <c r="C155" s="2674"/>
      <c r="D155" s="2687"/>
      <c r="E155" s="859"/>
      <c r="F155" s="859"/>
      <c r="G155" s="860"/>
      <c r="H155" s="860"/>
      <c r="I155" s="860"/>
      <c r="J155" s="860"/>
      <c r="K155" s="861"/>
      <c r="L155" s="861"/>
      <c r="M155" s="861"/>
      <c r="N155" s="861"/>
      <c r="O155" s="862"/>
      <c r="P155" s="861"/>
      <c r="Q155" s="862"/>
      <c r="R155" s="861"/>
      <c r="S155" s="861"/>
      <c r="T155" s="894"/>
      <c r="U155" s="867"/>
      <c r="V155" s="861"/>
      <c r="W155" s="863"/>
    </row>
    <row r="156" spans="1:23">
      <c r="A156" s="858">
        <f t="shared" si="2"/>
        <v>151</v>
      </c>
      <c r="B156" s="2694"/>
      <c r="C156" s="2674"/>
      <c r="D156" s="2687"/>
      <c r="E156" s="859"/>
      <c r="F156" s="859"/>
      <c r="G156" s="860"/>
      <c r="H156" s="860"/>
      <c r="I156" s="860"/>
      <c r="J156" s="860"/>
      <c r="K156" s="861"/>
      <c r="L156" s="861"/>
      <c r="M156" s="861"/>
      <c r="N156" s="861"/>
      <c r="O156" s="862"/>
      <c r="P156" s="861"/>
      <c r="Q156" s="862"/>
      <c r="R156" s="861"/>
      <c r="S156" s="861"/>
      <c r="T156" s="894"/>
      <c r="U156" s="867"/>
      <c r="V156" s="861"/>
      <c r="W156" s="863"/>
    </row>
    <row r="157" spans="1:23">
      <c r="A157" s="858">
        <f t="shared" si="2"/>
        <v>152</v>
      </c>
      <c r="B157" s="2694"/>
      <c r="C157" s="2674"/>
      <c r="D157" s="2687"/>
      <c r="E157" s="859"/>
      <c r="F157" s="859"/>
      <c r="G157" s="860"/>
      <c r="H157" s="860"/>
      <c r="I157" s="860"/>
      <c r="J157" s="860"/>
      <c r="K157" s="861"/>
      <c r="L157" s="861"/>
      <c r="M157" s="861"/>
      <c r="N157" s="861"/>
      <c r="O157" s="862"/>
      <c r="P157" s="861"/>
      <c r="Q157" s="862"/>
      <c r="R157" s="861"/>
      <c r="S157" s="861"/>
      <c r="T157" s="894"/>
      <c r="U157" s="867"/>
      <c r="V157" s="861"/>
      <c r="W157" s="863"/>
    </row>
    <row r="158" spans="1:23">
      <c r="A158" s="858">
        <f t="shared" si="2"/>
        <v>153</v>
      </c>
      <c r="B158" s="2694"/>
      <c r="C158" s="2674"/>
      <c r="D158" s="2687"/>
      <c r="E158" s="859"/>
      <c r="F158" s="859"/>
      <c r="G158" s="860"/>
      <c r="H158" s="860"/>
      <c r="I158" s="860"/>
      <c r="J158" s="860"/>
      <c r="K158" s="861"/>
      <c r="L158" s="861"/>
      <c r="M158" s="861"/>
      <c r="N158" s="861"/>
      <c r="O158" s="862"/>
      <c r="P158" s="861"/>
      <c r="Q158" s="862"/>
      <c r="R158" s="861"/>
      <c r="S158" s="861"/>
      <c r="T158" s="894"/>
      <c r="U158" s="867"/>
      <c r="V158" s="861"/>
      <c r="W158" s="863"/>
    </row>
    <row r="159" spans="1:23">
      <c r="A159" s="858">
        <f t="shared" si="2"/>
        <v>154</v>
      </c>
      <c r="B159" s="2694"/>
      <c r="C159" s="2674"/>
      <c r="D159" s="2687"/>
      <c r="E159" s="859"/>
      <c r="F159" s="859"/>
      <c r="G159" s="860"/>
      <c r="H159" s="860"/>
      <c r="I159" s="860"/>
      <c r="J159" s="860"/>
      <c r="K159" s="861"/>
      <c r="L159" s="861"/>
      <c r="M159" s="861"/>
      <c r="N159" s="861"/>
      <c r="O159" s="862"/>
      <c r="P159" s="861"/>
      <c r="Q159" s="862"/>
      <c r="R159" s="861"/>
      <c r="S159" s="861"/>
      <c r="T159" s="894"/>
      <c r="U159" s="867"/>
      <c r="V159" s="861"/>
      <c r="W159" s="863"/>
    </row>
    <row r="160" spans="1:23" ht="15" thickBot="1">
      <c r="A160" s="858">
        <f t="shared" si="2"/>
        <v>155</v>
      </c>
      <c r="B160" s="2694"/>
      <c r="C160" s="2675"/>
      <c r="D160" s="869" t="s">
        <v>588</v>
      </c>
      <c r="E160" s="872"/>
      <c r="F160" s="872"/>
      <c r="G160" s="872"/>
      <c r="H160" s="872"/>
      <c r="I160" s="872"/>
      <c r="J160" s="872"/>
      <c r="K160" s="872"/>
      <c r="L160" s="872"/>
      <c r="M160" s="871">
        <f>SUM(M154:M159)</f>
        <v>0</v>
      </c>
      <c r="N160" s="871">
        <f>SUM(N154:N159)</f>
        <v>0</v>
      </c>
      <c r="O160" s="872"/>
      <c r="P160" s="872"/>
      <c r="Q160" s="872"/>
      <c r="R160" s="872"/>
      <c r="S160" s="871">
        <f>SUM(S154:S159)</f>
        <v>0</v>
      </c>
      <c r="T160" s="933"/>
      <c r="U160" s="892"/>
      <c r="V160" s="872"/>
      <c r="W160" s="873"/>
    </row>
    <row r="161" spans="1:23" ht="14.25" thickBot="1">
      <c r="A161" s="858">
        <f t="shared" si="2"/>
        <v>156</v>
      </c>
      <c r="B161" s="2713" t="s">
        <v>597</v>
      </c>
      <c r="C161" s="2714"/>
      <c r="D161" s="2714"/>
      <c r="E161" s="900"/>
      <c r="F161" s="900"/>
      <c r="G161" s="901"/>
      <c r="H161" s="901"/>
      <c r="I161" s="901"/>
      <c r="J161" s="901"/>
      <c r="K161" s="902"/>
      <c r="L161" s="902"/>
      <c r="M161" s="903">
        <f>M111+M118+M125+M132+M139+M146+M153+M160</f>
        <v>0</v>
      </c>
      <c r="N161" s="903">
        <f>N111+N118+N125+N132+N139+N146+N153+N160</f>
        <v>0</v>
      </c>
      <c r="O161" s="902"/>
      <c r="P161" s="902"/>
      <c r="Q161" s="902"/>
      <c r="R161" s="902"/>
      <c r="S161" s="903">
        <f>S111+S118+S125+S132+S139+S146+S153+S160</f>
        <v>0</v>
      </c>
      <c r="T161" s="904"/>
      <c r="U161" s="905"/>
      <c r="V161" s="902"/>
      <c r="W161" s="906"/>
    </row>
    <row r="162" spans="1:23" ht="15" thickBot="1">
      <c r="A162" s="858">
        <f t="shared" si="2"/>
        <v>157</v>
      </c>
      <c r="B162" s="2704" t="s">
        <v>598</v>
      </c>
      <c r="C162" s="2705"/>
      <c r="D162" s="2705"/>
      <c r="E162" s="900"/>
      <c r="F162" s="900"/>
      <c r="G162" s="901"/>
      <c r="H162" s="901"/>
      <c r="I162" s="901"/>
      <c r="J162" s="901"/>
      <c r="K162" s="902"/>
      <c r="L162" s="902"/>
      <c r="M162" s="934">
        <f>M161+M104</f>
        <v>0</v>
      </c>
      <c r="N162" s="934">
        <f>N161+N104</f>
        <v>0</v>
      </c>
      <c r="O162" s="902"/>
      <c r="P162" s="902"/>
      <c r="Q162" s="902"/>
      <c r="R162" s="902"/>
      <c r="S162" s="934">
        <f>S161+S104</f>
        <v>0</v>
      </c>
      <c r="T162" s="904"/>
      <c r="U162" s="905"/>
      <c r="V162" s="902"/>
      <c r="W162" s="906"/>
    </row>
    <row r="163" spans="1:23">
      <c r="B163" s="907"/>
      <c r="C163" s="775"/>
      <c r="D163" s="775"/>
      <c r="E163" s="908"/>
      <c r="F163" s="908"/>
      <c r="G163" s="908"/>
      <c r="H163" s="908"/>
      <c r="I163" s="908"/>
      <c r="J163" s="908"/>
      <c r="K163" s="908"/>
      <c r="L163" s="908"/>
      <c r="M163" s="908"/>
      <c r="N163" s="908"/>
      <c r="O163" s="908"/>
      <c r="P163" s="908"/>
      <c r="Q163" s="908"/>
      <c r="R163" s="908"/>
      <c r="S163" s="908"/>
      <c r="T163" s="908"/>
      <c r="U163" s="935"/>
      <c r="V163" s="750"/>
    </row>
    <row r="164" spans="1:23" ht="14.25">
      <c r="A164" s="749" t="s">
        <v>642</v>
      </c>
      <c r="B164" s="907"/>
      <c r="C164" s="775"/>
      <c r="D164" s="775"/>
      <c r="E164" s="908"/>
      <c r="F164" s="908"/>
      <c r="G164" s="908"/>
      <c r="H164" s="908"/>
      <c r="I164" s="908"/>
      <c r="J164" s="908"/>
      <c r="K164" s="908"/>
      <c r="L164" s="908"/>
      <c r="M164" s="908"/>
      <c r="N164" s="908"/>
      <c r="O164" s="908"/>
      <c r="P164" s="908"/>
      <c r="Q164" s="908"/>
      <c r="R164" s="908"/>
      <c r="S164" s="908"/>
      <c r="T164" s="908"/>
      <c r="U164" s="935"/>
      <c r="V164" s="750"/>
    </row>
    <row r="165" spans="1:23" ht="14.25">
      <c r="A165" s="749">
        <v>1</v>
      </c>
      <c r="B165" s="775" t="s">
        <v>1426</v>
      </c>
      <c r="D165" s="775"/>
      <c r="E165" s="908"/>
      <c r="F165" s="908"/>
      <c r="G165" s="908"/>
      <c r="H165" s="908"/>
      <c r="I165" s="908"/>
      <c r="J165" s="908"/>
      <c r="K165" s="908"/>
      <c r="L165" s="908"/>
      <c r="M165" s="908"/>
      <c r="N165" s="908"/>
      <c r="O165" s="908"/>
      <c r="P165" s="908"/>
      <c r="Q165" s="908"/>
      <c r="R165" s="908"/>
      <c r="S165" s="908"/>
      <c r="T165" s="908"/>
      <c r="U165" s="935"/>
      <c r="V165" s="750"/>
    </row>
    <row r="166" spans="1:23" ht="14.25">
      <c r="A166" s="907" t="s">
        <v>487</v>
      </c>
      <c r="B166" s="775" t="s">
        <v>1427</v>
      </c>
      <c r="D166" s="775"/>
      <c r="E166" s="908"/>
      <c r="F166" s="908"/>
      <c r="G166" s="908"/>
      <c r="H166" s="908"/>
      <c r="I166" s="908"/>
      <c r="J166" s="908"/>
      <c r="K166" s="908"/>
      <c r="L166" s="908"/>
      <c r="M166" s="908"/>
      <c r="N166" s="908"/>
      <c r="O166" s="908"/>
      <c r="P166" s="908"/>
      <c r="Q166" s="908"/>
      <c r="R166" s="908"/>
      <c r="S166" s="908"/>
      <c r="T166" s="908"/>
      <c r="U166" s="935"/>
      <c r="V166" s="750"/>
    </row>
    <row r="167" spans="1:23" ht="14.25">
      <c r="A167" s="749">
        <v>3</v>
      </c>
      <c r="B167" s="775" t="s">
        <v>1428</v>
      </c>
      <c r="D167" s="775"/>
      <c r="E167" s="908"/>
      <c r="F167" s="908"/>
      <c r="G167" s="908"/>
      <c r="H167" s="908"/>
      <c r="I167" s="908"/>
      <c r="J167" s="908"/>
      <c r="K167" s="908"/>
      <c r="L167" s="908"/>
      <c r="M167" s="908"/>
      <c r="N167" s="908"/>
      <c r="O167" s="908"/>
      <c r="P167" s="908"/>
      <c r="Q167" s="908"/>
      <c r="R167" s="908"/>
      <c r="S167" s="908"/>
      <c r="T167" s="908"/>
      <c r="U167" s="935"/>
      <c r="V167" s="750"/>
    </row>
    <row r="168" spans="1:23" ht="14.25">
      <c r="A168" s="749">
        <v>4</v>
      </c>
      <c r="B168" s="750" t="s">
        <v>1429</v>
      </c>
      <c r="D168" s="750"/>
      <c r="E168" s="750"/>
      <c r="F168" s="750"/>
      <c r="G168" s="750"/>
      <c r="H168" s="750"/>
      <c r="I168" s="750"/>
      <c r="J168" s="750"/>
      <c r="K168" s="750"/>
      <c r="L168" s="750"/>
      <c r="M168" s="750"/>
    </row>
    <row r="169" spans="1:23" ht="14.25">
      <c r="A169" s="907" t="s">
        <v>488</v>
      </c>
      <c r="B169" s="750" t="s">
        <v>1430</v>
      </c>
      <c r="D169" s="750"/>
      <c r="E169" s="750"/>
      <c r="F169" s="750"/>
      <c r="G169" s="750"/>
      <c r="H169" s="750"/>
      <c r="I169" s="750"/>
      <c r="J169" s="750"/>
      <c r="K169" s="750"/>
      <c r="L169" s="750"/>
      <c r="M169" s="750"/>
    </row>
    <row r="170" spans="1:23" ht="14.25">
      <c r="A170" s="907" t="s">
        <v>489</v>
      </c>
      <c r="B170" s="775" t="s">
        <v>1420</v>
      </c>
      <c r="D170" s="908"/>
      <c r="E170" s="908"/>
      <c r="F170" s="908"/>
      <c r="G170" s="908"/>
      <c r="H170" s="908"/>
      <c r="I170" s="908"/>
      <c r="J170" s="908"/>
      <c r="K170" s="908"/>
      <c r="L170" s="908"/>
      <c r="M170" s="908"/>
      <c r="N170" s="908"/>
      <c r="O170" s="908"/>
      <c r="P170" s="908"/>
      <c r="Q170" s="908"/>
      <c r="R170" s="908"/>
      <c r="S170" s="908"/>
      <c r="T170" s="908"/>
      <c r="U170" s="935"/>
      <c r="V170" s="750"/>
    </row>
    <row r="171" spans="1:23">
      <c r="A171" s="749"/>
      <c r="B171" s="907"/>
      <c r="C171" s="775"/>
      <c r="D171" s="775"/>
      <c r="E171" s="908"/>
      <c r="F171" s="908"/>
      <c r="G171" s="908"/>
      <c r="H171" s="908"/>
      <c r="I171" s="908"/>
      <c r="J171" s="908"/>
      <c r="K171" s="908"/>
      <c r="L171" s="908"/>
      <c r="M171" s="908"/>
      <c r="N171" s="908"/>
      <c r="O171" s="908"/>
      <c r="P171" s="908"/>
      <c r="Q171" s="908"/>
      <c r="R171" s="908"/>
      <c r="S171" s="908"/>
      <c r="T171" s="908"/>
      <c r="U171" s="935"/>
      <c r="V171" s="750"/>
    </row>
    <row r="172" spans="1:23">
      <c r="A172" s="907"/>
      <c r="B172" s="907"/>
      <c r="C172" s="775"/>
      <c r="D172" s="775"/>
      <c r="E172" s="908"/>
      <c r="F172" s="908"/>
      <c r="G172" s="908"/>
      <c r="H172" s="908"/>
      <c r="I172" s="908"/>
      <c r="J172" s="908"/>
      <c r="K172" s="908"/>
      <c r="L172" s="908"/>
      <c r="M172" s="908"/>
      <c r="N172" s="908"/>
      <c r="O172" s="908"/>
      <c r="P172" s="908"/>
      <c r="Q172" s="908"/>
      <c r="R172" s="908"/>
      <c r="S172" s="908"/>
      <c r="T172" s="908"/>
      <c r="U172" s="935"/>
      <c r="V172" s="750"/>
    </row>
    <row r="173" spans="1:23">
      <c r="A173" s="749"/>
      <c r="B173" s="907"/>
      <c r="C173" s="756"/>
      <c r="D173" s="756"/>
      <c r="E173" s="908"/>
      <c r="F173" s="908"/>
      <c r="G173" s="908"/>
      <c r="H173" s="908"/>
      <c r="I173" s="908"/>
      <c r="J173" s="908"/>
      <c r="K173" s="908"/>
      <c r="L173" s="908"/>
      <c r="M173" s="908"/>
      <c r="N173" s="908"/>
      <c r="O173" s="908"/>
      <c r="P173" s="908"/>
      <c r="Q173" s="908"/>
      <c r="R173" s="908"/>
      <c r="S173" s="908"/>
      <c r="T173" s="908"/>
      <c r="U173" s="935"/>
      <c r="V173" s="750"/>
    </row>
    <row r="174" spans="1:23">
      <c r="A174" s="749"/>
      <c r="B174" s="907"/>
      <c r="C174" s="775"/>
      <c r="D174" s="775"/>
      <c r="E174" s="908"/>
      <c r="F174" s="908"/>
      <c r="G174" s="908"/>
      <c r="H174" s="908"/>
      <c r="I174" s="908"/>
      <c r="J174" s="908"/>
      <c r="K174" s="908"/>
      <c r="L174" s="908"/>
      <c r="M174" s="908"/>
      <c r="N174" s="908"/>
      <c r="O174" s="908"/>
      <c r="P174" s="908"/>
      <c r="Q174" s="908"/>
      <c r="R174" s="908"/>
      <c r="S174" s="908"/>
      <c r="T174" s="908"/>
      <c r="U174" s="935"/>
      <c r="V174" s="750"/>
    </row>
    <row r="175" spans="1:23">
      <c r="A175" s="907"/>
      <c r="B175" s="907"/>
      <c r="C175" s="775"/>
      <c r="D175" s="775"/>
      <c r="E175" s="908"/>
      <c r="F175" s="908"/>
      <c r="G175" s="908"/>
      <c r="H175" s="908"/>
      <c r="I175" s="908"/>
      <c r="J175" s="908"/>
      <c r="K175" s="908"/>
      <c r="L175" s="908"/>
      <c r="M175" s="908"/>
      <c r="N175" s="908"/>
      <c r="O175" s="908"/>
      <c r="P175" s="908"/>
      <c r="Q175" s="908"/>
      <c r="R175" s="908"/>
      <c r="S175" s="908"/>
      <c r="T175" s="908"/>
      <c r="U175" s="935"/>
      <c r="V175" s="750"/>
    </row>
    <row r="176" spans="1:23">
      <c r="A176" s="749"/>
      <c r="B176" s="907"/>
      <c r="C176" s="908"/>
      <c r="D176" s="908"/>
      <c r="E176" s="910"/>
      <c r="F176" s="912"/>
      <c r="G176" s="910"/>
      <c r="H176" s="910"/>
      <c r="I176" s="910"/>
      <c r="J176" s="910"/>
      <c r="K176" s="909"/>
      <c r="L176" s="909"/>
      <c r="M176" s="910"/>
      <c r="N176" s="910"/>
      <c r="O176" s="911"/>
      <c r="P176" s="909"/>
      <c r="Q176" s="911"/>
      <c r="R176" s="909"/>
      <c r="S176" s="909"/>
      <c r="T176" s="909"/>
      <c r="U176" s="936"/>
    </row>
    <row r="177" spans="1:22">
      <c r="A177" s="749"/>
      <c r="B177" s="907"/>
      <c r="C177" s="775"/>
      <c r="D177" s="775"/>
      <c r="E177" s="908"/>
      <c r="F177" s="908"/>
      <c r="G177" s="908"/>
      <c r="H177" s="908"/>
      <c r="I177" s="908"/>
      <c r="J177" s="908"/>
      <c r="K177" s="908"/>
      <c r="L177" s="908"/>
      <c r="M177" s="908"/>
      <c r="N177" s="908"/>
      <c r="O177" s="908"/>
      <c r="P177" s="908"/>
      <c r="Q177" s="908"/>
      <c r="R177" s="908"/>
      <c r="S177" s="908"/>
      <c r="T177" s="908"/>
      <c r="U177" s="935"/>
      <c r="V177" s="750"/>
    </row>
    <row r="178" spans="1:22">
      <c r="A178" s="907"/>
      <c r="B178" s="907"/>
      <c r="C178" s="775"/>
      <c r="D178" s="775"/>
      <c r="E178" s="908"/>
      <c r="F178" s="908"/>
      <c r="G178" s="908"/>
      <c r="H178" s="908"/>
      <c r="I178" s="908"/>
      <c r="J178" s="908"/>
      <c r="K178" s="908"/>
      <c r="L178" s="908"/>
      <c r="M178" s="908"/>
      <c r="N178" s="908"/>
      <c r="O178" s="908"/>
      <c r="P178" s="908"/>
      <c r="Q178" s="908"/>
      <c r="R178" s="908"/>
      <c r="S178" s="908"/>
      <c r="T178" s="908"/>
      <c r="U178" s="935"/>
      <c r="V178" s="750"/>
    </row>
    <row r="179" spans="1:22">
      <c r="A179" s="749"/>
      <c r="B179" s="907"/>
      <c r="C179" s="908"/>
      <c r="D179" s="908"/>
      <c r="E179" s="908"/>
      <c r="F179" s="908"/>
      <c r="G179" s="908"/>
      <c r="H179" s="908"/>
      <c r="I179" s="908"/>
      <c r="J179" s="908"/>
      <c r="K179" s="908"/>
      <c r="L179" s="908"/>
      <c r="M179" s="908"/>
      <c r="N179" s="908"/>
      <c r="O179" s="908"/>
      <c r="P179" s="908"/>
      <c r="Q179" s="908"/>
      <c r="R179" s="908"/>
      <c r="S179" s="908"/>
      <c r="T179" s="908"/>
      <c r="U179" s="935"/>
    </row>
    <row r="180" spans="1:22">
      <c r="A180" s="749"/>
      <c r="B180" s="907"/>
      <c r="E180" s="908"/>
      <c r="F180" s="908"/>
      <c r="G180" s="908"/>
      <c r="H180" s="908"/>
      <c r="I180" s="908"/>
      <c r="J180" s="908"/>
      <c r="K180" s="908"/>
      <c r="L180" s="908"/>
      <c r="M180" s="911"/>
      <c r="N180" s="911"/>
      <c r="O180" s="908"/>
      <c r="P180" s="908"/>
      <c r="Q180" s="908"/>
      <c r="R180" s="908"/>
      <c r="S180" s="908"/>
      <c r="T180" s="908"/>
      <c r="U180" s="937"/>
    </row>
    <row r="181" spans="1:22">
      <c r="A181" s="907"/>
      <c r="B181" s="907"/>
      <c r="C181" s="908"/>
      <c r="D181" s="908"/>
      <c r="E181" s="911"/>
      <c r="F181" s="911"/>
      <c r="G181" s="911"/>
      <c r="H181" s="911"/>
      <c r="I181" s="911"/>
      <c r="J181" s="911"/>
      <c r="K181" s="911"/>
      <c r="L181" s="911"/>
      <c r="M181" s="911"/>
      <c r="N181" s="911"/>
      <c r="O181" s="908"/>
      <c r="P181" s="911"/>
      <c r="Q181" s="908"/>
      <c r="R181" s="911"/>
      <c r="S181" s="911"/>
      <c r="T181" s="911"/>
      <c r="U181" s="937"/>
    </row>
    <row r="182" spans="1:22">
      <c r="A182" s="749"/>
      <c r="B182" s="907"/>
      <c r="C182" s="775"/>
      <c r="D182" s="775"/>
      <c r="E182" s="911"/>
      <c r="F182" s="911"/>
      <c r="G182" s="911"/>
      <c r="H182" s="911"/>
      <c r="I182" s="911"/>
      <c r="J182" s="911"/>
      <c r="K182" s="911"/>
      <c r="L182" s="911"/>
      <c r="M182" s="909"/>
      <c r="N182" s="909"/>
      <c r="O182" s="911"/>
      <c r="P182" s="911"/>
      <c r="Q182" s="911"/>
      <c r="R182" s="911"/>
      <c r="S182" s="911"/>
      <c r="T182" s="911"/>
      <c r="U182" s="938"/>
    </row>
    <row r="183" spans="1:22">
      <c r="A183" s="749"/>
      <c r="B183" s="907"/>
      <c r="C183" s="908"/>
      <c r="D183" s="908"/>
      <c r="E183" s="910"/>
      <c r="F183" s="912"/>
      <c r="G183" s="910"/>
      <c r="H183" s="910"/>
      <c r="I183" s="910"/>
      <c r="J183" s="910"/>
      <c r="K183" s="910"/>
      <c r="L183" s="910"/>
      <c r="M183" s="910"/>
      <c r="N183" s="910"/>
      <c r="O183" s="909"/>
      <c r="P183" s="910"/>
      <c r="Q183" s="909"/>
      <c r="R183" s="910"/>
      <c r="S183" s="910"/>
      <c r="T183" s="910"/>
      <c r="U183" s="939"/>
    </row>
    <row r="184" spans="1:22">
      <c r="A184" s="907"/>
    </row>
    <row r="185" spans="1:22">
      <c r="A185" s="749"/>
    </row>
  </sheetData>
  <mergeCells count="47">
    <mergeCell ref="B161:D161"/>
    <mergeCell ref="B162:D162"/>
    <mergeCell ref="D119:D124"/>
    <mergeCell ref="D126:D131"/>
    <mergeCell ref="D133:D138"/>
    <mergeCell ref="C140:C160"/>
    <mergeCell ref="C119:C139"/>
    <mergeCell ref="D83:D88"/>
    <mergeCell ref="B105:B160"/>
    <mergeCell ref="D140:D145"/>
    <mergeCell ref="D147:D152"/>
    <mergeCell ref="C83:C103"/>
    <mergeCell ref="D154:D159"/>
    <mergeCell ref="D90:D95"/>
    <mergeCell ref="D97:D102"/>
    <mergeCell ref="B104:C104"/>
    <mergeCell ref="C105:C118"/>
    <mergeCell ref="D105:D110"/>
    <mergeCell ref="D112:D117"/>
    <mergeCell ref="B6:B103"/>
    <mergeCell ref="C28:C49"/>
    <mergeCell ref="D28:D37"/>
    <mergeCell ref="D39:D48"/>
    <mergeCell ref="W3:W4"/>
    <mergeCell ref="C50:C82"/>
    <mergeCell ref="D50:D59"/>
    <mergeCell ref="D61:D70"/>
    <mergeCell ref="D72:D81"/>
    <mergeCell ref="L3:L4"/>
    <mergeCell ref="O3:P4"/>
    <mergeCell ref="C5:D5"/>
    <mergeCell ref="C6:C27"/>
    <mergeCell ref="N3:N4"/>
    <mergeCell ref="K3:K4"/>
    <mergeCell ref="D6:D19"/>
    <mergeCell ref="T3:T4"/>
    <mergeCell ref="U3:U4"/>
    <mergeCell ref="V3:V4"/>
    <mergeCell ref="D21:D26"/>
    <mergeCell ref="Q3:R4"/>
    <mergeCell ref="S3:S4"/>
    <mergeCell ref="M3:M4"/>
    <mergeCell ref="A3:A5"/>
    <mergeCell ref="B3:B4"/>
    <mergeCell ref="C3:D4"/>
    <mergeCell ref="E3:I3"/>
    <mergeCell ref="J3:J4"/>
  </mergeCells>
  <phoneticPr fontId="26" type="noConversion"/>
  <printOptions horizontalCentered="1"/>
  <pageMargins left="0.39370078740157483" right="0.39370078740157483" top="0.39370078740157483" bottom="0.39370078740157483" header="0.19685039370078741" footer="0.19685039370078741"/>
  <pageSetup paperSize="9" scale="33" fitToWidth="0" orientation="portrait" horizontalDpi="4294967295" verticalDpi="4294967295" r:id="rId1"/>
  <headerFooter alignWithMargins="0">
    <oddFooter>&amp;C&amp;P+72&amp;R&amp;A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216"/>
  <sheetViews>
    <sheetView zoomScale="80" zoomScaleNormal="80" workbookViewId="0">
      <pane xSplit="4" ySplit="5" topLeftCell="K6" activePane="bottomRight" state="frozen"/>
      <selection pane="topRight"/>
      <selection pane="bottomLeft"/>
      <selection pane="bottomRight"/>
    </sheetView>
  </sheetViews>
  <sheetFormatPr defaultRowHeight="16.5"/>
  <cols>
    <col min="1" max="1" width="5.125" style="848" customWidth="1"/>
    <col min="2" max="3" width="9.625" style="848" customWidth="1"/>
    <col min="4" max="9" width="9" style="848"/>
    <col min="10" max="10" width="11.375" style="848" customWidth="1"/>
    <col min="11" max="13" width="9" style="848"/>
    <col min="14" max="16" width="13.5" style="848" customWidth="1"/>
    <col min="17" max="17" width="19.75" style="848" customWidth="1"/>
    <col min="18" max="18" width="18.875" style="848" customWidth="1"/>
    <col min="19" max="19" width="11" style="848" customWidth="1"/>
    <col min="20" max="22" width="9" style="848"/>
    <col min="23" max="23" width="8.375" style="848" customWidth="1"/>
    <col min="24" max="24" width="11" style="848" customWidth="1"/>
    <col min="25" max="25" width="14.5" style="848" customWidth="1"/>
    <col min="26" max="26" width="13" style="1162" customWidth="1"/>
    <col min="27" max="27" width="12.5" style="1162" customWidth="1"/>
    <col min="28" max="28" width="14.5" style="1162" customWidth="1"/>
    <col min="29" max="16384" width="9" style="848"/>
  </cols>
  <sheetData>
    <row r="1" spans="1:31">
      <c r="A1" s="105" t="str">
        <f>表03!A1</f>
        <v xml:space="preserve"> 保險股份有限公司    年度(月)報表</v>
      </c>
      <c r="B1" s="844"/>
      <c r="C1" s="844"/>
      <c r="D1" s="845"/>
      <c r="E1" s="845"/>
      <c r="F1" s="846"/>
      <c r="G1" s="845"/>
      <c r="H1" s="845"/>
      <c r="I1" s="845"/>
      <c r="J1" s="845"/>
      <c r="K1" s="845"/>
      <c r="L1" s="845"/>
      <c r="M1" s="845"/>
      <c r="N1" s="845"/>
      <c r="O1" s="845"/>
      <c r="P1" s="845"/>
      <c r="Q1" s="845"/>
      <c r="R1" s="845"/>
      <c r="S1" s="845"/>
      <c r="T1" s="845"/>
      <c r="U1" s="845"/>
      <c r="V1" s="845"/>
      <c r="W1" s="845"/>
      <c r="X1" s="845"/>
      <c r="Y1" s="915"/>
      <c r="AC1" s="845"/>
      <c r="AD1" s="847" t="s">
        <v>1389</v>
      </c>
    </row>
    <row r="2" spans="1:31" ht="17.25" thickBot="1">
      <c r="A2" s="847" t="s">
        <v>1851</v>
      </c>
      <c r="B2" s="847"/>
      <c r="C2" s="847"/>
      <c r="D2" s="845"/>
      <c r="E2" s="845"/>
      <c r="F2" s="846"/>
      <c r="G2" s="845"/>
      <c r="H2" s="845"/>
      <c r="I2" s="845"/>
      <c r="J2" s="845"/>
      <c r="K2" s="845"/>
      <c r="L2" s="845"/>
      <c r="M2" s="845"/>
      <c r="N2" s="845"/>
      <c r="O2" s="845"/>
      <c r="P2" s="845"/>
      <c r="Q2" s="845"/>
      <c r="R2" s="845"/>
      <c r="S2" s="845"/>
      <c r="T2" s="845"/>
      <c r="U2" s="845"/>
      <c r="V2" s="845"/>
      <c r="W2" s="845"/>
      <c r="X2" s="845"/>
      <c r="Y2" s="915"/>
      <c r="AC2" s="845"/>
      <c r="AD2" s="845"/>
    </row>
    <row r="3" spans="1:31" ht="16.5" customHeight="1">
      <c r="A3" s="2651" t="s">
        <v>677</v>
      </c>
      <c r="B3" s="2654" t="s">
        <v>1390</v>
      </c>
      <c r="C3" s="2656" t="s">
        <v>1391</v>
      </c>
      <c r="D3" s="2656"/>
      <c r="E3" s="2654" t="s">
        <v>1392</v>
      </c>
      <c r="F3" s="2654"/>
      <c r="G3" s="2654"/>
      <c r="H3" s="2654"/>
      <c r="I3" s="2654"/>
      <c r="J3" s="2238"/>
      <c r="K3" s="2654" t="s">
        <v>1394</v>
      </c>
      <c r="L3" s="2654" t="s">
        <v>678</v>
      </c>
      <c r="M3" s="2710" t="s">
        <v>1395</v>
      </c>
      <c r="N3" s="2654" t="s">
        <v>1431</v>
      </c>
      <c r="O3" s="2654" t="s">
        <v>1432</v>
      </c>
      <c r="P3" s="2654" t="s">
        <v>1433</v>
      </c>
      <c r="Q3" s="2656" t="s">
        <v>1434</v>
      </c>
      <c r="R3" s="2656" t="s">
        <v>1435</v>
      </c>
      <c r="S3" s="2656" t="s">
        <v>1436</v>
      </c>
      <c r="T3" s="2656" t="s">
        <v>1437</v>
      </c>
      <c r="U3" s="2700"/>
      <c r="V3" s="2656" t="s">
        <v>1438</v>
      </c>
      <c r="W3" s="2700"/>
      <c r="X3" s="2654" t="s">
        <v>1401</v>
      </c>
      <c r="Y3" s="2665" t="s">
        <v>1439</v>
      </c>
      <c r="Z3" s="2663" t="s">
        <v>1836</v>
      </c>
      <c r="AA3" s="2663" t="s">
        <v>1837</v>
      </c>
      <c r="AB3" s="2663" t="s">
        <v>1838</v>
      </c>
      <c r="AC3" s="2654" t="s">
        <v>1403</v>
      </c>
      <c r="AD3" s="2654" t="s">
        <v>1388</v>
      </c>
      <c r="AE3" s="2659" t="s">
        <v>1291</v>
      </c>
    </row>
    <row r="4" spans="1:31" ht="31.5" customHeight="1">
      <c r="A4" s="2652"/>
      <c r="B4" s="2655"/>
      <c r="C4" s="2657"/>
      <c r="D4" s="2657"/>
      <c r="E4" s="2239" t="s">
        <v>1292</v>
      </c>
      <c r="F4" s="2239" t="s">
        <v>1293</v>
      </c>
      <c r="G4" s="2285" t="s">
        <v>1404</v>
      </c>
      <c r="H4" s="2285" t="s">
        <v>1405</v>
      </c>
      <c r="I4" s="2285" t="s">
        <v>1308</v>
      </c>
      <c r="J4" s="2285" t="s">
        <v>1440</v>
      </c>
      <c r="K4" s="2655"/>
      <c r="L4" s="2657"/>
      <c r="M4" s="2662"/>
      <c r="N4" s="2657"/>
      <c r="O4" s="2657"/>
      <c r="P4" s="2655"/>
      <c r="Q4" s="2657"/>
      <c r="R4" s="2657"/>
      <c r="S4" s="2657"/>
      <c r="T4" s="2703"/>
      <c r="U4" s="2703"/>
      <c r="V4" s="2703"/>
      <c r="W4" s="2703"/>
      <c r="X4" s="2655"/>
      <c r="Y4" s="2666"/>
      <c r="Z4" s="2664"/>
      <c r="AA4" s="2664"/>
      <c r="AB4" s="2664"/>
      <c r="AC4" s="2655"/>
      <c r="AD4" s="2655"/>
      <c r="AE4" s="2660"/>
    </row>
    <row r="5" spans="1:31" ht="17.25" thickBot="1">
      <c r="A5" s="2653"/>
      <c r="B5" s="2240" t="s">
        <v>66</v>
      </c>
      <c r="C5" s="2658" t="s">
        <v>67</v>
      </c>
      <c r="D5" s="2715"/>
      <c r="E5" s="2240" t="s">
        <v>68</v>
      </c>
      <c r="F5" s="2240" t="s">
        <v>69</v>
      </c>
      <c r="G5" s="2240" t="s">
        <v>70</v>
      </c>
      <c r="H5" s="2240" t="s">
        <v>71</v>
      </c>
      <c r="I5" s="2240" t="s">
        <v>72</v>
      </c>
      <c r="J5" s="2240" t="s">
        <v>470</v>
      </c>
      <c r="K5" s="2240" t="s">
        <v>471</v>
      </c>
      <c r="L5" s="2240" t="s">
        <v>472</v>
      </c>
      <c r="M5" s="2240" t="s">
        <v>473</v>
      </c>
      <c r="N5" s="2240" t="s">
        <v>485</v>
      </c>
      <c r="O5" s="2240" t="s">
        <v>474</v>
      </c>
      <c r="P5" s="2240" t="s">
        <v>475</v>
      </c>
      <c r="Q5" s="2240" t="s">
        <v>476</v>
      </c>
      <c r="R5" s="2240" t="s">
        <v>477</v>
      </c>
      <c r="S5" s="2240" t="s">
        <v>478</v>
      </c>
      <c r="T5" s="2240" t="s">
        <v>1441</v>
      </c>
      <c r="U5" s="2240" t="s">
        <v>1442</v>
      </c>
      <c r="V5" s="2240" t="s">
        <v>1441</v>
      </c>
      <c r="W5" s="2240" t="s">
        <v>1442</v>
      </c>
      <c r="X5" s="2240" t="s">
        <v>481</v>
      </c>
      <c r="Y5" s="2240" t="s">
        <v>482</v>
      </c>
      <c r="Z5" s="1351" t="s">
        <v>189</v>
      </c>
      <c r="AA5" s="1351" t="s">
        <v>491</v>
      </c>
      <c r="AB5" s="1351" t="s">
        <v>1855</v>
      </c>
      <c r="AC5" s="1351" t="s">
        <v>1856</v>
      </c>
      <c r="AD5" s="1351" t="s">
        <v>1857</v>
      </c>
      <c r="AE5" s="1365" t="s">
        <v>1811</v>
      </c>
    </row>
    <row r="6" spans="1:31" ht="14.25" customHeight="1">
      <c r="A6" s="851">
        <v>1</v>
      </c>
      <c r="B6" s="2670" t="s">
        <v>587</v>
      </c>
      <c r="C6" s="2673" t="s">
        <v>1406</v>
      </c>
      <c r="D6" s="2700" t="s">
        <v>1686</v>
      </c>
      <c r="E6" s="852" t="s">
        <v>1407</v>
      </c>
      <c r="F6" s="940"/>
      <c r="G6" s="940"/>
      <c r="H6" s="940"/>
      <c r="I6" s="940"/>
      <c r="J6" s="941"/>
      <c r="K6" s="941"/>
      <c r="L6" s="941"/>
      <c r="M6" s="941"/>
      <c r="N6" s="941"/>
      <c r="O6" s="941"/>
      <c r="P6" s="942"/>
      <c r="Q6" s="941"/>
      <c r="R6" s="941"/>
      <c r="S6" s="941"/>
      <c r="T6" s="941"/>
      <c r="U6" s="942"/>
      <c r="V6" s="941"/>
      <c r="W6" s="942"/>
      <c r="X6" s="941"/>
      <c r="Y6" s="943"/>
      <c r="Z6" s="1265"/>
      <c r="AA6" s="1265"/>
      <c r="AB6" s="1265"/>
      <c r="AC6" s="944"/>
      <c r="AD6" s="944"/>
      <c r="AE6" s="945"/>
    </row>
    <row r="7" spans="1:31">
      <c r="A7" s="858">
        <v>2</v>
      </c>
      <c r="B7" s="2671"/>
      <c r="C7" s="2674"/>
      <c r="D7" s="2703"/>
      <c r="E7" s="946"/>
      <c r="F7" s="947"/>
      <c r="G7" s="947"/>
      <c r="H7" s="947"/>
      <c r="I7" s="947"/>
      <c r="J7" s="948"/>
      <c r="K7" s="948"/>
      <c r="L7" s="948"/>
      <c r="M7" s="948"/>
      <c r="N7" s="948"/>
      <c r="O7" s="948"/>
      <c r="P7" s="949"/>
      <c r="Q7" s="948"/>
      <c r="R7" s="948"/>
      <c r="S7" s="948"/>
      <c r="T7" s="948"/>
      <c r="U7" s="949"/>
      <c r="V7" s="948"/>
      <c r="W7" s="949"/>
      <c r="X7" s="948"/>
      <c r="Y7" s="950"/>
      <c r="Z7" s="1266"/>
      <c r="AA7" s="1266"/>
      <c r="AB7" s="1266"/>
      <c r="AC7" s="951"/>
      <c r="AD7" s="951"/>
      <c r="AE7" s="952"/>
    </row>
    <row r="8" spans="1:31">
      <c r="A8" s="858">
        <v>3</v>
      </c>
      <c r="B8" s="2671"/>
      <c r="C8" s="2674"/>
      <c r="D8" s="2703"/>
      <c r="E8" s="946"/>
      <c r="F8" s="947"/>
      <c r="G8" s="947"/>
      <c r="H8" s="947"/>
      <c r="I8" s="947"/>
      <c r="J8" s="948"/>
      <c r="K8" s="948"/>
      <c r="L8" s="948"/>
      <c r="M8" s="948"/>
      <c r="N8" s="948"/>
      <c r="O8" s="948"/>
      <c r="P8" s="949"/>
      <c r="Q8" s="948"/>
      <c r="R8" s="948"/>
      <c r="S8" s="948"/>
      <c r="T8" s="948"/>
      <c r="U8" s="949"/>
      <c r="V8" s="948"/>
      <c r="W8" s="949"/>
      <c r="X8" s="948"/>
      <c r="Y8" s="950"/>
      <c r="Z8" s="1266"/>
      <c r="AA8" s="1266"/>
      <c r="AB8" s="1266"/>
      <c r="AC8" s="951"/>
      <c r="AD8" s="951"/>
      <c r="AE8" s="952"/>
    </row>
    <row r="9" spans="1:31">
      <c r="A9" s="858">
        <v>4</v>
      </c>
      <c r="B9" s="2671"/>
      <c r="C9" s="2674"/>
      <c r="D9" s="2703"/>
      <c r="E9" s="946"/>
      <c r="F9" s="947"/>
      <c r="G9" s="947"/>
      <c r="H9" s="947"/>
      <c r="I9" s="947"/>
      <c r="J9" s="948"/>
      <c r="K9" s="948"/>
      <c r="L9" s="948"/>
      <c r="M9" s="948"/>
      <c r="N9" s="948"/>
      <c r="O9" s="948"/>
      <c r="P9" s="949"/>
      <c r="Q9" s="948"/>
      <c r="R9" s="948"/>
      <c r="S9" s="948"/>
      <c r="T9" s="948"/>
      <c r="U9" s="949"/>
      <c r="V9" s="948"/>
      <c r="W9" s="949"/>
      <c r="X9" s="948"/>
      <c r="Y9" s="950"/>
      <c r="Z9" s="1266"/>
      <c r="AA9" s="1266"/>
      <c r="AB9" s="1266"/>
      <c r="AC9" s="951"/>
      <c r="AD9" s="951"/>
      <c r="AE9" s="952"/>
    </row>
    <row r="10" spans="1:31">
      <c r="A10" s="858">
        <v>5</v>
      </c>
      <c r="B10" s="2671"/>
      <c r="C10" s="2674"/>
      <c r="D10" s="2703"/>
      <c r="E10" s="946"/>
      <c r="F10" s="947"/>
      <c r="G10" s="947"/>
      <c r="H10" s="947"/>
      <c r="I10" s="947"/>
      <c r="J10" s="948"/>
      <c r="K10" s="948"/>
      <c r="L10" s="948"/>
      <c r="M10" s="948"/>
      <c r="N10" s="948"/>
      <c r="O10" s="948"/>
      <c r="P10" s="949"/>
      <c r="Q10" s="948"/>
      <c r="R10" s="948"/>
      <c r="S10" s="948"/>
      <c r="T10" s="948"/>
      <c r="U10" s="949"/>
      <c r="V10" s="948"/>
      <c r="W10" s="949"/>
      <c r="X10" s="948"/>
      <c r="Y10" s="950"/>
      <c r="Z10" s="1266"/>
      <c r="AA10" s="1266"/>
      <c r="AB10" s="1266"/>
      <c r="AC10" s="951"/>
      <c r="AD10" s="951"/>
      <c r="AE10" s="952"/>
    </row>
    <row r="11" spans="1:31">
      <c r="A11" s="858">
        <v>6</v>
      </c>
      <c r="B11" s="2671"/>
      <c r="C11" s="2674"/>
      <c r="D11" s="2703"/>
      <c r="E11" s="946"/>
      <c r="F11" s="947"/>
      <c r="G11" s="947"/>
      <c r="H11" s="947"/>
      <c r="I11" s="947"/>
      <c r="J11" s="948"/>
      <c r="K11" s="948"/>
      <c r="L11" s="948"/>
      <c r="M11" s="948"/>
      <c r="N11" s="948"/>
      <c r="O11" s="948"/>
      <c r="P11" s="949"/>
      <c r="Q11" s="948"/>
      <c r="R11" s="948"/>
      <c r="S11" s="948"/>
      <c r="T11" s="948"/>
      <c r="U11" s="949"/>
      <c r="V11" s="948"/>
      <c r="W11" s="949"/>
      <c r="X11" s="948"/>
      <c r="Y11" s="950"/>
      <c r="Z11" s="1266"/>
      <c r="AA11" s="1266"/>
      <c r="AB11" s="1266"/>
      <c r="AC11" s="951"/>
      <c r="AD11" s="951"/>
      <c r="AE11" s="952"/>
    </row>
    <row r="12" spans="1:31">
      <c r="A12" s="858">
        <v>7</v>
      </c>
      <c r="B12" s="2671"/>
      <c r="C12" s="2674"/>
      <c r="D12" s="2703"/>
      <c r="E12" s="946"/>
      <c r="F12" s="947"/>
      <c r="G12" s="947"/>
      <c r="H12" s="947"/>
      <c r="I12" s="947"/>
      <c r="J12" s="948"/>
      <c r="K12" s="948"/>
      <c r="L12" s="948"/>
      <c r="M12" s="948"/>
      <c r="N12" s="948"/>
      <c r="O12" s="948"/>
      <c r="P12" s="949"/>
      <c r="Q12" s="948"/>
      <c r="R12" s="948"/>
      <c r="S12" s="948"/>
      <c r="T12" s="948"/>
      <c r="U12" s="949"/>
      <c r="V12" s="948"/>
      <c r="W12" s="949"/>
      <c r="X12" s="948"/>
      <c r="Y12" s="950"/>
      <c r="Z12" s="1266"/>
      <c r="AA12" s="1266"/>
      <c r="AB12" s="1266"/>
      <c r="AC12" s="951"/>
      <c r="AD12" s="951"/>
      <c r="AE12" s="952"/>
    </row>
    <row r="13" spans="1:31">
      <c r="A13" s="858">
        <v>8</v>
      </c>
      <c r="B13" s="2671"/>
      <c r="C13" s="2674"/>
      <c r="D13" s="2703"/>
      <c r="E13" s="946"/>
      <c r="F13" s="947"/>
      <c r="G13" s="947"/>
      <c r="H13" s="947"/>
      <c r="I13" s="947"/>
      <c r="J13" s="948"/>
      <c r="K13" s="948"/>
      <c r="L13" s="948"/>
      <c r="M13" s="948"/>
      <c r="N13" s="948"/>
      <c r="O13" s="948"/>
      <c r="P13" s="949"/>
      <c r="Q13" s="948"/>
      <c r="R13" s="948"/>
      <c r="S13" s="948"/>
      <c r="T13" s="948"/>
      <c r="U13" s="949"/>
      <c r="V13" s="948"/>
      <c r="W13" s="949"/>
      <c r="X13" s="948"/>
      <c r="Y13" s="950"/>
      <c r="Z13" s="1266"/>
      <c r="AA13" s="1266"/>
      <c r="AB13" s="1266"/>
      <c r="AC13" s="951"/>
      <c r="AD13" s="951"/>
      <c r="AE13" s="952"/>
    </row>
    <row r="14" spans="1:31">
      <c r="A14" s="858">
        <v>9</v>
      </c>
      <c r="B14" s="2671"/>
      <c r="C14" s="2674"/>
      <c r="D14" s="2703"/>
      <c r="E14" s="946"/>
      <c r="F14" s="947"/>
      <c r="G14" s="947"/>
      <c r="H14" s="947"/>
      <c r="I14" s="947"/>
      <c r="J14" s="948"/>
      <c r="K14" s="948"/>
      <c r="L14" s="948"/>
      <c r="M14" s="948"/>
      <c r="N14" s="948"/>
      <c r="O14" s="948"/>
      <c r="P14" s="949"/>
      <c r="Q14" s="948"/>
      <c r="R14" s="948"/>
      <c r="S14" s="948"/>
      <c r="T14" s="948"/>
      <c r="U14" s="949"/>
      <c r="V14" s="948"/>
      <c r="W14" s="949"/>
      <c r="X14" s="948"/>
      <c r="Y14" s="950"/>
      <c r="Z14" s="1266"/>
      <c r="AA14" s="1266"/>
      <c r="AB14" s="1266"/>
      <c r="AC14" s="951"/>
      <c r="AD14" s="951"/>
      <c r="AE14" s="952"/>
    </row>
    <row r="15" spans="1:31">
      <c r="A15" s="858">
        <v>10</v>
      </c>
      <c r="B15" s="2671"/>
      <c r="C15" s="2674"/>
      <c r="D15" s="2703"/>
      <c r="E15" s="946"/>
      <c r="F15" s="947"/>
      <c r="G15" s="947"/>
      <c r="H15" s="947"/>
      <c r="I15" s="947"/>
      <c r="J15" s="948"/>
      <c r="K15" s="948"/>
      <c r="L15" s="948"/>
      <c r="M15" s="948"/>
      <c r="N15" s="948"/>
      <c r="O15" s="948"/>
      <c r="P15" s="949"/>
      <c r="Q15" s="948"/>
      <c r="R15" s="948"/>
      <c r="S15" s="948"/>
      <c r="T15" s="948"/>
      <c r="U15" s="949"/>
      <c r="V15" s="948"/>
      <c r="W15" s="949"/>
      <c r="X15" s="948"/>
      <c r="Y15" s="950"/>
      <c r="Z15" s="1266"/>
      <c r="AA15" s="1266"/>
      <c r="AB15" s="1266"/>
      <c r="AC15" s="951"/>
      <c r="AD15" s="951"/>
      <c r="AE15" s="952"/>
    </row>
    <row r="16" spans="1:31">
      <c r="A16" s="858">
        <v>11</v>
      </c>
      <c r="B16" s="2671"/>
      <c r="C16" s="2674"/>
      <c r="D16" s="2703"/>
      <c r="E16" s="946"/>
      <c r="F16" s="947"/>
      <c r="G16" s="947"/>
      <c r="H16" s="947"/>
      <c r="I16" s="947"/>
      <c r="J16" s="948"/>
      <c r="K16" s="948"/>
      <c r="L16" s="948"/>
      <c r="M16" s="948"/>
      <c r="N16" s="948"/>
      <c r="O16" s="948"/>
      <c r="P16" s="949"/>
      <c r="Q16" s="948"/>
      <c r="R16" s="948"/>
      <c r="S16" s="948"/>
      <c r="T16" s="948"/>
      <c r="U16" s="949"/>
      <c r="V16" s="948"/>
      <c r="W16" s="949"/>
      <c r="X16" s="948"/>
      <c r="Y16" s="950"/>
      <c r="Z16" s="1266"/>
      <c r="AA16" s="1266"/>
      <c r="AB16" s="1266"/>
      <c r="AC16" s="951"/>
      <c r="AD16" s="951"/>
      <c r="AE16" s="952"/>
    </row>
    <row r="17" spans="1:31">
      <c r="A17" s="858">
        <v>12</v>
      </c>
      <c r="B17" s="2671"/>
      <c r="C17" s="2674"/>
      <c r="D17" s="2703"/>
      <c r="E17" s="946"/>
      <c r="F17" s="947"/>
      <c r="G17" s="947"/>
      <c r="H17" s="947"/>
      <c r="I17" s="947"/>
      <c r="J17" s="948"/>
      <c r="K17" s="948"/>
      <c r="L17" s="948"/>
      <c r="M17" s="948"/>
      <c r="N17" s="948"/>
      <c r="O17" s="948"/>
      <c r="P17" s="949"/>
      <c r="Q17" s="948"/>
      <c r="R17" s="948"/>
      <c r="S17" s="948"/>
      <c r="T17" s="948"/>
      <c r="U17" s="949"/>
      <c r="V17" s="948"/>
      <c r="W17" s="949"/>
      <c r="X17" s="948"/>
      <c r="Y17" s="950"/>
      <c r="Z17" s="1266"/>
      <c r="AA17" s="1266"/>
      <c r="AB17" s="1266"/>
      <c r="AC17" s="951"/>
      <c r="AD17" s="951"/>
      <c r="AE17" s="952"/>
    </row>
    <row r="18" spans="1:31">
      <c r="A18" s="858">
        <v>13</v>
      </c>
      <c r="B18" s="2671"/>
      <c r="C18" s="2674"/>
      <c r="D18" s="2234" t="s">
        <v>588</v>
      </c>
      <c r="E18" s="953"/>
      <c r="F18" s="954"/>
      <c r="G18" s="954"/>
      <c r="H18" s="954"/>
      <c r="I18" s="954"/>
      <c r="J18" s="955"/>
      <c r="K18" s="955"/>
      <c r="L18" s="955"/>
      <c r="M18" s="948">
        <f>SUM(M6:M17)</f>
        <v>0</v>
      </c>
      <c r="N18" s="948">
        <f>SUM(N6:N17)</f>
        <v>0</v>
      </c>
      <c r="O18" s="948">
        <f>SUM(O6:O17)</f>
        <v>0</v>
      </c>
      <c r="P18" s="948">
        <f>SUM(P6:P17)</f>
        <v>0</v>
      </c>
      <c r="Q18" s="955"/>
      <c r="R18" s="948">
        <f>SUM(R6:R17)</f>
        <v>0</v>
      </c>
      <c r="S18" s="955"/>
      <c r="T18" s="948">
        <f>SUM(T6:T17)</f>
        <v>0</v>
      </c>
      <c r="U18" s="948">
        <f>SUM(U6:U17)</f>
        <v>0</v>
      </c>
      <c r="V18" s="948">
        <f>SUM(V6:V17)</f>
        <v>0</v>
      </c>
      <c r="W18" s="948">
        <f>SUM(W6:W17)</f>
        <v>0</v>
      </c>
      <c r="X18" s="955"/>
      <c r="Y18" s="956"/>
      <c r="Z18" s="1266"/>
      <c r="AA18" s="1266"/>
      <c r="AB18" s="1266"/>
      <c r="AC18" s="956"/>
      <c r="AD18" s="956"/>
      <c r="AE18" s="957"/>
    </row>
    <row r="19" spans="1:31" ht="13.5" customHeight="1">
      <c r="A19" s="858">
        <v>14</v>
      </c>
      <c r="B19" s="2671"/>
      <c r="C19" s="2674"/>
      <c r="D19" s="2716" t="s">
        <v>1687</v>
      </c>
      <c r="E19" s="946"/>
      <c r="F19" s="947"/>
      <c r="G19" s="947"/>
      <c r="H19" s="947"/>
      <c r="I19" s="947"/>
      <c r="J19" s="948"/>
      <c r="K19" s="948"/>
      <c r="L19" s="948"/>
      <c r="M19" s="948"/>
      <c r="N19" s="948"/>
      <c r="O19" s="948"/>
      <c r="P19" s="949"/>
      <c r="Q19" s="948"/>
      <c r="R19" s="948"/>
      <c r="S19" s="948"/>
      <c r="T19" s="948"/>
      <c r="U19" s="949"/>
      <c r="V19" s="948"/>
      <c r="W19" s="949"/>
      <c r="X19" s="948"/>
      <c r="Y19" s="950"/>
      <c r="Z19" s="1266"/>
      <c r="AA19" s="1266"/>
      <c r="AB19" s="1266"/>
      <c r="AC19" s="951"/>
      <c r="AD19" s="951"/>
      <c r="AE19" s="952"/>
    </row>
    <row r="20" spans="1:31">
      <c r="A20" s="858">
        <v>15</v>
      </c>
      <c r="B20" s="2671"/>
      <c r="C20" s="2674"/>
      <c r="D20" s="2703"/>
      <c r="E20" s="946"/>
      <c r="F20" s="947"/>
      <c r="G20" s="947"/>
      <c r="H20" s="947"/>
      <c r="I20" s="947"/>
      <c r="J20" s="948"/>
      <c r="K20" s="948"/>
      <c r="L20" s="948"/>
      <c r="M20" s="948"/>
      <c r="N20" s="948"/>
      <c r="O20" s="948"/>
      <c r="P20" s="949"/>
      <c r="Q20" s="948"/>
      <c r="R20" s="948"/>
      <c r="S20" s="948"/>
      <c r="T20" s="948"/>
      <c r="U20" s="949"/>
      <c r="V20" s="948"/>
      <c r="W20" s="949"/>
      <c r="X20" s="948"/>
      <c r="Y20" s="950"/>
      <c r="Z20" s="1266"/>
      <c r="AA20" s="1266"/>
      <c r="AB20" s="1266"/>
      <c r="AC20" s="951"/>
      <c r="AD20" s="951"/>
      <c r="AE20" s="952"/>
    </row>
    <row r="21" spans="1:31">
      <c r="A21" s="858">
        <v>16</v>
      </c>
      <c r="B21" s="2671"/>
      <c r="C21" s="2674"/>
      <c r="D21" s="2703"/>
      <c r="E21" s="946"/>
      <c r="F21" s="947"/>
      <c r="G21" s="947"/>
      <c r="H21" s="947"/>
      <c r="I21" s="947"/>
      <c r="J21" s="948"/>
      <c r="K21" s="948"/>
      <c r="L21" s="948"/>
      <c r="M21" s="948"/>
      <c r="N21" s="948"/>
      <c r="O21" s="948"/>
      <c r="P21" s="949"/>
      <c r="Q21" s="948"/>
      <c r="R21" s="948"/>
      <c r="S21" s="948"/>
      <c r="T21" s="948"/>
      <c r="U21" s="949"/>
      <c r="V21" s="948"/>
      <c r="W21" s="949"/>
      <c r="X21" s="948"/>
      <c r="Y21" s="950"/>
      <c r="Z21" s="1266"/>
      <c r="AA21" s="1266"/>
      <c r="AB21" s="1266"/>
      <c r="AC21" s="951"/>
      <c r="AD21" s="951"/>
      <c r="AE21" s="952"/>
    </row>
    <row r="22" spans="1:31">
      <c r="A22" s="858">
        <v>17</v>
      </c>
      <c r="B22" s="2671"/>
      <c r="C22" s="2674"/>
      <c r="D22" s="2703"/>
      <c r="E22" s="946"/>
      <c r="F22" s="947"/>
      <c r="G22" s="947"/>
      <c r="H22" s="947"/>
      <c r="I22" s="947"/>
      <c r="J22" s="948"/>
      <c r="K22" s="948"/>
      <c r="L22" s="948"/>
      <c r="M22" s="948"/>
      <c r="N22" s="948"/>
      <c r="O22" s="948"/>
      <c r="P22" s="949"/>
      <c r="Q22" s="948"/>
      <c r="R22" s="948"/>
      <c r="S22" s="948"/>
      <c r="T22" s="948"/>
      <c r="U22" s="949"/>
      <c r="V22" s="948"/>
      <c r="W22" s="949"/>
      <c r="X22" s="948"/>
      <c r="Y22" s="950"/>
      <c r="Z22" s="1266"/>
      <c r="AA22" s="1266"/>
      <c r="AB22" s="1266"/>
      <c r="AC22" s="951"/>
      <c r="AD22" s="951"/>
      <c r="AE22" s="952"/>
    </row>
    <row r="23" spans="1:31">
      <c r="A23" s="858">
        <v>18</v>
      </c>
      <c r="B23" s="2671"/>
      <c r="C23" s="2674"/>
      <c r="D23" s="2703"/>
      <c r="E23" s="946"/>
      <c r="F23" s="947"/>
      <c r="G23" s="947"/>
      <c r="H23" s="947"/>
      <c r="I23" s="947"/>
      <c r="J23" s="948"/>
      <c r="K23" s="948"/>
      <c r="L23" s="948"/>
      <c r="M23" s="948"/>
      <c r="N23" s="948"/>
      <c r="O23" s="948"/>
      <c r="P23" s="949"/>
      <c r="Q23" s="948"/>
      <c r="R23" s="948"/>
      <c r="S23" s="948"/>
      <c r="T23" s="948"/>
      <c r="U23" s="949"/>
      <c r="V23" s="948"/>
      <c r="W23" s="949"/>
      <c r="X23" s="948"/>
      <c r="Y23" s="950"/>
      <c r="Z23" s="1266"/>
      <c r="AA23" s="1266"/>
      <c r="AB23" s="1266"/>
      <c r="AC23" s="951"/>
      <c r="AD23" s="951"/>
      <c r="AE23" s="952"/>
    </row>
    <row r="24" spans="1:31">
      <c r="A24" s="858">
        <v>19</v>
      </c>
      <c r="B24" s="2671"/>
      <c r="C24" s="2674"/>
      <c r="D24" s="2703"/>
      <c r="E24" s="946"/>
      <c r="F24" s="947"/>
      <c r="G24" s="947"/>
      <c r="H24" s="947"/>
      <c r="I24" s="947"/>
      <c r="J24" s="948"/>
      <c r="K24" s="948"/>
      <c r="L24" s="948"/>
      <c r="M24" s="948"/>
      <c r="N24" s="948"/>
      <c r="O24" s="948"/>
      <c r="P24" s="949"/>
      <c r="Q24" s="948"/>
      <c r="R24" s="948"/>
      <c r="S24" s="948"/>
      <c r="T24" s="948"/>
      <c r="U24" s="949"/>
      <c r="V24" s="948"/>
      <c r="W24" s="949"/>
      <c r="X24" s="948"/>
      <c r="Y24" s="950"/>
      <c r="Z24" s="1266"/>
      <c r="AA24" s="1266"/>
      <c r="AB24" s="1266"/>
      <c r="AC24" s="951"/>
      <c r="AD24" s="951"/>
      <c r="AE24" s="952"/>
    </row>
    <row r="25" spans="1:31">
      <c r="A25" s="858">
        <v>20</v>
      </c>
      <c r="B25" s="2671"/>
      <c r="C25" s="2674"/>
      <c r="D25" s="2703"/>
      <c r="E25" s="946"/>
      <c r="F25" s="947"/>
      <c r="G25" s="947"/>
      <c r="H25" s="947"/>
      <c r="I25" s="947"/>
      <c r="J25" s="948"/>
      <c r="K25" s="948"/>
      <c r="L25" s="948"/>
      <c r="M25" s="948"/>
      <c r="N25" s="948"/>
      <c r="O25" s="948"/>
      <c r="P25" s="949"/>
      <c r="Q25" s="948"/>
      <c r="R25" s="948"/>
      <c r="S25" s="948"/>
      <c r="T25" s="948"/>
      <c r="U25" s="949"/>
      <c r="V25" s="948"/>
      <c r="W25" s="949"/>
      <c r="X25" s="948"/>
      <c r="Y25" s="950"/>
      <c r="Z25" s="1266"/>
      <c r="AA25" s="1266"/>
      <c r="AB25" s="1266"/>
      <c r="AC25" s="951"/>
      <c r="AD25" s="951"/>
      <c r="AE25" s="952"/>
    </row>
    <row r="26" spans="1:31">
      <c r="A26" s="858">
        <v>21</v>
      </c>
      <c r="B26" s="2671"/>
      <c r="C26" s="2674"/>
      <c r="D26" s="2703"/>
      <c r="E26" s="946"/>
      <c r="F26" s="947"/>
      <c r="G26" s="947"/>
      <c r="H26" s="947"/>
      <c r="I26" s="947"/>
      <c r="J26" s="948"/>
      <c r="K26" s="948"/>
      <c r="L26" s="948"/>
      <c r="M26" s="948"/>
      <c r="N26" s="948"/>
      <c r="O26" s="948"/>
      <c r="P26" s="949"/>
      <c r="Q26" s="948"/>
      <c r="R26" s="948"/>
      <c r="S26" s="948"/>
      <c r="T26" s="948"/>
      <c r="U26" s="949"/>
      <c r="V26" s="948"/>
      <c r="W26" s="949"/>
      <c r="X26" s="948"/>
      <c r="Y26" s="950"/>
      <c r="Z26" s="1266"/>
      <c r="AA26" s="1266"/>
      <c r="AB26" s="1266"/>
      <c r="AC26" s="951"/>
      <c r="AD26" s="951"/>
      <c r="AE26" s="952"/>
    </row>
    <row r="27" spans="1:31">
      <c r="A27" s="858">
        <v>22</v>
      </c>
      <c r="B27" s="2671"/>
      <c r="C27" s="2674"/>
      <c r="D27" s="2703"/>
      <c r="E27" s="946"/>
      <c r="F27" s="947"/>
      <c r="G27" s="947"/>
      <c r="H27" s="947"/>
      <c r="I27" s="947"/>
      <c r="J27" s="948"/>
      <c r="K27" s="948"/>
      <c r="L27" s="948"/>
      <c r="M27" s="948"/>
      <c r="N27" s="948"/>
      <c r="O27" s="948"/>
      <c r="P27" s="949"/>
      <c r="Q27" s="948"/>
      <c r="R27" s="948"/>
      <c r="S27" s="948"/>
      <c r="T27" s="948"/>
      <c r="U27" s="949"/>
      <c r="V27" s="948"/>
      <c r="W27" s="949"/>
      <c r="X27" s="948"/>
      <c r="Y27" s="950"/>
      <c r="Z27" s="1266"/>
      <c r="AA27" s="1266"/>
      <c r="AB27" s="1266"/>
      <c r="AC27" s="951"/>
      <c r="AD27" s="951"/>
      <c r="AE27" s="952"/>
    </row>
    <row r="28" spans="1:31">
      <c r="A28" s="858">
        <v>23</v>
      </c>
      <c r="B28" s="2671"/>
      <c r="C28" s="2674"/>
      <c r="D28" s="2703"/>
      <c r="E28" s="946"/>
      <c r="F28" s="947"/>
      <c r="G28" s="947"/>
      <c r="H28" s="947"/>
      <c r="I28" s="947"/>
      <c r="J28" s="948"/>
      <c r="K28" s="948"/>
      <c r="L28" s="948"/>
      <c r="M28" s="948"/>
      <c r="N28" s="948"/>
      <c r="O28" s="948"/>
      <c r="P28" s="949"/>
      <c r="Q28" s="948"/>
      <c r="R28" s="948"/>
      <c r="S28" s="948"/>
      <c r="T28" s="948"/>
      <c r="U28" s="949"/>
      <c r="V28" s="948"/>
      <c r="W28" s="949"/>
      <c r="X28" s="948"/>
      <c r="Y28" s="950"/>
      <c r="Z28" s="1266"/>
      <c r="AA28" s="1266"/>
      <c r="AB28" s="1266"/>
      <c r="AC28" s="951"/>
      <c r="AD28" s="951"/>
      <c r="AE28" s="952"/>
    </row>
    <row r="29" spans="1:31">
      <c r="A29" s="858">
        <v>24</v>
      </c>
      <c r="B29" s="2671"/>
      <c r="C29" s="2674"/>
      <c r="D29" s="2703"/>
      <c r="E29" s="946"/>
      <c r="F29" s="947"/>
      <c r="G29" s="947"/>
      <c r="H29" s="947"/>
      <c r="I29" s="947"/>
      <c r="J29" s="948"/>
      <c r="K29" s="948"/>
      <c r="L29" s="948"/>
      <c r="M29" s="948"/>
      <c r="N29" s="948"/>
      <c r="O29" s="948"/>
      <c r="P29" s="949"/>
      <c r="Q29" s="948"/>
      <c r="R29" s="948"/>
      <c r="S29" s="948"/>
      <c r="T29" s="948"/>
      <c r="U29" s="949"/>
      <c r="V29" s="948"/>
      <c r="W29" s="949"/>
      <c r="X29" s="948"/>
      <c r="Y29" s="950"/>
      <c r="Z29" s="1266"/>
      <c r="AA29" s="1266"/>
      <c r="AB29" s="1266"/>
      <c r="AC29" s="951"/>
      <c r="AD29" s="951"/>
      <c r="AE29" s="952"/>
    </row>
    <row r="30" spans="1:31">
      <c r="A30" s="858">
        <v>25</v>
      </c>
      <c r="B30" s="2671"/>
      <c r="C30" s="2674"/>
      <c r="D30" s="2703"/>
      <c r="E30" s="946"/>
      <c r="F30" s="947"/>
      <c r="G30" s="947"/>
      <c r="H30" s="947"/>
      <c r="I30" s="947"/>
      <c r="J30" s="948"/>
      <c r="K30" s="948"/>
      <c r="L30" s="948"/>
      <c r="M30" s="948"/>
      <c r="N30" s="948"/>
      <c r="O30" s="948"/>
      <c r="P30" s="949"/>
      <c r="Q30" s="948"/>
      <c r="R30" s="948"/>
      <c r="S30" s="948"/>
      <c r="T30" s="948"/>
      <c r="U30" s="949"/>
      <c r="V30" s="948"/>
      <c r="W30" s="949"/>
      <c r="X30" s="948"/>
      <c r="Y30" s="950"/>
      <c r="Z30" s="1266"/>
      <c r="AA30" s="1266"/>
      <c r="AB30" s="1266"/>
      <c r="AC30" s="951"/>
      <c r="AD30" s="951"/>
      <c r="AE30" s="952"/>
    </row>
    <row r="31" spans="1:31" ht="17.25" thickBot="1">
      <c r="A31" s="858">
        <v>26</v>
      </c>
      <c r="B31" s="2671"/>
      <c r="C31" s="2675"/>
      <c r="D31" s="869" t="s">
        <v>588</v>
      </c>
      <c r="E31" s="958"/>
      <c r="F31" s="958"/>
      <c r="G31" s="958"/>
      <c r="H31" s="958"/>
      <c r="I31" s="958"/>
      <c r="J31" s="958"/>
      <c r="K31" s="958"/>
      <c r="L31" s="959"/>
      <c r="M31" s="960">
        <f>SUM(M19:M30)</f>
        <v>0</v>
      </c>
      <c r="N31" s="960">
        <f>SUM(N19:N30)</f>
        <v>0</v>
      </c>
      <c r="O31" s="960">
        <f>SUM(O19:O30)</f>
        <v>0</v>
      </c>
      <c r="P31" s="960">
        <f>SUM(P19:P30)</f>
        <v>0</v>
      </c>
      <c r="Q31" s="959"/>
      <c r="R31" s="960">
        <f>SUM(R19:R30)</f>
        <v>0</v>
      </c>
      <c r="S31" s="955"/>
      <c r="T31" s="960">
        <f>SUM(T19:T30)</f>
        <v>0</v>
      </c>
      <c r="U31" s="960">
        <f>SUM(U19:U30)</f>
        <v>0</v>
      </c>
      <c r="V31" s="960">
        <f>SUM(V19:V30)</f>
        <v>0</v>
      </c>
      <c r="W31" s="960">
        <f>SUM(W19:W30)</f>
        <v>0</v>
      </c>
      <c r="X31" s="959"/>
      <c r="Y31" s="959"/>
      <c r="Z31" s="1262"/>
      <c r="AA31" s="1262"/>
      <c r="AB31" s="1262"/>
      <c r="AC31" s="959"/>
      <c r="AD31" s="959"/>
      <c r="AE31" s="961"/>
    </row>
    <row r="32" spans="1:31" ht="16.5" customHeight="1">
      <c r="A32" s="858">
        <v>27</v>
      </c>
      <c r="B32" s="2671"/>
      <c r="C32" s="2673" t="s">
        <v>1409</v>
      </c>
      <c r="D32" s="2700" t="s">
        <v>1686</v>
      </c>
      <c r="E32" s="962"/>
      <c r="F32" s="940"/>
      <c r="G32" s="940"/>
      <c r="H32" s="940"/>
      <c r="I32" s="940"/>
      <c r="J32" s="941"/>
      <c r="K32" s="941"/>
      <c r="L32" s="941"/>
      <c r="M32" s="941"/>
      <c r="N32" s="941"/>
      <c r="O32" s="941"/>
      <c r="P32" s="942"/>
      <c r="Q32" s="941"/>
      <c r="R32" s="941"/>
      <c r="S32" s="941"/>
      <c r="T32" s="941"/>
      <c r="U32" s="942"/>
      <c r="V32" s="941"/>
      <c r="W32" s="942"/>
      <c r="X32" s="941"/>
      <c r="Y32" s="943"/>
      <c r="Z32" s="1266"/>
      <c r="AA32" s="1266"/>
      <c r="AB32" s="1266"/>
      <c r="AC32" s="944"/>
      <c r="AD32" s="944"/>
      <c r="AE32" s="963"/>
    </row>
    <row r="33" spans="1:31">
      <c r="A33" s="858">
        <v>28</v>
      </c>
      <c r="B33" s="2671"/>
      <c r="C33" s="2674"/>
      <c r="D33" s="2703"/>
      <c r="E33" s="946"/>
      <c r="F33" s="947"/>
      <c r="G33" s="947"/>
      <c r="H33" s="947"/>
      <c r="I33" s="947"/>
      <c r="J33" s="948"/>
      <c r="K33" s="948"/>
      <c r="L33" s="948"/>
      <c r="M33" s="948"/>
      <c r="N33" s="948"/>
      <c r="O33" s="948"/>
      <c r="P33" s="949"/>
      <c r="Q33" s="948"/>
      <c r="R33" s="948"/>
      <c r="S33" s="948"/>
      <c r="T33" s="948"/>
      <c r="U33" s="949"/>
      <c r="V33" s="948"/>
      <c r="W33" s="949"/>
      <c r="X33" s="948"/>
      <c r="Y33" s="950"/>
      <c r="Z33" s="1266"/>
      <c r="AA33" s="1266"/>
      <c r="AB33" s="1266"/>
      <c r="AC33" s="951"/>
      <c r="AD33" s="951"/>
      <c r="AE33" s="952"/>
    </row>
    <row r="34" spans="1:31">
      <c r="A34" s="858">
        <v>29</v>
      </c>
      <c r="B34" s="2671"/>
      <c r="C34" s="2674"/>
      <c r="D34" s="2703"/>
      <c r="E34" s="946"/>
      <c r="F34" s="947"/>
      <c r="G34" s="947"/>
      <c r="H34" s="947"/>
      <c r="I34" s="947"/>
      <c r="J34" s="948"/>
      <c r="K34" s="948"/>
      <c r="L34" s="948"/>
      <c r="M34" s="948"/>
      <c r="N34" s="948"/>
      <c r="O34" s="948"/>
      <c r="P34" s="949"/>
      <c r="Q34" s="948"/>
      <c r="R34" s="948"/>
      <c r="S34" s="948"/>
      <c r="T34" s="948"/>
      <c r="U34" s="949"/>
      <c r="V34" s="948"/>
      <c r="W34" s="949"/>
      <c r="X34" s="948"/>
      <c r="Y34" s="950"/>
      <c r="Z34" s="1266"/>
      <c r="AA34" s="1266"/>
      <c r="AB34" s="1266"/>
      <c r="AC34" s="951"/>
      <c r="AD34" s="951"/>
      <c r="AE34" s="952"/>
    </row>
    <row r="35" spans="1:31">
      <c r="A35" s="858">
        <v>30</v>
      </c>
      <c r="B35" s="2671"/>
      <c r="C35" s="2674"/>
      <c r="D35" s="2703"/>
      <c r="E35" s="946"/>
      <c r="F35" s="947"/>
      <c r="G35" s="947"/>
      <c r="H35" s="947"/>
      <c r="I35" s="947"/>
      <c r="J35" s="948"/>
      <c r="K35" s="948"/>
      <c r="L35" s="948"/>
      <c r="M35" s="948"/>
      <c r="N35" s="948"/>
      <c r="O35" s="948"/>
      <c r="P35" s="949"/>
      <c r="Q35" s="948"/>
      <c r="R35" s="948"/>
      <c r="S35" s="948"/>
      <c r="T35" s="948"/>
      <c r="U35" s="949"/>
      <c r="V35" s="948"/>
      <c r="W35" s="949"/>
      <c r="X35" s="948"/>
      <c r="Y35" s="950"/>
      <c r="Z35" s="1266"/>
      <c r="AA35" s="1266"/>
      <c r="AB35" s="1266"/>
      <c r="AC35" s="951"/>
      <c r="AD35" s="951"/>
      <c r="AE35" s="952"/>
    </row>
    <row r="36" spans="1:31">
      <c r="A36" s="858">
        <v>31</v>
      </c>
      <c r="B36" s="2671"/>
      <c r="C36" s="2674"/>
      <c r="D36" s="2703"/>
      <c r="E36" s="946"/>
      <c r="F36" s="947"/>
      <c r="G36" s="947"/>
      <c r="H36" s="947"/>
      <c r="I36" s="947"/>
      <c r="J36" s="948"/>
      <c r="K36" s="948"/>
      <c r="L36" s="948"/>
      <c r="M36" s="948"/>
      <c r="N36" s="948"/>
      <c r="O36" s="948"/>
      <c r="P36" s="949"/>
      <c r="Q36" s="948"/>
      <c r="R36" s="948"/>
      <c r="S36" s="948"/>
      <c r="T36" s="948"/>
      <c r="U36" s="949"/>
      <c r="V36" s="948"/>
      <c r="W36" s="949"/>
      <c r="X36" s="948"/>
      <c r="Y36" s="950"/>
      <c r="Z36" s="1266"/>
      <c r="AA36" s="1266"/>
      <c r="AB36" s="1266"/>
      <c r="AC36" s="951"/>
      <c r="AD36" s="951"/>
      <c r="AE36" s="952"/>
    </row>
    <row r="37" spans="1:31">
      <c r="A37" s="858">
        <v>32</v>
      </c>
      <c r="B37" s="2671"/>
      <c r="C37" s="2674"/>
      <c r="D37" s="2703"/>
      <c r="E37" s="946"/>
      <c r="F37" s="947"/>
      <c r="G37" s="947"/>
      <c r="H37" s="947"/>
      <c r="I37" s="947"/>
      <c r="J37" s="948"/>
      <c r="K37" s="948"/>
      <c r="L37" s="948"/>
      <c r="M37" s="948"/>
      <c r="N37" s="948"/>
      <c r="O37" s="948"/>
      <c r="P37" s="949"/>
      <c r="Q37" s="948"/>
      <c r="R37" s="948"/>
      <c r="S37" s="948"/>
      <c r="T37" s="948"/>
      <c r="U37" s="949"/>
      <c r="V37" s="948"/>
      <c r="W37" s="949"/>
      <c r="X37" s="948"/>
      <c r="Y37" s="950"/>
      <c r="Z37" s="1266"/>
      <c r="AA37" s="1266"/>
      <c r="AB37" s="1266"/>
      <c r="AC37" s="951"/>
      <c r="AD37" s="951"/>
      <c r="AE37" s="952"/>
    </row>
    <row r="38" spans="1:31">
      <c r="A38" s="858">
        <v>33</v>
      </c>
      <c r="B38" s="2671"/>
      <c r="C38" s="2674"/>
      <c r="D38" s="2703"/>
      <c r="E38" s="946"/>
      <c r="F38" s="947"/>
      <c r="G38" s="947"/>
      <c r="H38" s="947"/>
      <c r="I38" s="947"/>
      <c r="J38" s="948"/>
      <c r="K38" s="948"/>
      <c r="L38" s="948"/>
      <c r="M38" s="948"/>
      <c r="N38" s="948"/>
      <c r="O38" s="948"/>
      <c r="P38" s="949"/>
      <c r="Q38" s="948"/>
      <c r="R38" s="948"/>
      <c r="S38" s="948"/>
      <c r="T38" s="948"/>
      <c r="U38" s="949"/>
      <c r="V38" s="948"/>
      <c r="W38" s="949"/>
      <c r="X38" s="948"/>
      <c r="Y38" s="950"/>
      <c r="Z38" s="1266"/>
      <c r="AA38" s="1266"/>
      <c r="AB38" s="1266"/>
      <c r="AC38" s="951"/>
      <c r="AD38" s="951"/>
      <c r="AE38" s="952"/>
    </row>
    <row r="39" spans="1:31">
      <c r="A39" s="858">
        <v>34</v>
      </c>
      <c r="B39" s="2671"/>
      <c r="C39" s="2674"/>
      <c r="D39" s="2703"/>
      <c r="E39" s="946"/>
      <c r="F39" s="947"/>
      <c r="G39" s="947"/>
      <c r="H39" s="947"/>
      <c r="I39" s="947"/>
      <c r="J39" s="948"/>
      <c r="K39" s="948"/>
      <c r="L39" s="948"/>
      <c r="M39" s="948"/>
      <c r="N39" s="948"/>
      <c r="O39" s="948"/>
      <c r="P39" s="949"/>
      <c r="Q39" s="948"/>
      <c r="R39" s="948"/>
      <c r="S39" s="948"/>
      <c r="T39" s="948"/>
      <c r="U39" s="949"/>
      <c r="V39" s="948"/>
      <c r="W39" s="949"/>
      <c r="X39" s="948"/>
      <c r="Y39" s="950"/>
      <c r="Z39" s="1266"/>
      <c r="AA39" s="1266"/>
      <c r="AB39" s="1266"/>
      <c r="AC39" s="951"/>
      <c r="AD39" s="951"/>
      <c r="AE39" s="952"/>
    </row>
    <row r="40" spans="1:31">
      <c r="A40" s="858">
        <v>35</v>
      </c>
      <c r="B40" s="2671"/>
      <c r="C40" s="2674"/>
      <c r="D40" s="2703"/>
      <c r="E40" s="946"/>
      <c r="F40" s="947"/>
      <c r="G40" s="947"/>
      <c r="H40" s="947"/>
      <c r="I40" s="947"/>
      <c r="J40" s="948"/>
      <c r="K40" s="948"/>
      <c r="L40" s="948"/>
      <c r="M40" s="948"/>
      <c r="N40" s="948"/>
      <c r="O40" s="948"/>
      <c r="P40" s="949"/>
      <c r="Q40" s="948"/>
      <c r="R40" s="948"/>
      <c r="S40" s="948"/>
      <c r="T40" s="948"/>
      <c r="U40" s="949"/>
      <c r="V40" s="948"/>
      <c r="W40" s="949"/>
      <c r="X40" s="948"/>
      <c r="Y40" s="950"/>
      <c r="Z40" s="1266"/>
      <c r="AA40" s="1266"/>
      <c r="AB40" s="1266"/>
      <c r="AC40" s="951"/>
      <c r="AD40" s="951"/>
      <c r="AE40" s="952"/>
    </row>
    <row r="41" spans="1:31">
      <c r="A41" s="858">
        <v>36</v>
      </c>
      <c r="B41" s="2671"/>
      <c r="C41" s="2674"/>
      <c r="D41" s="2703"/>
      <c r="E41" s="946"/>
      <c r="F41" s="947"/>
      <c r="G41" s="947"/>
      <c r="H41" s="947"/>
      <c r="I41" s="947"/>
      <c r="J41" s="948"/>
      <c r="K41" s="948"/>
      <c r="L41" s="948"/>
      <c r="M41" s="948"/>
      <c r="N41" s="948"/>
      <c r="O41" s="948"/>
      <c r="P41" s="949"/>
      <c r="Q41" s="948"/>
      <c r="R41" s="948"/>
      <c r="S41" s="948"/>
      <c r="T41" s="948"/>
      <c r="U41" s="949"/>
      <c r="V41" s="948"/>
      <c r="W41" s="949"/>
      <c r="X41" s="948"/>
      <c r="Y41" s="950"/>
      <c r="Z41" s="1266"/>
      <c r="AA41" s="1266"/>
      <c r="AB41" s="1266"/>
      <c r="AC41" s="951"/>
      <c r="AD41" s="951"/>
      <c r="AE41" s="952"/>
    </row>
    <row r="42" spans="1:31">
      <c r="A42" s="858">
        <v>37</v>
      </c>
      <c r="B42" s="2671"/>
      <c r="C42" s="2674"/>
      <c r="D42" s="2234" t="s">
        <v>588</v>
      </c>
      <c r="E42" s="955"/>
      <c r="F42" s="955"/>
      <c r="G42" s="955"/>
      <c r="H42" s="955"/>
      <c r="I42" s="955"/>
      <c r="J42" s="955"/>
      <c r="K42" s="955"/>
      <c r="L42" s="955"/>
      <c r="M42" s="948">
        <f>SUM(M32:M41)</f>
        <v>0</v>
      </c>
      <c r="N42" s="948">
        <f>SUM(N32:N41)</f>
        <v>0</v>
      </c>
      <c r="O42" s="948">
        <f>SUM(O32:O41)</f>
        <v>0</v>
      </c>
      <c r="P42" s="948">
        <f>SUM(P32:P41)</f>
        <v>0</v>
      </c>
      <c r="Q42" s="955"/>
      <c r="R42" s="948">
        <f>SUM(R32:R41)</f>
        <v>0</v>
      </c>
      <c r="S42" s="955"/>
      <c r="T42" s="948">
        <f>SUM(T32:T41)</f>
        <v>0</v>
      </c>
      <c r="U42" s="948">
        <f>SUM(U32:U41)</f>
        <v>0</v>
      </c>
      <c r="V42" s="948">
        <f>SUM(V32:V41)</f>
        <v>0</v>
      </c>
      <c r="W42" s="948">
        <f>SUM(W32:W41)</f>
        <v>0</v>
      </c>
      <c r="X42" s="955"/>
      <c r="Y42" s="956"/>
      <c r="Z42" s="1266"/>
      <c r="AA42" s="1266"/>
      <c r="AB42" s="1266"/>
      <c r="AC42" s="956"/>
      <c r="AD42" s="956"/>
      <c r="AE42" s="957"/>
    </row>
    <row r="43" spans="1:31" ht="13.5" customHeight="1">
      <c r="A43" s="858">
        <v>38</v>
      </c>
      <c r="B43" s="2671"/>
      <c r="C43" s="2674"/>
      <c r="D43" s="2703" t="s">
        <v>1687</v>
      </c>
      <c r="E43" s="946"/>
      <c r="F43" s="947"/>
      <c r="G43" s="947"/>
      <c r="H43" s="947"/>
      <c r="I43" s="947"/>
      <c r="J43" s="948"/>
      <c r="K43" s="948"/>
      <c r="L43" s="948"/>
      <c r="M43" s="948"/>
      <c r="N43" s="948"/>
      <c r="O43" s="948"/>
      <c r="P43" s="949"/>
      <c r="Q43" s="948"/>
      <c r="R43" s="948"/>
      <c r="S43" s="948"/>
      <c r="T43" s="948"/>
      <c r="U43" s="949"/>
      <c r="V43" s="948"/>
      <c r="W43" s="949"/>
      <c r="X43" s="948"/>
      <c r="Y43" s="950"/>
      <c r="Z43" s="1266"/>
      <c r="AA43" s="1266"/>
      <c r="AB43" s="1266"/>
      <c r="AC43" s="951"/>
      <c r="AD43" s="951"/>
      <c r="AE43" s="952"/>
    </row>
    <row r="44" spans="1:31">
      <c r="A44" s="858">
        <v>39</v>
      </c>
      <c r="B44" s="2671"/>
      <c r="C44" s="2674"/>
      <c r="D44" s="2703"/>
      <c r="E44" s="946"/>
      <c r="F44" s="947"/>
      <c r="G44" s="947"/>
      <c r="H44" s="947"/>
      <c r="I44" s="947"/>
      <c r="J44" s="948"/>
      <c r="K44" s="948"/>
      <c r="L44" s="948"/>
      <c r="M44" s="948"/>
      <c r="N44" s="948"/>
      <c r="O44" s="948"/>
      <c r="P44" s="949"/>
      <c r="Q44" s="948"/>
      <c r="R44" s="948"/>
      <c r="S44" s="948"/>
      <c r="T44" s="948"/>
      <c r="U44" s="949"/>
      <c r="V44" s="948"/>
      <c r="W44" s="949"/>
      <c r="X44" s="948"/>
      <c r="Y44" s="950"/>
      <c r="Z44" s="1266"/>
      <c r="AA44" s="1266"/>
      <c r="AB44" s="1266"/>
      <c r="AC44" s="951"/>
      <c r="AD44" s="951"/>
      <c r="AE44" s="952"/>
    </row>
    <row r="45" spans="1:31">
      <c r="A45" s="858">
        <v>40</v>
      </c>
      <c r="B45" s="2671"/>
      <c r="C45" s="2674"/>
      <c r="D45" s="2703"/>
      <c r="E45" s="946"/>
      <c r="F45" s="947"/>
      <c r="G45" s="947"/>
      <c r="H45" s="947"/>
      <c r="I45" s="947"/>
      <c r="J45" s="948"/>
      <c r="K45" s="948"/>
      <c r="L45" s="948"/>
      <c r="M45" s="948"/>
      <c r="N45" s="948"/>
      <c r="O45" s="948"/>
      <c r="P45" s="949"/>
      <c r="Q45" s="948"/>
      <c r="R45" s="948"/>
      <c r="S45" s="948"/>
      <c r="T45" s="948"/>
      <c r="U45" s="949"/>
      <c r="V45" s="948"/>
      <c r="W45" s="949"/>
      <c r="X45" s="948"/>
      <c r="Y45" s="950"/>
      <c r="Z45" s="1266"/>
      <c r="AA45" s="1266"/>
      <c r="AB45" s="1266"/>
      <c r="AC45" s="951"/>
      <c r="AD45" s="951"/>
      <c r="AE45" s="952"/>
    </row>
    <row r="46" spans="1:31">
      <c r="A46" s="858">
        <v>41</v>
      </c>
      <c r="B46" s="2671"/>
      <c r="C46" s="2674"/>
      <c r="D46" s="2703"/>
      <c r="E46" s="946"/>
      <c r="F46" s="947"/>
      <c r="G46" s="947"/>
      <c r="H46" s="947"/>
      <c r="I46" s="947"/>
      <c r="J46" s="948"/>
      <c r="K46" s="948"/>
      <c r="L46" s="948"/>
      <c r="M46" s="948"/>
      <c r="N46" s="948"/>
      <c r="O46" s="948"/>
      <c r="P46" s="949"/>
      <c r="Q46" s="948"/>
      <c r="R46" s="948"/>
      <c r="S46" s="948"/>
      <c r="T46" s="948"/>
      <c r="U46" s="949"/>
      <c r="V46" s="948"/>
      <c r="W46" s="949"/>
      <c r="X46" s="948"/>
      <c r="Y46" s="950"/>
      <c r="Z46" s="1266"/>
      <c r="AA46" s="1266"/>
      <c r="AB46" s="1266"/>
      <c r="AC46" s="951"/>
      <c r="AD46" s="951"/>
      <c r="AE46" s="952"/>
    </row>
    <row r="47" spans="1:31">
      <c r="A47" s="858">
        <v>42</v>
      </c>
      <c r="B47" s="2671"/>
      <c r="C47" s="2674"/>
      <c r="D47" s="2703"/>
      <c r="E47" s="946"/>
      <c r="F47" s="947"/>
      <c r="G47" s="947"/>
      <c r="H47" s="947"/>
      <c r="I47" s="947"/>
      <c r="J47" s="948"/>
      <c r="K47" s="948"/>
      <c r="L47" s="948"/>
      <c r="M47" s="948"/>
      <c r="N47" s="948"/>
      <c r="O47" s="948"/>
      <c r="P47" s="949"/>
      <c r="Q47" s="948"/>
      <c r="R47" s="948"/>
      <c r="S47" s="948"/>
      <c r="T47" s="948"/>
      <c r="U47" s="949"/>
      <c r="V47" s="948"/>
      <c r="W47" s="949"/>
      <c r="X47" s="948"/>
      <c r="Y47" s="950"/>
      <c r="Z47" s="1266"/>
      <c r="AA47" s="1266"/>
      <c r="AB47" s="1266"/>
      <c r="AC47" s="951"/>
      <c r="AD47" s="951"/>
      <c r="AE47" s="952"/>
    </row>
    <row r="48" spans="1:31">
      <c r="A48" s="858">
        <v>43</v>
      </c>
      <c r="B48" s="2671"/>
      <c r="C48" s="2674"/>
      <c r="D48" s="2703"/>
      <c r="E48" s="946"/>
      <c r="F48" s="947"/>
      <c r="G48" s="947"/>
      <c r="H48" s="947"/>
      <c r="I48" s="947"/>
      <c r="J48" s="948"/>
      <c r="K48" s="948"/>
      <c r="L48" s="948"/>
      <c r="M48" s="948"/>
      <c r="N48" s="948"/>
      <c r="O48" s="948"/>
      <c r="P48" s="949"/>
      <c r="Q48" s="948"/>
      <c r="R48" s="948"/>
      <c r="S48" s="948"/>
      <c r="T48" s="948"/>
      <c r="U48" s="949"/>
      <c r="V48" s="948"/>
      <c r="W48" s="949"/>
      <c r="X48" s="948"/>
      <c r="Y48" s="950"/>
      <c r="Z48" s="1266"/>
      <c r="AA48" s="1266"/>
      <c r="AB48" s="1266"/>
      <c r="AC48" s="951"/>
      <c r="AD48" s="951"/>
      <c r="AE48" s="952"/>
    </row>
    <row r="49" spans="1:31">
      <c r="A49" s="858">
        <v>44</v>
      </c>
      <c r="B49" s="2671"/>
      <c r="C49" s="2674"/>
      <c r="D49" s="2703"/>
      <c r="E49" s="946"/>
      <c r="F49" s="947"/>
      <c r="G49" s="947"/>
      <c r="H49" s="947"/>
      <c r="I49" s="947"/>
      <c r="J49" s="948"/>
      <c r="K49" s="948"/>
      <c r="L49" s="948"/>
      <c r="M49" s="948"/>
      <c r="N49" s="948"/>
      <c r="O49" s="948"/>
      <c r="P49" s="949"/>
      <c r="Q49" s="948"/>
      <c r="R49" s="948"/>
      <c r="S49" s="948"/>
      <c r="T49" s="948"/>
      <c r="U49" s="949"/>
      <c r="V49" s="948"/>
      <c r="W49" s="949"/>
      <c r="X49" s="948"/>
      <c r="Y49" s="950"/>
      <c r="Z49" s="1266"/>
      <c r="AA49" s="1266"/>
      <c r="AB49" s="1266"/>
      <c r="AC49" s="951"/>
      <c r="AD49" s="951"/>
      <c r="AE49" s="952"/>
    </row>
    <row r="50" spans="1:31">
      <c r="A50" s="858">
        <v>45</v>
      </c>
      <c r="B50" s="2671"/>
      <c r="C50" s="2674"/>
      <c r="D50" s="2703"/>
      <c r="E50" s="946"/>
      <c r="F50" s="947"/>
      <c r="G50" s="947"/>
      <c r="H50" s="947"/>
      <c r="I50" s="947"/>
      <c r="J50" s="948"/>
      <c r="K50" s="948"/>
      <c r="L50" s="948"/>
      <c r="M50" s="948"/>
      <c r="N50" s="948"/>
      <c r="O50" s="948"/>
      <c r="P50" s="949"/>
      <c r="Q50" s="948"/>
      <c r="R50" s="948"/>
      <c r="S50" s="948"/>
      <c r="T50" s="948"/>
      <c r="U50" s="949"/>
      <c r="V50" s="948"/>
      <c r="W50" s="949"/>
      <c r="X50" s="948"/>
      <c r="Y50" s="950"/>
      <c r="Z50" s="1266"/>
      <c r="AA50" s="1266"/>
      <c r="AB50" s="1266"/>
      <c r="AC50" s="951"/>
      <c r="AD50" s="951"/>
      <c r="AE50" s="952"/>
    </row>
    <row r="51" spans="1:31">
      <c r="A51" s="858">
        <v>46</v>
      </c>
      <c r="B51" s="2671"/>
      <c r="C51" s="2674"/>
      <c r="D51" s="2703"/>
      <c r="E51" s="946"/>
      <c r="F51" s="947"/>
      <c r="G51" s="947"/>
      <c r="H51" s="947"/>
      <c r="I51" s="947"/>
      <c r="J51" s="948"/>
      <c r="K51" s="948"/>
      <c r="L51" s="948"/>
      <c r="M51" s="948"/>
      <c r="N51" s="948"/>
      <c r="O51" s="948"/>
      <c r="P51" s="949"/>
      <c r="Q51" s="948"/>
      <c r="R51" s="948"/>
      <c r="S51" s="948"/>
      <c r="T51" s="948"/>
      <c r="U51" s="949"/>
      <c r="V51" s="948"/>
      <c r="W51" s="949"/>
      <c r="X51" s="948"/>
      <c r="Y51" s="950"/>
      <c r="Z51" s="1266"/>
      <c r="AA51" s="1266"/>
      <c r="AB51" s="1266"/>
      <c r="AC51" s="951"/>
      <c r="AD51" s="951"/>
      <c r="AE51" s="952"/>
    </row>
    <row r="52" spans="1:31">
      <c r="A52" s="858">
        <v>47</v>
      </c>
      <c r="B52" s="2671"/>
      <c r="C52" s="2674"/>
      <c r="D52" s="2703"/>
      <c r="E52" s="946"/>
      <c r="F52" s="947"/>
      <c r="G52" s="947"/>
      <c r="H52" s="947"/>
      <c r="I52" s="947"/>
      <c r="J52" s="948"/>
      <c r="K52" s="948"/>
      <c r="L52" s="948"/>
      <c r="M52" s="948"/>
      <c r="N52" s="948"/>
      <c r="O52" s="948"/>
      <c r="P52" s="949"/>
      <c r="Q52" s="948"/>
      <c r="R52" s="948"/>
      <c r="S52" s="948"/>
      <c r="T52" s="948"/>
      <c r="U52" s="949"/>
      <c r="V52" s="948"/>
      <c r="W52" s="949"/>
      <c r="X52" s="948"/>
      <c r="Y52" s="950"/>
      <c r="Z52" s="1266"/>
      <c r="AA52" s="1266"/>
      <c r="AB52" s="1266"/>
      <c r="AC52" s="951"/>
      <c r="AD52" s="951"/>
      <c r="AE52" s="952"/>
    </row>
    <row r="53" spans="1:31" ht="17.25" thickBot="1">
      <c r="A53" s="858">
        <v>48</v>
      </c>
      <c r="B53" s="2671"/>
      <c r="C53" s="2675"/>
      <c r="D53" s="869" t="s">
        <v>588</v>
      </c>
      <c r="E53" s="959"/>
      <c r="F53" s="959"/>
      <c r="G53" s="959"/>
      <c r="H53" s="959"/>
      <c r="I53" s="959"/>
      <c r="J53" s="959"/>
      <c r="K53" s="959"/>
      <c r="L53" s="959"/>
      <c r="M53" s="960">
        <f>SUM(M43:M52)</f>
        <v>0</v>
      </c>
      <c r="N53" s="960">
        <f>SUM(N43:N52)</f>
        <v>0</v>
      </c>
      <c r="O53" s="960">
        <f>SUM(O43:O52)</f>
        <v>0</v>
      </c>
      <c r="P53" s="960">
        <f>SUM(P43:P52)</f>
        <v>0</v>
      </c>
      <c r="Q53" s="959"/>
      <c r="R53" s="960">
        <f>SUM(R43:R52)</f>
        <v>0</v>
      </c>
      <c r="S53" s="955"/>
      <c r="T53" s="960">
        <f>SUM(T43:T52)</f>
        <v>0</v>
      </c>
      <c r="U53" s="960">
        <f>SUM(U43:U52)</f>
        <v>0</v>
      </c>
      <c r="V53" s="960">
        <f>SUM(V43:V52)</f>
        <v>0</v>
      </c>
      <c r="W53" s="960">
        <f>SUM(W43:W52)</f>
        <v>0</v>
      </c>
      <c r="X53" s="959"/>
      <c r="Y53" s="959"/>
      <c r="Z53" s="1262"/>
      <c r="AA53" s="1262"/>
      <c r="AB53" s="1262"/>
      <c r="AC53" s="959"/>
      <c r="AD53" s="959"/>
      <c r="AE53" s="961"/>
    </row>
    <row r="54" spans="1:31" ht="17.25" customHeight="1">
      <c r="A54" s="1352">
        <v>49</v>
      </c>
      <c r="B54" s="2671"/>
      <c r="C54" s="2688" t="s">
        <v>1839</v>
      </c>
      <c r="D54" s="2691" t="s">
        <v>1840</v>
      </c>
      <c r="E54" s="1276"/>
      <c r="F54" s="1277"/>
      <c r="G54" s="1277"/>
      <c r="H54" s="1277"/>
      <c r="I54" s="1277"/>
      <c r="J54" s="1360" t="s">
        <v>1852</v>
      </c>
      <c r="K54" s="1278"/>
      <c r="L54" s="1278"/>
      <c r="M54" s="1278"/>
      <c r="N54" s="1278"/>
      <c r="O54" s="1278"/>
      <c r="P54" s="1279"/>
      <c r="Q54" s="855" t="s">
        <v>1842</v>
      </c>
      <c r="R54" s="1278"/>
      <c r="S54" s="1278"/>
      <c r="T54" s="1278"/>
      <c r="U54" s="1279"/>
      <c r="V54" s="1278"/>
      <c r="W54" s="1279"/>
      <c r="X54" s="855" t="s">
        <v>1843</v>
      </c>
      <c r="Y54" s="1280"/>
      <c r="Z54" s="1280"/>
      <c r="AA54" s="1280"/>
      <c r="AB54" s="1280"/>
      <c r="AC54" s="1281"/>
      <c r="AD54" s="1281"/>
      <c r="AE54" s="1282"/>
    </row>
    <row r="55" spans="1:31">
      <c r="A55" s="1352">
        <v>50</v>
      </c>
      <c r="B55" s="2671"/>
      <c r="C55" s="2689"/>
      <c r="D55" s="2692"/>
      <c r="E55" s="1283"/>
      <c r="F55" s="1284"/>
      <c r="G55" s="1284"/>
      <c r="H55" s="1284"/>
      <c r="I55" s="1284"/>
      <c r="J55" s="1361" t="s">
        <v>1853</v>
      </c>
      <c r="K55" s="1285"/>
      <c r="L55" s="1285"/>
      <c r="M55" s="1285"/>
      <c r="N55" s="1285"/>
      <c r="O55" s="1285"/>
      <c r="P55" s="1286"/>
      <c r="Q55" s="861" t="s">
        <v>1842</v>
      </c>
      <c r="R55" s="1285"/>
      <c r="S55" s="1285"/>
      <c r="T55" s="1285"/>
      <c r="U55" s="1286"/>
      <c r="V55" s="1285"/>
      <c r="W55" s="1286"/>
      <c r="X55" s="861" t="s">
        <v>1843</v>
      </c>
      <c r="Y55" s="1287"/>
      <c r="Z55" s="1287"/>
      <c r="AA55" s="1287"/>
      <c r="AB55" s="1287"/>
      <c r="AC55" s="1288"/>
      <c r="AD55" s="1288"/>
      <c r="AE55" s="1289"/>
    </row>
    <row r="56" spans="1:31">
      <c r="A56" s="1352">
        <v>51</v>
      </c>
      <c r="B56" s="2671"/>
      <c r="C56" s="2689"/>
      <c r="D56" s="2692"/>
      <c r="E56" s="1283"/>
      <c r="F56" s="1284"/>
      <c r="G56" s="1284"/>
      <c r="H56" s="1284"/>
      <c r="I56" s="1284"/>
      <c r="J56" s="1361" t="s">
        <v>1853</v>
      </c>
      <c r="K56" s="1285"/>
      <c r="L56" s="1285"/>
      <c r="M56" s="1285"/>
      <c r="N56" s="1285"/>
      <c r="O56" s="1285"/>
      <c r="P56" s="1286"/>
      <c r="Q56" s="861" t="s">
        <v>1842</v>
      </c>
      <c r="R56" s="1285"/>
      <c r="S56" s="1285"/>
      <c r="T56" s="1285"/>
      <c r="U56" s="1286"/>
      <c r="V56" s="1285"/>
      <c r="W56" s="1286"/>
      <c r="X56" s="861" t="s">
        <v>1843</v>
      </c>
      <c r="Y56" s="1287"/>
      <c r="Z56" s="1287"/>
      <c r="AA56" s="1287"/>
      <c r="AB56" s="1287"/>
      <c r="AC56" s="1288"/>
      <c r="AD56" s="1288"/>
      <c r="AE56" s="1289"/>
    </row>
    <row r="57" spans="1:31">
      <c r="A57" s="1352">
        <v>52</v>
      </c>
      <c r="B57" s="2671"/>
      <c r="C57" s="2689"/>
      <c r="D57" s="2692"/>
      <c r="E57" s="1283"/>
      <c r="F57" s="1284"/>
      <c r="G57" s="1284"/>
      <c r="H57" s="1284"/>
      <c r="I57" s="1284"/>
      <c r="J57" s="1361" t="s">
        <v>1853</v>
      </c>
      <c r="K57" s="1285"/>
      <c r="L57" s="1285"/>
      <c r="M57" s="1285"/>
      <c r="N57" s="1285"/>
      <c r="O57" s="1285"/>
      <c r="P57" s="1286"/>
      <c r="Q57" s="861" t="s">
        <v>1842</v>
      </c>
      <c r="R57" s="1285"/>
      <c r="S57" s="1285"/>
      <c r="T57" s="1285"/>
      <c r="U57" s="1286"/>
      <c r="V57" s="1285"/>
      <c r="W57" s="1286"/>
      <c r="X57" s="861" t="s">
        <v>1843</v>
      </c>
      <c r="Y57" s="1287"/>
      <c r="Z57" s="1287"/>
      <c r="AA57" s="1287"/>
      <c r="AB57" s="1287"/>
      <c r="AC57" s="1288"/>
      <c r="AD57" s="1288"/>
      <c r="AE57" s="1289"/>
    </row>
    <row r="58" spans="1:31">
      <c r="A58" s="1352">
        <v>53</v>
      </c>
      <c r="B58" s="2671"/>
      <c r="C58" s="2689"/>
      <c r="D58" s="2692"/>
      <c r="E58" s="1283"/>
      <c r="F58" s="1284"/>
      <c r="G58" s="1284"/>
      <c r="H58" s="1284"/>
      <c r="I58" s="1284"/>
      <c r="J58" s="1361" t="s">
        <v>1853</v>
      </c>
      <c r="K58" s="1285"/>
      <c r="L58" s="1285"/>
      <c r="M58" s="1285"/>
      <c r="N58" s="1285"/>
      <c r="O58" s="1285"/>
      <c r="P58" s="1286"/>
      <c r="Q58" s="861" t="s">
        <v>1842</v>
      </c>
      <c r="R58" s="1285"/>
      <c r="S58" s="1285"/>
      <c r="T58" s="1285"/>
      <c r="U58" s="1286"/>
      <c r="V58" s="1285"/>
      <c r="W58" s="1286"/>
      <c r="X58" s="861" t="s">
        <v>1843</v>
      </c>
      <c r="Y58" s="1287"/>
      <c r="Z58" s="1287"/>
      <c r="AA58" s="1287"/>
      <c r="AB58" s="1287"/>
      <c r="AC58" s="1288"/>
      <c r="AD58" s="1288"/>
      <c r="AE58" s="1289"/>
    </row>
    <row r="59" spans="1:31">
      <c r="A59" s="1352">
        <v>54</v>
      </c>
      <c r="B59" s="2671"/>
      <c r="C59" s="2689"/>
      <c r="D59" s="2692"/>
      <c r="E59" s="1283"/>
      <c r="F59" s="1284"/>
      <c r="G59" s="1284"/>
      <c r="H59" s="1284"/>
      <c r="I59" s="1284"/>
      <c r="J59" s="1361" t="s">
        <v>1853</v>
      </c>
      <c r="K59" s="1285"/>
      <c r="L59" s="1285"/>
      <c r="M59" s="1285"/>
      <c r="N59" s="1285"/>
      <c r="O59" s="1285"/>
      <c r="P59" s="1286"/>
      <c r="Q59" s="861" t="s">
        <v>1842</v>
      </c>
      <c r="R59" s="1285"/>
      <c r="S59" s="1285"/>
      <c r="T59" s="1285"/>
      <c r="U59" s="1286"/>
      <c r="V59" s="1285"/>
      <c r="W59" s="1286"/>
      <c r="X59" s="861" t="s">
        <v>1843</v>
      </c>
      <c r="Y59" s="1287"/>
      <c r="Z59" s="1287"/>
      <c r="AA59" s="1287"/>
      <c r="AB59" s="1287"/>
      <c r="AC59" s="1288"/>
      <c r="AD59" s="1288"/>
      <c r="AE59" s="1289"/>
    </row>
    <row r="60" spans="1:31">
      <c r="A60" s="1352">
        <v>55</v>
      </c>
      <c r="B60" s="2671"/>
      <c r="C60" s="2689"/>
      <c r="D60" s="2692"/>
      <c r="E60" s="1283"/>
      <c r="F60" s="1284"/>
      <c r="G60" s="1284"/>
      <c r="H60" s="1284"/>
      <c r="I60" s="1284"/>
      <c r="J60" s="1361" t="s">
        <v>1853</v>
      </c>
      <c r="K60" s="1285"/>
      <c r="L60" s="1285"/>
      <c r="M60" s="1285"/>
      <c r="N60" s="1285"/>
      <c r="O60" s="1285"/>
      <c r="P60" s="1286"/>
      <c r="Q60" s="861" t="s">
        <v>1842</v>
      </c>
      <c r="R60" s="1285"/>
      <c r="S60" s="1285"/>
      <c r="T60" s="1285"/>
      <c r="U60" s="1286"/>
      <c r="V60" s="1285"/>
      <c r="W60" s="1286"/>
      <c r="X60" s="861" t="s">
        <v>1843</v>
      </c>
      <c r="Y60" s="1287"/>
      <c r="Z60" s="1287"/>
      <c r="AA60" s="1287"/>
      <c r="AB60" s="1287"/>
      <c r="AC60" s="1288"/>
      <c r="AD60" s="1288"/>
      <c r="AE60" s="1289"/>
    </row>
    <row r="61" spans="1:31">
      <c r="A61" s="1352">
        <v>56</v>
      </c>
      <c r="B61" s="2671"/>
      <c r="C61" s="2689"/>
      <c r="D61" s="2692"/>
      <c r="E61" s="1283"/>
      <c r="F61" s="1284"/>
      <c r="G61" s="1284"/>
      <c r="H61" s="1284"/>
      <c r="I61" s="1284"/>
      <c r="J61" s="1361" t="s">
        <v>1853</v>
      </c>
      <c r="K61" s="1285"/>
      <c r="L61" s="1285"/>
      <c r="M61" s="1285"/>
      <c r="N61" s="1285"/>
      <c r="O61" s="1285"/>
      <c r="P61" s="1286"/>
      <c r="Q61" s="861" t="s">
        <v>1842</v>
      </c>
      <c r="R61" s="1285"/>
      <c r="S61" s="1285"/>
      <c r="T61" s="1285"/>
      <c r="U61" s="1286"/>
      <c r="V61" s="1285"/>
      <c r="W61" s="1286"/>
      <c r="X61" s="861" t="s">
        <v>1843</v>
      </c>
      <c r="Y61" s="1287"/>
      <c r="Z61" s="1287"/>
      <c r="AA61" s="1287"/>
      <c r="AB61" s="1287"/>
      <c r="AC61" s="1288"/>
      <c r="AD61" s="1288"/>
      <c r="AE61" s="1289"/>
    </row>
    <row r="62" spans="1:31">
      <c r="A62" s="1352">
        <v>57</v>
      </c>
      <c r="B62" s="2671"/>
      <c r="C62" s="2689"/>
      <c r="D62" s="2692"/>
      <c r="E62" s="1283"/>
      <c r="F62" s="1284"/>
      <c r="G62" s="1284"/>
      <c r="H62" s="1284"/>
      <c r="I62" s="1284"/>
      <c r="J62" s="1361" t="s">
        <v>1853</v>
      </c>
      <c r="K62" s="1285"/>
      <c r="L62" s="1285"/>
      <c r="M62" s="1285"/>
      <c r="N62" s="1285"/>
      <c r="O62" s="1285"/>
      <c r="P62" s="1286"/>
      <c r="Q62" s="861" t="s">
        <v>1842</v>
      </c>
      <c r="R62" s="1285"/>
      <c r="S62" s="1285"/>
      <c r="T62" s="1285"/>
      <c r="U62" s="1286"/>
      <c r="V62" s="1285"/>
      <c r="W62" s="1286"/>
      <c r="X62" s="861" t="s">
        <v>1843</v>
      </c>
      <c r="Y62" s="1287"/>
      <c r="Z62" s="1287"/>
      <c r="AA62" s="1287"/>
      <c r="AB62" s="1287"/>
      <c r="AC62" s="1288"/>
      <c r="AD62" s="1288"/>
      <c r="AE62" s="1289"/>
    </row>
    <row r="63" spans="1:31">
      <c r="A63" s="1352">
        <v>58</v>
      </c>
      <c r="B63" s="2671"/>
      <c r="C63" s="2689"/>
      <c r="D63" s="2693"/>
      <c r="E63" s="1283"/>
      <c r="F63" s="1284"/>
      <c r="G63" s="1284"/>
      <c r="H63" s="1284"/>
      <c r="I63" s="1284"/>
      <c r="J63" s="1361" t="s">
        <v>1853</v>
      </c>
      <c r="K63" s="1285"/>
      <c r="L63" s="1285"/>
      <c r="M63" s="1285"/>
      <c r="N63" s="1285"/>
      <c r="O63" s="1285"/>
      <c r="P63" s="1286"/>
      <c r="Q63" s="861" t="s">
        <v>1842</v>
      </c>
      <c r="R63" s="1285"/>
      <c r="S63" s="1285"/>
      <c r="T63" s="1285"/>
      <c r="U63" s="1286"/>
      <c r="V63" s="1285"/>
      <c r="W63" s="1286"/>
      <c r="X63" s="861" t="s">
        <v>1843</v>
      </c>
      <c r="Y63" s="1287"/>
      <c r="Z63" s="1287"/>
      <c r="AA63" s="1287"/>
      <c r="AB63" s="1287"/>
      <c r="AC63" s="1288"/>
      <c r="AD63" s="1288"/>
      <c r="AE63" s="1289"/>
    </row>
    <row r="64" spans="1:31">
      <c r="A64" s="1352">
        <v>59</v>
      </c>
      <c r="B64" s="2671"/>
      <c r="C64" s="2689"/>
      <c r="D64" s="2233" t="s">
        <v>1408</v>
      </c>
      <c r="E64" s="1290"/>
      <c r="F64" s="1290"/>
      <c r="G64" s="1290"/>
      <c r="H64" s="1290"/>
      <c r="I64" s="1290"/>
      <c r="J64" s="1290"/>
      <c r="K64" s="1290"/>
      <c r="L64" s="1290"/>
      <c r="M64" s="1285">
        <f>SUM(M54:M63)</f>
        <v>0</v>
      </c>
      <c r="N64" s="1285">
        <f>SUM(N54:N63)</f>
        <v>0</v>
      </c>
      <c r="O64" s="1285">
        <f>SUM(O54:O63)</f>
        <v>0</v>
      </c>
      <c r="P64" s="1285">
        <f>SUM(P54:P63)</f>
        <v>0</v>
      </c>
      <c r="Q64" s="1290"/>
      <c r="R64" s="1285">
        <f>SUM(R54:R63)</f>
        <v>0</v>
      </c>
      <c r="S64" s="1290"/>
      <c r="T64" s="1285">
        <f>SUM(T54:T63)</f>
        <v>0</v>
      </c>
      <c r="U64" s="1285">
        <f>SUM(U54:U63)</f>
        <v>0</v>
      </c>
      <c r="V64" s="1285">
        <f>SUM(V54:V63)</f>
        <v>0</v>
      </c>
      <c r="W64" s="1285">
        <f>SUM(W54:W63)</f>
        <v>0</v>
      </c>
      <c r="X64" s="1252"/>
      <c r="Y64" s="1290"/>
      <c r="Z64" s="1290"/>
      <c r="AA64" s="1290"/>
      <c r="AB64" s="1290"/>
      <c r="AC64" s="1290"/>
      <c r="AD64" s="1290"/>
      <c r="AE64" s="1291"/>
    </row>
    <row r="65" spans="1:31" ht="17.25" customHeight="1">
      <c r="A65" s="1352">
        <v>60</v>
      </c>
      <c r="B65" s="2671"/>
      <c r="C65" s="2689"/>
      <c r="D65" s="2692" t="s">
        <v>1844</v>
      </c>
      <c r="E65" s="1292"/>
      <c r="F65" s="1293"/>
      <c r="G65" s="1293"/>
      <c r="H65" s="1293"/>
      <c r="I65" s="1293"/>
      <c r="J65" s="1362" t="s">
        <v>1852</v>
      </c>
      <c r="K65" s="1294"/>
      <c r="L65" s="1294"/>
      <c r="M65" s="1294"/>
      <c r="N65" s="1294"/>
      <c r="O65" s="1294"/>
      <c r="P65" s="1295"/>
      <c r="Q65" s="1015" t="s">
        <v>1842</v>
      </c>
      <c r="R65" s="1294"/>
      <c r="S65" s="1294"/>
      <c r="T65" s="1294"/>
      <c r="U65" s="1295"/>
      <c r="V65" s="1294"/>
      <c r="W65" s="1295"/>
      <c r="X65" s="1015" t="s">
        <v>1843</v>
      </c>
      <c r="Y65" s="1296"/>
      <c r="Z65" s="1296"/>
      <c r="AA65" s="1296"/>
      <c r="AB65" s="1296"/>
      <c r="AC65" s="1297"/>
      <c r="AD65" s="1297"/>
      <c r="AE65" s="1298"/>
    </row>
    <row r="66" spans="1:31">
      <c r="A66" s="1352">
        <v>61</v>
      </c>
      <c r="B66" s="2671"/>
      <c r="C66" s="2689"/>
      <c r="D66" s="2692"/>
      <c r="E66" s="1283"/>
      <c r="F66" s="1284"/>
      <c r="G66" s="1284"/>
      <c r="H66" s="1284"/>
      <c r="I66" s="1284"/>
      <c r="J66" s="1361" t="s">
        <v>1853</v>
      </c>
      <c r="K66" s="1285"/>
      <c r="L66" s="1285"/>
      <c r="M66" s="1285"/>
      <c r="N66" s="1285"/>
      <c r="O66" s="1285"/>
      <c r="P66" s="1286"/>
      <c r="Q66" s="861" t="s">
        <v>1842</v>
      </c>
      <c r="R66" s="1285"/>
      <c r="S66" s="1285"/>
      <c r="T66" s="1285"/>
      <c r="U66" s="1286"/>
      <c r="V66" s="1285"/>
      <c r="W66" s="1286"/>
      <c r="X66" s="861" t="s">
        <v>1843</v>
      </c>
      <c r="Y66" s="1287"/>
      <c r="Z66" s="1287"/>
      <c r="AA66" s="1287"/>
      <c r="AB66" s="1287"/>
      <c r="AC66" s="1288"/>
      <c r="AD66" s="1288"/>
      <c r="AE66" s="1289"/>
    </row>
    <row r="67" spans="1:31">
      <c r="A67" s="1352">
        <v>62</v>
      </c>
      <c r="B67" s="2671"/>
      <c r="C67" s="2689"/>
      <c r="D67" s="2692"/>
      <c r="E67" s="1283"/>
      <c r="F67" s="1284"/>
      <c r="G67" s="1284"/>
      <c r="H67" s="1284"/>
      <c r="I67" s="1284"/>
      <c r="J67" s="1361" t="s">
        <v>1853</v>
      </c>
      <c r="K67" s="1285"/>
      <c r="L67" s="1285"/>
      <c r="M67" s="1285"/>
      <c r="N67" s="1285"/>
      <c r="O67" s="1285"/>
      <c r="P67" s="1286"/>
      <c r="Q67" s="881" t="s">
        <v>1842</v>
      </c>
      <c r="R67" s="1285"/>
      <c r="S67" s="1285"/>
      <c r="T67" s="1285"/>
      <c r="U67" s="1286"/>
      <c r="V67" s="1285"/>
      <c r="W67" s="1286"/>
      <c r="X67" s="861" t="s">
        <v>1843</v>
      </c>
      <c r="Y67" s="1287"/>
      <c r="Z67" s="1287"/>
      <c r="AA67" s="1287"/>
      <c r="AB67" s="1287"/>
      <c r="AC67" s="1288"/>
      <c r="AD67" s="1288"/>
      <c r="AE67" s="1289"/>
    </row>
    <row r="68" spans="1:31">
      <c r="A68" s="1352">
        <v>63</v>
      </c>
      <c r="B68" s="2671"/>
      <c r="C68" s="2689"/>
      <c r="D68" s="2692"/>
      <c r="E68" s="1283"/>
      <c r="F68" s="1284"/>
      <c r="G68" s="1284"/>
      <c r="H68" s="1284"/>
      <c r="I68" s="1284"/>
      <c r="J68" s="1361" t="s">
        <v>1853</v>
      </c>
      <c r="K68" s="1285"/>
      <c r="L68" s="1285"/>
      <c r="M68" s="1285"/>
      <c r="N68" s="1285"/>
      <c r="O68" s="1285"/>
      <c r="P68" s="1286"/>
      <c r="Q68" s="1015" t="s">
        <v>1842</v>
      </c>
      <c r="R68" s="1285"/>
      <c r="S68" s="1285"/>
      <c r="T68" s="1285"/>
      <c r="U68" s="1286"/>
      <c r="V68" s="1285"/>
      <c r="W68" s="1286"/>
      <c r="X68" s="861" t="s">
        <v>1843</v>
      </c>
      <c r="Y68" s="1287"/>
      <c r="Z68" s="1287"/>
      <c r="AA68" s="1287"/>
      <c r="AB68" s="1287"/>
      <c r="AC68" s="1288"/>
      <c r="AD68" s="1288"/>
      <c r="AE68" s="1289"/>
    </row>
    <row r="69" spans="1:31">
      <c r="A69" s="1352">
        <v>64</v>
      </c>
      <c r="B69" s="2671"/>
      <c r="C69" s="2689"/>
      <c r="D69" s="2692"/>
      <c r="E69" s="1283"/>
      <c r="F69" s="1284"/>
      <c r="G69" s="1284"/>
      <c r="H69" s="1284"/>
      <c r="I69" s="1284"/>
      <c r="J69" s="1361" t="s">
        <v>1853</v>
      </c>
      <c r="K69" s="1285"/>
      <c r="L69" s="1285"/>
      <c r="M69" s="1285"/>
      <c r="N69" s="1285"/>
      <c r="O69" s="1285"/>
      <c r="P69" s="1286"/>
      <c r="Q69" s="861" t="s">
        <v>1842</v>
      </c>
      <c r="R69" s="1285"/>
      <c r="S69" s="1285"/>
      <c r="T69" s="1285"/>
      <c r="U69" s="1286"/>
      <c r="V69" s="1285"/>
      <c r="W69" s="1286"/>
      <c r="X69" s="861" t="s">
        <v>1843</v>
      </c>
      <c r="Y69" s="1287"/>
      <c r="Z69" s="1287"/>
      <c r="AA69" s="1287"/>
      <c r="AB69" s="1287"/>
      <c r="AC69" s="1288"/>
      <c r="AD69" s="1288"/>
      <c r="AE69" s="1289"/>
    </row>
    <row r="70" spans="1:31">
      <c r="A70" s="1352">
        <v>65</v>
      </c>
      <c r="B70" s="2671"/>
      <c r="C70" s="2689"/>
      <c r="D70" s="2692"/>
      <c r="E70" s="1283"/>
      <c r="F70" s="1284"/>
      <c r="G70" s="1284"/>
      <c r="H70" s="1284"/>
      <c r="I70" s="1284"/>
      <c r="J70" s="1361" t="s">
        <v>1853</v>
      </c>
      <c r="K70" s="1285"/>
      <c r="L70" s="1285"/>
      <c r="M70" s="1285"/>
      <c r="N70" s="1285"/>
      <c r="O70" s="1285"/>
      <c r="P70" s="1286"/>
      <c r="Q70" s="861" t="s">
        <v>1842</v>
      </c>
      <c r="R70" s="1285"/>
      <c r="S70" s="1285"/>
      <c r="T70" s="1285"/>
      <c r="U70" s="1286"/>
      <c r="V70" s="1285"/>
      <c r="W70" s="1286"/>
      <c r="X70" s="861" t="s">
        <v>1843</v>
      </c>
      <c r="Y70" s="1287"/>
      <c r="Z70" s="1287"/>
      <c r="AA70" s="1287"/>
      <c r="AB70" s="1287"/>
      <c r="AC70" s="1288"/>
      <c r="AD70" s="1288"/>
      <c r="AE70" s="1289"/>
    </row>
    <row r="71" spans="1:31">
      <c r="A71" s="1352">
        <v>66</v>
      </c>
      <c r="B71" s="2671"/>
      <c r="C71" s="2689"/>
      <c r="D71" s="2692"/>
      <c r="E71" s="1283"/>
      <c r="F71" s="1284"/>
      <c r="G71" s="1284"/>
      <c r="H71" s="1284"/>
      <c r="I71" s="1284"/>
      <c r="J71" s="1361" t="s">
        <v>1853</v>
      </c>
      <c r="K71" s="1285"/>
      <c r="L71" s="1285"/>
      <c r="M71" s="1285"/>
      <c r="N71" s="1285"/>
      <c r="O71" s="1285"/>
      <c r="P71" s="1286"/>
      <c r="Q71" s="861" t="s">
        <v>1842</v>
      </c>
      <c r="R71" s="1285"/>
      <c r="S71" s="1285"/>
      <c r="T71" s="1285"/>
      <c r="U71" s="1286"/>
      <c r="V71" s="1285"/>
      <c r="W71" s="1286"/>
      <c r="X71" s="861" t="s">
        <v>1843</v>
      </c>
      <c r="Y71" s="1287"/>
      <c r="Z71" s="1287"/>
      <c r="AA71" s="1287"/>
      <c r="AB71" s="1287"/>
      <c r="AC71" s="1288"/>
      <c r="AD71" s="1288"/>
      <c r="AE71" s="1289"/>
    </row>
    <row r="72" spans="1:31">
      <c r="A72" s="1352">
        <v>67</v>
      </c>
      <c r="B72" s="2671"/>
      <c r="C72" s="2689"/>
      <c r="D72" s="2692"/>
      <c r="E72" s="1283"/>
      <c r="F72" s="1284"/>
      <c r="G72" s="1284"/>
      <c r="H72" s="1284"/>
      <c r="I72" s="1284"/>
      <c r="J72" s="1361" t="s">
        <v>1853</v>
      </c>
      <c r="K72" s="1285"/>
      <c r="L72" s="1285"/>
      <c r="M72" s="1285"/>
      <c r="N72" s="1285"/>
      <c r="O72" s="1285"/>
      <c r="P72" s="1286"/>
      <c r="Q72" s="861" t="s">
        <v>1842</v>
      </c>
      <c r="R72" s="1285"/>
      <c r="S72" s="1285"/>
      <c r="T72" s="1285"/>
      <c r="U72" s="1286"/>
      <c r="V72" s="1285"/>
      <c r="W72" s="1286"/>
      <c r="X72" s="861" t="s">
        <v>1843</v>
      </c>
      <c r="Y72" s="1287"/>
      <c r="Z72" s="1287"/>
      <c r="AA72" s="1287"/>
      <c r="AB72" s="1287"/>
      <c r="AC72" s="1288"/>
      <c r="AD72" s="1288"/>
      <c r="AE72" s="1289"/>
    </row>
    <row r="73" spans="1:31">
      <c r="A73" s="1352">
        <v>68</v>
      </c>
      <c r="B73" s="2671"/>
      <c r="C73" s="2689"/>
      <c r="D73" s="2692"/>
      <c r="E73" s="1283"/>
      <c r="F73" s="1284"/>
      <c r="G73" s="1284"/>
      <c r="H73" s="1284"/>
      <c r="I73" s="1284"/>
      <c r="J73" s="1361" t="s">
        <v>1853</v>
      </c>
      <c r="K73" s="1285"/>
      <c r="L73" s="1285"/>
      <c r="M73" s="1285"/>
      <c r="N73" s="1285"/>
      <c r="O73" s="1285"/>
      <c r="P73" s="1286"/>
      <c r="Q73" s="861" t="s">
        <v>1842</v>
      </c>
      <c r="R73" s="1285"/>
      <c r="S73" s="1285"/>
      <c r="T73" s="1285"/>
      <c r="U73" s="1286"/>
      <c r="V73" s="1285"/>
      <c r="W73" s="1286"/>
      <c r="X73" s="861" t="s">
        <v>1843</v>
      </c>
      <c r="Y73" s="1287"/>
      <c r="Z73" s="1287"/>
      <c r="AA73" s="1287"/>
      <c r="AB73" s="1287"/>
      <c r="AC73" s="1288"/>
      <c r="AD73" s="1288"/>
      <c r="AE73" s="1289"/>
    </row>
    <row r="74" spans="1:31">
      <c r="A74" s="1352">
        <v>69</v>
      </c>
      <c r="B74" s="2671"/>
      <c r="C74" s="2689"/>
      <c r="D74" s="2693"/>
      <c r="E74" s="1283"/>
      <c r="F74" s="1284"/>
      <c r="G74" s="1284"/>
      <c r="H74" s="1284"/>
      <c r="I74" s="1284"/>
      <c r="J74" s="1361" t="s">
        <v>1853</v>
      </c>
      <c r="K74" s="1285"/>
      <c r="L74" s="1285"/>
      <c r="M74" s="1285"/>
      <c r="N74" s="1285"/>
      <c r="O74" s="1285"/>
      <c r="P74" s="1286"/>
      <c r="Q74" s="861" t="s">
        <v>1842</v>
      </c>
      <c r="R74" s="1285"/>
      <c r="S74" s="1285"/>
      <c r="T74" s="1285"/>
      <c r="U74" s="1286"/>
      <c r="V74" s="1285"/>
      <c r="W74" s="1286"/>
      <c r="X74" s="861" t="s">
        <v>1843</v>
      </c>
      <c r="Y74" s="1287"/>
      <c r="Z74" s="1287"/>
      <c r="AA74" s="1287"/>
      <c r="AB74" s="1287"/>
      <c r="AC74" s="1288"/>
      <c r="AD74" s="1288"/>
      <c r="AE74" s="1289"/>
    </row>
    <row r="75" spans="1:31" ht="17.25" thickBot="1">
      <c r="A75" s="1352">
        <v>70</v>
      </c>
      <c r="B75" s="2671"/>
      <c r="C75" s="2690"/>
      <c r="D75" s="2233" t="s">
        <v>1408</v>
      </c>
      <c r="E75" s="1290"/>
      <c r="F75" s="1290"/>
      <c r="G75" s="1290"/>
      <c r="H75" s="1290"/>
      <c r="I75" s="1290"/>
      <c r="J75" s="1290"/>
      <c r="K75" s="1290"/>
      <c r="L75" s="1290"/>
      <c r="M75" s="1285">
        <f>SUM(M65:M74)</f>
        <v>0</v>
      </c>
      <c r="N75" s="1285">
        <f>SUM(N65:N74)</f>
        <v>0</v>
      </c>
      <c r="O75" s="1285">
        <f>SUM(O65:O74)</f>
        <v>0</v>
      </c>
      <c r="P75" s="1285">
        <f>SUM(P65:P74)</f>
        <v>0</v>
      </c>
      <c r="Q75" s="1290"/>
      <c r="R75" s="1285">
        <f>SUM(R65:R74)</f>
        <v>0</v>
      </c>
      <c r="S75" s="1290"/>
      <c r="T75" s="1285">
        <f>SUM(T65:T74)</f>
        <v>0</v>
      </c>
      <c r="U75" s="1285">
        <f>SUM(U65:U74)</f>
        <v>0</v>
      </c>
      <c r="V75" s="1285">
        <f>SUM(V65:V74)</f>
        <v>0</v>
      </c>
      <c r="W75" s="1285">
        <f>SUM(W65:W74)</f>
        <v>0</v>
      </c>
      <c r="X75" s="1290"/>
      <c r="Y75" s="1290"/>
      <c r="Z75" s="1299"/>
      <c r="AA75" s="1299"/>
      <c r="AB75" s="1299"/>
      <c r="AC75" s="1290"/>
      <c r="AD75" s="1290"/>
      <c r="AE75" s="1300"/>
    </row>
    <row r="76" spans="1:31" ht="16.5" customHeight="1">
      <c r="A76" s="1352">
        <v>71</v>
      </c>
      <c r="B76" s="2671"/>
      <c r="C76" s="2683" t="s">
        <v>1845</v>
      </c>
      <c r="D76" s="2656" t="s">
        <v>590</v>
      </c>
      <c r="E76" s="962"/>
      <c r="F76" s="940"/>
      <c r="G76" s="940"/>
      <c r="H76" s="940"/>
      <c r="I76" s="940"/>
      <c r="J76" s="941"/>
      <c r="K76" s="941"/>
      <c r="L76" s="941"/>
      <c r="M76" s="941"/>
      <c r="N76" s="941"/>
      <c r="O76" s="941"/>
      <c r="P76" s="942"/>
      <c r="Q76" s="941"/>
      <c r="R76" s="941"/>
      <c r="S76" s="941"/>
      <c r="T76" s="941"/>
      <c r="U76" s="942"/>
      <c r="V76" s="941"/>
      <c r="W76" s="942"/>
      <c r="X76" s="941"/>
      <c r="Y76" s="943"/>
      <c r="Z76" s="1265"/>
      <c r="AA76" s="1265"/>
      <c r="AB76" s="1265"/>
      <c r="AC76" s="944"/>
      <c r="AD76" s="944"/>
      <c r="AE76" s="963"/>
    </row>
    <row r="77" spans="1:31">
      <c r="A77" s="1352">
        <v>72</v>
      </c>
      <c r="B77" s="2671"/>
      <c r="C77" s="2684"/>
      <c r="D77" s="2657"/>
      <c r="E77" s="946"/>
      <c r="F77" s="947"/>
      <c r="G77" s="947"/>
      <c r="H77" s="947"/>
      <c r="I77" s="947"/>
      <c r="J77" s="948"/>
      <c r="K77" s="948"/>
      <c r="L77" s="948"/>
      <c r="M77" s="948"/>
      <c r="N77" s="948"/>
      <c r="O77" s="948"/>
      <c r="P77" s="949"/>
      <c r="Q77" s="948"/>
      <c r="R77" s="948"/>
      <c r="S77" s="948"/>
      <c r="T77" s="948"/>
      <c r="U77" s="949"/>
      <c r="V77" s="948"/>
      <c r="W77" s="949"/>
      <c r="X77" s="948"/>
      <c r="Y77" s="950"/>
      <c r="Z77" s="1266"/>
      <c r="AA77" s="1266"/>
      <c r="AB77" s="1266"/>
      <c r="AC77" s="951"/>
      <c r="AD77" s="951"/>
      <c r="AE77" s="952"/>
    </row>
    <row r="78" spans="1:31">
      <c r="A78" s="1352">
        <v>73</v>
      </c>
      <c r="B78" s="2671"/>
      <c r="C78" s="2684"/>
      <c r="D78" s="2657"/>
      <c r="E78" s="946"/>
      <c r="F78" s="947"/>
      <c r="G78" s="947"/>
      <c r="H78" s="947"/>
      <c r="I78" s="947"/>
      <c r="J78" s="948"/>
      <c r="K78" s="948"/>
      <c r="L78" s="948"/>
      <c r="M78" s="948"/>
      <c r="N78" s="948"/>
      <c r="O78" s="948"/>
      <c r="P78" s="949"/>
      <c r="Q78" s="948"/>
      <c r="R78" s="948"/>
      <c r="S78" s="948"/>
      <c r="T78" s="948"/>
      <c r="U78" s="949"/>
      <c r="V78" s="948"/>
      <c r="W78" s="949"/>
      <c r="X78" s="948"/>
      <c r="Y78" s="950"/>
      <c r="Z78" s="1266"/>
      <c r="AA78" s="1266"/>
      <c r="AB78" s="1266"/>
      <c r="AC78" s="951"/>
      <c r="AD78" s="951"/>
      <c r="AE78" s="952"/>
    </row>
    <row r="79" spans="1:31">
      <c r="A79" s="1352">
        <v>74</v>
      </c>
      <c r="B79" s="2671"/>
      <c r="C79" s="2684"/>
      <c r="D79" s="2657"/>
      <c r="E79" s="946"/>
      <c r="F79" s="947"/>
      <c r="G79" s="947"/>
      <c r="H79" s="947"/>
      <c r="I79" s="947"/>
      <c r="J79" s="948"/>
      <c r="K79" s="948"/>
      <c r="L79" s="948"/>
      <c r="M79" s="948"/>
      <c r="N79" s="948"/>
      <c r="O79" s="948"/>
      <c r="P79" s="949"/>
      <c r="Q79" s="948"/>
      <c r="R79" s="948"/>
      <c r="S79" s="948"/>
      <c r="T79" s="948"/>
      <c r="U79" s="949"/>
      <c r="V79" s="948"/>
      <c r="W79" s="949"/>
      <c r="X79" s="948"/>
      <c r="Y79" s="950"/>
      <c r="Z79" s="1266"/>
      <c r="AA79" s="1266"/>
      <c r="AB79" s="1266"/>
      <c r="AC79" s="951"/>
      <c r="AD79" s="951"/>
      <c r="AE79" s="952"/>
    </row>
    <row r="80" spans="1:31">
      <c r="A80" s="1352">
        <v>75</v>
      </c>
      <c r="B80" s="2671"/>
      <c r="C80" s="2684"/>
      <c r="D80" s="2657"/>
      <c r="E80" s="946"/>
      <c r="F80" s="947"/>
      <c r="G80" s="947"/>
      <c r="H80" s="947"/>
      <c r="I80" s="947"/>
      <c r="J80" s="948"/>
      <c r="K80" s="948"/>
      <c r="L80" s="948"/>
      <c r="M80" s="948"/>
      <c r="N80" s="948"/>
      <c r="O80" s="948"/>
      <c r="P80" s="949"/>
      <c r="Q80" s="948"/>
      <c r="R80" s="948"/>
      <c r="S80" s="948"/>
      <c r="T80" s="948"/>
      <c r="U80" s="949"/>
      <c r="V80" s="948"/>
      <c r="W80" s="949"/>
      <c r="X80" s="948"/>
      <c r="Y80" s="950"/>
      <c r="Z80" s="1266"/>
      <c r="AA80" s="1266"/>
      <c r="AB80" s="1266"/>
      <c r="AC80" s="951"/>
      <c r="AD80" s="951"/>
      <c r="AE80" s="952"/>
    </row>
    <row r="81" spans="1:31">
      <c r="A81" s="1352">
        <v>76</v>
      </c>
      <c r="B81" s="2671"/>
      <c r="C81" s="2684"/>
      <c r="D81" s="2657"/>
      <c r="E81" s="946"/>
      <c r="F81" s="947"/>
      <c r="G81" s="947"/>
      <c r="H81" s="947"/>
      <c r="I81" s="947"/>
      <c r="J81" s="948"/>
      <c r="K81" s="948"/>
      <c r="L81" s="948"/>
      <c r="M81" s="948"/>
      <c r="N81" s="948"/>
      <c r="O81" s="948"/>
      <c r="P81" s="949"/>
      <c r="Q81" s="948"/>
      <c r="R81" s="948"/>
      <c r="S81" s="948"/>
      <c r="T81" s="948"/>
      <c r="U81" s="949"/>
      <c r="V81" s="948"/>
      <c r="W81" s="949"/>
      <c r="X81" s="948"/>
      <c r="Y81" s="950"/>
      <c r="Z81" s="1266"/>
      <c r="AA81" s="1266"/>
      <c r="AB81" s="1266"/>
      <c r="AC81" s="951"/>
      <c r="AD81" s="951"/>
      <c r="AE81" s="952"/>
    </row>
    <row r="82" spans="1:31">
      <c r="A82" s="1352">
        <v>77</v>
      </c>
      <c r="B82" s="2671"/>
      <c r="C82" s="2684"/>
      <c r="D82" s="2657"/>
      <c r="E82" s="946"/>
      <c r="F82" s="947"/>
      <c r="G82" s="947"/>
      <c r="H82" s="947"/>
      <c r="I82" s="947"/>
      <c r="J82" s="948"/>
      <c r="K82" s="948"/>
      <c r="L82" s="948"/>
      <c r="M82" s="948"/>
      <c r="N82" s="948"/>
      <c r="O82" s="948"/>
      <c r="P82" s="949"/>
      <c r="Q82" s="948"/>
      <c r="R82" s="948"/>
      <c r="S82" s="948"/>
      <c r="T82" s="948"/>
      <c r="U82" s="949"/>
      <c r="V82" s="948"/>
      <c r="W82" s="949"/>
      <c r="X82" s="948"/>
      <c r="Y82" s="950"/>
      <c r="Z82" s="1266"/>
      <c r="AA82" s="1266"/>
      <c r="AB82" s="1266"/>
      <c r="AC82" s="951"/>
      <c r="AD82" s="951"/>
      <c r="AE82" s="952"/>
    </row>
    <row r="83" spans="1:31">
      <c r="A83" s="1352">
        <v>78</v>
      </c>
      <c r="B83" s="2671"/>
      <c r="C83" s="2684"/>
      <c r="D83" s="2657"/>
      <c r="E83" s="946"/>
      <c r="F83" s="947"/>
      <c r="G83" s="947"/>
      <c r="H83" s="947"/>
      <c r="I83" s="947"/>
      <c r="J83" s="948"/>
      <c r="K83" s="948"/>
      <c r="L83" s="948"/>
      <c r="M83" s="948"/>
      <c r="N83" s="948"/>
      <c r="O83" s="948"/>
      <c r="P83" s="949"/>
      <c r="Q83" s="948"/>
      <c r="R83" s="948"/>
      <c r="S83" s="948"/>
      <c r="T83" s="948"/>
      <c r="U83" s="949"/>
      <c r="V83" s="948"/>
      <c r="W83" s="949"/>
      <c r="X83" s="948"/>
      <c r="Y83" s="950"/>
      <c r="Z83" s="1266"/>
      <c r="AA83" s="1266"/>
      <c r="AB83" s="1266"/>
      <c r="AC83" s="951"/>
      <c r="AD83" s="951"/>
      <c r="AE83" s="952"/>
    </row>
    <row r="84" spans="1:31">
      <c r="A84" s="1352">
        <v>79</v>
      </c>
      <c r="B84" s="2671"/>
      <c r="C84" s="2684"/>
      <c r="D84" s="2657"/>
      <c r="E84" s="946"/>
      <c r="F84" s="947"/>
      <c r="G84" s="947"/>
      <c r="H84" s="947"/>
      <c r="I84" s="947"/>
      <c r="J84" s="948"/>
      <c r="K84" s="948"/>
      <c r="L84" s="948"/>
      <c r="M84" s="948"/>
      <c r="N84" s="948"/>
      <c r="O84" s="948"/>
      <c r="P84" s="949"/>
      <c r="Q84" s="948"/>
      <c r="R84" s="948"/>
      <c r="S84" s="948"/>
      <c r="T84" s="948"/>
      <c r="U84" s="949"/>
      <c r="V84" s="948"/>
      <c r="W84" s="949"/>
      <c r="X84" s="948"/>
      <c r="Y84" s="950"/>
      <c r="Z84" s="1266"/>
      <c r="AA84" s="1266"/>
      <c r="AB84" s="1266"/>
      <c r="AC84" s="951"/>
      <c r="AD84" s="951"/>
      <c r="AE84" s="952"/>
    </row>
    <row r="85" spans="1:31">
      <c r="A85" s="1352">
        <v>80</v>
      </c>
      <c r="B85" s="2671"/>
      <c r="C85" s="2684"/>
      <c r="D85" s="2657"/>
      <c r="E85" s="946"/>
      <c r="F85" s="947"/>
      <c r="G85" s="947"/>
      <c r="H85" s="947"/>
      <c r="I85" s="947"/>
      <c r="J85" s="948"/>
      <c r="K85" s="948"/>
      <c r="L85" s="948"/>
      <c r="M85" s="948"/>
      <c r="N85" s="948"/>
      <c r="O85" s="948"/>
      <c r="P85" s="949"/>
      <c r="Q85" s="948"/>
      <c r="R85" s="948"/>
      <c r="S85" s="948"/>
      <c r="T85" s="948"/>
      <c r="U85" s="949"/>
      <c r="V85" s="948"/>
      <c r="W85" s="949"/>
      <c r="X85" s="948"/>
      <c r="Y85" s="950"/>
      <c r="Z85" s="1266"/>
      <c r="AA85" s="1266"/>
      <c r="AB85" s="1266"/>
      <c r="AC85" s="951"/>
      <c r="AD85" s="951"/>
      <c r="AE85" s="952"/>
    </row>
    <row r="86" spans="1:31">
      <c r="A86" s="1352">
        <v>81</v>
      </c>
      <c r="B86" s="2671"/>
      <c r="C86" s="2684"/>
      <c r="D86" s="2234" t="s">
        <v>588</v>
      </c>
      <c r="E86" s="955"/>
      <c r="F86" s="955"/>
      <c r="G86" s="955"/>
      <c r="H86" s="955"/>
      <c r="I86" s="955"/>
      <c r="J86" s="955"/>
      <c r="K86" s="955"/>
      <c r="L86" s="955"/>
      <c r="M86" s="948">
        <f>SUM(M76:M85)</f>
        <v>0</v>
      </c>
      <c r="N86" s="948">
        <f>SUM(N76:N85)</f>
        <v>0</v>
      </c>
      <c r="O86" s="948">
        <f>SUM(O76:O85)</f>
        <v>0</v>
      </c>
      <c r="P86" s="948">
        <f>SUM(P76:P85)</f>
        <v>0</v>
      </c>
      <c r="Q86" s="955"/>
      <c r="R86" s="948">
        <f>SUM(R76:R85)</f>
        <v>0</v>
      </c>
      <c r="S86" s="955"/>
      <c r="T86" s="948">
        <f>SUM(T76:T85)</f>
        <v>0</v>
      </c>
      <c r="U86" s="948">
        <f>SUM(U76:U85)</f>
        <v>0</v>
      </c>
      <c r="V86" s="948">
        <f>SUM(V76:V85)</f>
        <v>0</v>
      </c>
      <c r="W86" s="948">
        <f>SUM(W76:W85)</f>
        <v>0</v>
      </c>
      <c r="X86" s="955"/>
      <c r="Y86" s="955"/>
      <c r="Z86" s="1252"/>
      <c r="AA86" s="1252"/>
      <c r="AB86" s="1252"/>
      <c r="AC86" s="955"/>
      <c r="AD86" s="955"/>
      <c r="AE86" s="961"/>
    </row>
    <row r="87" spans="1:31" ht="13.5" customHeight="1">
      <c r="A87" s="1352">
        <v>82</v>
      </c>
      <c r="B87" s="2671"/>
      <c r="C87" s="2684"/>
      <c r="D87" s="2657" t="s">
        <v>1686</v>
      </c>
      <c r="E87" s="946"/>
      <c r="F87" s="947"/>
      <c r="G87" s="947"/>
      <c r="H87" s="947"/>
      <c r="I87" s="947"/>
      <c r="J87" s="948"/>
      <c r="K87" s="948"/>
      <c r="L87" s="948"/>
      <c r="M87" s="948"/>
      <c r="N87" s="948"/>
      <c r="O87" s="948"/>
      <c r="P87" s="949"/>
      <c r="Q87" s="948"/>
      <c r="R87" s="948"/>
      <c r="S87" s="948"/>
      <c r="T87" s="948"/>
      <c r="U87" s="949"/>
      <c r="V87" s="948"/>
      <c r="W87" s="949"/>
      <c r="X87" s="948"/>
      <c r="Y87" s="950"/>
      <c r="Z87" s="1266"/>
      <c r="AA87" s="1266"/>
      <c r="AB87" s="1266"/>
      <c r="AC87" s="951"/>
      <c r="AD87" s="951"/>
      <c r="AE87" s="952"/>
    </row>
    <row r="88" spans="1:31">
      <c r="A88" s="1352">
        <v>83</v>
      </c>
      <c r="B88" s="2671"/>
      <c r="C88" s="2684"/>
      <c r="D88" s="2657"/>
      <c r="E88" s="946"/>
      <c r="F88" s="947"/>
      <c r="G88" s="947"/>
      <c r="H88" s="947"/>
      <c r="I88" s="947"/>
      <c r="J88" s="948"/>
      <c r="K88" s="948"/>
      <c r="L88" s="948"/>
      <c r="M88" s="948"/>
      <c r="N88" s="948"/>
      <c r="O88" s="948"/>
      <c r="P88" s="949"/>
      <c r="Q88" s="949"/>
      <c r="R88" s="948"/>
      <c r="S88" s="949"/>
      <c r="T88" s="948"/>
      <c r="U88" s="964"/>
      <c r="V88" s="948"/>
      <c r="W88" s="964"/>
      <c r="X88" s="948"/>
      <c r="Y88" s="950"/>
      <c r="Z88" s="1266"/>
      <c r="AA88" s="1266"/>
      <c r="AB88" s="1266"/>
      <c r="AC88" s="951"/>
      <c r="AD88" s="951"/>
      <c r="AE88" s="952"/>
    </row>
    <row r="89" spans="1:31">
      <c r="A89" s="1352">
        <v>84</v>
      </c>
      <c r="B89" s="2671"/>
      <c r="C89" s="2684"/>
      <c r="D89" s="2657"/>
      <c r="E89" s="946"/>
      <c r="F89" s="947"/>
      <c r="G89" s="947"/>
      <c r="H89" s="947"/>
      <c r="I89" s="947"/>
      <c r="J89" s="948"/>
      <c r="K89" s="948"/>
      <c r="L89" s="948"/>
      <c r="M89" s="948"/>
      <c r="N89" s="948"/>
      <c r="O89" s="948"/>
      <c r="P89" s="949"/>
      <c r="Q89" s="949"/>
      <c r="R89" s="948"/>
      <c r="S89" s="949"/>
      <c r="T89" s="948"/>
      <c r="U89" s="964"/>
      <c r="V89" s="948"/>
      <c r="W89" s="964"/>
      <c r="X89" s="948"/>
      <c r="Y89" s="950"/>
      <c r="Z89" s="1266"/>
      <c r="AA89" s="1266"/>
      <c r="AB89" s="1266"/>
      <c r="AC89" s="951"/>
      <c r="AD89" s="951"/>
      <c r="AE89" s="952"/>
    </row>
    <row r="90" spans="1:31">
      <c r="A90" s="1352">
        <v>85</v>
      </c>
      <c r="B90" s="2671"/>
      <c r="C90" s="2684"/>
      <c r="D90" s="2657"/>
      <c r="E90" s="946"/>
      <c r="F90" s="947"/>
      <c r="G90" s="947"/>
      <c r="H90" s="947"/>
      <c r="I90" s="947"/>
      <c r="J90" s="948"/>
      <c r="K90" s="948"/>
      <c r="L90" s="948"/>
      <c r="M90" s="948"/>
      <c r="N90" s="948"/>
      <c r="O90" s="948"/>
      <c r="P90" s="949"/>
      <c r="Q90" s="949"/>
      <c r="R90" s="948"/>
      <c r="S90" s="949"/>
      <c r="T90" s="948"/>
      <c r="U90" s="964"/>
      <c r="V90" s="948"/>
      <c r="W90" s="964"/>
      <c r="X90" s="948"/>
      <c r="Y90" s="950"/>
      <c r="Z90" s="1266"/>
      <c r="AA90" s="1266"/>
      <c r="AB90" s="1266"/>
      <c r="AC90" s="951"/>
      <c r="AD90" s="951"/>
      <c r="AE90" s="952"/>
    </row>
    <row r="91" spans="1:31">
      <c r="A91" s="1352">
        <v>86</v>
      </c>
      <c r="B91" s="2671"/>
      <c r="C91" s="2684"/>
      <c r="D91" s="2657"/>
      <c r="E91" s="946"/>
      <c r="F91" s="947"/>
      <c r="G91" s="947"/>
      <c r="H91" s="947"/>
      <c r="I91" s="947"/>
      <c r="J91" s="948"/>
      <c r="K91" s="948"/>
      <c r="L91" s="948"/>
      <c r="M91" s="948"/>
      <c r="N91" s="948"/>
      <c r="O91" s="948"/>
      <c r="P91" s="949"/>
      <c r="Q91" s="949"/>
      <c r="R91" s="948"/>
      <c r="S91" s="949"/>
      <c r="T91" s="948"/>
      <c r="U91" s="964"/>
      <c r="V91" s="948"/>
      <c r="W91" s="964"/>
      <c r="X91" s="948"/>
      <c r="Y91" s="950"/>
      <c r="Z91" s="1266"/>
      <c r="AA91" s="1266"/>
      <c r="AB91" s="1266"/>
      <c r="AC91" s="951"/>
      <c r="AD91" s="951"/>
      <c r="AE91" s="952"/>
    </row>
    <row r="92" spans="1:31">
      <c r="A92" s="1352">
        <v>87</v>
      </c>
      <c r="B92" s="2671"/>
      <c r="C92" s="2684"/>
      <c r="D92" s="2657"/>
      <c r="E92" s="946"/>
      <c r="F92" s="947"/>
      <c r="G92" s="947"/>
      <c r="H92" s="947"/>
      <c r="I92" s="947"/>
      <c r="J92" s="948"/>
      <c r="K92" s="948"/>
      <c r="L92" s="948"/>
      <c r="M92" s="948"/>
      <c r="N92" s="948"/>
      <c r="O92" s="948"/>
      <c r="P92" s="949"/>
      <c r="Q92" s="949"/>
      <c r="R92" s="948"/>
      <c r="S92" s="949"/>
      <c r="T92" s="948"/>
      <c r="U92" s="964"/>
      <c r="V92" s="948"/>
      <c r="W92" s="964"/>
      <c r="X92" s="948"/>
      <c r="Y92" s="950"/>
      <c r="Z92" s="1266"/>
      <c r="AA92" s="1266"/>
      <c r="AB92" s="1266"/>
      <c r="AC92" s="951"/>
      <c r="AD92" s="951"/>
      <c r="AE92" s="952"/>
    </row>
    <row r="93" spans="1:31">
      <c r="A93" s="1352">
        <v>88</v>
      </c>
      <c r="B93" s="2671"/>
      <c r="C93" s="2684"/>
      <c r="D93" s="2657"/>
      <c r="E93" s="946"/>
      <c r="F93" s="947"/>
      <c r="G93" s="947"/>
      <c r="H93" s="947"/>
      <c r="I93" s="947"/>
      <c r="J93" s="948"/>
      <c r="K93" s="948"/>
      <c r="L93" s="948"/>
      <c r="M93" s="948"/>
      <c r="N93" s="948"/>
      <c r="O93" s="948"/>
      <c r="P93" s="949"/>
      <c r="Q93" s="949"/>
      <c r="R93" s="948"/>
      <c r="S93" s="949"/>
      <c r="T93" s="948"/>
      <c r="U93" s="964"/>
      <c r="V93" s="948"/>
      <c r="W93" s="964"/>
      <c r="X93" s="948"/>
      <c r="Y93" s="950"/>
      <c r="Z93" s="1266"/>
      <c r="AA93" s="1266"/>
      <c r="AB93" s="1266"/>
      <c r="AC93" s="951"/>
      <c r="AD93" s="951"/>
      <c r="AE93" s="952"/>
    </row>
    <row r="94" spans="1:31">
      <c r="A94" s="1352">
        <v>89</v>
      </c>
      <c r="B94" s="2671"/>
      <c r="C94" s="2684"/>
      <c r="D94" s="2657"/>
      <c r="E94" s="946"/>
      <c r="F94" s="947"/>
      <c r="G94" s="947"/>
      <c r="H94" s="947"/>
      <c r="I94" s="947"/>
      <c r="J94" s="948"/>
      <c r="K94" s="948"/>
      <c r="L94" s="948"/>
      <c r="M94" s="948"/>
      <c r="N94" s="948"/>
      <c r="O94" s="948"/>
      <c r="P94" s="949"/>
      <c r="Q94" s="949"/>
      <c r="R94" s="948"/>
      <c r="S94" s="949"/>
      <c r="T94" s="948"/>
      <c r="U94" s="964"/>
      <c r="V94" s="948"/>
      <c r="W94" s="964"/>
      <c r="X94" s="948"/>
      <c r="Y94" s="950"/>
      <c r="Z94" s="1266"/>
      <c r="AA94" s="1266"/>
      <c r="AB94" s="1266"/>
      <c r="AC94" s="951"/>
      <c r="AD94" s="951"/>
      <c r="AE94" s="952"/>
    </row>
    <row r="95" spans="1:31">
      <c r="A95" s="1352">
        <v>90</v>
      </c>
      <c r="B95" s="2671"/>
      <c r="C95" s="2684"/>
      <c r="D95" s="2657"/>
      <c r="E95" s="946"/>
      <c r="F95" s="947"/>
      <c r="G95" s="947"/>
      <c r="H95" s="947"/>
      <c r="I95" s="947"/>
      <c r="J95" s="948"/>
      <c r="K95" s="948"/>
      <c r="L95" s="948"/>
      <c r="M95" s="948"/>
      <c r="N95" s="948"/>
      <c r="O95" s="948"/>
      <c r="P95" s="949"/>
      <c r="Q95" s="949"/>
      <c r="R95" s="948"/>
      <c r="S95" s="949"/>
      <c r="T95" s="948"/>
      <c r="U95" s="964"/>
      <c r="V95" s="948"/>
      <c r="W95" s="964"/>
      <c r="X95" s="948"/>
      <c r="Y95" s="950"/>
      <c r="Z95" s="1266"/>
      <c r="AA95" s="1266"/>
      <c r="AB95" s="1266"/>
      <c r="AC95" s="951"/>
      <c r="AD95" s="951"/>
      <c r="AE95" s="952"/>
    </row>
    <row r="96" spans="1:31">
      <c r="A96" s="1352">
        <v>91</v>
      </c>
      <c r="B96" s="2671"/>
      <c r="C96" s="2684"/>
      <c r="D96" s="2657"/>
      <c r="E96" s="946"/>
      <c r="F96" s="947"/>
      <c r="G96" s="947"/>
      <c r="H96" s="947"/>
      <c r="I96" s="947"/>
      <c r="J96" s="948"/>
      <c r="K96" s="948"/>
      <c r="L96" s="948"/>
      <c r="M96" s="948"/>
      <c r="N96" s="948"/>
      <c r="O96" s="948"/>
      <c r="P96" s="949"/>
      <c r="Q96" s="949"/>
      <c r="R96" s="948"/>
      <c r="S96" s="949"/>
      <c r="T96" s="948"/>
      <c r="U96" s="964"/>
      <c r="V96" s="948"/>
      <c r="W96" s="964"/>
      <c r="X96" s="948"/>
      <c r="Y96" s="950"/>
      <c r="Z96" s="1266"/>
      <c r="AA96" s="1266"/>
      <c r="AB96" s="1266"/>
      <c r="AC96" s="951"/>
      <c r="AD96" s="951"/>
      <c r="AE96" s="952"/>
    </row>
    <row r="97" spans="1:31">
      <c r="A97" s="1352">
        <v>92</v>
      </c>
      <c r="B97" s="2671"/>
      <c r="C97" s="2684"/>
      <c r="D97" s="2234" t="s">
        <v>588</v>
      </c>
      <c r="E97" s="955"/>
      <c r="F97" s="955"/>
      <c r="G97" s="955"/>
      <c r="H97" s="955"/>
      <c r="I97" s="955"/>
      <c r="J97" s="955"/>
      <c r="K97" s="955"/>
      <c r="L97" s="955"/>
      <c r="M97" s="948">
        <f>SUM(M87:M96)</f>
        <v>0</v>
      </c>
      <c r="N97" s="948">
        <f>SUM(N87:N96)</f>
        <v>0</v>
      </c>
      <c r="O97" s="948">
        <f>SUM(O87:O96)</f>
        <v>0</v>
      </c>
      <c r="P97" s="948">
        <f>SUM(P87:P96)</f>
        <v>0</v>
      </c>
      <c r="Q97" s="955"/>
      <c r="R97" s="948">
        <f>SUM(R87:R96)</f>
        <v>0</v>
      </c>
      <c r="S97" s="955"/>
      <c r="T97" s="948">
        <f>SUM(T87:T96)</f>
        <v>0</v>
      </c>
      <c r="U97" s="948">
        <f>SUM(U87:U96)</f>
        <v>0</v>
      </c>
      <c r="V97" s="948">
        <f>SUM(V87:V96)</f>
        <v>0</v>
      </c>
      <c r="W97" s="948">
        <f>SUM(W87:W96)</f>
        <v>0</v>
      </c>
      <c r="X97" s="955"/>
      <c r="Y97" s="955"/>
      <c r="Z97" s="1266"/>
      <c r="AA97" s="1266"/>
      <c r="AB97" s="1266"/>
      <c r="AC97" s="955"/>
      <c r="AD97" s="955"/>
      <c r="AE97" s="961"/>
    </row>
    <row r="98" spans="1:31" ht="13.5" customHeight="1">
      <c r="A98" s="1352">
        <v>93</v>
      </c>
      <c r="B98" s="2671"/>
      <c r="C98" s="2684"/>
      <c r="D98" s="2703" t="s">
        <v>1687</v>
      </c>
      <c r="E98" s="946"/>
      <c r="F98" s="947"/>
      <c r="G98" s="947"/>
      <c r="H98" s="947"/>
      <c r="I98" s="947"/>
      <c r="J98" s="948"/>
      <c r="K98" s="948"/>
      <c r="L98" s="948"/>
      <c r="M98" s="948"/>
      <c r="N98" s="948"/>
      <c r="O98" s="948"/>
      <c r="P98" s="949"/>
      <c r="Q98" s="949"/>
      <c r="R98" s="948"/>
      <c r="S98" s="949"/>
      <c r="T98" s="948"/>
      <c r="U98" s="964"/>
      <c r="V98" s="948"/>
      <c r="W98" s="964"/>
      <c r="X98" s="948"/>
      <c r="Y98" s="950"/>
      <c r="Z98" s="1266"/>
      <c r="AA98" s="1266"/>
      <c r="AB98" s="1266"/>
      <c r="AC98" s="951"/>
      <c r="AD98" s="951"/>
      <c r="AE98" s="952"/>
    </row>
    <row r="99" spans="1:31">
      <c r="A99" s="1352">
        <v>94</v>
      </c>
      <c r="B99" s="2671"/>
      <c r="C99" s="2684"/>
      <c r="D99" s="2703"/>
      <c r="E99" s="946"/>
      <c r="F99" s="947"/>
      <c r="G99" s="947"/>
      <c r="H99" s="947"/>
      <c r="I99" s="947"/>
      <c r="J99" s="948"/>
      <c r="K99" s="948"/>
      <c r="L99" s="948"/>
      <c r="M99" s="948"/>
      <c r="N99" s="948"/>
      <c r="O99" s="948"/>
      <c r="P99" s="949"/>
      <c r="Q99" s="949"/>
      <c r="R99" s="948"/>
      <c r="S99" s="949"/>
      <c r="T99" s="948"/>
      <c r="U99" s="964"/>
      <c r="V99" s="948"/>
      <c r="W99" s="964"/>
      <c r="X99" s="948"/>
      <c r="Y99" s="950"/>
      <c r="Z99" s="1266"/>
      <c r="AA99" s="1266"/>
      <c r="AB99" s="1266"/>
      <c r="AC99" s="951"/>
      <c r="AD99" s="951"/>
      <c r="AE99" s="952"/>
    </row>
    <row r="100" spans="1:31">
      <c r="A100" s="1352">
        <v>95</v>
      </c>
      <c r="B100" s="2671"/>
      <c r="C100" s="2684"/>
      <c r="D100" s="2703"/>
      <c r="E100" s="946"/>
      <c r="F100" s="947"/>
      <c r="G100" s="947"/>
      <c r="H100" s="947"/>
      <c r="I100" s="947"/>
      <c r="J100" s="948"/>
      <c r="K100" s="948"/>
      <c r="L100" s="948"/>
      <c r="M100" s="948"/>
      <c r="N100" s="948"/>
      <c r="O100" s="948"/>
      <c r="P100" s="949"/>
      <c r="Q100" s="949"/>
      <c r="R100" s="948"/>
      <c r="S100" s="949"/>
      <c r="T100" s="948"/>
      <c r="U100" s="964"/>
      <c r="V100" s="948"/>
      <c r="W100" s="964"/>
      <c r="X100" s="948"/>
      <c r="Y100" s="950"/>
      <c r="Z100" s="1266"/>
      <c r="AA100" s="1266"/>
      <c r="AB100" s="1266"/>
      <c r="AC100" s="951"/>
      <c r="AD100" s="951"/>
      <c r="AE100" s="952"/>
    </row>
    <row r="101" spans="1:31">
      <c r="A101" s="1352">
        <v>96</v>
      </c>
      <c r="B101" s="2671"/>
      <c r="C101" s="2684"/>
      <c r="D101" s="2703"/>
      <c r="E101" s="946"/>
      <c r="F101" s="947"/>
      <c r="G101" s="947"/>
      <c r="H101" s="947"/>
      <c r="I101" s="947"/>
      <c r="J101" s="948"/>
      <c r="K101" s="948"/>
      <c r="L101" s="948"/>
      <c r="M101" s="948"/>
      <c r="N101" s="948"/>
      <c r="O101" s="948"/>
      <c r="P101" s="949"/>
      <c r="Q101" s="949"/>
      <c r="R101" s="948"/>
      <c r="S101" s="949"/>
      <c r="T101" s="948"/>
      <c r="U101" s="964"/>
      <c r="V101" s="948"/>
      <c r="W101" s="964"/>
      <c r="X101" s="948"/>
      <c r="Y101" s="950"/>
      <c r="Z101" s="1266"/>
      <c r="AA101" s="1266"/>
      <c r="AB101" s="1266"/>
      <c r="AC101" s="951"/>
      <c r="AD101" s="951"/>
      <c r="AE101" s="952"/>
    </row>
    <row r="102" spans="1:31">
      <c r="A102" s="1352">
        <v>97</v>
      </c>
      <c r="B102" s="2671"/>
      <c r="C102" s="2684"/>
      <c r="D102" s="2703"/>
      <c r="E102" s="946"/>
      <c r="F102" s="947"/>
      <c r="G102" s="947"/>
      <c r="H102" s="947"/>
      <c r="I102" s="947"/>
      <c r="J102" s="948"/>
      <c r="K102" s="948"/>
      <c r="L102" s="948"/>
      <c r="M102" s="948"/>
      <c r="N102" s="948"/>
      <c r="O102" s="948"/>
      <c r="P102" s="949"/>
      <c r="Q102" s="949"/>
      <c r="R102" s="948"/>
      <c r="S102" s="949"/>
      <c r="T102" s="948"/>
      <c r="U102" s="964"/>
      <c r="V102" s="948"/>
      <c r="W102" s="964"/>
      <c r="X102" s="948"/>
      <c r="Y102" s="950"/>
      <c r="Z102" s="1266"/>
      <c r="AA102" s="1266"/>
      <c r="AB102" s="1266"/>
      <c r="AC102" s="951"/>
      <c r="AD102" s="951"/>
      <c r="AE102" s="952"/>
    </row>
    <row r="103" spans="1:31">
      <c r="A103" s="1352">
        <v>98</v>
      </c>
      <c r="B103" s="2671"/>
      <c r="C103" s="2684"/>
      <c r="D103" s="2703"/>
      <c r="E103" s="946"/>
      <c r="F103" s="947"/>
      <c r="G103" s="947"/>
      <c r="H103" s="947"/>
      <c r="I103" s="947"/>
      <c r="J103" s="948"/>
      <c r="K103" s="948"/>
      <c r="L103" s="948"/>
      <c r="M103" s="948"/>
      <c r="N103" s="948"/>
      <c r="O103" s="948"/>
      <c r="P103" s="949"/>
      <c r="Q103" s="949"/>
      <c r="R103" s="948"/>
      <c r="S103" s="949"/>
      <c r="T103" s="948"/>
      <c r="U103" s="964"/>
      <c r="V103" s="948"/>
      <c r="W103" s="964"/>
      <c r="X103" s="948"/>
      <c r="Y103" s="950"/>
      <c r="Z103" s="1266"/>
      <c r="AA103" s="1266"/>
      <c r="AB103" s="1266"/>
      <c r="AC103" s="951"/>
      <c r="AD103" s="951"/>
      <c r="AE103" s="952"/>
    </row>
    <row r="104" spans="1:31">
      <c r="A104" s="1352">
        <v>99</v>
      </c>
      <c r="B104" s="2671"/>
      <c r="C104" s="2684"/>
      <c r="D104" s="2703"/>
      <c r="E104" s="946"/>
      <c r="F104" s="947"/>
      <c r="G104" s="947"/>
      <c r="H104" s="947"/>
      <c r="I104" s="947"/>
      <c r="J104" s="948"/>
      <c r="K104" s="948"/>
      <c r="L104" s="948"/>
      <c r="M104" s="948"/>
      <c r="N104" s="948"/>
      <c r="O104" s="948"/>
      <c r="P104" s="949"/>
      <c r="Q104" s="948"/>
      <c r="R104" s="948"/>
      <c r="S104" s="948"/>
      <c r="T104" s="948"/>
      <c r="U104" s="949"/>
      <c r="V104" s="948"/>
      <c r="W104" s="949"/>
      <c r="X104" s="948"/>
      <c r="Y104" s="950"/>
      <c r="Z104" s="1266"/>
      <c r="AA104" s="1266"/>
      <c r="AB104" s="1266"/>
      <c r="AC104" s="951"/>
      <c r="AD104" s="951"/>
      <c r="AE104" s="952"/>
    </row>
    <row r="105" spans="1:31">
      <c r="A105" s="1352">
        <v>100</v>
      </c>
      <c r="B105" s="2671"/>
      <c r="C105" s="2684"/>
      <c r="D105" s="2703"/>
      <c r="E105" s="946"/>
      <c r="F105" s="947"/>
      <c r="G105" s="947"/>
      <c r="H105" s="947"/>
      <c r="I105" s="947"/>
      <c r="J105" s="948"/>
      <c r="K105" s="948"/>
      <c r="L105" s="948"/>
      <c r="M105" s="948"/>
      <c r="N105" s="948"/>
      <c r="O105" s="948"/>
      <c r="P105" s="949"/>
      <c r="Q105" s="948"/>
      <c r="R105" s="948"/>
      <c r="S105" s="948"/>
      <c r="T105" s="948"/>
      <c r="U105" s="949"/>
      <c r="V105" s="948"/>
      <c r="W105" s="949"/>
      <c r="X105" s="948"/>
      <c r="Y105" s="950"/>
      <c r="Z105" s="1266"/>
      <c r="AA105" s="1266"/>
      <c r="AB105" s="1266"/>
      <c r="AC105" s="951"/>
      <c r="AD105" s="951"/>
      <c r="AE105" s="952"/>
    </row>
    <row r="106" spans="1:31">
      <c r="A106" s="1352">
        <v>101</v>
      </c>
      <c r="B106" s="2671"/>
      <c r="C106" s="2684"/>
      <c r="D106" s="2703"/>
      <c r="E106" s="946"/>
      <c r="F106" s="947"/>
      <c r="G106" s="947"/>
      <c r="H106" s="947"/>
      <c r="I106" s="947"/>
      <c r="J106" s="948"/>
      <c r="K106" s="948"/>
      <c r="L106" s="948"/>
      <c r="M106" s="948"/>
      <c r="N106" s="948"/>
      <c r="O106" s="948"/>
      <c r="P106" s="949"/>
      <c r="Q106" s="948"/>
      <c r="R106" s="948"/>
      <c r="S106" s="948"/>
      <c r="T106" s="948"/>
      <c r="U106" s="949"/>
      <c r="V106" s="948"/>
      <c r="W106" s="949"/>
      <c r="X106" s="948"/>
      <c r="Y106" s="950"/>
      <c r="Z106" s="1266"/>
      <c r="AA106" s="1266"/>
      <c r="AB106" s="1266"/>
      <c r="AC106" s="951"/>
      <c r="AD106" s="951"/>
      <c r="AE106" s="952"/>
    </row>
    <row r="107" spans="1:31">
      <c r="A107" s="1352">
        <v>102</v>
      </c>
      <c r="B107" s="2671"/>
      <c r="C107" s="2684"/>
      <c r="D107" s="2703"/>
      <c r="E107" s="946"/>
      <c r="F107" s="947"/>
      <c r="G107" s="947"/>
      <c r="H107" s="947"/>
      <c r="I107" s="947"/>
      <c r="J107" s="948"/>
      <c r="K107" s="948"/>
      <c r="L107" s="948"/>
      <c r="M107" s="948"/>
      <c r="N107" s="948"/>
      <c r="O107" s="948"/>
      <c r="P107" s="949"/>
      <c r="Q107" s="948"/>
      <c r="R107" s="948"/>
      <c r="S107" s="948"/>
      <c r="T107" s="948"/>
      <c r="U107" s="949"/>
      <c r="V107" s="948"/>
      <c r="W107" s="949"/>
      <c r="X107" s="948"/>
      <c r="Y107" s="950"/>
      <c r="Z107" s="1266"/>
      <c r="AA107" s="1266"/>
      <c r="AB107" s="1266"/>
      <c r="AC107" s="951"/>
      <c r="AD107" s="951"/>
      <c r="AE107" s="952"/>
    </row>
    <row r="108" spans="1:31" ht="17.25" thickBot="1">
      <c r="A108" s="1352">
        <v>103</v>
      </c>
      <c r="B108" s="2671"/>
      <c r="C108" s="2685"/>
      <c r="D108" s="869" t="s">
        <v>588</v>
      </c>
      <c r="E108" s="959"/>
      <c r="F108" s="959"/>
      <c r="G108" s="959"/>
      <c r="H108" s="959"/>
      <c r="I108" s="959"/>
      <c r="J108" s="959"/>
      <c r="K108" s="959"/>
      <c r="L108" s="959"/>
      <c r="M108" s="960">
        <f>SUM(M98:M107)</f>
        <v>0</v>
      </c>
      <c r="N108" s="960">
        <f>SUM(N98:N107)</f>
        <v>0</v>
      </c>
      <c r="O108" s="960">
        <f>SUM(O98:O107)</f>
        <v>0</v>
      </c>
      <c r="P108" s="960">
        <f>SUM(P98:P107)</f>
        <v>0</v>
      </c>
      <c r="Q108" s="959"/>
      <c r="R108" s="960">
        <f>SUM(R98:R107)</f>
        <v>0</v>
      </c>
      <c r="S108" s="955"/>
      <c r="T108" s="960">
        <f>SUM(T98:T107)</f>
        <v>0</v>
      </c>
      <c r="U108" s="960">
        <f>SUM(U98:U107)</f>
        <v>0</v>
      </c>
      <c r="V108" s="960">
        <f>SUM(V98:V107)</f>
        <v>0</v>
      </c>
      <c r="W108" s="960">
        <f>SUM(W98:W107)</f>
        <v>0</v>
      </c>
      <c r="X108" s="959"/>
      <c r="Y108" s="959"/>
      <c r="Z108" s="1262"/>
      <c r="AA108" s="1262"/>
      <c r="AB108" s="1262"/>
      <c r="AC108" s="959"/>
      <c r="AD108" s="959"/>
      <c r="AE108" s="961"/>
    </row>
    <row r="109" spans="1:31" ht="16.5" customHeight="1">
      <c r="A109" s="1352">
        <v>104</v>
      </c>
      <c r="B109" s="2671"/>
      <c r="C109" s="2673" t="s">
        <v>591</v>
      </c>
      <c r="D109" s="2700" t="s">
        <v>592</v>
      </c>
      <c r="E109" s="962"/>
      <c r="F109" s="940"/>
      <c r="G109" s="940"/>
      <c r="H109" s="940"/>
      <c r="I109" s="940"/>
      <c r="J109" s="941"/>
      <c r="K109" s="941"/>
      <c r="L109" s="941"/>
      <c r="M109" s="941"/>
      <c r="N109" s="941"/>
      <c r="O109" s="941"/>
      <c r="P109" s="942"/>
      <c r="Q109" s="941"/>
      <c r="R109" s="941"/>
      <c r="S109" s="941"/>
      <c r="T109" s="965"/>
      <c r="U109" s="942"/>
      <c r="V109" s="965"/>
      <c r="W109" s="942"/>
      <c r="X109" s="941"/>
      <c r="Y109" s="943"/>
      <c r="Z109" s="1267"/>
      <c r="AA109" s="1267"/>
      <c r="AB109" s="1268"/>
      <c r="AC109" s="944"/>
      <c r="AD109" s="944"/>
      <c r="AE109" s="963"/>
    </row>
    <row r="110" spans="1:31">
      <c r="A110" s="1352">
        <v>105</v>
      </c>
      <c r="B110" s="2671"/>
      <c r="C110" s="2674"/>
      <c r="D110" s="2703"/>
      <c r="E110" s="946"/>
      <c r="F110" s="947"/>
      <c r="G110" s="947"/>
      <c r="H110" s="947"/>
      <c r="I110" s="947"/>
      <c r="J110" s="948"/>
      <c r="K110" s="948"/>
      <c r="L110" s="948"/>
      <c r="M110" s="948"/>
      <c r="N110" s="948"/>
      <c r="O110" s="948"/>
      <c r="P110" s="949"/>
      <c r="Q110" s="948"/>
      <c r="R110" s="948"/>
      <c r="S110" s="948"/>
      <c r="T110" s="964"/>
      <c r="U110" s="949"/>
      <c r="V110" s="964"/>
      <c r="W110" s="949"/>
      <c r="X110" s="948"/>
      <c r="Y110" s="950"/>
      <c r="Z110" s="1266"/>
      <c r="AA110" s="1266"/>
      <c r="AB110" s="1266"/>
      <c r="AC110" s="951"/>
      <c r="AD110" s="951"/>
      <c r="AE110" s="952"/>
    </row>
    <row r="111" spans="1:31">
      <c r="A111" s="1352">
        <v>106</v>
      </c>
      <c r="B111" s="2671"/>
      <c r="C111" s="2674"/>
      <c r="D111" s="2703"/>
      <c r="E111" s="946"/>
      <c r="F111" s="947"/>
      <c r="G111" s="947"/>
      <c r="H111" s="947"/>
      <c r="I111" s="947"/>
      <c r="J111" s="948"/>
      <c r="K111" s="948"/>
      <c r="L111" s="948"/>
      <c r="M111" s="948"/>
      <c r="N111" s="948"/>
      <c r="O111" s="948"/>
      <c r="P111" s="949"/>
      <c r="Q111" s="948"/>
      <c r="R111" s="948"/>
      <c r="S111" s="948"/>
      <c r="T111" s="964"/>
      <c r="U111" s="949"/>
      <c r="V111" s="964"/>
      <c r="W111" s="949"/>
      <c r="X111" s="948"/>
      <c r="Y111" s="950"/>
      <c r="Z111" s="1266"/>
      <c r="AA111" s="1266"/>
      <c r="AB111" s="1266"/>
      <c r="AC111" s="951"/>
      <c r="AD111" s="951"/>
      <c r="AE111" s="952"/>
    </row>
    <row r="112" spans="1:31">
      <c r="A112" s="1352">
        <v>107</v>
      </c>
      <c r="B112" s="2671"/>
      <c r="C112" s="2674"/>
      <c r="D112" s="2703"/>
      <c r="E112" s="946"/>
      <c r="F112" s="947"/>
      <c r="G112" s="947"/>
      <c r="H112" s="947"/>
      <c r="I112" s="947"/>
      <c r="J112" s="948"/>
      <c r="K112" s="948"/>
      <c r="L112" s="948"/>
      <c r="M112" s="948"/>
      <c r="N112" s="948"/>
      <c r="O112" s="948"/>
      <c r="P112" s="949"/>
      <c r="Q112" s="948"/>
      <c r="R112" s="948"/>
      <c r="S112" s="948"/>
      <c r="T112" s="964"/>
      <c r="U112" s="949"/>
      <c r="V112" s="964"/>
      <c r="W112" s="949"/>
      <c r="X112" s="948"/>
      <c r="Y112" s="950"/>
      <c r="Z112" s="1266"/>
      <c r="AA112" s="1266"/>
      <c r="AB112" s="1266"/>
      <c r="AC112" s="951"/>
      <c r="AD112" s="951"/>
      <c r="AE112" s="952"/>
    </row>
    <row r="113" spans="1:31">
      <c r="A113" s="1352">
        <v>108</v>
      </c>
      <c r="B113" s="2671"/>
      <c r="C113" s="2674"/>
      <c r="D113" s="2703"/>
      <c r="E113" s="946"/>
      <c r="F113" s="947"/>
      <c r="G113" s="947"/>
      <c r="H113" s="947"/>
      <c r="I113" s="947"/>
      <c r="J113" s="948"/>
      <c r="K113" s="948"/>
      <c r="L113" s="948"/>
      <c r="M113" s="948"/>
      <c r="N113" s="948"/>
      <c r="O113" s="948"/>
      <c r="P113" s="949"/>
      <c r="Q113" s="948"/>
      <c r="R113" s="948"/>
      <c r="S113" s="948"/>
      <c r="T113" s="964"/>
      <c r="U113" s="949"/>
      <c r="V113" s="964"/>
      <c r="W113" s="949"/>
      <c r="X113" s="948"/>
      <c r="Y113" s="950"/>
      <c r="Z113" s="1266"/>
      <c r="AA113" s="1266"/>
      <c r="AB113" s="1266"/>
      <c r="AC113" s="951"/>
      <c r="AD113" s="951"/>
      <c r="AE113" s="952"/>
    </row>
    <row r="114" spans="1:31">
      <c r="A114" s="1352">
        <v>109</v>
      </c>
      <c r="B114" s="2671"/>
      <c r="C114" s="2674"/>
      <c r="D114" s="2703"/>
      <c r="E114" s="946"/>
      <c r="F114" s="947"/>
      <c r="G114" s="947"/>
      <c r="H114" s="947"/>
      <c r="I114" s="947"/>
      <c r="J114" s="948"/>
      <c r="K114" s="948"/>
      <c r="L114" s="948"/>
      <c r="M114" s="948"/>
      <c r="N114" s="948"/>
      <c r="O114" s="948"/>
      <c r="P114" s="949"/>
      <c r="Q114" s="948"/>
      <c r="R114" s="948"/>
      <c r="S114" s="948"/>
      <c r="T114" s="964"/>
      <c r="U114" s="949"/>
      <c r="V114" s="964"/>
      <c r="W114" s="949"/>
      <c r="X114" s="948"/>
      <c r="Y114" s="950"/>
      <c r="Z114" s="1266"/>
      <c r="AA114" s="1266"/>
      <c r="AB114" s="1266"/>
      <c r="AC114" s="951"/>
      <c r="AD114" s="951"/>
      <c r="AE114" s="952"/>
    </row>
    <row r="115" spans="1:31">
      <c r="A115" s="1352">
        <v>110</v>
      </c>
      <c r="B115" s="2671"/>
      <c r="C115" s="2674"/>
      <c r="D115" s="2234" t="s">
        <v>588</v>
      </c>
      <c r="E115" s="955"/>
      <c r="F115" s="955"/>
      <c r="G115" s="955"/>
      <c r="H115" s="955"/>
      <c r="I115" s="955"/>
      <c r="J115" s="955"/>
      <c r="K115" s="955"/>
      <c r="L115" s="955"/>
      <c r="M115" s="948">
        <f>SUM(M109:M114)</f>
        <v>0</v>
      </c>
      <c r="N115" s="948">
        <f>SUM(N109:N114)</f>
        <v>0</v>
      </c>
      <c r="O115" s="948">
        <f>SUM(O109:O114)</f>
        <v>0</v>
      </c>
      <c r="P115" s="948">
        <f>SUM(P109:P114)</f>
        <v>0</v>
      </c>
      <c r="Q115" s="955"/>
      <c r="R115" s="948">
        <f>SUM(R109:R114)</f>
        <v>0</v>
      </c>
      <c r="S115" s="955"/>
      <c r="T115" s="948">
        <f>SUM(T109:T114)</f>
        <v>0</v>
      </c>
      <c r="U115" s="948">
        <f>SUM(U109:U114)</f>
        <v>0</v>
      </c>
      <c r="V115" s="948">
        <f>SUM(V109:V114)</f>
        <v>0</v>
      </c>
      <c r="W115" s="948">
        <f>SUM(W109:W114)</f>
        <v>0</v>
      </c>
      <c r="X115" s="955"/>
      <c r="Y115" s="955"/>
      <c r="Z115" s="1266"/>
      <c r="AA115" s="1266"/>
      <c r="AB115" s="1266"/>
      <c r="AC115" s="955"/>
      <c r="AD115" s="955"/>
      <c r="AE115" s="961"/>
    </row>
    <row r="116" spans="1:31" ht="13.5" customHeight="1">
      <c r="A116" s="1352">
        <v>111</v>
      </c>
      <c r="B116" s="2671"/>
      <c r="C116" s="2674"/>
      <c r="D116" s="2703" t="s">
        <v>1686</v>
      </c>
      <c r="E116" s="946"/>
      <c r="F116" s="947"/>
      <c r="G116" s="947"/>
      <c r="H116" s="947"/>
      <c r="I116" s="947"/>
      <c r="J116" s="948"/>
      <c r="K116" s="948"/>
      <c r="L116" s="948"/>
      <c r="M116" s="948"/>
      <c r="N116" s="948"/>
      <c r="O116" s="948"/>
      <c r="P116" s="949"/>
      <c r="Q116" s="948"/>
      <c r="R116" s="948"/>
      <c r="S116" s="948"/>
      <c r="T116" s="964"/>
      <c r="U116" s="949"/>
      <c r="V116" s="964"/>
      <c r="W116" s="949"/>
      <c r="X116" s="948"/>
      <c r="Y116" s="950"/>
      <c r="Z116" s="1266"/>
      <c r="AA116" s="1266"/>
      <c r="AB116" s="1266"/>
      <c r="AC116" s="951"/>
      <c r="AD116" s="951"/>
      <c r="AE116" s="952"/>
    </row>
    <row r="117" spans="1:31">
      <c r="A117" s="1352">
        <v>112</v>
      </c>
      <c r="B117" s="2671"/>
      <c r="C117" s="2674"/>
      <c r="D117" s="2703"/>
      <c r="E117" s="946"/>
      <c r="F117" s="947"/>
      <c r="G117" s="947"/>
      <c r="H117" s="947"/>
      <c r="I117" s="947"/>
      <c r="J117" s="948"/>
      <c r="K117" s="948"/>
      <c r="L117" s="948"/>
      <c r="M117" s="948"/>
      <c r="N117" s="948"/>
      <c r="O117" s="948"/>
      <c r="P117" s="949"/>
      <c r="Q117" s="948"/>
      <c r="R117" s="948"/>
      <c r="S117" s="948"/>
      <c r="T117" s="964"/>
      <c r="U117" s="949"/>
      <c r="V117" s="964"/>
      <c r="W117" s="949"/>
      <c r="X117" s="948"/>
      <c r="Y117" s="950"/>
      <c r="Z117" s="1266"/>
      <c r="AA117" s="1266"/>
      <c r="AB117" s="1266"/>
      <c r="AC117" s="951"/>
      <c r="AD117" s="951"/>
      <c r="AE117" s="952"/>
    </row>
    <row r="118" spans="1:31">
      <c r="A118" s="1352">
        <v>113</v>
      </c>
      <c r="B118" s="2671"/>
      <c r="C118" s="2674"/>
      <c r="D118" s="2703"/>
      <c r="E118" s="946"/>
      <c r="F118" s="947"/>
      <c r="G118" s="947"/>
      <c r="H118" s="947"/>
      <c r="I118" s="947"/>
      <c r="J118" s="948"/>
      <c r="K118" s="948"/>
      <c r="L118" s="948"/>
      <c r="M118" s="948"/>
      <c r="N118" s="948"/>
      <c r="O118" s="948"/>
      <c r="P118" s="949"/>
      <c r="Q118" s="948"/>
      <c r="R118" s="948"/>
      <c r="S118" s="948"/>
      <c r="T118" s="964"/>
      <c r="U118" s="949"/>
      <c r="V118" s="964"/>
      <c r="W118" s="949"/>
      <c r="X118" s="948"/>
      <c r="Y118" s="950"/>
      <c r="Z118" s="1266"/>
      <c r="AA118" s="1266"/>
      <c r="AB118" s="1266"/>
      <c r="AC118" s="951"/>
      <c r="AD118" s="951"/>
      <c r="AE118" s="952"/>
    </row>
    <row r="119" spans="1:31">
      <c r="A119" s="1352">
        <v>114</v>
      </c>
      <c r="B119" s="2671"/>
      <c r="C119" s="2674"/>
      <c r="D119" s="2703"/>
      <c r="E119" s="946"/>
      <c r="F119" s="947"/>
      <c r="G119" s="947"/>
      <c r="H119" s="947"/>
      <c r="I119" s="947"/>
      <c r="J119" s="948"/>
      <c r="K119" s="948"/>
      <c r="L119" s="948"/>
      <c r="M119" s="948"/>
      <c r="N119" s="948"/>
      <c r="O119" s="948"/>
      <c r="P119" s="949"/>
      <c r="Q119" s="948"/>
      <c r="R119" s="948"/>
      <c r="S119" s="948"/>
      <c r="T119" s="964"/>
      <c r="U119" s="949"/>
      <c r="V119" s="964"/>
      <c r="W119" s="949"/>
      <c r="X119" s="948"/>
      <c r="Y119" s="950"/>
      <c r="Z119" s="1266"/>
      <c r="AA119" s="1266"/>
      <c r="AB119" s="1266"/>
      <c r="AC119" s="951"/>
      <c r="AD119" s="951"/>
      <c r="AE119" s="952"/>
    </row>
    <row r="120" spans="1:31" ht="16.5" customHeight="1">
      <c r="A120" s="1352">
        <v>115</v>
      </c>
      <c r="B120" s="2671"/>
      <c r="C120" s="2674"/>
      <c r="D120" s="2703"/>
      <c r="E120" s="946"/>
      <c r="F120" s="947"/>
      <c r="G120" s="947"/>
      <c r="H120" s="947"/>
      <c r="I120" s="947"/>
      <c r="J120" s="948"/>
      <c r="K120" s="948"/>
      <c r="L120" s="948"/>
      <c r="M120" s="948"/>
      <c r="N120" s="948"/>
      <c r="O120" s="948"/>
      <c r="P120" s="949"/>
      <c r="Q120" s="948"/>
      <c r="R120" s="948"/>
      <c r="S120" s="948"/>
      <c r="T120" s="964"/>
      <c r="U120" s="949"/>
      <c r="V120" s="964"/>
      <c r="W120" s="949"/>
      <c r="X120" s="948"/>
      <c r="Y120" s="950"/>
      <c r="Z120" s="1266"/>
      <c r="AA120" s="1266"/>
      <c r="AB120" s="1266"/>
      <c r="AC120" s="951"/>
      <c r="AD120" s="951"/>
      <c r="AE120" s="952"/>
    </row>
    <row r="121" spans="1:31" ht="16.5" customHeight="1">
      <c r="A121" s="1352">
        <v>116</v>
      </c>
      <c r="B121" s="2671"/>
      <c r="C121" s="2674"/>
      <c r="D121" s="2703"/>
      <c r="E121" s="946"/>
      <c r="F121" s="947"/>
      <c r="G121" s="947"/>
      <c r="H121" s="947"/>
      <c r="I121" s="947"/>
      <c r="J121" s="948"/>
      <c r="K121" s="948"/>
      <c r="L121" s="948"/>
      <c r="M121" s="948"/>
      <c r="N121" s="948"/>
      <c r="O121" s="948"/>
      <c r="P121" s="949"/>
      <c r="Q121" s="948"/>
      <c r="R121" s="948"/>
      <c r="S121" s="948"/>
      <c r="T121" s="964"/>
      <c r="U121" s="949"/>
      <c r="V121" s="964"/>
      <c r="W121" s="949"/>
      <c r="X121" s="948"/>
      <c r="Y121" s="950"/>
      <c r="Z121" s="1266"/>
      <c r="AA121" s="1266"/>
      <c r="AB121" s="1266"/>
      <c r="AC121" s="951"/>
      <c r="AD121" s="951"/>
      <c r="AE121" s="952"/>
    </row>
    <row r="122" spans="1:31">
      <c r="A122" s="1352">
        <v>117</v>
      </c>
      <c r="B122" s="2671"/>
      <c r="C122" s="2674"/>
      <c r="D122" s="2234" t="s">
        <v>588</v>
      </c>
      <c r="E122" s="955"/>
      <c r="F122" s="955"/>
      <c r="G122" s="955"/>
      <c r="H122" s="955"/>
      <c r="I122" s="955"/>
      <c r="J122" s="955"/>
      <c r="K122" s="955"/>
      <c r="L122" s="955"/>
      <c r="M122" s="948">
        <f>SUM(M116:M121)</f>
        <v>0</v>
      </c>
      <c r="N122" s="948">
        <f>SUM(N116:N121)</f>
        <v>0</v>
      </c>
      <c r="O122" s="948">
        <f>SUM(O116:O121)</f>
        <v>0</v>
      </c>
      <c r="P122" s="948">
        <f>SUM(P116:P121)</f>
        <v>0</v>
      </c>
      <c r="Q122" s="955"/>
      <c r="R122" s="948">
        <f>SUM(R116:R121)</f>
        <v>0</v>
      </c>
      <c r="S122" s="955"/>
      <c r="T122" s="948">
        <f>SUM(T116:T121)</f>
        <v>0</v>
      </c>
      <c r="U122" s="948">
        <f>SUM(U116:U121)</f>
        <v>0</v>
      </c>
      <c r="V122" s="948">
        <f>SUM(V116:V121)</f>
        <v>0</v>
      </c>
      <c r="W122" s="948">
        <f>SUM(W116:W121)</f>
        <v>0</v>
      </c>
      <c r="X122" s="955"/>
      <c r="Y122" s="955"/>
      <c r="Z122" s="1252"/>
      <c r="AA122" s="1252"/>
      <c r="AB122" s="1252"/>
      <c r="AC122" s="955"/>
      <c r="AD122" s="955"/>
      <c r="AE122" s="961"/>
    </row>
    <row r="123" spans="1:31" ht="13.5" customHeight="1">
      <c r="A123" s="1352">
        <v>118</v>
      </c>
      <c r="B123" s="2671"/>
      <c r="C123" s="2674"/>
      <c r="D123" s="2703" t="s">
        <v>1687</v>
      </c>
      <c r="E123" s="946"/>
      <c r="F123" s="947"/>
      <c r="G123" s="947"/>
      <c r="H123" s="947"/>
      <c r="I123" s="947"/>
      <c r="J123" s="948"/>
      <c r="K123" s="948"/>
      <c r="L123" s="948"/>
      <c r="M123" s="948"/>
      <c r="N123" s="948"/>
      <c r="O123" s="948"/>
      <c r="P123" s="949"/>
      <c r="Q123" s="948"/>
      <c r="R123" s="948"/>
      <c r="S123" s="948"/>
      <c r="T123" s="964"/>
      <c r="U123" s="949"/>
      <c r="V123" s="964"/>
      <c r="W123" s="949"/>
      <c r="X123" s="948"/>
      <c r="Y123" s="950"/>
      <c r="Z123" s="1266"/>
      <c r="AA123" s="1266"/>
      <c r="AB123" s="1266"/>
      <c r="AC123" s="951"/>
      <c r="AD123" s="951"/>
      <c r="AE123" s="952"/>
    </row>
    <row r="124" spans="1:31">
      <c r="A124" s="1352">
        <v>119</v>
      </c>
      <c r="B124" s="2671"/>
      <c r="C124" s="2674"/>
      <c r="D124" s="2703"/>
      <c r="E124" s="946"/>
      <c r="F124" s="947"/>
      <c r="G124" s="947"/>
      <c r="H124" s="947"/>
      <c r="I124" s="947"/>
      <c r="J124" s="948"/>
      <c r="K124" s="948"/>
      <c r="L124" s="948"/>
      <c r="M124" s="948"/>
      <c r="N124" s="948"/>
      <c r="O124" s="948"/>
      <c r="P124" s="949"/>
      <c r="Q124" s="948"/>
      <c r="R124" s="948"/>
      <c r="S124" s="948"/>
      <c r="T124" s="964"/>
      <c r="U124" s="949"/>
      <c r="V124" s="964"/>
      <c r="W124" s="949"/>
      <c r="X124" s="948"/>
      <c r="Y124" s="950"/>
      <c r="Z124" s="1266"/>
      <c r="AA124" s="1266"/>
      <c r="AB124" s="1266"/>
      <c r="AC124" s="951"/>
      <c r="AD124" s="951"/>
      <c r="AE124" s="952"/>
    </row>
    <row r="125" spans="1:31">
      <c r="A125" s="1352">
        <v>120</v>
      </c>
      <c r="B125" s="2671"/>
      <c r="C125" s="2674"/>
      <c r="D125" s="2703"/>
      <c r="E125" s="946"/>
      <c r="F125" s="947"/>
      <c r="G125" s="947"/>
      <c r="H125" s="947"/>
      <c r="I125" s="947"/>
      <c r="J125" s="948"/>
      <c r="K125" s="948"/>
      <c r="L125" s="948"/>
      <c r="M125" s="948"/>
      <c r="N125" s="948"/>
      <c r="O125" s="948"/>
      <c r="P125" s="949"/>
      <c r="Q125" s="948"/>
      <c r="R125" s="948"/>
      <c r="S125" s="948"/>
      <c r="T125" s="964"/>
      <c r="U125" s="949"/>
      <c r="V125" s="964"/>
      <c r="W125" s="949"/>
      <c r="X125" s="948"/>
      <c r="Y125" s="950"/>
      <c r="Z125" s="1266"/>
      <c r="AA125" s="1266"/>
      <c r="AB125" s="1266"/>
      <c r="AC125" s="951"/>
      <c r="AD125" s="951"/>
      <c r="AE125" s="952"/>
    </row>
    <row r="126" spans="1:31">
      <c r="A126" s="1352">
        <v>121</v>
      </c>
      <c r="B126" s="2671"/>
      <c r="C126" s="2674"/>
      <c r="D126" s="2703"/>
      <c r="E126" s="946"/>
      <c r="F126" s="947"/>
      <c r="G126" s="947"/>
      <c r="H126" s="947"/>
      <c r="I126" s="947"/>
      <c r="J126" s="948"/>
      <c r="K126" s="948"/>
      <c r="L126" s="948"/>
      <c r="M126" s="948"/>
      <c r="N126" s="948"/>
      <c r="O126" s="948"/>
      <c r="P126" s="949"/>
      <c r="Q126" s="948"/>
      <c r="R126" s="948"/>
      <c r="S126" s="948"/>
      <c r="T126" s="964"/>
      <c r="U126" s="949"/>
      <c r="V126" s="964"/>
      <c r="W126" s="949"/>
      <c r="X126" s="948"/>
      <c r="Y126" s="950"/>
      <c r="Z126" s="1266"/>
      <c r="AA126" s="1266"/>
      <c r="AB126" s="1266"/>
      <c r="AC126" s="951"/>
      <c r="AD126" s="951"/>
      <c r="AE126" s="952"/>
    </row>
    <row r="127" spans="1:31">
      <c r="A127" s="1352">
        <v>122</v>
      </c>
      <c r="B127" s="2671"/>
      <c r="C127" s="2674"/>
      <c r="D127" s="2703"/>
      <c r="E127" s="946"/>
      <c r="F127" s="947"/>
      <c r="G127" s="947"/>
      <c r="H127" s="947"/>
      <c r="I127" s="947"/>
      <c r="J127" s="948"/>
      <c r="K127" s="948"/>
      <c r="L127" s="948"/>
      <c r="M127" s="948"/>
      <c r="N127" s="948"/>
      <c r="O127" s="948"/>
      <c r="P127" s="949"/>
      <c r="Q127" s="948"/>
      <c r="R127" s="948"/>
      <c r="S127" s="948"/>
      <c r="T127" s="964"/>
      <c r="U127" s="949"/>
      <c r="V127" s="964"/>
      <c r="W127" s="949"/>
      <c r="X127" s="948"/>
      <c r="Y127" s="950"/>
      <c r="Z127" s="1266"/>
      <c r="AA127" s="1266"/>
      <c r="AB127" s="1266"/>
      <c r="AC127" s="951"/>
      <c r="AD127" s="951"/>
      <c r="AE127" s="952"/>
    </row>
    <row r="128" spans="1:31">
      <c r="A128" s="1352">
        <v>123</v>
      </c>
      <c r="B128" s="2671"/>
      <c r="C128" s="2674"/>
      <c r="D128" s="2703"/>
      <c r="E128" s="946"/>
      <c r="F128" s="947"/>
      <c r="G128" s="947"/>
      <c r="H128" s="947"/>
      <c r="I128" s="947"/>
      <c r="J128" s="948"/>
      <c r="K128" s="948"/>
      <c r="L128" s="948"/>
      <c r="M128" s="948"/>
      <c r="N128" s="948"/>
      <c r="O128" s="948"/>
      <c r="P128" s="949"/>
      <c r="Q128" s="948"/>
      <c r="R128" s="948"/>
      <c r="S128" s="948"/>
      <c r="T128" s="964"/>
      <c r="U128" s="949"/>
      <c r="V128" s="964"/>
      <c r="W128" s="949"/>
      <c r="X128" s="948"/>
      <c r="Y128" s="950"/>
      <c r="Z128" s="1266"/>
      <c r="AA128" s="1266"/>
      <c r="AB128" s="1266"/>
      <c r="AC128" s="951"/>
      <c r="AD128" s="951"/>
      <c r="AE128" s="952"/>
    </row>
    <row r="129" spans="1:31" ht="17.25" thickBot="1">
      <c r="A129" s="1355">
        <v>124</v>
      </c>
      <c r="B129" s="2672"/>
      <c r="C129" s="2702"/>
      <c r="D129" s="2245" t="s">
        <v>588</v>
      </c>
      <c r="E129" s="966"/>
      <c r="F129" s="967"/>
      <c r="G129" s="967"/>
      <c r="H129" s="967"/>
      <c r="I129" s="967"/>
      <c r="J129" s="968"/>
      <c r="K129" s="968"/>
      <c r="L129" s="968"/>
      <c r="M129" s="969">
        <f>SUM(M123:M128)</f>
        <v>0</v>
      </c>
      <c r="N129" s="969">
        <f>SUM(N123:N128)</f>
        <v>0</v>
      </c>
      <c r="O129" s="969">
        <f>SUM(O123:O128)</f>
        <v>0</v>
      </c>
      <c r="P129" s="969">
        <f>SUM(P123:P128)</f>
        <v>0</v>
      </c>
      <c r="Q129" s="968"/>
      <c r="R129" s="969">
        <f>SUM(R123:R128)</f>
        <v>0</v>
      </c>
      <c r="S129" s="968"/>
      <c r="T129" s="969">
        <f>SUM(T123:T128)</f>
        <v>0</v>
      </c>
      <c r="U129" s="969">
        <f>SUM(U123:U128)</f>
        <v>0</v>
      </c>
      <c r="V129" s="969">
        <f>SUM(V123:V128)</f>
        <v>0</v>
      </c>
      <c r="W129" s="969">
        <f>SUM(W123:W128)</f>
        <v>0</v>
      </c>
      <c r="X129" s="968"/>
      <c r="Y129" s="968"/>
      <c r="Z129" s="1252"/>
      <c r="AA129" s="1252"/>
      <c r="AB129" s="1252"/>
      <c r="AC129" s="968"/>
      <c r="AD129" s="968"/>
      <c r="AE129" s="970"/>
    </row>
    <row r="130" spans="1:31" ht="17.25" thickBot="1">
      <c r="A130" s="1356">
        <v>125</v>
      </c>
      <c r="B130" s="2668" t="s">
        <v>593</v>
      </c>
      <c r="C130" s="2669"/>
      <c r="D130" s="2235"/>
      <c r="E130" s="971"/>
      <c r="F130" s="972"/>
      <c r="G130" s="972"/>
      <c r="H130" s="972"/>
      <c r="I130" s="972"/>
      <c r="J130" s="973"/>
      <c r="K130" s="973"/>
      <c r="L130" s="973"/>
      <c r="M130" s="2382">
        <f>M129+M122+M115+M108+M97+M86+M75+M64+M53+M42+M31+M18</f>
        <v>0</v>
      </c>
      <c r="N130" s="1162">
        <f t="shared" ref="N130:V130" si="0">N129+N122+N115+N108+N97+N86+N75+N64+N53+N42+N31+N18</f>
        <v>0</v>
      </c>
      <c r="O130" s="1162">
        <f t="shared" si="0"/>
        <v>0</v>
      </c>
      <c r="P130" s="1162">
        <f t="shared" si="0"/>
        <v>0</v>
      </c>
      <c r="Q130" s="1162"/>
      <c r="R130" s="1162">
        <f t="shared" si="0"/>
        <v>0</v>
      </c>
      <c r="S130" s="1162"/>
      <c r="T130" s="1162">
        <f>T129+T122+T115+T108+T97+T86+T75+T64+T53+T42+T31+T18</f>
        <v>0</v>
      </c>
      <c r="U130" s="1162">
        <f t="shared" si="0"/>
        <v>0</v>
      </c>
      <c r="V130" s="1162">
        <f t="shared" si="0"/>
        <v>0</v>
      </c>
      <c r="W130" s="1162">
        <f>W129+W122+W115+W108+W97+W86+W75+W64+W53+W42+W31+W18</f>
        <v>0</v>
      </c>
      <c r="X130" s="973"/>
      <c r="Y130" s="973"/>
      <c r="Z130" s="1269"/>
      <c r="AA130" s="1269"/>
      <c r="AB130" s="1269"/>
      <c r="AC130" s="974"/>
      <c r="AD130" s="974"/>
      <c r="AE130" s="975"/>
    </row>
    <row r="131" spans="1:31" ht="16.5" customHeight="1">
      <c r="A131" s="1356">
        <v>126</v>
      </c>
      <c r="B131" s="2718" t="s">
        <v>594</v>
      </c>
      <c r="C131" s="2673" t="s">
        <v>595</v>
      </c>
      <c r="D131" s="2700" t="s">
        <v>1690</v>
      </c>
      <c r="E131" s="962"/>
      <c r="F131" s="940"/>
      <c r="G131" s="940"/>
      <c r="H131" s="940"/>
      <c r="I131" s="940"/>
      <c r="J131" s="941"/>
      <c r="K131" s="941"/>
      <c r="L131" s="941"/>
      <c r="M131" s="941"/>
      <c r="N131" s="941"/>
      <c r="O131" s="941"/>
      <c r="P131" s="942"/>
      <c r="Q131" s="941"/>
      <c r="R131" s="941"/>
      <c r="S131" s="941"/>
      <c r="T131" s="944"/>
      <c r="U131" s="944"/>
      <c r="V131" s="944"/>
      <c r="W131" s="944"/>
      <c r="X131" s="977"/>
      <c r="Y131" s="978"/>
      <c r="Z131" s="1267"/>
      <c r="AA131" s="1267"/>
      <c r="AB131" s="1268"/>
      <c r="AC131" s="944"/>
      <c r="AD131" s="944"/>
      <c r="AE131" s="945"/>
    </row>
    <row r="132" spans="1:31" ht="16.5" customHeight="1">
      <c r="A132" s="1352">
        <v>127</v>
      </c>
      <c r="B132" s="2719"/>
      <c r="C132" s="2674"/>
      <c r="D132" s="2703"/>
      <c r="E132" s="946"/>
      <c r="F132" s="947"/>
      <c r="G132" s="947"/>
      <c r="H132" s="947"/>
      <c r="I132" s="947"/>
      <c r="J132" s="948"/>
      <c r="K132" s="948"/>
      <c r="L132" s="948"/>
      <c r="M132" s="948"/>
      <c r="N132" s="948"/>
      <c r="O132" s="948"/>
      <c r="P132" s="949"/>
      <c r="Q132" s="948"/>
      <c r="R132" s="948"/>
      <c r="S132" s="948"/>
      <c r="T132" s="951"/>
      <c r="U132" s="951"/>
      <c r="V132" s="951"/>
      <c r="W132" s="951"/>
      <c r="X132" s="955"/>
      <c r="Y132" s="980"/>
      <c r="Z132" s="1252"/>
      <c r="AA132" s="1252"/>
      <c r="AB132" s="1266"/>
      <c r="AC132" s="951"/>
      <c r="AD132" s="951"/>
      <c r="AE132" s="952"/>
    </row>
    <row r="133" spans="1:31" ht="16.5" customHeight="1">
      <c r="A133" s="1352">
        <v>128</v>
      </c>
      <c r="B133" s="2719"/>
      <c r="C133" s="2674"/>
      <c r="D133" s="2703"/>
      <c r="E133" s="946"/>
      <c r="F133" s="947"/>
      <c r="G133" s="947"/>
      <c r="H133" s="947"/>
      <c r="I133" s="947"/>
      <c r="J133" s="948"/>
      <c r="K133" s="948"/>
      <c r="L133" s="948"/>
      <c r="M133" s="948"/>
      <c r="N133" s="948"/>
      <c r="O133" s="948"/>
      <c r="P133" s="949"/>
      <c r="Q133" s="948"/>
      <c r="R133" s="948"/>
      <c r="S133" s="948"/>
      <c r="T133" s="951"/>
      <c r="U133" s="951"/>
      <c r="V133" s="951"/>
      <c r="W133" s="951"/>
      <c r="X133" s="955"/>
      <c r="Y133" s="980"/>
      <c r="Z133" s="1252"/>
      <c r="AA133" s="1252"/>
      <c r="AB133" s="1266"/>
      <c r="AC133" s="951"/>
      <c r="AD133" s="951"/>
      <c r="AE133" s="952"/>
    </row>
    <row r="134" spans="1:31" ht="16.5" customHeight="1">
      <c r="A134" s="1352">
        <v>129</v>
      </c>
      <c r="B134" s="2719"/>
      <c r="C134" s="2674"/>
      <c r="D134" s="2703"/>
      <c r="E134" s="946"/>
      <c r="F134" s="947"/>
      <c r="G134" s="947"/>
      <c r="H134" s="947"/>
      <c r="I134" s="947"/>
      <c r="J134" s="948"/>
      <c r="K134" s="948"/>
      <c r="L134" s="948"/>
      <c r="M134" s="948"/>
      <c r="N134" s="948"/>
      <c r="O134" s="948"/>
      <c r="P134" s="949"/>
      <c r="Q134" s="948"/>
      <c r="R134" s="948"/>
      <c r="S134" s="948"/>
      <c r="T134" s="951"/>
      <c r="U134" s="951"/>
      <c r="V134" s="951"/>
      <c r="W134" s="951"/>
      <c r="X134" s="955"/>
      <c r="Y134" s="980"/>
      <c r="Z134" s="1252"/>
      <c r="AA134" s="1252"/>
      <c r="AB134" s="1266"/>
      <c r="AC134" s="951"/>
      <c r="AD134" s="951"/>
      <c r="AE134" s="952"/>
    </row>
    <row r="135" spans="1:31" ht="16.5" customHeight="1">
      <c r="A135" s="1352">
        <v>130</v>
      </c>
      <c r="B135" s="2719"/>
      <c r="C135" s="2674"/>
      <c r="D135" s="2703"/>
      <c r="E135" s="946"/>
      <c r="F135" s="947"/>
      <c r="G135" s="947"/>
      <c r="H135" s="947"/>
      <c r="I135" s="947"/>
      <c r="J135" s="948"/>
      <c r="K135" s="948"/>
      <c r="L135" s="948"/>
      <c r="M135" s="948"/>
      <c r="N135" s="948"/>
      <c r="O135" s="948"/>
      <c r="P135" s="949"/>
      <c r="Q135" s="948"/>
      <c r="R135" s="948"/>
      <c r="S135" s="948"/>
      <c r="T135" s="951"/>
      <c r="U135" s="951"/>
      <c r="V135" s="951"/>
      <c r="W135" s="951"/>
      <c r="X135" s="955"/>
      <c r="Y135" s="980"/>
      <c r="Z135" s="1252"/>
      <c r="AA135" s="1252"/>
      <c r="AB135" s="1266"/>
      <c r="AC135" s="951"/>
      <c r="AD135" s="951"/>
      <c r="AE135" s="952"/>
    </row>
    <row r="136" spans="1:31" ht="16.5" customHeight="1">
      <c r="A136" s="1352">
        <v>131</v>
      </c>
      <c r="B136" s="2719"/>
      <c r="C136" s="2674"/>
      <c r="D136" s="2703"/>
      <c r="E136" s="946"/>
      <c r="F136" s="947"/>
      <c r="G136" s="947"/>
      <c r="H136" s="947"/>
      <c r="I136" s="947"/>
      <c r="J136" s="948"/>
      <c r="K136" s="948"/>
      <c r="L136" s="948"/>
      <c r="M136" s="948"/>
      <c r="N136" s="948"/>
      <c r="O136" s="948"/>
      <c r="P136" s="949"/>
      <c r="Q136" s="948"/>
      <c r="R136" s="948"/>
      <c r="S136" s="948"/>
      <c r="T136" s="951"/>
      <c r="U136" s="951"/>
      <c r="V136" s="951"/>
      <c r="W136" s="951"/>
      <c r="X136" s="955"/>
      <c r="Y136" s="980"/>
      <c r="Z136" s="1252"/>
      <c r="AA136" s="1252"/>
      <c r="AB136" s="1266"/>
      <c r="AC136" s="951"/>
      <c r="AD136" s="951"/>
      <c r="AE136" s="952"/>
    </row>
    <row r="137" spans="1:31" ht="16.5" customHeight="1">
      <c r="A137" s="1352">
        <v>132</v>
      </c>
      <c r="B137" s="2719"/>
      <c r="C137" s="2674"/>
      <c r="D137" s="2237" t="s">
        <v>588</v>
      </c>
      <c r="E137" s="955"/>
      <c r="F137" s="955"/>
      <c r="G137" s="955"/>
      <c r="H137" s="955"/>
      <c r="I137" s="955"/>
      <c r="J137" s="955"/>
      <c r="K137" s="955"/>
      <c r="L137" s="955"/>
      <c r="M137" s="948">
        <f>SUM(M131:M136)</f>
        <v>0</v>
      </c>
      <c r="N137" s="948">
        <f>SUM(N131:N136)</f>
        <v>0</v>
      </c>
      <c r="O137" s="948">
        <f>SUM(O131:O136)</f>
        <v>0</v>
      </c>
      <c r="P137" s="948">
        <f>SUM(P131:P136)</f>
        <v>0</v>
      </c>
      <c r="Q137" s="955"/>
      <c r="R137" s="948">
        <f>SUM(R131:R136)</f>
        <v>0</v>
      </c>
      <c r="S137" s="955"/>
      <c r="T137" s="948">
        <f>SUM(T131:T136)</f>
        <v>0</v>
      </c>
      <c r="U137" s="948">
        <f>SUM(U131:U136)</f>
        <v>0</v>
      </c>
      <c r="V137" s="948">
        <f>SUM(V131:V136)</f>
        <v>0</v>
      </c>
      <c r="W137" s="948">
        <f>SUM(W131:W136)</f>
        <v>0</v>
      </c>
      <c r="X137" s="955"/>
      <c r="Y137" s="980"/>
      <c r="Z137" s="1252"/>
      <c r="AA137" s="1252"/>
      <c r="AB137" s="1266"/>
      <c r="AC137" s="980"/>
      <c r="AD137" s="980"/>
      <c r="AE137" s="981"/>
    </row>
    <row r="138" spans="1:31" ht="16.5" customHeight="1">
      <c r="A138" s="1352">
        <v>133</v>
      </c>
      <c r="B138" s="2719"/>
      <c r="C138" s="2674"/>
      <c r="D138" s="2703" t="s">
        <v>1691</v>
      </c>
      <c r="E138" s="946"/>
      <c r="F138" s="947"/>
      <c r="G138" s="947"/>
      <c r="H138" s="947"/>
      <c r="I138" s="947"/>
      <c r="J138" s="948"/>
      <c r="K138" s="948"/>
      <c r="L138" s="948"/>
      <c r="M138" s="948"/>
      <c r="N138" s="948"/>
      <c r="O138" s="948"/>
      <c r="P138" s="949"/>
      <c r="Q138" s="948"/>
      <c r="R138" s="948"/>
      <c r="S138" s="948"/>
      <c r="T138" s="951"/>
      <c r="U138" s="951"/>
      <c r="V138" s="951"/>
      <c r="W138" s="951"/>
      <c r="X138" s="955"/>
      <c r="Y138" s="980"/>
      <c r="Z138" s="1252"/>
      <c r="AA138" s="1252"/>
      <c r="AB138" s="1266"/>
      <c r="AC138" s="951"/>
      <c r="AD138" s="951"/>
      <c r="AE138" s="952"/>
    </row>
    <row r="139" spans="1:31" ht="16.5" customHeight="1">
      <c r="A139" s="1352">
        <v>134</v>
      </c>
      <c r="B139" s="2719"/>
      <c r="C139" s="2674"/>
      <c r="D139" s="2703"/>
      <c r="E139" s="946"/>
      <c r="F139" s="947"/>
      <c r="G139" s="947"/>
      <c r="H139" s="947"/>
      <c r="I139" s="947"/>
      <c r="J139" s="948"/>
      <c r="K139" s="948"/>
      <c r="L139" s="948"/>
      <c r="M139" s="948"/>
      <c r="N139" s="948"/>
      <c r="O139" s="948"/>
      <c r="P139" s="949"/>
      <c r="Q139" s="948"/>
      <c r="R139" s="948"/>
      <c r="S139" s="948"/>
      <c r="T139" s="951"/>
      <c r="U139" s="951"/>
      <c r="V139" s="951"/>
      <c r="W139" s="951"/>
      <c r="X139" s="955"/>
      <c r="Y139" s="980"/>
      <c r="Z139" s="1252"/>
      <c r="AA139" s="1252"/>
      <c r="AB139" s="1266"/>
      <c r="AC139" s="951"/>
      <c r="AD139" s="951"/>
      <c r="AE139" s="952"/>
    </row>
    <row r="140" spans="1:31" ht="16.5" customHeight="1">
      <c r="A140" s="1352">
        <v>135</v>
      </c>
      <c r="B140" s="2719"/>
      <c r="C140" s="2674"/>
      <c r="D140" s="2703"/>
      <c r="E140" s="946"/>
      <c r="F140" s="947"/>
      <c r="G140" s="947"/>
      <c r="H140" s="947"/>
      <c r="I140" s="947"/>
      <c r="J140" s="948"/>
      <c r="K140" s="948"/>
      <c r="L140" s="948"/>
      <c r="M140" s="948"/>
      <c r="N140" s="948"/>
      <c r="O140" s="948"/>
      <c r="P140" s="949"/>
      <c r="Q140" s="948"/>
      <c r="R140" s="948"/>
      <c r="S140" s="948"/>
      <c r="T140" s="951"/>
      <c r="U140" s="951"/>
      <c r="V140" s="951"/>
      <c r="W140" s="951"/>
      <c r="X140" s="955"/>
      <c r="Y140" s="980"/>
      <c r="Z140" s="1252"/>
      <c r="AA140" s="1252"/>
      <c r="AB140" s="1266"/>
      <c r="AC140" s="951"/>
      <c r="AD140" s="951"/>
      <c r="AE140" s="952"/>
    </row>
    <row r="141" spans="1:31" ht="16.5" customHeight="1">
      <c r="A141" s="1352">
        <v>136</v>
      </c>
      <c r="B141" s="2719"/>
      <c r="C141" s="2674"/>
      <c r="D141" s="2703"/>
      <c r="E141" s="946"/>
      <c r="F141" s="947"/>
      <c r="G141" s="947"/>
      <c r="H141" s="947"/>
      <c r="I141" s="947"/>
      <c r="J141" s="948"/>
      <c r="K141" s="948"/>
      <c r="L141" s="948"/>
      <c r="M141" s="948"/>
      <c r="N141" s="948"/>
      <c r="O141" s="948"/>
      <c r="P141" s="949"/>
      <c r="Q141" s="948"/>
      <c r="R141" s="948"/>
      <c r="S141" s="948"/>
      <c r="T141" s="951"/>
      <c r="U141" s="951"/>
      <c r="V141" s="951"/>
      <c r="W141" s="951"/>
      <c r="X141" s="955"/>
      <c r="Y141" s="980"/>
      <c r="Z141" s="1252"/>
      <c r="AA141" s="1252"/>
      <c r="AB141" s="1266"/>
      <c r="AC141" s="951"/>
      <c r="AD141" s="951"/>
      <c r="AE141" s="952"/>
    </row>
    <row r="142" spans="1:31">
      <c r="A142" s="1352">
        <v>137</v>
      </c>
      <c r="B142" s="2719"/>
      <c r="C142" s="2674"/>
      <c r="D142" s="2703"/>
      <c r="E142" s="946"/>
      <c r="F142" s="947"/>
      <c r="G142" s="947"/>
      <c r="H142" s="947"/>
      <c r="I142" s="947"/>
      <c r="J142" s="948"/>
      <c r="K142" s="948"/>
      <c r="L142" s="948"/>
      <c r="M142" s="948"/>
      <c r="N142" s="948"/>
      <c r="O142" s="948"/>
      <c r="P142" s="949"/>
      <c r="Q142" s="948"/>
      <c r="R142" s="948"/>
      <c r="S142" s="948"/>
      <c r="T142" s="951"/>
      <c r="U142" s="951"/>
      <c r="V142" s="951"/>
      <c r="W142" s="951"/>
      <c r="X142" s="955"/>
      <c r="Y142" s="980"/>
      <c r="Z142" s="1252"/>
      <c r="AA142" s="1252"/>
      <c r="AB142" s="1266"/>
      <c r="AC142" s="951"/>
      <c r="AD142" s="951"/>
      <c r="AE142" s="952"/>
    </row>
    <row r="143" spans="1:31">
      <c r="A143" s="1352">
        <v>138</v>
      </c>
      <c r="B143" s="2719"/>
      <c r="C143" s="2674"/>
      <c r="D143" s="2703"/>
      <c r="E143" s="946"/>
      <c r="F143" s="947"/>
      <c r="G143" s="947"/>
      <c r="H143" s="947"/>
      <c r="I143" s="947"/>
      <c r="J143" s="948"/>
      <c r="K143" s="948"/>
      <c r="L143" s="948"/>
      <c r="M143" s="948"/>
      <c r="N143" s="948"/>
      <c r="O143" s="948"/>
      <c r="P143" s="949"/>
      <c r="Q143" s="948"/>
      <c r="R143" s="948"/>
      <c r="S143" s="948"/>
      <c r="T143" s="951"/>
      <c r="U143" s="951"/>
      <c r="V143" s="951"/>
      <c r="W143" s="951"/>
      <c r="X143" s="955"/>
      <c r="Y143" s="980"/>
      <c r="Z143" s="1252"/>
      <c r="AA143" s="1252"/>
      <c r="AB143" s="1266"/>
      <c r="AC143" s="951"/>
      <c r="AD143" s="951"/>
      <c r="AE143" s="952"/>
    </row>
    <row r="144" spans="1:31" ht="17.25" thickBot="1">
      <c r="A144" s="1352">
        <v>139</v>
      </c>
      <c r="B144" s="2719"/>
      <c r="C144" s="2675"/>
      <c r="D144" s="891" t="s">
        <v>588</v>
      </c>
      <c r="E144" s="959"/>
      <c r="F144" s="959"/>
      <c r="G144" s="959"/>
      <c r="H144" s="959"/>
      <c r="I144" s="959"/>
      <c r="J144" s="959"/>
      <c r="K144" s="959"/>
      <c r="L144" s="959"/>
      <c r="M144" s="960">
        <f>SUM(M138:M143)</f>
        <v>0</v>
      </c>
      <c r="N144" s="960">
        <f>SUM(N138:N143)</f>
        <v>0</v>
      </c>
      <c r="O144" s="960">
        <f>SUM(O138:O143)</f>
        <v>0</v>
      </c>
      <c r="P144" s="960">
        <f>SUM(P138:P143)</f>
        <v>0</v>
      </c>
      <c r="Q144" s="959"/>
      <c r="R144" s="960">
        <f>SUM(R138:R143)</f>
        <v>0</v>
      </c>
      <c r="S144" s="955"/>
      <c r="T144" s="960">
        <f>SUM(T138:T143)</f>
        <v>0</v>
      </c>
      <c r="U144" s="960">
        <f>SUM(U138:U143)</f>
        <v>0</v>
      </c>
      <c r="V144" s="960">
        <f>SUM(V138:V143)</f>
        <v>0</v>
      </c>
      <c r="W144" s="960">
        <f>SUM(W138:W143)</f>
        <v>0</v>
      </c>
      <c r="X144" s="959"/>
      <c r="Y144" s="982"/>
      <c r="Z144" s="1262"/>
      <c r="AA144" s="1262"/>
      <c r="AB144" s="1270"/>
      <c r="AC144" s="982"/>
      <c r="AD144" s="982"/>
      <c r="AE144" s="981"/>
    </row>
    <row r="145" spans="1:31" ht="16.5" customHeight="1">
      <c r="A145" s="1352">
        <v>140</v>
      </c>
      <c r="B145" s="2719"/>
      <c r="C145" s="2697" t="s">
        <v>589</v>
      </c>
      <c r="D145" s="2700" t="s">
        <v>1411</v>
      </c>
      <c r="E145" s="962"/>
      <c r="F145" s="940"/>
      <c r="G145" s="940"/>
      <c r="H145" s="940"/>
      <c r="I145" s="940"/>
      <c r="J145" s="941"/>
      <c r="K145" s="941"/>
      <c r="L145" s="941"/>
      <c r="M145" s="941"/>
      <c r="N145" s="941"/>
      <c r="O145" s="941"/>
      <c r="P145" s="942"/>
      <c r="Q145" s="941"/>
      <c r="R145" s="941"/>
      <c r="S145" s="941"/>
      <c r="T145" s="944"/>
      <c r="U145" s="944"/>
      <c r="V145" s="944"/>
      <c r="W145" s="944"/>
      <c r="X145" s="983"/>
      <c r="Y145" s="978"/>
      <c r="Z145" s="1271"/>
      <c r="AA145" s="1271"/>
      <c r="AB145" s="1268"/>
      <c r="AC145" s="944"/>
      <c r="AD145" s="944"/>
      <c r="AE145" s="963"/>
    </row>
    <row r="146" spans="1:31">
      <c r="A146" s="1352">
        <v>141</v>
      </c>
      <c r="B146" s="2719"/>
      <c r="C146" s="2698"/>
      <c r="D146" s="2701"/>
      <c r="E146" s="946"/>
      <c r="F146" s="947"/>
      <c r="G146" s="947"/>
      <c r="H146" s="947"/>
      <c r="I146" s="947"/>
      <c r="J146" s="948"/>
      <c r="K146" s="948"/>
      <c r="L146" s="948"/>
      <c r="M146" s="948"/>
      <c r="N146" s="948"/>
      <c r="O146" s="948"/>
      <c r="P146" s="949"/>
      <c r="Q146" s="949"/>
      <c r="R146" s="948"/>
      <c r="S146" s="949"/>
      <c r="T146" s="951"/>
      <c r="U146" s="951"/>
      <c r="V146" s="951"/>
      <c r="W146" s="951"/>
      <c r="X146" s="955"/>
      <c r="Y146" s="984"/>
      <c r="Z146" s="1252"/>
      <c r="AA146" s="1252"/>
      <c r="AB146" s="1272"/>
      <c r="AC146" s="951"/>
      <c r="AD146" s="951"/>
      <c r="AE146" s="952"/>
    </row>
    <row r="147" spans="1:31">
      <c r="A147" s="1352">
        <v>142</v>
      </c>
      <c r="B147" s="2719"/>
      <c r="C147" s="2698"/>
      <c r="D147" s="2701"/>
      <c r="E147" s="946"/>
      <c r="F147" s="947"/>
      <c r="G147" s="947"/>
      <c r="H147" s="947"/>
      <c r="I147" s="947"/>
      <c r="J147" s="948"/>
      <c r="K147" s="948"/>
      <c r="L147" s="948"/>
      <c r="M147" s="948"/>
      <c r="N147" s="948"/>
      <c r="O147" s="948"/>
      <c r="P147" s="949"/>
      <c r="Q147" s="949"/>
      <c r="R147" s="948"/>
      <c r="S147" s="949"/>
      <c r="T147" s="951"/>
      <c r="U147" s="951"/>
      <c r="V147" s="951"/>
      <c r="W147" s="951"/>
      <c r="X147" s="955"/>
      <c r="Y147" s="984"/>
      <c r="Z147" s="1252"/>
      <c r="AA147" s="1252"/>
      <c r="AB147" s="1272"/>
      <c r="AC147" s="951"/>
      <c r="AD147" s="951"/>
      <c r="AE147" s="952"/>
    </row>
    <row r="148" spans="1:31">
      <c r="A148" s="1352">
        <v>143</v>
      </c>
      <c r="B148" s="2719"/>
      <c r="C148" s="2698"/>
      <c r="D148" s="2701"/>
      <c r="E148" s="946"/>
      <c r="F148" s="947"/>
      <c r="G148" s="947"/>
      <c r="H148" s="947"/>
      <c r="I148" s="947"/>
      <c r="J148" s="948"/>
      <c r="K148" s="948"/>
      <c r="L148" s="948"/>
      <c r="M148" s="948"/>
      <c r="N148" s="948"/>
      <c r="O148" s="948"/>
      <c r="P148" s="949"/>
      <c r="Q148" s="949"/>
      <c r="R148" s="948"/>
      <c r="S148" s="949"/>
      <c r="T148" s="951"/>
      <c r="U148" s="951"/>
      <c r="V148" s="951"/>
      <c r="W148" s="951"/>
      <c r="X148" s="955"/>
      <c r="Y148" s="984"/>
      <c r="Z148" s="1252"/>
      <c r="AA148" s="1252"/>
      <c r="AB148" s="1272"/>
      <c r="AC148" s="951"/>
      <c r="AD148" s="951"/>
      <c r="AE148" s="952"/>
    </row>
    <row r="149" spans="1:31">
      <c r="A149" s="1352">
        <v>144</v>
      </c>
      <c r="B149" s="2719"/>
      <c r="C149" s="2698"/>
      <c r="D149" s="2701"/>
      <c r="E149" s="946"/>
      <c r="F149" s="947"/>
      <c r="G149" s="947"/>
      <c r="H149" s="947"/>
      <c r="I149" s="947"/>
      <c r="J149" s="948"/>
      <c r="K149" s="948"/>
      <c r="L149" s="948"/>
      <c r="M149" s="948"/>
      <c r="N149" s="948"/>
      <c r="O149" s="948"/>
      <c r="P149" s="949"/>
      <c r="Q149" s="949"/>
      <c r="R149" s="948"/>
      <c r="S149" s="949"/>
      <c r="T149" s="951"/>
      <c r="U149" s="951"/>
      <c r="V149" s="951"/>
      <c r="W149" s="951"/>
      <c r="X149" s="955"/>
      <c r="Y149" s="984"/>
      <c r="Z149" s="1252"/>
      <c r="AA149" s="1252"/>
      <c r="AB149" s="1272"/>
      <c r="AC149" s="951"/>
      <c r="AD149" s="951"/>
      <c r="AE149" s="952"/>
    </row>
    <row r="150" spans="1:31">
      <c r="A150" s="1352">
        <v>145</v>
      </c>
      <c r="B150" s="2719"/>
      <c r="C150" s="2698"/>
      <c r="D150" s="2701"/>
      <c r="E150" s="946"/>
      <c r="F150" s="947"/>
      <c r="G150" s="947"/>
      <c r="H150" s="947"/>
      <c r="I150" s="947"/>
      <c r="J150" s="948"/>
      <c r="K150" s="948"/>
      <c r="L150" s="948"/>
      <c r="M150" s="948"/>
      <c r="N150" s="948"/>
      <c r="O150" s="948"/>
      <c r="P150" s="949"/>
      <c r="Q150" s="949"/>
      <c r="R150" s="948"/>
      <c r="S150" s="949"/>
      <c r="T150" s="951"/>
      <c r="U150" s="951"/>
      <c r="V150" s="951"/>
      <c r="W150" s="951"/>
      <c r="X150" s="955"/>
      <c r="Y150" s="984"/>
      <c r="Z150" s="1252"/>
      <c r="AA150" s="1252"/>
      <c r="AB150" s="1272"/>
      <c r="AC150" s="951"/>
      <c r="AD150" s="951"/>
      <c r="AE150" s="952"/>
    </row>
    <row r="151" spans="1:31">
      <c r="A151" s="1352">
        <v>146</v>
      </c>
      <c r="B151" s="2719"/>
      <c r="C151" s="2698"/>
      <c r="D151" s="2237" t="s">
        <v>588</v>
      </c>
      <c r="E151" s="955"/>
      <c r="F151" s="955"/>
      <c r="G151" s="955"/>
      <c r="H151" s="955"/>
      <c r="I151" s="955"/>
      <c r="J151" s="955"/>
      <c r="K151" s="955"/>
      <c r="L151" s="955"/>
      <c r="M151" s="948">
        <f>SUM(M145:M150)</f>
        <v>0</v>
      </c>
      <c r="N151" s="948">
        <f>SUM(N145:N150)</f>
        <v>0</v>
      </c>
      <c r="O151" s="948">
        <f>SUM(O145:O150)</f>
        <v>0</v>
      </c>
      <c r="P151" s="948">
        <f>SUM(P145:P150)</f>
        <v>0</v>
      </c>
      <c r="Q151" s="955"/>
      <c r="R151" s="948">
        <f>SUM(R145:R150)</f>
        <v>0</v>
      </c>
      <c r="S151" s="955"/>
      <c r="T151" s="948">
        <f>SUM(T145:T150)</f>
        <v>0</v>
      </c>
      <c r="U151" s="948">
        <f>SUM(U145:U150)</f>
        <v>0</v>
      </c>
      <c r="V151" s="948">
        <f>SUM(V145:V150)</f>
        <v>0</v>
      </c>
      <c r="W151" s="948">
        <f>SUM(W145:W150)</f>
        <v>0</v>
      </c>
      <c r="X151" s="955"/>
      <c r="Y151" s="984"/>
      <c r="Z151" s="1252"/>
      <c r="AA151" s="1252"/>
      <c r="AB151" s="1272"/>
      <c r="AC151" s="984"/>
      <c r="AD151" s="984"/>
      <c r="AE151" s="985"/>
    </row>
    <row r="152" spans="1:31" ht="17.25" customHeight="1">
      <c r="A152" s="1352">
        <v>147</v>
      </c>
      <c r="B152" s="2719"/>
      <c r="C152" s="2698"/>
      <c r="D152" s="2657" t="s">
        <v>1690</v>
      </c>
      <c r="E152" s="946"/>
      <c r="F152" s="947"/>
      <c r="G152" s="947"/>
      <c r="H152" s="947"/>
      <c r="I152" s="947"/>
      <c r="J152" s="948"/>
      <c r="K152" s="948"/>
      <c r="L152" s="948"/>
      <c r="M152" s="948"/>
      <c r="N152" s="948"/>
      <c r="O152" s="948"/>
      <c r="P152" s="949"/>
      <c r="Q152" s="949"/>
      <c r="R152" s="948"/>
      <c r="S152" s="949"/>
      <c r="T152" s="951"/>
      <c r="U152" s="951"/>
      <c r="V152" s="951"/>
      <c r="W152" s="951"/>
      <c r="X152" s="955"/>
      <c r="Y152" s="984"/>
      <c r="Z152" s="1252"/>
      <c r="AA152" s="1252"/>
      <c r="AB152" s="1272"/>
      <c r="AC152" s="951"/>
      <c r="AD152" s="951"/>
      <c r="AE152" s="952"/>
    </row>
    <row r="153" spans="1:31">
      <c r="A153" s="1352">
        <v>148</v>
      </c>
      <c r="B153" s="2719"/>
      <c r="C153" s="2698"/>
      <c r="D153" s="2657"/>
      <c r="E153" s="946"/>
      <c r="F153" s="947"/>
      <c r="G153" s="947"/>
      <c r="H153" s="947"/>
      <c r="I153" s="947"/>
      <c r="J153" s="948"/>
      <c r="K153" s="948"/>
      <c r="L153" s="948"/>
      <c r="M153" s="948"/>
      <c r="N153" s="948"/>
      <c r="O153" s="948"/>
      <c r="P153" s="949"/>
      <c r="Q153" s="949"/>
      <c r="R153" s="948"/>
      <c r="S153" s="949"/>
      <c r="T153" s="951"/>
      <c r="U153" s="951"/>
      <c r="V153" s="951"/>
      <c r="W153" s="951"/>
      <c r="X153" s="955"/>
      <c r="Y153" s="984"/>
      <c r="Z153" s="1252"/>
      <c r="AA153" s="1252"/>
      <c r="AB153" s="1272"/>
      <c r="AC153" s="951"/>
      <c r="AD153" s="951"/>
      <c r="AE153" s="952"/>
    </row>
    <row r="154" spans="1:31">
      <c r="A154" s="1352">
        <v>149</v>
      </c>
      <c r="B154" s="2719"/>
      <c r="C154" s="2698"/>
      <c r="D154" s="2657"/>
      <c r="E154" s="946"/>
      <c r="F154" s="947"/>
      <c r="G154" s="947"/>
      <c r="H154" s="947"/>
      <c r="I154" s="947"/>
      <c r="J154" s="948"/>
      <c r="K154" s="948"/>
      <c r="L154" s="948"/>
      <c r="M154" s="948"/>
      <c r="N154" s="948"/>
      <c r="O154" s="948"/>
      <c r="P154" s="949"/>
      <c r="Q154" s="949"/>
      <c r="R154" s="948"/>
      <c r="S154" s="949"/>
      <c r="T154" s="951"/>
      <c r="U154" s="951"/>
      <c r="V154" s="951"/>
      <c r="W154" s="951"/>
      <c r="X154" s="955"/>
      <c r="Y154" s="984"/>
      <c r="Z154" s="1252"/>
      <c r="AA154" s="1252"/>
      <c r="AB154" s="1272"/>
      <c r="AC154" s="951"/>
      <c r="AD154" s="951"/>
      <c r="AE154" s="952"/>
    </row>
    <row r="155" spans="1:31">
      <c r="A155" s="1352">
        <v>150</v>
      </c>
      <c r="B155" s="2719"/>
      <c r="C155" s="2698"/>
      <c r="D155" s="2657"/>
      <c r="E155" s="946"/>
      <c r="F155" s="947"/>
      <c r="G155" s="947"/>
      <c r="H155" s="947"/>
      <c r="I155" s="947"/>
      <c r="J155" s="948"/>
      <c r="K155" s="948"/>
      <c r="L155" s="948"/>
      <c r="M155" s="948"/>
      <c r="N155" s="948"/>
      <c r="O155" s="948"/>
      <c r="P155" s="949"/>
      <c r="Q155" s="949"/>
      <c r="R155" s="948"/>
      <c r="S155" s="949"/>
      <c r="T155" s="951"/>
      <c r="U155" s="951"/>
      <c r="V155" s="951"/>
      <c r="W155" s="951"/>
      <c r="X155" s="955"/>
      <c r="Y155" s="984"/>
      <c r="Z155" s="1252"/>
      <c r="AA155" s="1252"/>
      <c r="AB155" s="1272"/>
      <c r="AC155" s="951"/>
      <c r="AD155" s="951"/>
      <c r="AE155" s="952"/>
    </row>
    <row r="156" spans="1:31">
      <c r="A156" s="1352">
        <v>151</v>
      </c>
      <c r="B156" s="2719"/>
      <c r="C156" s="2698"/>
      <c r="D156" s="2657"/>
      <c r="E156" s="946"/>
      <c r="F156" s="947"/>
      <c r="G156" s="947"/>
      <c r="H156" s="947"/>
      <c r="I156" s="947"/>
      <c r="J156" s="948"/>
      <c r="K156" s="948"/>
      <c r="L156" s="948"/>
      <c r="M156" s="948"/>
      <c r="N156" s="948"/>
      <c r="O156" s="948"/>
      <c r="P156" s="949"/>
      <c r="Q156" s="949"/>
      <c r="R156" s="948"/>
      <c r="S156" s="949"/>
      <c r="T156" s="951"/>
      <c r="U156" s="951"/>
      <c r="V156" s="951"/>
      <c r="W156" s="951"/>
      <c r="X156" s="955"/>
      <c r="Y156" s="984"/>
      <c r="Z156" s="1252"/>
      <c r="AA156" s="1252"/>
      <c r="AB156" s="1272"/>
      <c r="AC156" s="951"/>
      <c r="AD156" s="951"/>
      <c r="AE156" s="952"/>
    </row>
    <row r="157" spans="1:31">
      <c r="A157" s="1352">
        <v>152</v>
      </c>
      <c r="B157" s="2719"/>
      <c r="C157" s="2698"/>
      <c r="D157" s="2657"/>
      <c r="E157" s="946"/>
      <c r="F157" s="947"/>
      <c r="G157" s="947"/>
      <c r="H157" s="947"/>
      <c r="I157" s="947"/>
      <c r="J157" s="948"/>
      <c r="K157" s="948"/>
      <c r="L157" s="948"/>
      <c r="M157" s="948"/>
      <c r="N157" s="948"/>
      <c r="O157" s="948"/>
      <c r="P157" s="949"/>
      <c r="Q157" s="949"/>
      <c r="R157" s="948"/>
      <c r="S157" s="949"/>
      <c r="T157" s="951"/>
      <c r="U157" s="951"/>
      <c r="V157" s="951"/>
      <c r="W157" s="951"/>
      <c r="X157" s="955"/>
      <c r="Y157" s="984"/>
      <c r="Z157" s="1252"/>
      <c r="AA157" s="1252"/>
      <c r="AB157" s="1272"/>
      <c r="AC157" s="951"/>
      <c r="AD157" s="951"/>
      <c r="AE157" s="952"/>
    </row>
    <row r="158" spans="1:31">
      <c r="A158" s="1352">
        <v>153</v>
      </c>
      <c r="B158" s="2719"/>
      <c r="C158" s="2698"/>
      <c r="D158" s="2237" t="s">
        <v>588</v>
      </c>
      <c r="E158" s="955"/>
      <c r="F158" s="955"/>
      <c r="G158" s="955"/>
      <c r="H158" s="955"/>
      <c r="I158" s="955"/>
      <c r="J158" s="955"/>
      <c r="K158" s="955"/>
      <c r="L158" s="955"/>
      <c r="M158" s="948">
        <f>SUM(M152:M157)</f>
        <v>0</v>
      </c>
      <c r="N158" s="948">
        <f>SUM(N152:N157)</f>
        <v>0</v>
      </c>
      <c r="O158" s="948">
        <f>SUM(O152:O157)</f>
        <v>0</v>
      </c>
      <c r="P158" s="948">
        <f>SUM(P152:P157)</f>
        <v>0</v>
      </c>
      <c r="Q158" s="955"/>
      <c r="R158" s="948">
        <f>SUM(R152:R157)</f>
        <v>0</v>
      </c>
      <c r="S158" s="955"/>
      <c r="T158" s="948">
        <f>SUM(T152:T157)</f>
        <v>0</v>
      </c>
      <c r="U158" s="948">
        <f>SUM(U152:U157)</f>
        <v>0</v>
      </c>
      <c r="V158" s="948">
        <f>SUM(V152:V157)</f>
        <v>0</v>
      </c>
      <c r="W158" s="948">
        <f>SUM(W152:W157)</f>
        <v>0</v>
      </c>
      <c r="X158" s="955"/>
      <c r="Y158" s="984"/>
      <c r="Z158" s="1252"/>
      <c r="AA158" s="1252"/>
      <c r="AB158" s="1272"/>
      <c r="AC158" s="984"/>
      <c r="AD158" s="984"/>
      <c r="AE158" s="985"/>
    </row>
    <row r="159" spans="1:31" ht="16.5" customHeight="1">
      <c r="A159" s="1352">
        <v>154</v>
      </c>
      <c r="B159" s="2719"/>
      <c r="C159" s="2698"/>
      <c r="D159" s="2657" t="s">
        <v>1691</v>
      </c>
      <c r="E159" s="946"/>
      <c r="F159" s="947"/>
      <c r="G159" s="947"/>
      <c r="H159" s="947"/>
      <c r="I159" s="947"/>
      <c r="J159" s="948"/>
      <c r="K159" s="948"/>
      <c r="L159" s="948"/>
      <c r="M159" s="948"/>
      <c r="N159" s="948"/>
      <c r="O159" s="948"/>
      <c r="P159" s="949"/>
      <c r="Q159" s="949"/>
      <c r="R159" s="948"/>
      <c r="S159" s="949"/>
      <c r="T159" s="951"/>
      <c r="U159" s="951"/>
      <c r="V159" s="951"/>
      <c r="W159" s="951"/>
      <c r="X159" s="955"/>
      <c r="Y159" s="984"/>
      <c r="Z159" s="1252"/>
      <c r="AA159" s="1252"/>
      <c r="AB159" s="1272"/>
      <c r="AC159" s="951"/>
      <c r="AD159" s="951"/>
      <c r="AE159" s="952"/>
    </row>
    <row r="160" spans="1:31" ht="15.75" customHeight="1">
      <c r="A160" s="1352">
        <v>155</v>
      </c>
      <c r="B160" s="2719"/>
      <c r="C160" s="2698"/>
      <c r="D160" s="2657"/>
      <c r="E160" s="946"/>
      <c r="F160" s="947"/>
      <c r="G160" s="947"/>
      <c r="H160" s="947"/>
      <c r="I160" s="947"/>
      <c r="J160" s="948"/>
      <c r="K160" s="948"/>
      <c r="L160" s="948"/>
      <c r="M160" s="948"/>
      <c r="N160" s="948"/>
      <c r="O160" s="948"/>
      <c r="P160" s="949"/>
      <c r="Q160" s="948"/>
      <c r="R160" s="948"/>
      <c r="S160" s="948"/>
      <c r="T160" s="951"/>
      <c r="U160" s="951"/>
      <c r="V160" s="951"/>
      <c r="W160" s="951"/>
      <c r="X160" s="955"/>
      <c r="Y160" s="980"/>
      <c r="Z160" s="1252"/>
      <c r="AA160" s="1252"/>
      <c r="AB160" s="1266"/>
      <c r="AC160" s="951"/>
      <c r="AD160" s="951"/>
      <c r="AE160" s="952"/>
    </row>
    <row r="161" spans="1:31" ht="15.75" customHeight="1">
      <c r="A161" s="1352">
        <v>156</v>
      </c>
      <c r="B161" s="2719"/>
      <c r="C161" s="2698"/>
      <c r="D161" s="2657"/>
      <c r="E161" s="946"/>
      <c r="F161" s="947"/>
      <c r="G161" s="947"/>
      <c r="H161" s="947"/>
      <c r="I161" s="947"/>
      <c r="J161" s="948"/>
      <c r="K161" s="948"/>
      <c r="L161" s="948"/>
      <c r="M161" s="948"/>
      <c r="N161" s="948"/>
      <c r="O161" s="948"/>
      <c r="P161" s="949"/>
      <c r="Q161" s="948"/>
      <c r="R161" s="948"/>
      <c r="S161" s="948"/>
      <c r="T161" s="951"/>
      <c r="U161" s="951"/>
      <c r="V161" s="951"/>
      <c r="W161" s="951"/>
      <c r="X161" s="955"/>
      <c r="Y161" s="980"/>
      <c r="Z161" s="1252"/>
      <c r="AA161" s="1252"/>
      <c r="AB161" s="1266"/>
      <c r="AC161" s="951"/>
      <c r="AD161" s="951"/>
      <c r="AE161" s="952"/>
    </row>
    <row r="162" spans="1:31" ht="16.5" customHeight="1">
      <c r="A162" s="1352">
        <v>157</v>
      </c>
      <c r="B162" s="2719"/>
      <c r="C162" s="2698"/>
      <c r="D162" s="2657"/>
      <c r="E162" s="946"/>
      <c r="F162" s="947"/>
      <c r="G162" s="947"/>
      <c r="H162" s="947"/>
      <c r="I162" s="947"/>
      <c r="J162" s="948"/>
      <c r="K162" s="948"/>
      <c r="L162" s="948"/>
      <c r="M162" s="948"/>
      <c r="N162" s="948"/>
      <c r="O162" s="948"/>
      <c r="P162" s="949"/>
      <c r="Q162" s="948"/>
      <c r="R162" s="948"/>
      <c r="S162" s="948"/>
      <c r="T162" s="951"/>
      <c r="U162" s="951"/>
      <c r="V162" s="951"/>
      <c r="W162" s="951"/>
      <c r="X162" s="955"/>
      <c r="Y162" s="980"/>
      <c r="Z162" s="1252"/>
      <c r="AA162" s="1252"/>
      <c r="AB162" s="1266"/>
      <c r="AC162" s="951"/>
      <c r="AD162" s="951"/>
      <c r="AE162" s="952"/>
    </row>
    <row r="163" spans="1:31">
      <c r="A163" s="1352">
        <v>158</v>
      </c>
      <c r="B163" s="2719"/>
      <c r="C163" s="2698"/>
      <c r="D163" s="2657"/>
      <c r="E163" s="946"/>
      <c r="F163" s="947"/>
      <c r="G163" s="947"/>
      <c r="H163" s="947"/>
      <c r="I163" s="947"/>
      <c r="J163" s="948"/>
      <c r="K163" s="948"/>
      <c r="L163" s="948"/>
      <c r="M163" s="948"/>
      <c r="N163" s="948"/>
      <c r="O163" s="948"/>
      <c r="P163" s="949"/>
      <c r="Q163" s="948"/>
      <c r="R163" s="948"/>
      <c r="S163" s="948"/>
      <c r="T163" s="951"/>
      <c r="U163" s="951"/>
      <c r="V163" s="951"/>
      <c r="W163" s="951"/>
      <c r="X163" s="955"/>
      <c r="Y163" s="980"/>
      <c r="Z163" s="1252"/>
      <c r="AA163" s="1252"/>
      <c r="AB163" s="1266"/>
      <c r="AC163" s="951"/>
      <c r="AD163" s="951"/>
      <c r="AE163" s="952"/>
    </row>
    <row r="164" spans="1:31">
      <c r="A164" s="1352">
        <v>159</v>
      </c>
      <c r="B164" s="2719"/>
      <c r="C164" s="2698"/>
      <c r="D164" s="2657"/>
      <c r="E164" s="946"/>
      <c r="F164" s="947"/>
      <c r="G164" s="947"/>
      <c r="H164" s="947"/>
      <c r="I164" s="947"/>
      <c r="J164" s="948"/>
      <c r="K164" s="948"/>
      <c r="L164" s="948"/>
      <c r="M164" s="948"/>
      <c r="N164" s="948"/>
      <c r="O164" s="948"/>
      <c r="P164" s="949"/>
      <c r="Q164" s="948"/>
      <c r="R164" s="948"/>
      <c r="S164" s="948"/>
      <c r="T164" s="951"/>
      <c r="U164" s="951"/>
      <c r="V164" s="951"/>
      <c r="W164" s="951"/>
      <c r="X164" s="955"/>
      <c r="Y164" s="980"/>
      <c r="Z164" s="1252"/>
      <c r="AA164" s="1252"/>
      <c r="AB164" s="1266"/>
      <c r="AC164" s="951"/>
      <c r="AD164" s="951"/>
      <c r="AE164" s="952"/>
    </row>
    <row r="165" spans="1:31" ht="17.25" thickBot="1">
      <c r="A165" s="1352">
        <v>160</v>
      </c>
      <c r="B165" s="2719"/>
      <c r="C165" s="2699"/>
      <c r="D165" s="891" t="s">
        <v>588</v>
      </c>
      <c r="E165" s="959"/>
      <c r="F165" s="959"/>
      <c r="G165" s="959"/>
      <c r="H165" s="959"/>
      <c r="I165" s="959"/>
      <c r="J165" s="959"/>
      <c r="K165" s="959"/>
      <c r="L165" s="959"/>
      <c r="M165" s="960">
        <f>SUM(M159:M164)</f>
        <v>0</v>
      </c>
      <c r="N165" s="960">
        <f>SUM(N159:N164)</f>
        <v>0</v>
      </c>
      <c r="O165" s="960">
        <f>SUM(O159:O164)</f>
        <v>0</v>
      </c>
      <c r="P165" s="960">
        <f>SUM(P159:P164)</f>
        <v>0</v>
      </c>
      <c r="Q165" s="959"/>
      <c r="R165" s="960">
        <f>SUM(R159:R164)</f>
        <v>0</v>
      </c>
      <c r="S165" s="955"/>
      <c r="T165" s="960">
        <f>SUM(T159:T164)</f>
        <v>0</v>
      </c>
      <c r="U165" s="960">
        <f>SUM(U159:U164)</f>
        <v>0</v>
      </c>
      <c r="V165" s="960">
        <f>SUM(V159:V164)</f>
        <v>0</v>
      </c>
      <c r="W165" s="960">
        <f>SUM(W159:W164)</f>
        <v>0</v>
      </c>
      <c r="X165" s="959"/>
      <c r="Y165" s="982"/>
      <c r="Z165" s="1262"/>
      <c r="AA165" s="1262"/>
      <c r="AB165" s="1270"/>
      <c r="AC165" s="982"/>
      <c r="AD165" s="982"/>
      <c r="AE165" s="981"/>
    </row>
    <row r="166" spans="1:31" ht="16.5" customHeight="1">
      <c r="A166" s="1352">
        <v>161</v>
      </c>
      <c r="B166" s="2719"/>
      <c r="C166" s="2673" t="s">
        <v>591</v>
      </c>
      <c r="D166" s="2656" t="s">
        <v>1412</v>
      </c>
      <c r="E166" s="962"/>
      <c r="F166" s="940"/>
      <c r="G166" s="940"/>
      <c r="H166" s="940"/>
      <c r="I166" s="940"/>
      <c r="J166" s="941"/>
      <c r="K166" s="941"/>
      <c r="L166" s="941"/>
      <c r="M166" s="941"/>
      <c r="N166" s="941"/>
      <c r="O166" s="941"/>
      <c r="P166" s="942"/>
      <c r="Q166" s="941"/>
      <c r="R166" s="941"/>
      <c r="S166" s="941"/>
      <c r="T166" s="944"/>
      <c r="U166" s="944"/>
      <c r="V166" s="944"/>
      <c r="W166" s="944"/>
      <c r="X166" s="977"/>
      <c r="Y166" s="978"/>
      <c r="Z166" s="1271"/>
      <c r="AA166" s="1271"/>
      <c r="AB166" s="1268"/>
      <c r="AC166" s="944"/>
      <c r="AD166" s="944"/>
      <c r="AE166" s="963"/>
    </row>
    <row r="167" spans="1:31">
      <c r="A167" s="1352">
        <v>162</v>
      </c>
      <c r="B167" s="2719"/>
      <c r="C167" s="2674"/>
      <c r="D167" s="2657"/>
      <c r="E167" s="946"/>
      <c r="F167" s="947"/>
      <c r="G167" s="947"/>
      <c r="H167" s="947"/>
      <c r="I167" s="947"/>
      <c r="J167" s="948"/>
      <c r="K167" s="948"/>
      <c r="L167" s="948"/>
      <c r="M167" s="948"/>
      <c r="N167" s="948"/>
      <c r="O167" s="948"/>
      <c r="P167" s="949"/>
      <c r="Q167" s="948"/>
      <c r="R167" s="948"/>
      <c r="S167" s="948"/>
      <c r="T167" s="951"/>
      <c r="U167" s="951"/>
      <c r="V167" s="951"/>
      <c r="W167" s="951"/>
      <c r="X167" s="984"/>
      <c r="Y167" s="980"/>
      <c r="Z167" s="1252"/>
      <c r="AA167" s="1252"/>
      <c r="AB167" s="1272"/>
      <c r="AC167" s="951"/>
      <c r="AD167" s="951"/>
      <c r="AE167" s="952"/>
    </row>
    <row r="168" spans="1:31">
      <c r="A168" s="1352">
        <v>163</v>
      </c>
      <c r="B168" s="2719"/>
      <c r="C168" s="2674"/>
      <c r="D168" s="2657"/>
      <c r="E168" s="946"/>
      <c r="F168" s="947"/>
      <c r="G168" s="947"/>
      <c r="H168" s="947"/>
      <c r="I168" s="947"/>
      <c r="J168" s="948"/>
      <c r="K168" s="948"/>
      <c r="L168" s="948"/>
      <c r="M168" s="948"/>
      <c r="N168" s="948"/>
      <c r="O168" s="948"/>
      <c r="P168" s="949"/>
      <c r="Q168" s="948"/>
      <c r="R168" s="948"/>
      <c r="S168" s="948"/>
      <c r="T168" s="951"/>
      <c r="U168" s="951"/>
      <c r="V168" s="951"/>
      <c r="W168" s="951"/>
      <c r="X168" s="984"/>
      <c r="Y168" s="980"/>
      <c r="Z168" s="1252"/>
      <c r="AA168" s="1252"/>
      <c r="AB168" s="1272"/>
      <c r="AC168" s="951"/>
      <c r="AD168" s="951"/>
      <c r="AE168" s="952"/>
    </row>
    <row r="169" spans="1:31">
      <c r="A169" s="1352">
        <v>164</v>
      </c>
      <c r="B169" s="2719"/>
      <c r="C169" s="2674"/>
      <c r="D169" s="2657"/>
      <c r="E169" s="946"/>
      <c r="F169" s="947"/>
      <c r="G169" s="947"/>
      <c r="H169" s="947"/>
      <c r="I169" s="947"/>
      <c r="J169" s="948"/>
      <c r="K169" s="948"/>
      <c r="L169" s="948"/>
      <c r="M169" s="948"/>
      <c r="N169" s="948"/>
      <c r="O169" s="948"/>
      <c r="P169" s="949"/>
      <c r="Q169" s="948"/>
      <c r="R169" s="948"/>
      <c r="S169" s="948"/>
      <c r="T169" s="951"/>
      <c r="U169" s="951"/>
      <c r="V169" s="951"/>
      <c r="W169" s="951"/>
      <c r="X169" s="984"/>
      <c r="Y169" s="980"/>
      <c r="Z169" s="1252"/>
      <c r="AA169" s="1252"/>
      <c r="AB169" s="1272"/>
      <c r="AC169" s="951"/>
      <c r="AD169" s="951"/>
      <c r="AE169" s="952"/>
    </row>
    <row r="170" spans="1:31">
      <c r="A170" s="1352">
        <v>165</v>
      </c>
      <c r="B170" s="2719"/>
      <c r="C170" s="2674"/>
      <c r="D170" s="2657"/>
      <c r="E170" s="946"/>
      <c r="F170" s="947"/>
      <c r="G170" s="947"/>
      <c r="H170" s="947"/>
      <c r="I170" s="947"/>
      <c r="J170" s="948"/>
      <c r="K170" s="948"/>
      <c r="L170" s="948"/>
      <c r="M170" s="948"/>
      <c r="N170" s="948"/>
      <c r="O170" s="948"/>
      <c r="P170" s="949"/>
      <c r="Q170" s="948"/>
      <c r="R170" s="948"/>
      <c r="S170" s="948"/>
      <c r="T170" s="951"/>
      <c r="U170" s="951"/>
      <c r="V170" s="951"/>
      <c r="W170" s="951"/>
      <c r="X170" s="984"/>
      <c r="Y170" s="980"/>
      <c r="Z170" s="1252"/>
      <c r="AA170" s="1252"/>
      <c r="AB170" s="1272"/>
      <c r="AC170" s="951"/>
      <c r="AD170" s="951"/>
      <c r="AE170" s="952"/>
    </row>
    <row r="171" spans="1:31">
      <c r="A171" s="1352">
        <v>166</v>
      </c>
      <c r="B171" s="2719"/>
      <c r="C171" s="2674"/>
      <c r="D171" s="2657"/>
      <c r="E171" s="946"/>
      <c r="F171" s="947"/>
      <c r="G171" s="947"/>
      <c r="H171" s="947"/>
      <c r="I171" s="947"/>
      <c r="J171" s="948"/>
      <c r="K171" s="948"/>
      <c r="L171" s="948"/>
      <c r="M171" s="948"/>
      <c r="N171" s="948"/>
      <c r="O171" s="948"/>
      <c r="P171" s="949"/>
      <c r="Q171" s="948"/>
      <c r="R171" s="948"/>
      <c r="S171" s="948"/>
      <c r="T171" s="951"/>
      <c r="U171" s="951"/>
      <c r="V171" s="951"/>
      <c r="W171" s="951"/>
      <c r="X171" s="984"/>
      <c r="Y171" s="980"/>
      <c r="Z171" s="1252"/>
      <c r="AA171" s="1252"/>
      <c r="AB171" s="1272"/>
      <c r="AC171" s="951"/>
      <c r="AD171" s="951"/>
      <c r="AE171" s="952"/>
    </row>
    <row r="172" spans="1:31">
      <c r="A172" s="1352">
        <v>167</v>
      </c>
      <c r="B172" s="2719"/>
      <c r="C172" s="2674"/>
      <c r="D172" s="2234" t="s">
        <v>588</v>
      </c>
      <c r="E172" s="955"/>
      <c r="F172" s="955"/>
      <c r="G172" s="955"/>
      <c r="H172" s="955"/>
      <c r="I172" s="955"/>
      <c r="J172" s="955"/>
      <c r="K172" s="955"/>
      <c r="L172" s="955"/>
      <c r="M172" s="948">
        <f>SUM(M166:M171)</f>
        <v>0</v>
      </c>
      <c r="N172" s="948">
        <f>SUM(N166:N171)</f>
        <v>0</v>
      </c>
      <c r="O172" s="948">
        <f>SUM(O166:O171)</f>
        <v>0</v>
      </c>
      <c r="P172" s="948">
        <f>SUM(P166:P171)</f>
        <v>0</v>
      </c>
      <c r="Q172" s="955"/>
      <c r="R172" s="948">
        <f>SUM(R166:R171)</f>
        <v>0</v>
      </c>
      <c r="S172" s="955"/>
      <c r="T172" s="948">
        <f>SUM(T166:T171)</f>
        <v>0</v>
      </c>
      <c r="U172" s="948">
        <f>SUM(U166:U171)</f>
        <v>0</v>
      </c>
      <c r="V172" s="948">
        <f>SUM(V166:V171)</f>
        <v>0</v>
      </c>
      <c r="W172" s="948">
        <f>SUM(W166:W171)</f>
        <v>0</v>
      </c>
      <c r="X172" s="984"/>
      <c r="Y172" s="980"/>
      <c r="Z172" s="1252"/>
      <c r="AA172" s="1252"/>
      <c r="AB172" s="1266"/>
      <c r="AC172" s="980"/>
      <c r="AD172" s="980"/>
      <c r="AE172" s="981"/>
    </row>
    <row r="173" spans="1:31" ht="16.5" customHeight="1">
      <c r="A173" s="1352">
        <v>168</v>
      </c>
      <c r="B173" s="2719"/>
      <c r="C173" s="2674"/>
      <c r="D173" s="2657" t="s">
        <v>1690</v>
      </c>
      <c r="E173" s="946"/>
      <c r="F173" s="947"/>
      <c r="G173" s="947"/>
      <c r="H173" s="947"/>
      <c r="I173" s="947"/>
      <c r="J173" s="948"/>
      <c r="K173" s="948"/>
      <c r="L173" s="948"/>
      <c r="M173" s="948"/>
      <c r="N173" s="948"/>
      <c r="O173" s="948"/>
      <c r="P173" s="949"/>
      <c r="Q173" s="948"/>
      <c r="R173" s="948"/>
      <c r="S173" s="948"/>
      <c r="T173" s="951"/>
      <c r="U173" s="951"/>
      <c r="V173" s="951"/>
      <c r="W173" s="951"/>
      <c r="X173" s="984"/>
      <c r="Y173" s="980"/>
      <c r="Z173" s="1252"/>
      <c r="AA173" s="1252"/>
      <c r="AB173" s="1266"/>
      <c r="AC173" s="951"/>
      <c r="AD173" s="951"/>
      <c r="AE173" s="952"/>
    </row>
    <row r="174" spans="1:31">
      <c r="A174" s="1352">
        <v>169</v>
      </c>
      <c r="B174" s="2719"/>
      <c r="C174" s="2674"/>
      <c r="D174" s="2657"/>
      <c r="E174" s="946"/>
      <c r="F174" s="947"/>
      <c r="G174" s="947"/>
      <c r="H174" s="947"/>
      <c r="I174" s="947"/>
      <c r="J174" s="948"/>
      <c r="K174" s="948"/>
      <c r="L174" s="948"/>
      <c r="M174" s="948"/>
      <c r="N174" s="948"/>
      <c r="O174" s="948"/>
      <c r="P174" s="949"/>
      <c r="Q174" s="948"/>
      <c r="R174" s="948"/>
      <c r="S174" s="948"/>
      <c r="T174" s="951"/>
      <c r="U174" s="951"/>
      <c r="V174" s="951"/>
      <c r="W174" s="951"/>
      <c r="X174" s="984"/>
      <c r="Y174" s="980"/>
      <c r="Z174" s="1252"/>
      <c r="AA174" s="1252"/>
      <c r="AB174" s="1266"/>
      <c r="AC174" s="951"/>
      <c r="AD174" s="951"/>
      <c r="AE174" s="952"/>
    </row>
    <row r="175" spans="1:31">
      <c r="A175" s="1352">
        <v>170</v>
      </c>
      <c r="B175" s="2719"/>
      <c r="C175" s="2674"/>
      <c r="D175" s="2657"/>
      <c r="E175" s="946"/>
      <c r="F175" s="947"/>
      <c r="G175" s="947"/>
      <c r="H175" s="947"/>
      <c r="I175" s="947"/>
      <c r="J175" s="948"/>
      <c r="K175" s="948"/>
      <c r="L175" s="948"/>
      <c r="M175" s="948"/>
      <c r="N175" s="948"/>
      <c r="O175" s="948"/>
      <c r="P175" s="949"/>
      <c r="Q175" s="948"/>
      <c r="R175" s="948"/>
      <c r="S175" s="948"/>
      <c r="T175" s="951"/>
      <c r="U175" s="951"/>
      <c r="V175" s="951"/>
      <c r="W175" s="951"/>
      <c r="X175" s="984"/>
      <c r="Y175" s="980"/>
      <c r="Z175" s="1252"/>
      <c r="AA175" s="1252"/>
      <c r="AB175" s="1266"/>
      <c r="AC175" s="951"/>
      <c r="AD175" s="951"/>
      <c r="AE175" s="952"/>
    </row>
    <row r="176" spans="1:31">
      <c r="A176" s="1352">
        <v>171</v>
      </c>
      <c r="B176" s="2719"/>
      <c r="C176" s="2674"/>
      <c r="D176" s="2657"/>
      <c r="E176" s="946"/>
      <c r="F176" s="947"/>
      <c r="G176" s="947"/>
      <c r="H176" s="947"/>
      <c r="I176" s="947"/>
      <c r="J176" s="948"/>
      <c r="K176" s="948"/>
      <c r="L176" s="948"/>
      <c r="M176" s="948"/>
      <c r="N176" s="948"/>
      <c r="O176" s="948"/>
      <c r="P176" s="949"/>
      <c r="Q176" s="948"/>
      <c r="R176" s="948"/>
      <c r="S176" s="948"/>
      <c r="T176" s="951"/>
      <c r="U176" s="951"/>
      <c r="V176" s="951"/>
      <c r="W176" s="951"/>
      <c r="X176" s="984"/>
      <c r="Y176" s="980"/>
      <c r="Z176" s="1252"/>
      <c r="AA176" s="1252"/>
      <c r="AB176" s="1272"/>
      <c r="AC176" s="951"/>
      <c r="AD176" s="951"/>
      <c r="AE176" s="952"/>
    </row>
    <row r="177" spans="1:31">
      <c r="A177" s="1352">
        <v>172</v>
      </c>
      <c r="B177" s="2719"/>
      <c r="C177" s="2674"/>
      <c r="D177" s="2657"/>
      <c r="E177" s="946"/>
      <c r="F177" s="947"/>
      <c r="G177" s="947"/>
      <c r="H177" s="947"/>
      <c r="I177" s="947"/>
      <c r="J177" s="948"/>
      <c r="K177" s="948"/>
      <c r="L177" s="948"/>
      <c r="M177" s="948"/>
      <c r="N177" s="948"/>
      <c r="O177" s="948"/>
      <c r="P177" s="949"/>
      <c r="Q177" s="948"/>
      <c r="R177" s="948"/>
      <c r="S177" s="948"/>
      <c r="T177" s="951"/>
      <c r="U177" s="951"/>
      <c r="V177" s="951"/>
      <c r="W177" s="951"/>
      <c r="X177" s="984"/>
      <c r="Y177" s="980"/>
      <c r="Z177" s="1252"/>
      <c r="AA177" s="1252"/>
      <c r="AB177" s="1272"/>
      <c r="AC177" s="951"/>
      <c r="AD177" s="951"/>
      <c r="AE177" s="952"/>
    </row>
    <row r="178" spans="1:31">
      <c r="A178" s="1352">
        <v>173</v>
      </c>
      <c r="B178" s="2719"/>
      <c r="C178" s="2674"/>
      <c r="D178" s="2657"/>
      <c r="E178" s="946"/>
      <c r="F178" s="947"/>
      <c r="G178" s="947"/>
      <c r="H178" s="947"/>
      <c r="I178" s="947"/>
      <c r="J178" s="948"/>
      <c r="K178" s="948"/>
      <c r="L178" s="948"/>
      <c r="M178" s="948"/>
      <c r="N178" s="948"/>
      <c r="O178" s="948"/>
      <c r="P178" s="949"/>
      <c r="Q178" s="948"/>
      <c r="R178" s="948"/>
      <c r="S178" s="948"/>
      <c r="T178" s="951"/>
      <c r="U178" s="951"/>
      <c r="V178" s="951"/>
      <c r="W178" s="951"/>
      <c r="X178" s="984"/>
      <c r="Y178" s="980"/>
      <c r="Z178" s="1252"/>
      <c r="AA178" s="1252"/>
      <c r="AB178" s="1272"/>
      <c r="AC178" s="951"/>
      <c r="AD178" s="951"/>
      <c r="AE178" s="952"/>
    </row>
    <row r="179" spans="1:31">
      <c r="A179" s="1352">
        <v>174</v>
      </c>
      <c r="B179" s="2719"/>
      <c r="C179" s="2674"/>
      <c r="D179" s="2237" t="s">
        <v>588</v>
      </c>
      <c r="E179" s="955"/>
      <c r="F179" s="955"/>
      <c r="G179" s="955"/>
      <c r="H179" s="955"/>
      <c r="I179" s="955"/>
      <c r="J179" s="955"/>
      <c r="K179" s="955"/>
      <c r="L179" s="955"/>
      <c r="M179" s="948">
        <f>SUM(M173:M178)</f>
        <v>0</v>
      </c>
      <c r="N179" s="948">
        <f>SUM(N173:N178)</f>
        <v>0</v>
      </c>
      <c r="O179" s="948">
        <f>SUM(O173:O178)</f>
        <v>0</v>
      </c>
      <c r="P179" s="948">
        <f>SUM(P173:P178)</f>
        <v>0</v>
      </c>
      <c r="Q179" s="955"/>
      <c r="R179" s="948">
        <f>SUM(R173:R178)</f>
        <v>0</v>
      </c>
      <c r="S179" s="955"/>
      <c r="T179" s="948">
        <f>SUM(T173:T178)</f>
        <v>0</v>
      </c>
      <c r="U179" s="948">
        <f>SUM(U173:U178)</f>
        <v>0</v>
      </c>
      <c r="V179" s="948">
        <f>SUM(V173:V178)</f>
        <v>0</v>
      </c>
      <c r="W179" s="948">
        <f>SUM(W173:W178)</f>
        <v>0</v>
      </c>
      <c r="X179" s="984"/>
      <c r="Y179" s="980"/>
      <c r="Z179" s="1252"/>
      <c r="AA179" s="1252"/>
      <c r="AB179" s="1272"/>
      <c r="AC179" s="980"/>
      <c r="AD179" s="980"/>
      <c r="AE179" s="981"/>
    </row>
    <row r="180" spans="1:31" ht="16.5" customHeight="1">
      <c r="A180" s="1352">
        <v>175</v>
      </c>
      <c r="B180" s="2719"/>
      <c r="C180" s="2674"/>
      <c r="D180" s="2657" t="s">
        <v>1691</v>
      </c>
      <c r="E180" s="946"/>
      <c r="F180" s="947"/>
      <c r="G180" s="947"/>
      <c r="H180" s="947"/>
      <c r="I180" s="947"/>
      <c r="J180" s="948"/>
      <c r="K180" s="948"/>
      <c r="L180" s="948"/>
      <c r="M180" s="948"/>
      <c r="N180" s="948"/>
      <c r="O180" s="948"/>
      <c r="P180" s="949"/>
      <c r="Q180" s="948"/>
      <c r="R180" s="948"/>
      <c r="S180" s="948"/>
      <c r="T180" s="951"/>
      <c r="U180" s="951"/>
      <c r="V180" s="951"/>
      <c r="W180" s="951"/>
      <c r="X180" s="984"/>
      <c r="Y180" s="980"/>
      <c r="Z180" s="1252"/>
      <c r="AA180" s="1252"/>
      <c r="AB180" s="1272"/>
      <c r="AC180" s="951"/>
      <c r="AD180" s="951"/>
      <c r="AE180" s="952"/>
    </row>
    <row r="181" spans="1:31">
      <c r="A181" s="1352">
        <v>176</v>
      </c>
      <c r="B181" s="2719"/>
      <c r="C181" s="2674"/>
      <c r="D181" s="2657"/>
      <c r="E181" s="946"/>
      <c r="F181" s="947"/>
      <c r="G181" s="947"/>
      <c r="H181" s="947"/>
      <c r="I181" s="947"/>
      <c r="J181" s="948"/>
      <c r="K181" s="948"/>
      <c r="L181" s="948"/>
      <c r="M181" s="948"/>
      <c r="N181" s="948"/>
      <c r="O181" s="948"/>
      <c r="P181" s="949"/>
      <c r="Q181" s="948"/>
      <c r="R181" s="948"/>
      <c r="S181" s="948"/>
      <c r="T181" s="951"/>
      <c r="U181" s="951"/>
      <c r="V181" s="951"/>
      <c r="W181" s="951"/>
      <c r="X181" s="984"/>
      <c r="Y181" s="980"/>
      <c r="Z181" s="1252"/>
      <c r="AA181" s="1252"/>
      <c r="AB181" s="1266"/>
      <c r="AC181" s="951"/>
      <c r="AD181" s="951"/>
      <c r="AE181" s="952"/>
    </row>
    <row r="182" spans="1:31">
      <c r="A182" s="1352">
        <v>177</v>
      </c>
      <c r="B182" s="2719"/>
      <c r="C182" s="2674"/>
      <c r="D182" s="2657"/>
      <c r="E182" s="946"/>
      <c r="F182" s="947"/>
      <c r="G182" s="947"/>
      <c r="H182" s="947"/>
      <c r="I182" s="947"/>
      <c r="J182" s="948"/>
      <c r="K182" s="948"/>
      <c r="L182" s="948"/>
      <c r="M182" s="948"/>
      <c r="N182" s="948"/>
      <c r="O182" s="948"/>
      <c r="P182" s="949"/>
      <c r="Q182" s="948"/>
      <c r="R182" s="948"/>
      <c r="S182" s="948"/>
      <c r="T182" s="951"/>
      <c r="U182" s="951"/>
      <c r="V182" s="951"/>
      <c r="W182" s="951"/>
      <c r="X182" s="984"/>
      <c r="Y182" s="980"/>
      <c r="Z182" s="1252"/>
      <c r="AA182" s="1252"/>
      <c r="AB182" s="1266"/>
      <c r="AC182" s="951"/>
      <c r="AD182" s="951"/>
      <c r="AE182" s="952"/>
    </row>
    <row r="183" spans="1:31">
      <c r="A183" s="1352">
        <v>178</v>
      </c>
      <c r="B183" s="2719"/>
      <c r="C183" s="2674"/>
      <c r="D183" s="2657"/>
      <c r="E183" s="946"/>
      <c r="F183" s="947"/>
      <c r="G183" s="947"/>
      <c r="H183" s="947"/>
      <c r="I183" s="947"/>
      <c r="J183" s="948"/>
      <c r="K183" s="948"/>
      <c r="L183" s="948"/>
      <c r="M183" s="948"/>
      <c r="N183" s="948"/>
      <c r="O183" s="948"/>
      <c r="P183" s="949"/>
      <c r="Q183" s="948"/>
      <c r="R183" s="948"/>
      <c r="S183" s="948"/>
      <c r="T183" s="951"/>
      <c r="U183" s="951"/>
      <c r="V183" s="951"/>
      <c r="W183" s="951"/>
      <c r="X183" s="984"/>
      <c r="Y183" s="980"/>
      <c r="Z183" s="1252"/>
      <c r="AA183" s="1252"/>
      <c r="AB183" s="1266"/>
      <c r="AC183" s="951"/>
      <c r="AD183" s="951"/>
      <c r="AE183" s="952"/>
    </row>
    <row r="184" spans="1:31">
      <c r="A184" s="1352">
        <v>179</v>
      </c>
      <c r="B184" s="2719"/>
      <c r="C184" s="2674"/>
      <c r="D184" s="2657"/>
      <c r="E184" s="946"/>
      <c r="F184" s="947"/>
      <c r="G184" s="947"/>
      <c r="H184" s="947"/>
      <c r="I184" s="947"/>
      <c r="J184" s="948"/>
      <c r="K184" s="948"/>
      <c r="L184" s="948"/>
      <c r="M184" s="948"/>
      <c r="N184" s="948"/>
      <c r="O184" s="948"/>
      <c r="P184" s="949"/>
      <c r="Q184" s="948"/>
      <c r="R184" s="948"/>
      <c r="S184" s="948"/>
      <c r="T184" s="951"/>
      <c r="U184" s="951"/>
      <c r="V184" s="951"/>
      <c r="W184" s="951"/>
      <c r="X184" s="984"/>
      <c r="Y184" s="980"/>
      <c r="Z184" s="1252"/>
      <c r="AA184" s="1252"/>
      <c r="AB184" s="1266"/>
      <c r="AC184" s="951"/>
      <c r="AD184" s="951"/>
      <c r="AE184" s="952"/>
    </row>
    <row r="185" spans="1:31">
      <c r="A185" s="1352">
        <v>180</v>
      </c>
      <c r="B185" s="2719"/>
      <c r="C185" s="2674"/>
      <c r="D185" s="2657"/>
      <c r="E185" s="946"/>
      <c r="F185" s="947"/>
      <c r="G185" s="947"/>
      <c r="H185" s="947"/>
      <c r="I185" s="947"/>
      <c r="J185" s="948"/>
      <c r="K185" s="948"/>
      <c r="L185" s="948"/>
      <c r="M185" s="948"/>
      <c r="N185" s="948"/>
      <c r="O185" s="948"/>
      <c r="P185" s="949"/>
      <c r="Q185" s="948"/>
      <c r="R185" s="948"/>
      <c r="S185" s="948"/>
      <c r="T185" s="951"/>
      <c r="U185" s="951"/>
      <c r="V185" s="951"/>
      <c r="W185" s="951"/>
      <c r="X185" s="984"/>
      <c r="Y185" s="980"/>
      <c r="Z185" s="1252"/>
      <c r="AA185" s="1252"/>
      <c r="AB185" s="1266"/>
      <c r="AC185" s="951"/>
      <c r="AD185" s="951"/>
      <c r="AE185" s="952"/>
    </row>
    <row r="186" spans="1:31" ht="17.25" thickBot="1">
      <c r="A186" s="1355">
        <v>181</v>
      </c>
      <c r="B186" s="2720"/>
      <c r="C186" s="2702"/>
      <c r="D186" s="2245" t="s">
        <v>588</v>
      </c>
      <c r="E186" s="968"/>
      <c r="F186" s="968"/>
      <c r="G186" s="968"/>
      <c r="H186" s="968"/>
      <c r="I186" s="968"/>
      <c r="J186" s="968"/>
      <c r="K186" s="968"/>
      <c r="L186" s="968"/>
      <c r="M186" s="969">
        <f>SUM(M180:M185)</f>
        <v>0</v>
      </c>
      <c r="N186" s="969">
        <f>SUM(N180:N185)</f>
        <v>0</v>
      </c>
      <c r="O186" s="969">
        <f>SUM(O180:O185)</f>
        <v>0</v>
      </c>
      <c r="P186" s="969">
        <f>SUM(P180:P185)</f>
        <v>0</v>
      </c>
      <c r="Q186" s="968"/>
      <c r="R186" s="969">
        <f>SUM(R180:R185)</f>
        <v>0</v>
      </c>
      <c r="S186" s="968"/>
      <c r="T186" s="969">
        <f>SUM(T180:T185)</f>
        <v>0</v>
      </c>
      <c r="U186" s="969">
        <f>SUM(U180:U185)</f>
        <v>0</v>
      </c>
      <c r="V186" s="969">
        <f>SUM(V180:V185)</f>
        <v>0</v>
      </c>
      <c r="W186" s="969">
        <f>SUM(W180:W185)</f>
        <v>0</v>
      </c>
      <c r="X186" s="986"/>
      <c r="Y186" s="987"/>
      <c r="AC186" s="987"/>
      <c r="AD186" s="987"/>
      <c r="AE186" s="988"/>
    </row>
    <row r="187" spans="1:31" ht="17.25" thickBot="1">
      <c r="A187" s="1162">
        <v>182</v>
      </c>
      <c r="B187" s="2717" t="s">
        <v>597</v>
      </c>
      <c r="C187" s="2669"/>
      <c r="D187" s="2669"/>
      <c r="E187" s="971"/>
      <c r="F187" s="972"/>
      <c r="G187" s="972"/>
      <c r="H187" s="972"/>
      <c r="I187" s="972"/>
      <c r="J187" s="973"/>
      <c r="K187" s="973"/>
      <c r="L187" s="973"/>
      <c r="M187" s="989">
        <f>M137+M144+M151+M158+M165+M172+M179+M186</f>
        <v>0</v>
      </c>
      <c r="N187" s="989">
        <f>N137+N144+N151+N158+N165+N172+N179+N186</f>
        <v>0</v>
      </c>
      <c r="O187" s="989">
        <f>O137+O144+O151+O158+O165+O172+O179+O186</f>
        <v>0</v>
      </c>
      <c r="P187" s="989">
        <f>P137+P144+P151+P158+P165+P172+P179+P186</f>
        <v>0</v>
      </c>
      <c r="Q187" s="973"/>
      <c r="R187" s="989">
        <f>R137+R144+R151+R158+R165+R172+R179+R186</f>
        <v>0</v>
      </c>
      <c r="S187" s="973"/>
      <c r="T187" s="989">
        <f>T137+T144+T151+T158+T165+T172+T179+T186</f>
        <v>0</v>
      </c>
      <c r="U187" s="989">
        <f>U137+U144+U151+U158+U165+U172+U179+U186</f>
        <v>0</v>
      </c>
      <c r="V187" s="989">
        <f>V137+V144+V151+V158+V165+V172+V179+V186</f>
        <v>0</v>
      </c>
      <c r="W187" s="989">
        <f>W137+W144+W151+W158+W165+W172+W179+W186</f>
        <v>0</v>
      </c>
      <c r="X187" s="990"/>
      <c r="Y187" s="991"/>
      <c r="AC187" s="991"/>
      <c r="AD187" s="991"/>
      <c r="AE187" s="992"/>
    </row>
    <row r="188" spans="1:31" ht="17.25" thickBot="1">
      <c r="A188" s="1162">
        <v>183</v>
      </c>
      <c r="B188" s="2704" t="s">
        <v>598</v>
      </c>
      <c r="C188" s="2705"/>
      <c r="D188" s="2705"/>
      <c r="E188" s="993"/>
      <c r="F188" s="994"/>
      <c r="G188" s="994"/>
      <c r="H188" s="994"/>
      <c r="I188" s="994"/>
      <c r="J188" s="995"/>
      <c r="K188" s="995"/>
      <c r="L188" s="995"/>
      <c r="M188" s="996">
        <f>M187+M130</f>
        <v>0</v>
      </c>
      <c r="N188" s="996">
        <f>N187+N130</f>
        <v>0</v>
      </c>
      <c r="O188" s="996">
        <f>O187+O130</f>
        <v>0</v>
      </c>
      <c r="P188" s="996">
        <f>P187+P130</f>
        <v>0</v>
      </c>
      <c r="Q188" s="995"/>
      <c r="R188" s="996">
        <f>R187+R130</f>
        <v>0</v>
      </c>
      <c r="S188" s="997"/>
      <c r="T188" s="996">
        <f>T187+T130</f>
        <v>0</v>
      </c>
      <c r="U188" s="996">
        <f>U187+U130</f>
        <v>0</v>
      </c>
      <c r="V188" s="996">
        <f>V187+V130</f>
        <v>0</v>
      </c>
      <c r="W188" s="996">
        <f>W187+W130</f>
        <v>0</v>
      </c>
      <c r="X188" s="998"/>
      <c r="Y188" s="999"/>
      <c r="AC188" s="999"/>
      <c r="AD188" s="999"/>
      <c r="AE188" s="1000"/>
    </row>
    <row r="191" spans="1:31">
      <c r="A191" s="907" t="s">
        <v>983</v>
      </c>
      <c r="B191" s="907"/>
      <c r="C191" s="775"/>
      <c r="D191" s="908"/>
      <c r="E191" s="908"/>
      <c r="F191" s="908"/>
      <c r="G191" s="908"/>
      <c r="H191" s="908"/>
      <c r="I191" s="908"/>
      <c r="J191" s="908"/>
      <c r="K191" s="908"/>
      <c r="L191" s="908"/>
      <c r="M191" s="908"/>
      <c r="N191" s="908"/>
      <c r="O191" s="908"/>
    </row>
    <row r="192" spans="1:31">
      <c r="A192" s="749">
        <v>1</v>
      </c>
      <c r="B192" s="775" t="s">
        <v>1443</v>
      </c>
      <c r="C192" s="775"/>
      <c r="D192" s="908"/>
      <c r="E192" s="908"/>
      <c r="F192" s="908"/>
      <c r="G192" s="908"/>
      <c r="H192" s="908"/>
      <c r="I192" s="908"/>
      <c r="J192" s="908"/>
      <c r="K192" s="908"/>
      <c r="L192" s="908"/>
      <c r="M192" s="908"/>
      <c r="N192" s="908"/>
      <c r="O192" s="908"/>
    </row>
    <row r="193" spans="1:15">
      <c r="A193" s="907" t="s">
        <v>494</v>
      </c>
      <c r="B193" s="775" t="s">
        <v>1444</v>
      </c>
      <c r="C193" s="775"/>
      <c r="D193" s="908"/>
      <c r="E193" s="908"/>
      <c r="F193" s="908"/>
      <c r="G193" s="908"/>
      <c r="H193" s="908"/>
      <c r="I193" s="908"/>
      <c r="J193" s="908"/>
      <c r="K193" s="908"/>
      <c r="L193" s="908"/>
      <c r="M193" s="908"/>
      <c r="N193" s="908"/>
      <c r="O193" s="908"/>
    </row>
    <row r="194" spans="1:15">
      <c r="A194" s="749">
        <v>3</v>
      </c>
      <c r="B194" s="1363" t="s">
        <v>1854</v>
      </c>
      <c r="C194" s="775"/>
      <c r="D194" s="908"/>
      <c r="E194" s="908"/>
      <c r="F194" s="908"/>
      <c r="G194" s="908"/>
      <c r="H194" s="908"/>
      <c r="I194" s="908"/>
      <c r="J194" s="908"/>
      <c r="K194" s="908"/>
      <c r="L194" s="908"/>
      <c r="M194" s="908"/>
      <c r="N194" s="908"/>
      <c r="O194" s="908"/>
    </row>
    <row r="195" spans="1:15">
      <c r="A195" s="907"/>
      <c r="B195" s="1162" t="s">
        <v>1847</v>
      </c>
      <c r="C195" s="775"/>
      <c r="D195" s="908"/>
      <c r="E195" s="908"/>
      <c r="F195" s="908"/>
      <c r="G195" s="908"/>
      <c r="H195" s="908"/>
      <c r="I195" s="908"/>
      <c r="J195" s="908"/>
      <c r="K195" s="908"/>
      <c r="L195" s="908"/>
      <c r="M195" s="908"/>
      <c r="N195" s="908"/>
      <c r="O195" s="908"/>
    </row>
    <row r="196" spans="1:15">
      <c r="A196" s="749"/>
      <c r="B196" s="1162" t="s">
        <v>1848</v>
      </c>
      <c r="C196" s="775"/>
      <c r="D196" s="908"/>
      <c r="E196" s="908"/>
      <c r="F196" s="908"/>
      <c r="G196" s="908"/>
      <c r="H196" s="908"/>
      <c r="I196" s="908"/>
      <c r="J196" s="908"/>
      <c r="K196" s="908"/>
      <c r="L196" s="908"/>
      <c r="M196" s="908"/>
      <c r="N196" s="908"/>
      <c r="O196" s="908"/>
    </row>
    <row r="197" spans="1:15">
      <c r="A197" s="907"/>
      <c r="B197" s="1162" t="s">
        <v>1849</v>
      </c>
      <c r="C197" s="775"/>
      <c r="D197" s="908"/>
      <c r="E197" s="908"/>
      <c r="F197" s="908"/>
      <c r="G197" s="908"/>
      <c r="H197" s="908"/>
      <c r="I197" s="908"/>
      <c r="J197" s="908"/>
      <c r="K197" s="908"/>
      <c r="L197" s="908"/>
      <c r="M197" s="908"/>
      <c r="N197" s="908"/>
      <c r="O197" s="908"/>
    </row>
    <row r="198" spans="1:15">
      <c r="A198" s="749">
        <v>4</v>
      </c>
      <c r="B198" s="750" t="s">
        <v>1812</v>
      </c>
      <c r="C198" s="750"/>
      <c r="D198" s="750"/>
      <c r="E198" s="750"/>
      <c r="F198" s="750"/>
      <c r="G198" s="750"/>
      <c r="H198" s="750"/>
      <c r="I198" s="750"/>
      <c r="J198" s="750"/>
      <c r="K198" s="750"/>
      <c r="L198" s="750"/>
      <c r="M198" s="750"/>
      <c r="N198" s="750"/>
      <c r="O198" s="750"/>
    </row>
    <row r="199" spans="1:15">
      <c r="A199" s="907">
        <v>5</v>
      </c>
      <c r="B199" s="750" t="s">
        <v>1419</v>
      </c>
      <c r="C199" s="750"/>
      <c r="D199" s="750"/>
      <c r="E199" s="750"/>
      <c r="F199" s="750"/>
      <c r="G199" s="750"/>
      <c r="H199" s="750"/>
      <c r="I199" s="750"/>
      <c r="J199" s="750"/>
      <c r="K199" s="750"/>
      <c r="L199" s="750"/>
      <c r="M199" s="750"/>
      <c r="N199" s="750"/>
      <c r="O199" s="750"/>
    </row>
    <row r="200" spans="1:15">
      <c r="A200" s="749" t="s">
        <v>489</v>
      </c>
      <c r="B200" s="775" t="s">
        <v>1420</v>
      </c>
      <c r="C200" s="775"/>
      <c r="D200" s="908"/>
      <c r="E200" s="908"/>
      <c r="F200" s="908"/>
      <c r="G200" s="908"/>
      <c r="H200" s="908"/>
      <c r="I200" s="908"/>
      <c r="J200" s="908"/>
      <c r="K200" s="908"/>
      <c r="L200" s="908"/>
      <c r="M200" s="908"/>
      <c r="N200" s="908"/>
      <c r="O200" s="908"/>
    </row>
    <row r="201" spans="1:15">
      <c r="A201" s="907">
        <v>7</v>
      </c>
      <c r="B201" s="775" t="s">
        <v>1850</v>
      </c>
      <c r="C201" s="775"/>
      <c r="D201" s="908"/>
      <c r="E201" s="908"/>
      <c r="F201" s="908"/>
      <c r="G201" s="908"/>
      <c r="H201" s="908"/>
      <c r="I201" s="908"/>
      <c r="J201" s="908"/>
      <c r="K201" s="908"/>
      <c r="L201" s="908"/>
      <c r="M201" s="908"/>
      <c r="N201" s="908"/>
      <c r="O201" s="908"/>
    </row>
    <row r="202" spans="1:15">
      <c r="A202" s="749"/>
      <c r="B202" s="1162"/>
      <c r="C202" s="775"/>
      <c r="D202" s="908"/>
      <c r="E202" s="908"/>
      <c r="F202" s="908"/>
      <c r="G202" s="908"/>
      <c r="H202" s="908"/>
      <c r="I202" s="908"/>
      <c r="J202" s="908"/>
      <c r="K202" s="908"/>
      <c r="L202" s="908"/>
      <c r="M202" s="908"/>
      <c r="N202" s="908"/>
      <c r="O202" s="908"/>
    </row>
    <row r="203" spans="1:15">
      <c r="A203" s="907"/>
      <c r="B203" s="1162"/>
      <c r="C203" s="756"/>
      <c r="D203" s="908"/>
      <c r="E203" s="908"/>
      <c r="F203" s="908"/>
      <c r="G203" s="908"/>
      <c r="H203" s="908"/>
      <c r="I203" s="908"/>
      <c r="J203" s="908"/>
      <c r="K203" s="908"/>
      <c r="L203" s="908"/>
      <c r="M203" s="908"/>
      <c r="N203" s="908"/>
      <c r="O203" s="908"/>
    </row>
    <row r="204" spans="1:15">
      <c r="A204" s="749"/>
      <c r="B204" s="1162"/>
      <c r="C204" s="775"/>
      <c r="D204" s="908"/>
      <c r="E204" s="908"/>
      <c r="F204" s="908"/>
      <c r="G204" s="908"/>
      <c r="H204" s="908"/>
      <c r="I204" s="908"/>
      <c r="J204" s="908"/>
      <c r="K204" s="908"/>
      <c r="L204" s="908"/>
      <c r="M204" s="908"/>
      <c r="N204" s="908"/>
      <c r="O204" s="908"/>
    </row>
    <row r="205" spans="1:15">
      <c r="A205" s="749"/>
      <c r="B205" s="1162"/>
      <c r="C205" s="775"/>
      <c r="D205" s="908"/>
      <c r="E205" s="908"/>
      <c r="F205" s="908"/>
      <c r="G205" s="908"/>
      <c r="H205" s="908"/>
      <c r="I205" s="908"/>
      <c r="J205" s="908"/>
      <c r="K205" s="908"/>
      <c r="L205" s="908"/>
      <c r="M205" s="908"/>
      <c r="N205" s="908"/>
      <c r="O205" s="908"/>
    </row>
    <row r="206" spans="1:15">
      <c r="A206" s="749"/>
      <c r="B206" s="1162"/>
      <c r="C206" s="775"/>
      <c r="D206" s="908"/>
      <c r="E206" s="908"/>
      <c r="F206" s="908"/>
      <c r="G206" s="908"/>
      <c r="H206" s="908"/>
      <c r="I206" s="908"/>
      <c r="J206" s="908"/>
      <c r="K206" s="908"/>
      <c r="L206" s="908"/>
      <c r="M206" s="908"/>
      <c r="N206" s="908"/>
      <c r="O206" s="908"/>
    </row>
    <row r="207" spans="1:15">
      <c r="A207" s="907"/>
      <c r="B207" s="1162"/>
      <c r="C207" s="908"/>
      <c r="D207" s="910"/>
      <c r="E207" s="912"/>
      <c r="F207" s="910"/>
      <c r="G207" s="910"/>
      <c r="H207" s="910"/>
      <c r="I207" s="910"/>
      <c r="J207" s="909"/>
      <c r="K207" s="909"/>
      <c r="L207" s="910"/>
      <c r="M207" s="910"/>
      <c r="N207" s="909"/>
      <c r="O207" s="909"/>
    </row>
    <row r="208" spans="1:15">
      <c r="A208" s="749"/>
      <c r="B208" s="907"/>
      <c r="C208" s="775"/>
      <c r="D208" s="908"/>
      <c r="E208" s="908"/>
      <c r="F208" s="908"/>
      <c r="G208" s="908"/>
      <c r="H208" s="908"/>
      <c r="I208" s="908"/>
      <c r="J208" s="908"/>
      <c r="K208" s="908"/>
      <c r="L208" s="908"/>
      <c r="M208" s="908"/>
      <c r="N208" s="908"/>
      <c r="O208" s="908"/>
    </row>
    <row r="209" spans="1:15">
      <c r="A209" s="749"/>
      <c r="B209" s="907"/>
      <c r="C209" s="775"/>
      <c r="D209" s="908"/>
      <c r="E209" s="908"/>
      <c r="F209" s="908"/>
      <c r="G209" s="908"/>
      <c r="H209" s="908"/>
      <c r="I209" s="908"/>
      <c r="J209" s="908"/>
      <c r="K209" s="908"/>
      <c r="L209" s="908"/>
      <c r="M209" s="908"/>
      <c r="N209" s="908"/>
      <c r="O209" s="908"/>
    </row>
    <row r="210" spans="1:15">
      <c r="A210" s="907"/>
      <c r="B210" s="907"/>
      <c r="C210" s="775"/>
      <c r="D210" s="908"/>
      <c r="E210" s="908"/>
      <c r="F210" s="908"/>
      <c r="G210" s="908"/>
      <c r="H210" s="908"/>
      <c r="I210" s="908"/>
      <c r="J210" s="908"/>
      <c r="K210" s="908"/>
      <c r="L210" s="908"/>
      <c r="M210" s="908"/>
      <c r="N210" s="908"/>
      <c r="O210" s="908"/>
    </row>
    <row r="211" spans="1:15">
      <c r="A211" s="749"/>
      <c r="B211" s="907"/>
      <c r="C211" s="775"/>
      <c r="D211" s="908"/>
      <c r="E211" s="908"/>
      <c r="F211" s="908"/>
      <c r="G211" s="908"/>
      <c r="H211" s="908"/>
      <c r="I211" s="908"/>
      <c r="J211" s="908"/>
      <c r="K211" s="908"/>
      <c r="L211" s="908"/>
      <c r="M211" s="908"/>
      <c r="N211" s="908"/>
      <c r="O211" s="908"/>
    </row>
    <row r="212" spans="1:15">
      <c r="A212" s="907"/>
      <c r="B212" s="907"/>
      <c r="C212" s="908"/>
      <c r="D212" s="908"/>
      <c r="E212" s="908"/>
      <c r="F212" s="908"/>
      <c r="G212" s="908"/>
      <c r="H212" s="908"/>
      <c r="I212" s="908"/>
      <c r="J212" s="908"/>
      <c r="K212" s="908"/>
      <c r="L212" s="911"/>
      <c r="M212" s="911"/>
      <c r="N212" s="908"/>
      <c r="O212" s="908"/>
    </row>
    <row r="213" spans="1:15">
      <c r="A213" s="749"/>
      <c r="B213" s="907"/>
      <c r="D213" s="908"/>
      <c r="E213" s="908"/>
      <c r="F213" s="908"/>
      <c r="G213" s="908"/>
      <c r="H213" s="908"/>
      <c r="I213" s="908"/>
      <c r="J213" s="908"/>
      <c r="K213" s="908"/>
      <c r="L213" s="911"/>
      <c r="M213" s="911"/>
      <c r="N213" s="908"/>
      <c r="O213" s="908"/>
    </row>
    <row r="214" spans="1:15">
      <c r="A214" s="749"/>
      <c r="B214" s="907"/>
      <c r="C214" s="908"/>
      <c r="D214" s="911"/>
      <c r="E214" s="911"/>
      <c r="F214" s="911"/>
      <c r="G214" s="911"/>
      <c r="H214" s="911"/>
      <c r="I214" s="911"/>
      <c r="J214" s="911"/>
      <c r="K214" s="911"/>
      <c r="L214" s="909"/>
      <c r="M214" s="909"/>
      <c r="N214" s="911"/>
      <c r="O214" s="911"/>
    </row>
    <row r="215" spans="1:15">
      <c r="A215" s="907"/>
      <c r="B215" s="907"/>
      <c r="C215" s="775"/>
      <c r="D215" s="911"/>
      <c r="E215" s="911"/>
      <c r="F215" s="911"/>
      <c r="G215" s="911"/>
      <c r="H215" s="911"/>
      <c r="I215" s="911"/>
      <c r="J215" s="911"/>
      <c r="K215" s="911"/>
      <c r="L215" s="910"/>
      <c r="M215" s="910"/>
      <c r="N215" s="911"/>
      <c r="O215" s="911"/>
    </row>
    <row r="216" spans="1:15">
      <c r="A216" s="749"/>
      <c r="B216" s="907"/>
      <c r="C216" s="908"/>
      <c r="D216" s="910"/>
      <c r="E216" s="912"/>
      <c r="F216" s="910"/>
      <c r="G216" s="910"/>
      <c r="H216" s="910"/>
      <c r="I216" s="910"/>
      <c r="J216" s="910"/>
      <c r="K216" s="910"/>
      <c r="L216" s="910"/>
      <c r="M216" s="910"/>
      <c r="N216" s="910"/>
      <c r="O216" s="910"/>
    </row>
  </sheetData>
  <mergeCells count="57">
    <mergeCell ref="B188:D188"/>
    <mergeCell ref="B187:D187"/>
    <mergeCell ref="B130:C130"/>
    <mergeCell ref="B131:B186"/>
    <mergeCell ref="C131:C144"/>
    <mergeCell ref="D131:D136"/>
    <mergeCell ref="D173:D178"/>
    <mergeCell ref="D180:D185"/>
    <mergeCell ref="C166:C186"/>
    <mergeCell ref="D138:D143"/>
    <mergeCell ref="C145:C165"/>
    <mergeCell ref="D145:D150"/>
    <mergeCell ref="D152:D157"/>
    <mergeCell ref="D159:D164"/>
    <mergeCell ref="D166:D171"/>
    <mergeCell ref="D32:D41"/>
    <mergeCell ref="D43:D52"/>
    <mergeCell ref="C109:C129"/>
    <mergeCell ref="D109:D114"/>
    <mergeCell ref="D116:D121"/>
    <mergeCell ref="D123:D128"/>
    <mergeCell ref="C76:C108"/>
    <mergeCell ref="D76:D85"/>
    <mergeCell ref="D87:D96"/>
    <mergeCell ref="D98:D107"/>
    <mergeCell ref="AD3:AD4"/>
    <mergeCell ref="AE3:AE4"/>
    <mergeCell ref="Y3:Y4"/>
    <mergeCell ref="AC3:AC4"/>
    <mergeCell ref="B6:B129"/>
    <mergeCell ref="C6:C31"/>
    <mergeCell ref="D6:D17"/>
    <mergeCell ref="D19:D30"/>
    <mergeCell ref="C32:C53"/>
    <mergeCell ref="T3:U4"/>
    <mergeCell ref="V3:W4"/>
    <mergeCell ref="Q3:Q4"/>
    <mergeCell ref="C54:C75"/>
    <mergeCell ref="D54:D63"/>
    <mergeCell ref="D65:D74"/>
    <mergeCell ref="Z3:Z4"/>
    <mergeCell ref="A3:A5"/>
    <mergeCell ref="B3:B4"/>
    <mergeCell ref="C3:D4"/>
    <mergeCell ref="E3:I3"/>
    <mergeCell ref="C5:D5"/>
    <mergeCell ref="AA3:AA4"/>
    <mergeCell ref="AB3:AB4"/>
    <mergeCell ref="K3:K4"/>
    <mergeCell ref="L3:L4"/>
    <mergeCell ref="R3:R4"/>
    <mergeCell ref="S3:S4"/>
    <mergeCell ref="X3:X4"/>
    <mergeCell ref="M3:M4"/>
    <mergeCell ref="N3:N4"/>
    <mergeCell ref="O3:O4"/>
    <mergeCell ref="P3:P4"/>
  </mergeCells>
  <phoneticPr fontId="26" type="noConversion"/>
  <printOptions horizontalCentered="1"/>
  <pageMargins left="0.39370078740157483" right="0.39370078740157483" top="0.39370078740157483" bottom="0.39370078740157483" header="0.19685039370078741" footer="0.19685039370078741"/>
  <pageSetup paperSize="9" scale="24" orientation="portrait" horizontalDpi="4294967295" verticalDpi="4294967295" r:id="rId1"/>
  <headerFooter alignWithMargins="0">
    <oddFooter>&amp;C&amp;P+76&amp;R&amp;A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B190"/>
  <sheetViews>
    <sheetView zoomScale="70" zoomScaleNormal="70" workbookViewId="0">
      <pane xSplit="4" ySplit="5" topLeftCell="E132" activePane="bottomRight" state="frozen"/>
      <selection pane="topRight"/>
      <selection pane="bottomLeft"/>
      <selection pane="bottomRight"/>
    </sheetView>
  </sheetViews>
  <sheetFormatPr defaultRowHeight="13.5"/>
  <cols>
    <col min="1" max="1" width="5.125" style="848" customWidth="1"/>
    <col min="2" max="3" width="9.625" style="848" customWidth="1"/>
    <col min="4" max="5" width="9" style="848"/>
    <col min="6" max="6" width="14" style="848" customWidth="1"/>
    <col min="7" max="8" width="9" style="848"/>
    <col min="9" max="9" width="7.625" style="848" customWidth="1"/>
    <col min="10" max="10" width="11.375" style="848" customWidth="1"/>
    <col min="11" max="13" width="9" style="848"/>
    <col min="14" max="14" width="13.5" style="848" customWidth="1"/>
    <col min="15" max="15" width="15" style="848" customWidth="1"/>
    <col min="16" max="16" width="13.5" style="848" customWidth="1"/>
    <col min="17" max="17" width="11.875" style="848" customWidth="1"/>
    <col min="18" max="18" width="18.875" style="848" customWidth="1"/>
    <col min="19" max="19" width="11" style="848" customWidth="1"/>
    <col min="20" max="22" width="9" style="848"/>
    <col min="23" max="23" width="8.375" style="848" customWidth="1"/>
    <col min="24" max="24" width="11" style="848" customWidth="1"/>
    <col min="25" max="25" width="14.5" style="848" customWidth="1"/>
    <col min="26" max="16384" width="9" style="848"/>
  </cols>
  <sheetData>
    <row r="1" spans="1:28" ht="14.25">
      <c r="A1" s="105" t="str">
        <f>表03!A1</f>
        <v xml:space="preserve"> 保險股份有限公司    年度(月)報表</v>
      </c>
      <c r="B1" s="844"/>
      <c r="C1" s="844"/>
      <c r="D1" s="845"/>
      <c r="E1" s="845"/>
      <c r="F1" s="846"/>
      <c r="G1" s="845"/>
      <c r="H1" s="845"/>
      <c r="I1" s="845"/>
      <c r="J1" s="845"/>
      <c r="K1" s="845"/>
      <c r="L1" s="845"/>
      <c r="M1" s="845"/>
      <c r="N1" s="845"/>
      <c r="O1" s="845"/>
      <c r="P1" s="845"/>
      <c r="Q1" s="845"/>
      <c r="R1" s="845"/>
      <c r="S1" s="845"/>
      <c r="T1" s="845"/>
      <c r="U1" s="845"/>
      <c r="V1" s="845"/>
      <c r="W1" s="845"/>
      <c r="X1" s="845"/>
      <c r="Y1" s="915"/>
      <c r="Z1" s="845"/>
      <c r="AA1" s="847" t="s">
        <v>1389</v>
      </c>
    </row>
    <row r="2" spans="1:28" ht="15" thickBot="1">
      <c r="A2" s="847" t="s">
        <v>1446</v>
      </c>
      <c r="B2" s="847"/>
      <c r="C2" s="847"/>
      <c r="D2" s="845"/>
      <c r="E2" s="845"/>
      <c r="F2" s="846"/>
      <c r="G2" s="845"/>
      <c r="H2" s="845"/>
      <c r="I2" s="845"/>
      <c r="J2" s="845"/>
      <c r="K2" s="845"/>
      <c r="L2" s="845"/>
      <c r="M2" s="845"/>
      <c r="N2" s="845"/>
      <c r="O2" s="845"/>
      <c r="P2" s="845"/>
      <c r="Q2" s="845"/>
      <c r="R2" s="845"/>
      <c r="S2" s="845"/>
      <c r="T2" s="845"/>
      <c r="U2" s="845"/>
      <c r="V2" s="845"/>
      <c r="W2" s="845"/>
      <c r="X2" s="845"/>
      <c r="Y2" s="915"/>
      <c r="Z2" s="845"/>
      <c r="AA2" s="845"/>
    </row>
    <row r="3" spans="1:28" ht="16.5" customHeight="1">
      <c r="A3" s="2651" t="s">
        <v>677</v>
      </c>
      <c r="B3" s="2654" t="s">
        <v>1390</v>
      </c>
      <c r="C3" s="2656" t="s">
        <v>1391</v>
      </c>
      <c r="D3" s="2656"/>
      <c r="E3" s="2654" t="s">
        <v>1392</v>
      </c>
      <c r="F3" s="2654"/>
      <c r="G3" s="2654"/>
      <c r="H3" s="2654"/>
      <c r="I3" s="2654"/>
      <c r="J3" s="2238"/>
      <c r="K3" s="2654" t="s">
        <v>1394</v>
      </c>
      <c r="L3" s="2654" t="s">
        <v>678</v>
      </c>
      <c r="M3" s="2710" t="s">
        <v>1395</v>
      </c>
      <c r="N3" s="2654" t="s">
        <v>1431</v>
      </c>
      <c r="O3" s="2654" t="s">
        <v>1432</v>
      </c>
      <c r="P3" s="2654" t="s">
        <v>1433</v>
      </c>
      <c r="Q3" s="2656" t="s">
        <v>1434</v>
      </c>
      <c r="R3" s="2656" t="s">
        <v>1435</v>
      </c>
      <c r="S3" s="2656" t="s">
        <v>1436</v>
      </c>
      <c r="T3" s="2656" t="s">
        <v>1437</v>
      </c>
      <c r="U3" s="2700"/>
      <c r="V3" s="2656" t="s">
        <v>1438</v>
      </c>
      <c r="W3" s="2700"/>
      <c r="X3" s="2654" t="s">
        <v>1401</v>
      </c>
      <c r="Y3" s="2665" t="s">
        <v>1439</v>
      </c>
      <c r="Z3" s="2654" t="s">
        <v>1403</v>
      </c>
      <c r="AA3" s="2654" t="s">
        <v>1388</v>
      </c>
      <c r="AB3" s="2659" t="s">
        <v>1291</v>
      </c>
    </row>
    <row r="4" spans="1:28" ht="31.5" customHeight="1">
      <c r="A4" s="2652"/>
      <c r="B4" s="2655"/>
      <c r="C4" s="2657"/>
      <c r="D4" s="2657"/>
      <c r="E4" s="2239" t="s">
        <v>1292</v>
      </c>
      <c r="F4" s="2239" t="s">
        <v>1293</v>
      </c>
      <c r="G4" s="2285" t="s">
        <v>1404</v>
      </c>
      <c r="H4" s="2285" t="s">
        <v>1405</v>
      </c>
      <c r="I4" s="2285" t="s">
        <v>1308</v>
      </c>
      <c r="J4" s="2285" t="s">
        <v>1440</v>
      </c>
      <c r="K4" s="2655"/>
      <c r="L4" s="2657"/>
      <c r="M4" s="2662"/>
      <c r="N4" s="2657"/>
      <c r="O4" s="2657"/>
      <c r="P4" s="2655"/>
      <c r="Q4" s="2657"/>
      <c r="R4" s="2657"/>
      <c r="S4" s="2657"/>
      <c r="T4" s="2703"/>
      <c r="U4" s="2703"/>
      <c r="V4" s="2703"/>
      <c r="W4" s="2703"/>
      <c r="X4" s="2655"/>
      <c r="Y4" s="2666"/>
      <c r="Z4" s="2655"/>
      <c r="AA4" s="2655"/>
      <c r="AB4" s="2660"/>
    </row>
    <row r="5" spans="1:28" ht="15" thickBot="1">
      <c r="A5" s="2653"/>
      <c r="B5" s="2240" t="s">
        <v>66</v>
      </c>
      <c r="C5" s="2658" t="s">
        <v>67</v>
      </c>
      <c r="D5" s="2715"/>
      <c r="E5" s="2240" t="s">
        <v>68</v>
      </c>
      <c r="F5" s="2240" t="s">
        <v>69</v>
      </c>
      <c r="G5" s="2240" t="s">
        <v>70</v>
      </c>
      <c r="H5" s="2240" t="s">
        <v>71</v>
      </c>
      <c r="I5" s="2240" t="s">
        <v>72</v>
      </c>
      <c r="J5" s="2240" t="s">
        <v>470</v>
      </c>
      <c r="K5" s="2240" t="s">
        <v>471</v>
      </c>
      <c r="L5" s="2240" t="s">
        <v>472</v>
      </c>
      <c r="M5" s="2240" t="s">
        <v>473</v>
      </c>
      <c r="N5" s="2240" t="s">
        <v>485</v>
      </c>
      <c r="O5" s="2240" t="s">
        <v>474</v>
      </c>
      <c r="P5" s="2240" t="s">
        <v>475</v>
      </c>
      <c r="Q5" s="2240" t="s">
        <v>476</v>
      </c>
      <c r="R5" s="2240" t="s">
        <v>477</v>
      </c>
      <c r="S5" s="2240" t="s">
        <v>478</v>
      </c>
      <c r="T5" s="2240" t="s">
        <v>1441</v>
      </c>
      <c r="U5" s="2240" t="s">
        <v>1442</v>
      </c>
      <c r="V5" s="2240" t="s">
        <v>1441</v>
      </c>
      <c r="W5" s="2240" t="s">
        <v>1442</v>
      </c>
      <c r="X5" s="2240" t="s">
        <v>481</v>
      </c>
      <c r="Y5" s="2240" t="s">
        <v>482</v>
      </c>
      <c r="Z5" s="2240" t="s">
        <v>490</v>
      </c>
      <c r="AA5" s="850" t="s">
        <v>491</v>
      </c>
      <c r="AB5" s="850" t="s">
        <v>492</v>
      </c>
    </row>
    <row r="6" spans="1:28" ht="14.25" customHeight="1">
      <c r="A6" s="851">
        <v>1</v>
      </c>
      <c r="B6" s="2670" t="s">
        <v>587</v>
      </c>
      <c r="C6" s="2673" t="s">
        <v>1406</v>
      </c>
      <c r="D6" s="2700" t="s">
        <v>1686</v>
      </c>
      <c r="E6" s="852" t="s">
        <v>1407</v>
      </c>
      <c r="F6" s="940"/>
      <c r="G6" s="940"/>
      <c r="H6" s="940"/>
      <c r="I6" s="940"/>
      <c r="J6" s="941"/>
      <c r="K6" s="941"/>
      <c r="L6" s="941"/>
      <c r="M6" s="941"/>
      <c r="N6" s="941"/>
      <c r="O6" s="941"/>
      <c r="P6" s="942"/>
      <c r="Q6" s="941"/>
      <c r="R6" s="941"/>
      <c r="S6" s="941"/>
      <c r="T6" s="941"/>
      <c r="U6" s="942"/>
      <c r="V6" s="941"/>
      <c r="W6" s="942"/>
      <c r="X6" s="941"/>
      <c r="Y6" s="943"/>
      <c r="Z6" s="944"/>
      <c r="AA6" s="944"/>
      <c r="AB6" s="945"/>
    </row>
    <row r="7" spans="1:28">
      <c r="A7" s="858">
        <v>2</v>
      </c>
      <c r="B7" s="2671"/>
      <c r="C7" s="2674"/>
      <c r="D7" s="2703"/>
      <c r="E7" s="946"/>
      <c r="F7" s="947"/>
      <c r="G7" s="947"/>
      <c r="H7" s="947"/>
      <c r="I7" s="947"/>
      <c r="J7" s="948"/>
      <c r="K7" s="948"/>
      <c r="L7" s="948"/>
      <c r="M7" s="948"/>
      <c r="N7" s="948"/>
      <c r="O7" s="948"/>
      <c r="P7" s="949"/>
      <c r="Q7" s="948"/>
      <c r="R7" s="948"/>
      <c r="S7" s="948"/>
      <c r="T7" s="948"/>
      <c r="U7" s="949"/>
      <c r="V7" s="948"/>
      <c r="W7" s="949"/>
      <c r="X7" s="948"/>
      <c r="Y7" s="950"/>
      <c r="Z7" s="951"/>
      <c r="AA7" s="951"/>
      <c r="AB7" s="952"/>
    </row>
    <row r="8" spans="1:28">
      <c r="A8" s="858">
        <v>3</v>
      </c>
      <c r="B8" s="2671"/>
      <c r="C8" s="2674"/>
      <c r="D8" s="2703"/>
      <c r="E8" s="946"/>
      <c r="F8" s="947"/>
      <c r="G8" s="947"/>
      <c r="H8" s="947"/>
      <c r="I8" s="947"/>
      <c r="J8" s="948"/>
      <c r="K8" s="948"/>
      <c r="L8" s="948"/>
      <c r="M8" s="948"/>
      <c r="N8" s="948"/>
      <c r="O8" s="948"/>
      <c r="P8" s="949"/>
      <c r="Q8" s="948"/>
      <c r="R8" s="948"/>
      <c r="S8" s="948"/>
      <c r="T8" s="948"/>
      <c r="U8" s="949"/>
      <c r="V8" s="948"/>
      <c r="W8" s="949"/>
      <c r="X8" s="948"/>
      <c r="Y8" s="950"/>
      <c r="Z8" s="951"/>
      <c r="AA8" s="951"/>
      <c r="AB8" s="952"/>
    </row>
    <row r="9" spans="1:28">
      <c r="A9" s="858">
        <v>4</v>
      </c>
      <c r="B9" s="2671"/>
      <c r="C9" s="2674"/>
      <c r="D9" s="2703"/>
      <c r="E9" s="946"/>
      <c r="F9" s="947"/>
      <c r="G9" s="947"/>
      <c r="H9" s="947"/>
      <c r="I9" s="947"/>
      <c r="J9" s="948"/>
      <c r="K9" s="948"/>
      <c r="L9" s="948"/>
      <c r="M9" s="948"/>
      <c r="N9" s="948"/>
      <c r="O9" s="948"/>
      <c r="P9" s="949"/>
      <c r="Q9" s="948"/>
      <c r="R9" s="948"/>
      <c r="S9" s="948"/>
      <c r="T9" s="948"/>
      <c r="U9" s="949"/>
      <c r="V9" s="948"/>
      <c r="W9" s="949"/>
      <c r="X9" s="948"/>
      <c r="Y9" s="950"/>
      <c r="Z9" s="951"/>
      <c r="AA9" s="951"/>
      <c r="AB9" s="952"/>
    </row>
    <row r="10" spans="1:28">
      <c r="A10" s="858">
        <v>5</v>
      </c>
      <c r="B10" s="2671"/>
      <c r="C10" s="2674"/>
      <c r="D10" s="2703"/>
      <c r="E10" s="946"/>
      <c r="F10" s="947"/>
      <c r="G10" s="947"/>
      <c r="H10" s="947"/>
      <c r="I10" s="947"/>
      <c r="J10" s="948"/>
      <c r="K10" s="948"/>
      <c r="L10" s="948"/>
      <c r="M10" s="948"/>
      <c r="N10" s="948"/>
      <c r="O10" s="948"/>
      <c r="P10" s="949"/>
      <c r="Q10" s="948"/>
      <c r="R10" s="948"/>
      <c r="S10" s="948"/>
      <c r="T10" s="948"/>
      <c r="U10" s="949"/>
      <c r="V10" s="948"/>
      <c r="W10" s="949"/>
      <c r="X10" s="948"/>
      <c r="Y10" s="950"/>
      <c r="Z10" s="951"/>
      <c r="AA10" s="951"/>
      <c r="AB10" s="952"/>
    </row>
    <row r="11" spans="1:28">
      <c r="A11" s="858">
        <v>6</v>
      </c>
      <c r="B11" s="2671"/>
      <c r="C11" s="2674"/>
      <c r="D11" s="2703"/>
      <c r="E11" s="946"/>
      <c r="F11" s="947"/>
      <c r="G11" s="947"/>
      <c r="H11" s="947"/>
      <c r="I11" s="947"/>
      <c r="J11" s="948"/>
      <c r="K11" s="948"/>
      <c r="L11" s="948"/>
      <c r="M11" s="948"/>
      <c r="N11" s="948"/>
      <c r="O11" s="948"/>
      <c r="P11" s="949"/>
      <c r="Q11" s="948"/>
      <c r="R11" s="948"/>
      <c r="S11" s="948"/>
      <c r="T11" s="948"/>
      <c r="U11" s="949"/>
      <c r="V11" s="948"/>
      <c r="W11" s="949"/>
      <c r="X11" s="948"/>
      <c r="Y11" s="950"/>
      <c r="Z11" s="951"/>
      <c r="AA11" s="951"/>
      <c r="AB11" s="952"/>
    </row>
    <row r="12" spans="1:28">
      <c r="A12" s="858">
        <v>7</v>
      </c>
      <c r="B12" s="2671"/>
      <c r="C12" s="2674"/>
      <c r="D12" s="2703"/>
      <c r="E12" s="946"/>
      <c r="F12" s="947"/>
      <c r="G12" s="947"/>
      <c r="H12" s="947"/>
      <c r="I12" s="947"/>
      <c r="J12" s="948"/>
      <c r="K12" s="948"/>
      <c r="L12" s="948"/>
      <c r="M12" s="948"/>
      <c r="N12" s="948"/>
      <c r="O12" s="948"/>
      <c r="P12" s="949"/>
      <c r="Q12" s="948"/>
      <c r="R12" s="948"/>
      <c r="S12" s="948"/>
      <c r="T12" s="948"/>
      <c r="U12" s="949"/>
      <c r="V12" s="948"/>
      <c r="W12" s="949"/>
      <c r="X12" s="948"/>
      <c r="Y12" s="950"/>
      <c r="Z12" s="951"/>
      <c r="AA12" s="951"/>
      <c r="AB12" s="952"/>
    </row>
    <row r="13" spans="1:28">
      <c r="A13" s="858">
        <v>8</v>
      </c>
      <c r="B13" s="2671"/>
      <c r="C13" s="2674"/>
      <c r="D13" s="2703"/>
      <c r="E13" s="946"/>
      <c r="F13" s="947"/>
      <c r="G13" s="947"/>
      <c r="H13" s="947"/>
      <c r="I13" s="947"/>
      <c r="J13" s="948"/>
      <c r="K13" s="948"/>
      <c r="L13" s="948"/>
      <c r="M13" s="948"/>
      <c r="N13" s="948"/>
      <c r="O13" s="948"/>
      <c r="P13" s="949"/>
      <c r="Q13" s="948"/>
      <c r="R13" s="948"/>
      <c r="S13" s="948"/>
      <c r="T13" s="948"/>
      <c r="U13" s="949"/>
      <c r="V13" s="948"/>
      <c r="W13" s="949"/>
      <c r="X13" s="948"/>
      <c r="Y13" s="950"/>
      <c r="Z13" s="951"/>
      <c r="AA13" s="951"/>
      <c r="AB13" s="952"/>
    </row>
    <row r="14" spans="1:28">
      <c r="A14" s="858">
        <v>9</v>
      </c>
      <c r="B14" s="2671"/>
      <c r="C14" s="2674"/>
      <c r="D14" s="2703"/>
      <c r="E14" s="946"/>
      <c r="F14" s="947"/>
      <c r="G14" s="947"/>
      <c r="H14" s="947"/>
      <c r="I14" s="947"/>
      <c r="J14" s="948"/>
      <c r="K14" s="948"/>
      <c r="L14" s="948"/>
      <c r="M14" s="948"/>
      <c r="N14" s="948"/>
      <c r="O14" s="948"/>
      <c r="P14" s="949"/>
      <c r="Q14" s="948"/>
      <c r="R14" s="948"/>
      <c r="S14" s="948"/>
      <c r="T14" s="948"/>
      <c r="U14" s="949"/>
      <c r="V14" s="948"/>
      <c r="W14" s="949"/>
      <c r="X14" s="948"/>
      <c r="Y14" s="950"/>
      <c r="Z14" s="951"/>
      <c r="AA14" s="951"/>
      <c r="AB14" s="952"/>
    </row>
    <row r="15" spans="1:28">
      <c r="A15" s="858">
        <v>10</v>
      </c>
      <c r="B15" s="2671"/>
      <c r="C15" s="2674"/>
      <c r="D15" s="2703"/>
      <c r="E15" s="946"/>
      <c r="F15" s="947"/>
      <c r="G15" s="947"/>
      <c r="H15" s="947"/>
      <c r="I15" s="947"/>
      <c r="J15" s="948"/>
      <c r="K15" s="948"/>
      <c r="L15" s="948"/>
      <c r="M15" s="948"/>
      <c r="N15" s="948"/>
      <c r="O15" s="948"/>
      <c r="P15" s="949"/>
      <c r="Q15" s="948"/>
      <c r="R15" s="948"/>
      <c r="S15" s="948"/>
      <c r="T15" s="948"/>
      <c r="U15" s="949"/>
      <c r="V15" s="948"/>
      <c r="W15" s="949"/>
      <c r="X15" s="948"/>
      <c r="Y15" s="950"/>
      <c r="Z15" s="951"/>
      <c r="AA15" s="951"/>
      <c r="AB15" s="952"/>
    </row>
    <row r="16" spans="1:28">
      <c r="A16" s="858">
        <v>11</v>
      </c>
      <c r="B16" s="2671"/>
      <c r="C16" s="2674"/>
      <c r="D16" s="2703"/>
      <c r="E16" s="946"/>
      <c r="F16" s="947"/>
      <c r="G16" s="947"/>
      <c r="H16" s="947"/>
      <c r="I16" s="947"/>
      <c r="J16" s="948"/>
      <c r="K16" s="948"/>
      <c r="L16" s="948"/>
      <c r="M16" s="948"/>
      <c r="N16" s="948"/>
      <c r="O16" s="948"/>
      <c r="P16" s="949"/>
      <c r="Q16" s="948"/>
      <c r="R16" s="948"/>
      <c r="S16" s="948"/>
      <c r="T16" s="948"/>
      <c r="U16" s="949"/>
      <c r="V16" s="948"/>
      <c r="W16" s="949"/>
      <c r="X16" s="948"/>
      <c r="Y16" s="950"/>
      <c r="Z16" s="951"/>
      <c r="AA16" s="951"/>
      <c r="AB16" s="952"/>
    </row>
    <row r="17" spans="1:28">
      <c r="A17" s="858">
        <v>12</v>
      </c>
      <c r="B17" s="2671"/>
      <c r="C17" s="2674"/>
      <c r="D17" s="2703"/>
      <c r="E17" s="946"/>
      <c r="F17" s="947"/>
      <c r="G17" s="947"/>
      <c r="H17" s="947"/>
      <c r="I17" s="947"/>
      <c r="J17" s="948"/>
      <c r="K17" s="948"/>
      <c r="L17" s="948"/>
      <c r="M17" s="948"/>
      <c r="N17" s="948"/>
      <c r="O17" s="948"/>
      <c r="P17" s="949"/>
      <c r="Q17" s="948"/>
      <c r="R17" s="948"/>
      <c r="S17" s="948"/>
      <c r="T17" s="948"/>
      <c r="U17" s="949"/>
      <c r="V17" s="948"/>
      <c r="W17" s="949"/>
      <c r="X17" s="948"/>
      <c r="Y17" s="950"/>
      <c r="Z17" s="951"/>
      <c r="AA17" s="951"/>
      <c r="AB17" s="952"/>
    </row>
    <row r="18" spans="1:28" ht="14.25">
      <c r="A18" s="858">
        <v>13</v>
      </c>
      <c r="B18" s="2671"/>
      <c r="C18" s="2674"/>
      <c r="D18" s="2234" t="s">
        <v>588</v>
      </c>
      <c r="E18" s="953"/>
      <c r="F18" s="954"/>
      <c r="G18" s="954"/>
      <c r="H18" s="954"/>
      <c r="I18" s="954"/>
      <c r="J18" s="955"/>
      <c r="K18" s="955"/>
      <c r="L18" s="955"/>
      <c r="M18" s="948">
        <f>SUM(M6:M17)</f>
        <v>0</v>
      </c>
      <c r="N18" s="948">
        <f>SUM(N6:N17)</f>
        <v>0</v>
      </c>
      <c r="O18" s="948">
        <f>SUM(O6:O17)</f>
        <v>0</v>
      </c>
      <c r="P18" s="948">
        <f>SUM(P6:P17)</f>
        <v>0</v>
      </c>
      <c r="Q18" s="955"/>
      <c r="R18" s="948">
        <f>SUM(R6:R17)</f>
        <v>0</v>
      </c>
      <c r="S18" s="955"/>
      <c r="T18" s="948">
        <f>SUM(T6:T17)</f>
        <v>0</v>
      </c>
      <c r="U18" s="948">
        <f>SUM(U6:U17)</f>
        <v>0</v>
      </c>
      <c r="V18" s="948">
        <f>SUM(V6:V17)</f>
        <v>0</v>
      </c>
      <c r="W18" s="948">
        <f>SUM(W6:W17)</f>
        <v>0</v>
      </c>
      <c r="X18" s="955"/>
      <c r="Y18" s="956"/>
      <c r="Z18" s="956"/>
      <c r="AA18" s="956"/>
      <c r="AB18" s="1001"/>
    </row>
    <row r="19" spans="1:28" ht="13.5" customHeight="1">
      <c r="A19" s="858">
        <v>14</v>
      </c>
      <c r="B19" s="2671"/>
      <c r="C19" s="2674"/>
      <c r="D19" s="2716" t="s">
        <v>1687</v>
      </c>
      <c r="E19" s="946"/>
      <c r="F19" s="947"/>
      <c r="G19" s="947"/>
      <c r="H19" s="947"/>
      <c r="I19" s="947"/>
      <c r="J19" s="948"/>
      <c r="K19" s="948"/>
      <c r="L19" s="948"/>
      <c r="M19" s="948"/>
      <c r="N19" s="948"/>
      <c r="O19" s="948"/>
      <c r="P19" s="949"/>
      <c r="Q19" s="948"/>
      <c r="R19" s="948"/>
      <c r="S19" s="948"/>
      <c r="T19" s="948"/>
      <c r="U19" s="949"/>
      <c r="V19" s="948"/>
      <c r="W19" s="949"/>
      <c r="X19" s="948"/>
      <c r="Y19" s="950"/>
      <c r="Z19" s="951"/>
      <c r="AA19" s="951"/>
      <c r="AB19" s="952"/>
    </row>
    <row r="20" spans="1:28">
      <c r="A20" s="858">
        <v>15</v>
      </c>
      <c r="B20" s="2671"/>
      <c r="C20" s="2674"/>
      <c r="D20" s="2703"/>
      <c r="E20" s="946"/>
      <c r="F20" s="947"/>
      <c r="G20" s="947"/>
      <c r="H20" s="947"/>
      <c r="I20" s="947"/>
      <c r="J20" s="948"/>
      <c r="K20" s="948"/>
      <c r="L20" s="948"/>
      <c r="M20" s="948"/>
      <c r="N20" s="948"/>
      <c r="O20" s="948"/>
      <c r="P20" s="949"/>
      <c r="Q20" s="948"/>
      <c r="R20" s="948"/>
      <c r="S20" s="948"/>
      <c r="T20" s="948"/>
      <c r="U20" s="949"/>
      <c r="V20" s="948"/>
      <c r="W20" s="949"/>
      <c r="X20" s="948"/>
      <c r="Y20" s="950"/>
      <c r="Z20" s="951"/>
      <c r="AA20" s="951"/>
      <c r="AB20" s="952"/>
    </row>
    <row r="21" spans="1:28">
      <c r="A21" s="858">
        <v>16</v>
      </c>
      <c r="B21" s="2671"/>
      <c r="C21" s="2674"/>
      <c r="D21" s="2703"/>
      <c r="E21" s="946"/>
      <c r="F21" s="947"/>
      <c r="G21" s="947"/>
      <c r="H21" s="947"/>
      <c r="I21" s="947"/>
      <c r="J21" s="948"/>
      <c r="K21" s="948"/>
      <c r="L21" s="948"/>
      <c r="M21" s="948"/>
      <c r="N21" s="948"/>
      <c r="O21" s="948"/>
      <c r="P21" s="949"/>
      <c r="Q21" s="948"/>
      <c r="R21" s="948"/>
      <c r="S21" s="948"/>
      <c r="T21" s="948"/>
      <c r="U21" s="949"/>
      <c r="V21" s="948"/>
      <c r="W21" s="949"/>
      <c r="X21" s="948"/>
      <c r="Y21" s="950"/>
      <c r="Z21" s="951"/>
      <c r="AA21" s="951"/>
      <c r="AB21" s="952"/>
    </row>
    <row r="22" spans="1:28">
      <c r="A22" s="858">
        <v>17</v>
      </c>
      <c r="B22" s="2671"/>
      <c r="C22" s="2674"/>
      <c r="D22" s="2703"/>
      <c r="E22" s="946"/>
      <c r="F22" s="947"/>
      <c r="G22" s="947"/>
      <c r="H22" s="947"/>
      <c r="I22" s="947"/>
      <c r="J22" s="948"/>
      <c r="K22" s="948"/>
      <c r="L22" s="948"/>
      <c r="M22" s="948"/>
      <c r="N22" s="948"/>
      <c r="O22" s="948"/>
      <c r="P22" s="949"/>
      <c r="Q22" s="948"/>
      <c r="R22" s="948"/>
      <c r="S22" s="948"/>
      <c r="T22" s="948"/>
      <c r="U22" s="949"/>
      <c r="V22" s="948"/>
      <c r="W22" s="949"/>
      <c r="X22" s="948"/>
      <c r="Y22" s="950"/>
      <c r="Z22" s="951"/>
      <c r="AA22" s="951"/>
      <c r="AB22" s="952"/>
    </row>
    <row r="23" spans="1:28">
      <c r="A23" s="858">
        <v>18</v>
      </c>
      <c r="B23" s="2671"/>
      <c r="C23" s="2674"/>
      <c r="D23" s="2703"/>
      <c r="E23" s="946"/>
      <c r="F23" s="947"/>
      <c r="G23" s="947"/>
      <c r="H23" s="947"/>
      <c r="I23" s="947"/>
      <c r="J23" s="948"/>
      <c r="K23" s="948"/>
      <c r="L23" s="948"/>
      <c r="M23" s="948"/>
      <c r="N23" s="948"/>
      <c r="O23" s="948"/>
      <c r="P23" s="949"/>
      <c r="Q23" s="948"/>
      <c r="R23" s="948"/>
      <c r="S23" s="948"/>
      <c r="T23" s="948"/>
      <c r="U23" s="949"/>
      <c r="V23" s="948"/>
      <c r="W23" s="949"/>
      <c r="X23" s="948"/>
      <c r="Y23" s="950"/>
      <c r="Z23" s="951"/>
      <c r="AA23" s="951"/>
      <c r="AB23" s="952"/>
    </row>
    <row r="24" spans="1:28">
      <c r="A24" s="858">
        <v>19</v>
      </c>
      <c r="B24" s="2671"/>
      <c r="C24" s="2674"/>
      <c r="D24" s="2703"/>
      <c r="E24" s="946"/>
      <c r="F24" s="947"/>
      <c r="G24" s="947"/>
      <c r="H24" s="947"/>
      <c r="I24" s="947"/>
      <c r="J24" s="948"/>
      <c r="K24" s="948"/>
      <c r="L24" s="948"/>
      <c r="M24" s="948"/>
      <c r="N24" s="948"/>
      <c r="O24" s="948"/>
      <c r="P24" s="949"/>
      <c r="Q24" s="948"/>
      <c r="R24" s="948"/>
      <c r="S24" s="948"/>
      <c r="T24" s="948"/>
      <c r="U24" s="949"/>
      <c r="V24" s="948"/>
      <c r="W24" s="949"/>
      <c r="X24" s="948"/>
      <c r="Y24" s="950"/>
      <c r="Z24" s="951"/>
      <c r="AA24" s="951"/>
      <c r="AB24" s="952"/>
    </row>
    <row r="25" spans="1:28">
      <c r="A25" s="858">
        <v>20</v>
      </c>
      <c r="B25" s="2671"/>
      <c r="C25" s="2674"/>
      <c r="D25" s="2703"/>
      <c r="E25" s="946"/>
      <c r="F25" s="947"/>
      <c r="G25" s="947"/>
      <c r="H25" s="947"/>
      <c r="I25" s="947"/>
      <c r="J25" s="948"/>
      <c r="K25" s="948"/>
      <c r="L25" s="948"/>
      <c r="M25" s="948"/>
      <c r="N25" s="948"/>
      <c r="O25" s="948"/>
      <c r="P25" s="949"/>
      <c r="Q25" s="948"/>
      <c r="R25" s="948"/>
      <c r="S25" s="948"/>
      <c r="T25" s="948"/>
      <c r="U25" s="949"/>
      <c r="V25" s="948"/>
      <c r="W25" s="949"/>
      <c r="X25" s="948"/>
      <c r="Y25" s="950"/>
      <c r="Z25" s="951"/>
      <c r="AA25" s="951"/>
      <c r="AB25" s="952"/>
    </row>
    <row r="26" spans="1:28">
      <c r="A26" s="858">
        <v>21</v>
      </c>
      <c r="B26" s="2671"/>
      <c r="C26" s="2674"/>
      <c r="D26" s="2703"/>
      <c r="E26" s="946"/>
      <c r="F26" s="947"/>
      <c r="G26" s="947"/>
      <c r="H26" s="947"/>
      <c r="I26" s="947"/>
      <c r="J26" s="948"/>
      <c r="K26" s="948"/>
      <c r="L26" s="948"/>
      <c r="M26" s="948"/>
      <c r="N26" s="948"/>
      <c r="O26" s="948"/>
      <c r="P26" s="949"/>
      <c r="Q26" s="948"/>
      <c r="R26" s="948"/>
      <c r="S26" s="948"/>
      <c r="T26" s="948"/>
      <c r="U26" s="949"/>
      <c r="V26" s="948"/>
      <c r="W26" s="949"/>
      <c r="X26" s="948"/>
      <c r="Y26" s="950"/>
      <c r="Z26" s="951"/>
      <c r="AA26" s="951"/>
      <c r="AB26" s="952"/>
    </row>
    <row r="27" spans="1:28">
      <c r="A27" s="858">
        <v>22</v>
      </c>
      <c r="B27" s="2671"/>
      <c r="C27" s="2674"/>
      <c r="D27" s="2703"/>
      <c r="E27" s="946"/>
      <c r="F27" s="947"/>
      <c r="G27" s="947"/>
      <c r="H27" s="947"/>
      <c r="I27" s="947"/>
      <c r="J27" s="948"/>
      <c r="K27" s="948"/>
      <c r="L27" s="948"/>
      <c r="M27" s="948"/>
      <c r="N27" s="948"/>
      <c r="O27" s="948"/>
      <c r="P27" s="949"/>
      <c r="Q27" s="948"/>
      <c r="R27" s="948"/>
      <c r="S27" s="948"/>
      <c r="T27" s="948"/>
      <c r="U27" s="949"/>
      <c r="V27" s="948"/>
      <c r="W27" s="949"/>
      <c r="X27" s="948"/>
      <c r="Y27" s="950"/>
      <c r="Z27" s="951"/>
      <c r="AA27" s="951"/>
      <c r="AB27" s="952"/>
    </row>
    <row r="28" spans="1:28">
      <c r="A28" s="858">
        <v>23</v>
      </c>
      <c r="B28" s="2671"/>
      <c r="C28" s="2674"/>
      <c r="D28" s="2703"/>
      <c r="E28" s="946"/>
      <c r="F28" s="947"/>
      <c r="G28" s="947"/>
      <c r="H28" s="947"/>
      <c r="I28" s="947"/>
      <c r="J28" s="948"/>
      <c r="K28" s="948"/>
      <c r="L28" s="948"/>
      <c r="M28" s="948"/>
      <c r="N28" s="948"/>
      <c r="O28" s="948"/>
      <c r="P28" s="949"/>
      <c r="Q28" s="948"/>
      <c r="R28" s="948"/>
      <c r="S28" s="948"/>
      <c r="T28" s="948"/>
      <c r="U28" s="949"/>
      <c r="V28" s="948"/>
      <c r="W28" s="949"/>
      <c r="X28" s="948"/>
      <c r="Y28" s="950"/>
      <c r="Z28" s="951"/>
      <c r="AA28" s="951"/>
      <c r="AB28" s="952"/>
    </row>
    <row r="29" spans="1:28">
      <c r="A29" s="858">
        <v>24</v>
      </c>
      <c r="B29" s="2671"/>
      <c r="C29" s="2674"/>
      <c r="D29" s="2703"/>
      <c r="E29" s="946"/>
      <c r="F29" s="947"/>
      <c r="G29" s="947"/>
      <c r="H29" s="947"/>
      <c r="I29" s="947"/>
      <c r="J29" s="948"/>
      <c r="K29" s="948"/>
      <c r="L29" s="948"/>
      <c r="M29" s="948"/>
      <c r="N29" s="948"/>
      <c r="O29" s="948"/>
      <c r="P29" s="949"/>
      <c r="Q29" s="948"/>
      <c r="R29" s="948"/>
      <c r="S29" s="948"/>
      <c r="T29" s="948"/>
      <c r="U29" s="949"/>
      <c r="V29" s="948"/>
      <c r="W29" s="949"/>
      <c r="X29" s="948"/>
      <c r="Y29" s="950"/>
      <c r="Z29" s="951"/>
      <c r="AA29" s="951"/>
      <c r="AB29" s="952"/>
    </row>
    <row r="30" spans="1:28">
      <c r="A30" s="858">
        <v>25</v>
      </c>
      <c r="B30" s="2671"/>
      <c r="C30" s="2674"/>
      <c r="D30" s="2703"/>
      <c r="E30" s="946"/>
      <c r="F30" s="947"/>
      <c r="G30" s="947"/>
      <c r="H30" s="947"/>
      <c r="I30" s="947"/>
      <c r="J30" s="948"/>
      <c r="K30" s="948"/>
      <c r="L30" s="948"/>
      <c r="M30" s="948"/>
      <c r="N30" s="948"/>
      <c r="O30" s="948"/>
      <c r="P30" s="949"/>
      <c r="Q30" s="948"/>
      <c r="R30" s="948"/>
      <c r="S30" s="948"/>
      <c r="T30" s="948"/>
      <c r="U30" s="949"/>
      <c r="V30" s="948"/>
      <c r="W30" s="949"/>
      <c r="X30" s="948"/>
      <c r="Y30" s="950"/>
      <c r="Z30" s="951"/>
      <c r="AA30" s="951"/>
      <c r="AB30" s="952"/>
    </row>
    <row r="31" spans="1:28" ht="15" thickBot="1">
      <c r="A31" s="858">
        <v>26</v>
      </c>
      <c r="B31" s="2671"/>
      <c r="C31" s="2675"/>
      <c r="D31" s="869" t="s">
        <v>588</v>
      </c>
      <c r="E31" s="958"/>
      <c r="F31" s="958"/>
      <c r="G31" s="958"/>
      <c r="H31" s="958"/>
      <c r="I31" s="958"/>
      <c r="J31" s="958"/>
      <c r="K31" s="958"/>
      <c r="L31" s="959"/>
      <c r="M31" s="960">
        <f>SUM(M19:M30)</f>
        <v>0</v>
      </c>
      <c r="N31" s="960">
        <f>SUM(N19:N30)</f>
        <v>0</v>
      </c>
      <c r="O31" s="960">
        <f>SUM(O19:O30)</f>
        <v>0</v>
      </c>
      <c r="P31" s="960">
        <f>SUM(P19:P30)</f>
        <v>0</v>
      </c>
      <c r="Q31" s="959"/>
      <c r="R31" s="960">
        <f>SUM(R19:R30)</f>
        <v>0</v>
      </c>
      <c r="S31" s="955"/>
      <c r="T31" s="960">
        <f>SUM(T19:T30)</f>
        <v>0</v>
      </c>
      <c r="U31" s="960">
        <f>SUM(U19:U30)</f>
        <v>0</v>
      </c>
      <c r="V31" s="960">
        <f>SUM(V19:V30)</f>
        <v>0</v>
      </c>
      <c r="W31" s="960">
        <f>SUM(W19:W30)</f>
        <v>0</v>
      </c>
      <c r="X31" s="959"/>
      <c r="Y31" s="959"/>
      <c r="Z31" s="959"/>
      <c r="AA31" s="959"/>
      <c r="AB31" s="1001"/>
    </row>
    <row r="32" spans="1:28" ht="16.5" customHeight="1">
      <c r="A32" s="858">
        <v>27</v>
      </c>
      <c r="B32" s="2671"/>
      <c r="C32" s="2673" t="s">
        <v>1409</v>
      </c>
      <c r="D32" s="2700" t="s">
        <v>1686</v>
      </c>
      <c r="E32" s="962"/>
      <c r="F32" s="940"/>
      <c r="G32" s="940"/>
      <c r="H32" s="940"/>
      <c r="I32" s="940"/>
      <c r="J32" s="941"/>
      <c r="K32" s="941"/>
      <c r="L32" s="941"/>
      <c r="M32" s="941"/>
      <c r="N32" s="941"/>
      <c r="O32" s="941"/>
      <c r="P32" s="942"/>
      <c r="Q32" s="941"/>
      <c r="R32" s="941"/>
      <c r="S32" s="941"/>
      <c r="T32" s="941"/>
      <c r="U32" s="942"/>
      <c r="V32" s="941"/>
      <c r="W32" s="942"/>
      <c r="X32" s="941"/>
      <c r="Y32" s="943"/>
      <c r="Z32" s="944"/>
      <c r="AA32" s="944"/>
      <c r="AB32" s="963"/>
    </row>
    <row r="33" spans="1:28">
      <c r="A33" s="858">
        <v>28</v>
      </c>
      <c r="B33" s="2671"/>
      <c r="C33" s="2674"/>
      <c r="D33" s="2703"/>
      <c r="E33" s="946"/>
      <c r="F33" s="947"/>
      <c r="G33" s="947"/>
      <c r="H33" s="947"/>
      <c r="I33" s="947"/>
      <c r="J33" s="948"/>
      <c r="K33" s="948"/>
      <c r="L33" s="948"/>
      <c r="M33" s="948"/>
      <c r="N33" s="948"/>
      <c r="O33" s="948"/>
      <c r="P33" s="949"/>
      <c r="Q33" s="948"/>
      <c r="R33" s="948"/>
      <c r="S33" s="948"/>
      <c r="T33" s="948"/>
      <c r="U33" s="949"/>
      <c r="V33" s="948"/>
      <c r="W33" s="949"/>
      <c r="X33" s="948"/>
      <c r="Y33" s="950"/>
      <c r="Z33" s="951"/>
      <c r="AA33" s="951"/>
      <c r="AB33" s="952"/>
    </row>
    <row r="34" spans="1:28">
      <c r="A34" s="858">
        <v>29</v>
      </c>
      <c r="B34" s="2671"/>
      <c r="C34" s="2674"/>
      <c r="D34" s="2703"/>
      <c r="E34" s="946"/>
      <c r="F34" s="947"/>
      <c r="G34" s="947"/>
      <c r="H34" s="947"/>
      <c r="I34" s="947"/>
      <c r="J34" s="948"/>
      <c r="K34" s="948"/>
      <c r="L34" s="948"/>
      <c r="M34" s="948"/>
      <c r="N34" s="948"/>
      <c r="O34" s="948"/>
      <c r="P34" s="949"/>
      <c r="Q34" s="948"/>
      <c r="R34" s="948"/>
      <c r="S34" s="948"/>
      <c r="T34" s="948"/>
      <c r="U34" s="949"/>
      <c r="V34" s="948"/>
      <c r="W34" s="949"/>
      <c r="X34" s="948"/>
      <c r="Y34" s="950"/>
      <c r="Z34" s="951"/>
      <c r="AA34" s="951"/>
      <c r="AB34" s="952"/>
    </row>
    <row r="35" spans="1:28">
      <c r="A35" s="858">
        <v>30</v>
      </c>
      <c r="B35" s="2671"/>
      <c r="C35" s="2674"/>
      <c r="D35" s="2703"/>
      <c r="E35" s="946"/>
      <c r="F35" s="947"/>
      <c r="G35" s="947"/>
      <c r="H35" s="947"/>
      <c r="I35" s="947"/>
      <c r="J35" s="948"/>
      <c r="K35" s="948"/>
      <c r="L35" s="948"/>
      <c r="M35" s="948"/>
      <c r="N35" s="948"/>
      <c r="O35" s="948"/>
      <c r="P35" s="949"/>
      <c r="Q35" s="948"/>
      <c r="R35" s="948"/>
      <c r="S35" s="948"/>
      <c r="T35" s="948"/>
      <c r="U35" s="949"/>
      <c r="V35" s="948"/>
      <c r="W35" s="949"/>
      <c r="X35" s="948"/>
      <c r="Y35" s="950"/>
      <c r="Z35" s="951"/>
      <c r="AA35" s="951"/>
      <c r="AB35" s="952"/>
    </row>
    <row r="36" spans="1:28">
      <c r="A36" s="858">
        <v>31</v>
      </c>
      <c r="B36" s="2671"/>
      <c r="C36" s="2674"/>
      <c r="D36" s="2703"/>
      <c r="E36" s="946"/>
      <c r="F36" s="947"/>
      <c r="G36" s="947"/>
      <c r="H36" s="947"/>
      <c r="I36" s="947"/>
      <c r="J36" s="948"/>
      <c r="K36" s="948"/>
      <c r="L36" s="948"/>
      <c r="M36" s="948"/>
      <c r="N36" s="948"/>
      <c r="O36" s="948"/>
      <c r="P36" s="949"/>
      <c r="Q36" s="948"/>
      <c r="R36" s="948"/>
      <c r="S36" s="948"/>
      <c r="T36" s="948"/>
      <c r="U36" s="949"/>
      <c r="V36" s="948"/>
      <c r="W36" s="949"/>
      <c r="X36" s="948"/>
      <c r="Y36" s="950"/>
      <c r="Z36" s="951"/>
      <c r="AA36" s="951"/>
      <c r="AB36" s="952"/>
    </row>
    <row r="37" spans="1:28">
      <c r="A37" s="858">
        <v>32</v>
      </c>
      <c r="B37" s="2671"/>
      <c r="C37" s="2674"/>
      <c r="D37" s="2703"/>
      <c r="E37" s="946"/>
      <c r="F37" s="947"/>
      <c r="G37" s="947"/>
      <c r="H37" s="947"/>
      <c r="I37" s="947"/>
      <c r="J37" s="948"/>
      <c r="K37" s="948"/>
      <c r="L37" s="948"/>
      <c r="M37" s="948"/>
      <c r="N37" s="948"/>
      <c r="O37" s="948"/>
      <c r="P37" s="949"/>
      <c r="Q37" s="948"/>
      <c r="R37" s="948"/>
      <c r="S37" s="948"/>
      <c r="T37" s="948"/>
      <c r="U37" s="949"/>
      <c r="V37" s="948"/>
      <c r="W37" s="949"/>
      <c r="X37" s="948"/>
      <c r="Y37" s="950"/>
      <c r="Z37" s="951"/>
      <c r="AA37" s="951"/>
      <c r="AB37" s="952"/>
    </row>
    <row r="38" spans="1:28">
      <c r="A38" s="858">
        <v>33</v>
      </c>
      <c r="B38" s="2671"/>
      <c r="C38" s="2674"/>
      <c r="D38" s="2703"/>
      <c r="E38" s="946"/>
      <c r="F38" s="947"/>
      <c r="G38" s="947"/>
      <c r="H38" s="947"/>
      <c r="I38" s="947"/>
      <c r="J38" s="948"/>
      <c r="K38" s="948"/>
      <c r="L38" s="948"/>
      <c r="M38" s="948"/>
      <c r="N38" s="948"/>
      <c r="O38" s="948"/>
      <c r="P38" s="949"/>
      <c r="Q38" s="948"/>
      <c r="R38" s="948"/>
      <c r="S38" s="948"/>
      <c r="T38" s="948"/>
      <c r="U38" s="949"/>
      <c r="V38" s="948"/>
      <c r="W38" s="949"/>
      <c r="X38" s="948"/>
      <c r="Y38" s="950"/>
      <c r="Z38" s="951"/>
      <c r="AA38" s="951"/>
      <c r="AB38" s="952"/>
    </row>
    <row r="39" spans="1:28">
      <c r="A39" s="858">
        <v>34</v>
      </c>
      <c r="B39" s="2671"/>
      <c r="C39" s="2674"/>
      <c r="D39" s="2703"/>
      <c r="E39" s="946"/>
      <c r="F39" s="947"/>
      <c r="G39" s="947"/>
      <c r="H39" s="947"/>
      <c r="I39" s="947"/>
      <c r="J39" s="948"/>
      <c r="K39" s="948"/>
      <c r="L39" s="948"/>
      <c r="M39" s="948"/>
      <c r="N39" s="948"/>
      <c r="O39" s="948"/>
      <c r="P39" s="949"/>
      <c r="Q39" s="948"/>
      <c r="R39" s="948"/>
      <c r="S39" s="948"/>
      <c r="T39" s="948"/>
      <c r="U39" s="949"/>
      <c r="V39" s="948"/>
      <c r="W39" s="949"/>
      <c r="X39" s="948"/>
      <c r="Y39" s="950"/>
      <c r="Z39" s="951"/>
      <c r="AA39" s="951"/>
      <c r="AB39" s="952"/>
    </row>
    <row r="40" spans="1:28">
      <c r="A40" s="858">
        <v>35</v>
      </c>
      <c r="B40" s="2671"/>
      <c r="C40" s="2674"/>
      <c r="D40" s="2703"/>
      <c r="E40" s="946"/>
      <c r="F40" s="947"/>
      <c r="G40" s="947"/>
      <c r="H40" s="947"/>
      <c r="I40" s="947"/>
      <c r="J40" s="948"/>
      <c r="K40" s="948"/>
      <c r="L40" s="948"/>
      <c r="M40" s="948"/>
      <c r="N40" s="948"/>
      <c r="O40" s="948"/>
      <c r="P40" s="949"/>
      <c r="Q40" s="948"/>
      <c r="R40" s="948"/>
      <c r="S40" s="948"/>
      <c r="T40" s="948"/>
      <c r="U40" s="949"/>
      <c r="V40" s="948"/>
      <c r="W40" s="949"/>
      <c r="X40" s="948"/>
      <c r="Y40" s="950"/>
      <c r="Z40" s="951"/>
      <c r="AA40" s="951"/>
      <c r="AB40" s="952"/>
    </row>
    <row r="41" spans="1:28">
      <c r="A41" s="858">
        <v>36</v>
      </c>
      <c r="B41" s="2671"/>
      <c r="C41" s="2674"/>
      <c r="D41" s="2703"/>
      <c r="E41" s="946"/>
      <c r="F41" s="947"/>
      <c r="G41" s="947"/>
      <c r="H41" s="947"/>
      <c r="I41" s="947"/>
      <c r="J41" s="948"/>
      <c r="K41" s="948"/>
      <c r="L41" s="948"/>
      <c r="M41" s="948"/>
      <c r="N41" s="948"/>
      <c r="O41" s="948"/>
      <c r="P41" s="949"/>
      <c r="Q41" s="948"/>
      <c r="R41" s="948"/>
      <c r="S41" s="948"/>
      <c r="T41" s="948"/>
      <c r="U41" s="949"/>
      <c r="V41" s="948"/>
      <c r="W41" s="949"/>
      <c r="X41" s="948"/>
      <c r="Y41" s="950"/>
      <c r="Z41" s="951"/>
      <c r="AA41" s="951"/>
      <c r="AB41" s="952"/>
    </row>
    <row r="42" spans="1:28" ht="14.25">
      <c r="A42" s="858">
        <v>37</v>
      </c>
      <c r="B42" s="2671"/>
      <c r="C42" s="2674"/>
      <c r="D42" s="2234" t="s">
        <v>588</v>
      </c>
      <c r="E42" s="955"/>
      <c r="F42" s="955"/>
      <c r="G42" s="955"/>
      <c r="H42" s="955"/>
      <c r="I42" s="955"/>
      <c r="J42" s="955"/>
      <c r="K42" s="955"/>
      <c r="L42" s="955"/>
      <c r="M42" s="948">
        <f>SUM(M32:M41)</f>
        <v>0</v>
      </c>
      <c r="N42" s="948">
        <f>SUM(N32:N41)</f>
        <v>0</v>
      </c>
      <c r="O42" s="948">
        <f>SUM(O32:O41)</f>
        <v>0</v>
      </c>
      <c r="P42" s="948">
        <f>SUM(P32:P41)</f>
        <v>0</v>
      </c>
      <c r="Q42" s="955"/>
      <c r="R42" s="948">
        <f>SUM(R32:R41)</f>
        <v>0</v>
      </c>
      <c r="S42" s="955"/>
      <c r="T42" s="948">
        <f>SUM(T32:T41)</f>
        <v>0</v>
      </c>
      <c r="U42" s="948">
        <f>SUM(U32:U41)</f>
        <v>0</v>
      </c>
      <c r="V42" s="948">
        <f>SUM(V32:V41)</f>
        <v>0</v>
      </c>
      <c r="W42" s="948">
        <f>SUM(W32:W41)</f>
        <v>0</v>
      </c>
      <c r="X42" s="955"/>
      <c r="Y42" s="956"/>
      <c r="Z42" s="956"/>
      <c r="AA42" s="956"/>
      <c r="AB42" s="1001"/>
    </row>
    <row r="43" spans="1:28" ht="13.5" customHeight="1">
      <c r="A43" s="858">
        <v>38</v>
      </c>
      <c r="B43" s="2671"/>
      <c r="C43" s="2674"/>
      <c r="D43" s="2703" t="s">
        <v>1687</v>
      </c>
      <c r="E43" s="946"/>
      <c r="F43" s="947"/>
      <c r="G43" s="947"/>
      <c r="H43" s="947"/>
      <c r="I43" s="947"/>
      <c r="J43" s="948"/>
      <c r="K43" s="948"/>
      <c r="L43" s="948"/>
      <c r="M43" s="948"/>
      <c r="N43" s="948"/>
      <c r="O43" s="948"/>
      <c r="P43" s="949"/>
      <c r="Q43" s="948"/>
      <c r="R43" s="948"/>
      <c r="S43" s="948"/>
      <c r="T43" s="948"/>
      <c r="U43" s="949"/>
      <c r="V43" s="948"/>
      <c r="W43" s="949"/>
      <c r="X43" s="948"/>
      <c r="Y43" s="950"/>
      <c r="Z43" s="951"/>
      <c r="AA43" s="951"/>
      <c r="AB43" s="952"/>
    </row>
    <row r="44" spans="1:28">
      <c r="A44" s="858">
        <v>39</v>
      </c>
      <c r="B44" s="2671"/>
      <c r="C44" s="2674"/>
      <c r="D44" s="2703"/>
      <c r="E44" s="946"/>
      <c r="F44" s="947"/>
      <c r="G44" s="947"/>
      <c r="H44" s="947"/>
      <c r="I44" s="947"/>
      <c r="J44" s="948"/>
      <c r="K44" s="948"/>
      <c r="L44" s="948"/>
      <c r="M44" s="948"/>
      <c r="N44" s="948"/>
      <c r="O44" s="948"/>
      <c r="P44" s="949"/>
      <c r="Q44" s="948"/>
      <c r="R44" s="948"/>
      <c r="S44" s="948"/>
      <c r="T44" s="948"/>
      <c r="U44" s="949"/>
      <c r="V44" s="948"/>
      <c r="W44" s="949"/>
      <c r="X44" s="948"/>
      <c r="Y44" s="950"/>
      <c r="Z44" s="951"/>
      <c r="AA44" s="951"/>
      <c r="AB44" s="952"/>
    </row>
    <row r="45" spans="1:28">
      <c r="A45" s="858">
        <v>40</v>
      </c>
      <c r="B45" s="2671"/>
      <c r="C45" s="2674"/>
      <c r="D45" s="2703"/>
      <c r="E45" s="946"/>
      <c r="F45" s="947"/>
      <c r="G45" s="947"/>
      <c r="H45" s="947"/>
      <c r="I45" s="947"/>
      <c r="J45" s="948"/>
      <c r="K45" s="948"/>
      <c r="L45" s="948"/>
      <c r="M45" s="948"/>
      <c r="N45" s="948"/>
      <c r="O45" s="948"/>
      <c r="P45" s="949"/>
      <c r="Q45" s="948"/>
      <c r="R45" s="948"/>
      <c r="S45" s="948"/>
      <c r="T45" s="948"/>
      <c r="U45" s="949"/>
      <c r="V45" s="948"/>
      <c r="W45" s="949"/>
      <c r="X45" s="948"/>
      <c r="Y45" s="950"/>
      <c r="Z45" s="951"/>
      <c r="AA45" s="951"/>
      <c r="AB45" s="952"/>
    </row>
    <row r="46" spans="1:28">
      <c r="A46" s="858">
        <v>41</v>
      </c>
      <c r="B46" s="2671"/>
      <c r="C46" s="2674"/>
      <c r="D46" s="2703"/>
      <c r="E46" s="946"/>
      <c r="F46" s="947"/>
      <c r="G46" s="947"/>
      <c r="H46" s="947"/>
      <c r="I46" s="947"/>
      <c r="J46" s="948"/>
      <c r="K46" s="948"/>
      <c r="L46" s="948"/>
      <c r="M46" s="948"/>
      <c r="N46" s="948"/>
      <c r="O46" s="948"/>
      <c r="P46" s="949"/>
      <c r="Q46" s="948"/>
      <c r="R46" s="948"/>
      <c r="S46" s="948"/>
      <c r="T46" s="948"/>
      <c r="U46" s="949"/>
      <c r="V46" s="948"/>
      <c r="W46" s="949"/>
      <c r="X46" s="948"/>
      <c r="Y46" s="950"/>
      <c r="Z46" s="951"/>
      <c r="AA46" s="951"/>
      <c r="AB46" s="952"/>
    </row>
    <row r="47" spans="1:28">
      <c r="A47" s="858">
        <v>42</v>
      </c>
      <c r="B47" s="2671"/>
      <c r="C47" s="2674"/>
      <c r="D47" s="2703"/>
      <c r="E47" s="946"/>
      <c r="F47" s="947"/>
      <c r="G47" s="947"/>
      <c r="H47" s="947"/>
      <c r="I47" s="947"/>
      <c r="J47" s="948"/>
      <c r="K47" s="948"/>
      <c r="L47" s="948"/>
      <c r="M47" s="948"/>
      <c r="N47" s="948"/>
      <c r="O47" s="948"/>
      <c r="P47" s="949"/>
      <c r="Q47" s="948"/>
      <c r="R47" s="948"/>
      <c r="S47" s="948"/>
      <c r="T47" s="948"/>
      <c r="U47" s="949"/>
      <c r="V47" s="948"/>
      <c r="W47" s="949"/>
      <c r="X47" s="948"/>
      <c r="Y47" s="950"/>
      <c r="Z47" s="951"/>
      <c r="AA47" s="951"/>
      <c r="AB47" s="952"/>
    </row>
    <row r="48" spans="1:28">
      <c r="A48" s="858">
        <v>43</v>
      </c>
      <c r="B48" s="2671"/>
      <c r="C48" s="2674"/>
      <c r="D48" s="2703"/>
      <c r="E48" s="946"/>
      <c r="F48" s="947"/>
      <c r="G48" s="947"/>
      <c r="H48" s="947"/>
      <c r="I48" s="947"/>
      <c r="J48" s="948"/>
      <c r="K48" s="948"/>
      <c r="L48" s="948"/>
      <c r="M48" s="948"/>
      <c r="N48" s="948"/>
      <c r="O48" s="948"/>
      <c r="P48" s="949"/>
      <c r="Q48" s="948"/>
      <c r="R48" s="948"/>
      <c r="S48" s="948"/>
      <c r="T48" s="948"/>
      <c r="U48" s="949"/>
      <c r="V48" s="948"/>
      <c r="W48" s="949"/>
      <c r="X48" s="948"/>
      <c r="Y48" s="950"/>
      <c r="Z48" s="951"/>
      <c r="AA48" s="951"/>
      <c r="AB48" s="952"/>
    </row>
    <row r="49" spans="1:28">
      <c r="A49" s="858">
        <v>44</v>
      </c>
      <c r="B49" s="2671"/>
      <c r="C49" s="2674"/>
      <c r="D49" s="2703"/>
      <c r="E49" s="946"/>
      <c r="F49" s="947"/>
      <c r="G49" s="947"/>
      <c r="H49" s="947"/>
      <c r="I49" s="947"/>
      <c r="J49" s="948"/>
      <c r="K49" s="948"/>
      <c r="L49" s="948"/>
      <c r="M49" s="948"/>
      <c r="N49" s="948"/>
      <c r="O49" s="948"/>
      <c r="P49" s="949"/>
      <c r="Q49" s="948"/>
      <c r="R49" s="948"/>
      <c r="S49" s="948"/>
      <c r="T49" s="948"/>
      <c r="U49" s="949"/>
      <c r="V49" s="948"/>
      <c r="W49" s="949"/>
      <c r="X49" s="948"/>
      <c r="Y49" s="950"/>
      <c r="Z49" s="951"/>
      <c r="AA49" s="951"/>
      <c r="AB49" s="952"/>
    </row>
    <row r="50" spans="1:28">
      <c r="A50" s="858">
        <v>45</v>
      </c>
      <c r="B50" s="2671"/>
      <c r="C50" s="2674"/>
      <c r="D50" s="2703"/>
      <c r="E50" s="946"/>
      <c r="F50" s="947"/>
      <c r="G50" s="947"/>
      <c r="H50" s="947"/>
      <c r="I50" s="947"/>
      <c r="J50" s="948"/>
      <c r="K50" s="948"/>
      <c r="L50" s="948"/>
      <c r="M50" s="948"/>
      <c r="N50" s="948"/>
      <c r="O50" s="948"/>
      <c r="P50" s="949"/>
      <c r="Q50" s="948"/>
      <c r="R50" s="948"/>
      <c r="S50" s="948"/>
      <c r="T50" s="948"/>
      <c r="U50" s="949"/>
      <c r="V50" s="948"/>
      <c r="W50" s="949"/>
      <c r="X50" s="948"/>
      <c r="Y50" s="950"/>
      <c r="Z50" s="951"/>
      <c r="AA50" s="951"/>
      <c r="AB50" s="952"/>
    </row>
    <row r="51" spans="1:28">
      <c r="A51" s="858">
        <v>46</v>
      </c>
      <c r="B51" s="2671"/>
      <c r="C51" s="2674"/>
      <c r="D51" s="2703"/>
      <c r="E51" s="946"/>
      <c r="F51" s="947"/>
      <c r="G51" s="947"/>
      <c r="H51" s="947"/>
      <c r="I51" s="947"/>
      <c r="J51" s="948"/>
      <c r="K51" s="948"/>
      <c r="L51" s="948"/>
      <c r="M51" s="948"/>
      <c r="N51" s="948"/>
      <c r="O51" s="948"/>
      <c r="P51" s="949"/>
      <c r="Q51" s="948"/>
      <c r="R51" s="948"/>
      <c r="S51" s="948"/>
      <c r="T51" s="948"/>
      <c r="U51" s="949"/>
      <c r="V51" s="948"/>
      <c r="W51" s="949"/>
      <c r="X51" s="948"/>
      <c r="Y51" s="950"/>
      <c r="Z51" s="951"/>
      <c r="AA51" s="951"/>
      <c r="AB51" s="952"/>
    </row>
    <row r="52" spans="1:28">
      <c r="A52" s="858">
        <v>47</v>
      </c>
      <c r="B52" s="2671"/>
      <c r="C52" s="2674"/>
      <c r="D52" s="2703"/>
      <c r="E52" s="946"/>
      <c r="F52" s="947"/>
      <c r="G52" s="947"/>
      <c r="H52" s="947"/>
      <c r="I52" s="947"/>
      <c r="J52" s="948"/>
      <c r="K52" s="948"/>
      <c r="L52" s="948"/>
      <c r="M52" s="948"/>
      <c r="N52" s="948"/>
      <c r="O52" s="948"/>
      <c r="P52" s="949"/>
      <c r="Q52" s="948"/>
      <c r="R52" s="948"/>
      <c r="S52" s="948"/>
      <c r="T52" s="948"/>
      <c r="U52" s="949"/>
      <c r="V52" s="948"/>
      <c r="W52" s="949"/>
      <c r="X52" s="948"/>
      <c r="Y52" s="950"/>
      <c r="Z52" s="951"/>
      <c r="AA52" s="951"/>
      <c r="AB52" s="952"/>
    </row>
    <row r="53" spans="1:28" ht="15" thickBot="1">
      <c r="A53" s="858">
        <v>48</v>
      </c>
      <c r="B53" s="2671"/>
      <c r="C53" s="2675"/>
      <c r="D53" s="869" t="s">
        <v>588</v>
      </c>
      <c r="E53" s="959"/>
      <c r="F53" s="959"/>
      <c r="G53" s="959"/>
      <c r="H53" s="959"/>
      <c r="I53" s="959"/>
      <c r="J53" s="959"/>
      <c r="K53" s="959"/>
      <c r="L53" s="959"/>
      <c r="M53" s="960">
        <f>SUM(M43:M52)</f>
        <v>0</v>
      </c>
      <c r="N53" s="960">
        <f>SUM(N43:N52)</f>
        <v>0</v>
      </c>
      <c r="O53" s="960">
        <f>SUM(O43:O52)</f>
        <v>0</v>
      </c>
      <c r="P53" s="960">
        <f>SUM(P43:P52)</f>
        <v>0</v>
      </c>
      <c r="Q53" s="959"/>
      <c r="R53" s="960">
        <f>SUM(R43:R52)</f>
        <v>0</v>
      </c>
      <c r="S53" s="955"/>
      <c r="T53" s="960">
        <f>SUM(T43:T52)</f>
        <v>0</v>
      </c>
      <c r="U53" s="960">
        <f>SUM(U43:U52)</f>
        <v>0</v>
      </c>
      <c r="V53" s="960">
        <f>SUM(V43:V52)</f>
        <v>0</v>
      </c>
      <c r="W53" s="960">
        <f>SUM(W43:W52)</f>
        <v>0</v>
      </c>
      <c r="X53" s="959"/>
      <c r="Y53" s="959"/>
      <c r="Z53" s="959"/>
      <c r="AA53" s="959"/>
      <c r="AB53" s="1001"/>
    </row>
    <row r="54" spans="1:28">
      <c r="A54" s="858">
        <v>49</v>
      </c>
      <c r="B54" s="2671"/>
      <c r="C54" s="2697" t="s">
        <v>589</v>
      </c>
      <c r="D54" s="2656" t="s">
        <v>590</v>
      </c>
      <c r="E54" s="962"/>
      <c r="F54" s="940"/>
      <c r="G54" s="940"/>
      <c r="H54" s="940"/>
      <c r="I54" s="940"/>
      <c r="J54" s="941"/>
      <c r="K54" s="941"/>
      <c r="L54" s="941"/>
      <c r="M54" s="941"/>
      <c r="N54" s="941"/>
      <c r="O54" s="941"/>
      <c r="P54" s="942"/>
      <c r="Q54" s="941"/>
      <c r="R54" s="941"/>
      <c r="S54" s="941"/>
      <c r="T54" s="941"/>
      <c r="U54" s="942"/>
      <c r="V54" s="941"/>
      <c r="W54" s="942"/>
      <c r="X54" s="941"/>
      <c r="Y54" s="943"/>
      <c r="Z54" s="944"/>
      <c r="AA54" s="944"/>
      <c r="AB54" s="963"/>
    </row>
    <row r="55" spans="1:28">
      <c r="A55" s="858">
        <v>50</v>
      </c>
      <c r="B55" s="2671"/>
      <c r="C55" s="2698"/>
      <c r="D55" s="2657"/>
      <c r="E55" s="946"/>
      <c r="F55" s="947"/>
      <c r="G55" s="947"/>
      <c r="H55" s="947"/>
      <c r="I55" s="947"/>
      <c r="J55" s="948"/>
      <c r="K55" s="948"/>
      <c r="L55" s="948"/>
      <c r="M55" s="948"/>
      <c r="N55" s="948"/>
      <c r="O55" s="948"/>
      <c r="P55" s="949"/>
      <c r="Q55" s="948"/>
      <c r="R55" s="948"/>
      <c r="S55" s="948"/>
      <c r="T55" s="948"/>
      <c r="U55" s="949"/>
      <c r="V55" s="948"/>
      <c r="W55" s="949"/>
      <c r="X55" s="948"/>
      <c r="Y55" s="950"/>
      <c r="Z55" s="951"/>
      <c r="AA55" s="951"/>
      <c r="AB55" s="952"/>
    </row>
    <row r="56" spans="1:28">
      <c r="A56" s="858">
        <v>51</v>
      </c>
      <c r="B56" s="2671"/>
      <c r="C56" s="2698"/>
      <c r="D56" s="2657"/>
      <c r="E56" s="946"/>
      <c r="F56" s="947"/>
      <c r="G56" s="947"/>
      <c r="H56" s="947"/>
      <c r="I56" s="947"/>
      <c r="J56" s="948"/>
      <c r="K56" s="948"/>
      <c r="L56" s="948"/>
      <c r="M56" s="948"/>
      <c r="N56" s="948"/>
      <c r="O56" s="948"/>
      <c r="P56" s="949"/>
      <c r="Q56" s="948"/>
      <c r="R56" s="948"/>
      <c r="S56" s="948"/>
      <c r="T56" s="948"/>
      <c r="U56" s="949"/>
      <c r="V56" s="948"/>
      <c r="W56" s="949"/>
      <c r="X56" s="948"/>
      <c r="Y56" s="950"/>
      <c r="Z56" s="951"/>
      <c r="AA56" s="951"/>
      <c r="AB56" s="952"/>
    </row>
    <row r="57" spans="1:28">
      <c r="A57" s="858">
        <v>52</v>
      </c>
      <c r="B57" s="2671"/>
      <c r="C57" s="2698"/>
      <c r="D57" s="2657"/>
      <c r="E57" s="946"/>
      <c r="F57" s="947"/>
      <c r="G57" s="947"/>
      <c r="H57" s="947"/>
      <c r="I57" s="947"/>
      <c r="J57" s="948"/>
      <c r="K57" s="948"/>
      <c r="L57" s="948"/>
      <c r="M57" s="948"/>
      <c r="N57" s="948"/>
      <c r="O57" s="948"/>
      <c r="P57" s="949"/>
      <c r="Q57" s="948"/>
      <c r="R57" s="948"/>
      <c r="S57" s="948"/>
      <c r="T57" s="948"/>
      <c r="U57" s="949"/>
      <c r="V57" s="948"/>
      <c r="W57" s="949"/>
      <c r="X57" s="948"/>
      <c r="Y57" s="950"/>
      <c r="Z57" s="951"/>
      <c r="AA57" s="951"/>
      <c r="AB57" s="952"/>
    </row>
    <row r="58" spans="1:28">
      <c r="A58" s="858">
        <v>53</v>
      </c>
      <c r="B58" s="2671"/>
      <c r="C58" s="2698"/>
      <c r="D58" s="2657"/>
      <c r="E58" s="946"/>
      <c r="F58" s="947"/>
      <c r="G58" s="947"/>
      <c r="H58" s="947"/>
      <c r="I58" s="947"/>
      <c r="J58" s="948"/>
      <c r="K58" s="948"/>
      <c r="L58" s="948"/>
      <c r="M58" s="948"/>
      <c r="N58" s="948"/>
      <c r="O58" s="948"/>
      <c r="P58" s="949"/>
      <c r="Q58" s="948"/>
      <c r="R58" s="948"/>
      <c r="S58" s="948"/>
      <c r="T58" s="948"/>
      <c r="U58" s="949"/>
      <c r="V58" s="948"/>
      <c r="W58" s="949"/>
      <c r="X58" s="948"/>
      <c r="Y58" s="950"/>
      <c r="Z58" s="951"/>
      <c r="AA58" s="951"/>
      <c r="AB58" s="952"/>
    </row>
    <row r="59" spans="1:28">
      <c r="A59" s="858">
        <v>54</v>
      </c>
      <c r="B59" s="2671"/>
      <c r="C59" s="2698"/>
      <c r="D59" s="2657"/>
      <c r="E59" s="946"/>
      <c r="F59" s="947"/>
      <c r="G59" s="947"/>
      <c r="H59" s="947"/>
      <c r="I59" s="947"/>
      <c r="J59" s="948"/>
      <c r="K59" s="948"/>
      <c r="L59" s="948"/>
      <c r="M59" s="948"/>
      <c r="N59" s="948"/>
      <c r="O59" s="948"/>
      <c r="P59" s="949"/>
      <c r="Q59" s="948"/>
      <c r="R59" s="948"/>
      <c r="S59" s="948"/>
      <c r="T59" s="948"/>
      <c r="U59" s="949"/>
      <c r="V59" s="948"/>
      <c r="W59" s="949"/>
      <c r="X59" s="948"/>
      <c r="Y59" s="950"/>
      <c r="Z59" s="951"/>
      <c r="AA59" s="951"/>
      <c r="AB59" s="952"/>
    </row>
    <row r="60" spans="1:28">
      <c r="A60" s="858">
        <v>55</v>
      </c>
      <c r="B60" s="2671"/>
      <c r="C60" s="2698"/>
      <c r="D60" s="2657"/>
      <c r="E60" s="946"/>
      <c r="F60" s="947"/>
      <c r="G60" s="947"/>
      <c r="H60" s="947"/>
      <c r="I60" s="947"/>
      <c r="J60" s="948"/>
      <c r="K60" s="948"/>
      <c r="L60" s="948"/>
      <c r="M60" s="948"/>
      <c r="N60" s="948"/>
      <c r="O60" s="948"/>
      <c r="P60" s="949"/>
      <c r="Q60" s="948"/>
      <c r="R60" s="948"/>
      <c r="S60" s="948"/>
      <c r="T60" s="948"/>
      <c r="U60" s="949"/>
      <c r="V60" s="948"/>
      <c r="W60" s="949"/>
      <c r="X60" s="948"/>
      <c r="Y60" s="950"/>
      <c r="Z60" s="951"/>
      <c r="AA60" s="951"/>
      <c r="AB60" s="952"/>
    </row>
    <row r="61" spans="1:28">
      <c r="A61" s="858">
        <v>56</v>
      </c>
      <c r="B61" s="2671"/>
      <c r="C61" s="2698"/>
      <c r="D61" s="2657"/>
      <c r="E61" s="946"/>
      <c r="F61" s="947"/>
      <c r="G61" s="947"/>
      <c r="H61" s="947"/>
      <c r="I61" s="947"/>
      <c r="J61" s="948"/>
      <c r="K61" s="948"/>
      <c r="L61" s="948"/>
      <c r="M61" s="948"/>
      <c r="N61" s="948"/>
      <c r="O61" s="948"/>
      <c r="P61" s="949"/>
      <c r="Q61" s="948"/>
      <c r="R61" s="948"/>
      <c r="S61" s="948"/>
      <c r="T61" s="948"/>
      <c r="U61" s="949"/>
      <c r="V61" s="948"/>
      <c r="W61" s="949"/>
      <c r="X61" s="948"/>
      <c r="Y61" s="950"/>
      <c r="Z61" s="951"/>
      <c r="AA61" s="951"/>
      <c r="AB61" s="952"/>
    </row>
    <row r="62" spans="1:28">
      <c r="A62" s="858">
        <v>57</v>
      </c>
      <c r="B62" s="2671"/>
      <c r="C62" s="2698"/>
      <c r="D62" s="2657"/>
      <c r="E62" s="946"/>
      <c r="F62" s="947"/>
      <c r="G62" s="947"/>
      <c r="H62" s="947"/>
      <c r="I62" s="947"/>
      <c r="J62" s="948"/>
      <c r="K62" s="948"/>
      <c r="L62" s="948"/>
      <c r="M62" s="948"/>
      <c r="N62" s="948"/>
      <c r="O62" s="948"/>
      <c r="P62" s="949"/>
      <c r="Q62" s="948"/>
      <c r="R62" s="948"/>
      <c r="S62" s="948"/>
      <c r="T62" s="948"/>
      <c r="U62" s="949"/>
      <c r="V62" s="948"/>
      <c r="W62" s="949"/>
      <c r="X62" s="948"/>
      <c r="Y62" s="950"/>
      <c r="Z62" s="951"/>
      <c r="AA62" s="951"/>
      <c r="AB62" s="952"/>
    </row>
    <row r="63" spans="1:28">
      <c r="A63" s="858">
        <v>58</v>
      </c>
      <c r="B63" s="2671"/>
      <c r="C63" s="2698"/>
      <c r="D63" s="2657"/>
      <c r="E63" s="946"/>
      <c r="F63" s="947"/>
      <c r="G63" s="947"/>
      <c r="H63" s="947"/>
      <c r="I63" s="947"/>
      <c r="J63" s="948"/>
      <c r="K63" s="948"/>
      <c r="L63" s="948"/>
      <c r="M63" s="948"/>
      <c r="N63" s="948"/>
      <c r="O63" s="948"/>
      <c r="P63" s="949"/>
      <c r="Q63" s="948"/>
      <c r="R63" s="948"/>
      <c r="S63" s="948"/>
      <c r="T63" s="948"/>
      <c r="U63" s="949"/>
      <c r="V63" s="948"/>
      <c r="W63" s="949"/>
      <c r="X63" s="948"/>
      <c r="Y63" s="950"/>
      <c r="Z63" s="951"/>
      <c r="AA63" s="951"/>
      <c r="AB63" s="952"/>
    </row>
    <row r="64" spans="1:28" ht="14.25">
      <c r="A64" s="858">
        <v>59</v>
      </c>
      <c r="B64" s="2671"/>
      <c r="C64" s="2698"/>
      <c r="D64" s="2234" t="s">
        <v>588</v>
      </c>
      <c r="E64" s="955"/>
      <c r="F64" s="955"/>
      <c r="G64" s="955"/>
      <c r="H64" s="955"/>
      <c r="I64" s="955"/>
      <c r="J64" s="955"/>
      <c r="K64" s="955"/>
      <c r="L64" s="955"/>
      <c r="M64" s="948">
        <f>SUM(M54:M63)</f>
        <v>0</v>
      </c>
      <c r="N64" s="948">
        <f>SUM(N54:N63)</f>
        <v>0</v>
      </c>
      <c r="O64" s="948">
        <f>SUM(O54:O63)</f>
        <v>0</v>
      </c>
      <c r="P64" s="948">
        <f>SUM(P54:P63)</f>
        <v>0</v>
      </c>
      <c r="Q64" s="955"/>
      <c r="R64" s="948">
        <f>SUM(R54:R63)</f>
        <v>0</v>
      </c>
      <c r="S64" s="955"/>
      <c r="T64" s="948">
        <f>SUM(T54:T63)</f>
        <v>0</v>
      </c>
      <c r="U64" s="948">
        <f>SUM(U54:U63)</f>
        <v>0</v>
      </c>
      <c r="V64" s="948">
        <f>SUM(V54:V63)</f>
        <v>0</v>
      </c>
      <c r="W64" s="948">
        <f>SUM(W54:W63)</f>
        <v>0</v>
      </c>
      <c r="X64" s="955"/>
      <c r="Y64" s="955"/>
      <c r="Z64" s="955"/>
      <c r="AA64" s="955"/>
      <c r="AB64" s="1001"/>
    </row>
    <row r="65" spans="1:28" ht="13.5" customHeight="1">
      <c r="A65" s="858">
        <v>60</v>
      </c>
      <c r="B65" s="2671"/>
      <c r="C65" s="2698"/>
      <c r="D65" s="2657" t="s">
        <v>1686</v>
      </c>
      <c r="E65" s="946"/>
      <c r="F65" s="947"/>
      <c r="G65" s="947"/>
      <c r="H65" s="947"/>
      <c r="I65" s="947"/>
      <c r="J65" s="948"/>
      <c r="K65" s="948"/>
      <c r="L65" s="948"/>
      <c r="M65" s="948"/>
      <c r="N65" s="948"/>
      <c r="O65" s="948"/>
      <c r="P65" s="949"/>
      <c r="Q65" s="948"/>
      <c r="R65" s="948"/>
      <c r="S65" s="948"/>
      <c r="T65" s="948"/>
      <c r="U65" s="949"/>
      <c r="V65" s="948"/>
      <c r="W65" s="949"/>
      <c r="X65" s="948"/>
      <c r="Y65" s="950"/>
      <c r="Z65" s="951"/>
      <c r="AA65" s="951"/>
      <c r="AB65" s="952"/>
    </row>
    <row r="66" spans="1:28">
      <c r="A66" s="858">
        <v>61</v>
      </c>
      <c r="B66" s="2671"/>
      <c r="C66" s="2698"/>
      <c r="D66" s="2657"/>
      <c r="E66" s="946"/>
      <c r="F66" s="947"/>
      <c r="G66" s="947"/>
      <c r="H66" s="947"/>
      <c r="I66" s="947"/>
      <c r="J66" s="948"/>
      <c r="K66" s="948"/>
      <c r="L66" s="948"/>
      <c r="M66" s="948"/>
      <c r="N66" s="948"/>
      <c r="O66" s="948"/>
      <c r="P66" s="949"/>
      <c r="Q66" s="949"/>
      <c r="R66" s="948"/>
      <c r="S66" s="949"/>
      <c r="T66" s="948"/>
      <c r="U66" s="964"/>
      <c r="V66" s="948"/>
      <c r="W66" s="964"/>
      <c r="X66" s="948"/>
      <c r="Y66" s="950"/>
      <c r="Z66" s="951"/>
      <c r="AA66" s="951"/>
      <c r="AB66" s="952"/>
    </row>
    <row r="67" spans="1:28">
      <c r="A67" s="858">
        <v>62</v>
      </c>
      <c r="B67" s="2671"/>
      <c r="C67" s="2698"/>
      <c r="D67" s="2657"/>
      <c r="E67" s="946"/>
      <c r="F67" s="947"/>
      <c r="G67" s="947"/>
      <c r="H67" s="947"/>
      <c r="I67" s="947"/>
      <c r="J67" s="948"/>
      <c r="K67" s="948"/>
      <c r="L67" s="948"/>
      <c r="M67" s="948"/>
      <c r="N67" s="948"/>
      <c r="O67" s="948"/>
      <c r="P67" s="949"/>
      <c r="Q67" s="949"/>
      <c r="R67" s="948"/>
      <c r="S67" s="949"/>
      <c r="T67" s="948"/>
      <c r="U67" s="964"/>
      <c r="V67" s="948"/>
      <c r="W67" s="964"/>
      <c r="X67" s="948"/>
      <c r="Y67" s="950"/>
      <c r="Z67" s="951"/>
      <c r="AA67" s="951"/>
      <c r="AB67" s="952"/>
    </row>
    <row r="68" spans="1:28">
      <c r="A68" s="858">
        <v>63</v>
      </c>
      <c r="B68" s="2671"/>
      <c r="C68" s="2698"/>
      <c r="D68" s="2657"/>
      <c r="E68" s="946"/>
      <c r="F68" s="947"/>
      <c r="G68" s="947"/>
      <c r="H68" s="947"/>
      <c r="I68" s="947"/>
      <c r="J68" s="948"/>
      <c r="K68" s="948"/>
      <c r="L68" s="948"/>
      <c r="M68" s="948"/>
      <c r="N68" s="948"/>
      <c r="O68" s="948"/>
      <c r="P68" s="949"/>
      <c r="Q68" s="949"/>
      <c r="R68" s="948"/>
      <c r="S68" s="949"/>
      <c r="T68" s="948"/>
      <c r="U68" s="964"/>
      <c r="V68" s="948"/>
      <c r="W68" s="964"/>
      <c r="X68" s="948"/>
      <c r="Y68" s="950"/>
      <c r="Z68" s="951"/>
      <c r="AA68" s="951"/>
      <c r="AB68" s="952"/>
    </row>
    <row r="69" spans="1:28">
      <c r="A69" s="858">
        <v>64</v>
      </c>
      <c r="B69" s="2671"/>
      <c r="C69" s="2698"/>
      <c r="D69" s="2657"/>
      <c r="E69" s="946"/>
      <c r="F69" s="947"/>
      <c r="G69" s="947"/>
      <c r="H69" s="947"/>
      <c r="I69" s="947"/>
      <c r="J69" s="948"/>
      <c r="K69" s="948"/>
      <c r="L69" s="948"/>
      <c r="M69" s="948"/>
      <c r="N69" s="948"/>
      <c r="O69" s="948"/>
      <c r="P69" s="949"/>
      <c r="Q69" s="949"/>
      <c r="R69" s="948"/>
      <c r="S69" s="949"/>
      <c r="T69" s="948"/>
      <c r="U69" s="964"/>
      <c r="V69" s="948"/>
      <c r="W69" s="964"/>
      <c r="X69" s="948"/>
      <c r="Y69" s="950"/>
      <c r="Z69" s="951"/>
      <c r="AA69" s="951"/>
      <c r="AB69" s="952"/>
    </row>
    <row r="70" spans="1:28">
      <c r="A70" s="858">
        <v>65</v>
      </c>
      <c r="B70" s="2671"/>
      <c r="C70" s="2698"/>
      <c r="D70" s="2657"/>
      <c r="E70" s="946"/>
      <c r="F70" s="947"/>
      <c r="G70" s="947"/>
      <c r="H70" s="947"/>
      <c r="I70" s="947"/>
      <c r="J70" s="948"/>
      <c r="K70" s="948"/>
      <c r="L70" s="948"/>
      <c r="M70" s="948"/>
      <c r="N70" s="948"/>
      <c r="O70" s="948"/>
      <c r="P70" s="949"/>
      <c r="Q70" s="949"/>
      <c r="R70" s="948"/>
      <c r="S70" s="949"/>
      <c r="T70" s="948"/>
      <c r="U70" s="964"/>
      <c r="V70" s="948"/>
      <c r="W70" s="964"/>
      <c r="X70" s="948"/>
      <c r="Y70" s="950"/>
      <c r="Z70" s="951"/>
      <c r="AA70" s="951"/>
      <c r="AB70" s="952"/>
    </row>
    <row r="71" spans="1:28">
      <c r="A71" s="858">
        <v>66</v>
      </c>
      <c r="B71" s="2671"/>
      <c r="C71" s="2698"/>
      <c r="D71" s="2657"/>
      <c r="E71" s="946"/>
      <c r="F71" s="947"/>
      <c r="G71" s="947"/>
      <c r="H71" s="947"/>
      <c r="I71" s="947"/>
      <c r="J71" s="948"/>
      <c r="K71" s="948"/>
      <c r="L71" s="948"/>
      <c r="M71" s="948"/>
      <c r="N71" s="948"/>
      <c r="O71" s="948"/>
      <c r="P71" s="949"/>
      <c r="Q71" s="949"/>
      <c r="R71" s="948"/>
      <c r="S71" s="949"/>
      <c r="T71" s="948"/>
      <c r="U71" s="964"/>
      <c r="V71" s="948"/>
      <c r="W71" s="964"/>
      <c r="X71" s="948"/>
      <c r="Y71" s="950"/>
      <c r="Z71" s="951"/>
      <c r="AA71" s="951"/>
      <c r="AB71" s="952"/>
    </row>
    <row r="72" spans="1:28">
      <c r="A72" s="858">
        <v>67</v>
      </c>
      <c r="B72" s="2671"/>
      <c r="C72" s="2698"/>
      <c r="D72" s="2657"/>
      <c r="E72" s="946"/>
      <c r="F72" s="947"/>
      <c r="G72" s="947"/>
      <c r="H72" s="947"/>
      <c r="I72" s="947"/>
      <c r="J72" s="948"/>
      <c r="K72" s="948"/>
      <c r="L72" s="948"/>
      <c r="M72" s="948"/>
      <c r="N72" s="948"/>
      <c r="O72" s="948"/>
      <c r="P72" s="949"/>
      <c r="Q72" s="949"/>
      <c r="R72" s="948"/>
      <c r="S72" s="949"/>
      <c r="T72" s="948"/>
      <c r="U72" s="964"/>
      <c r="V72" s="948"/>
      <c r="W72" s="964"/>
      <c r="X72" s="948"/>
      <c r="Y72" s="950"/>
      <c r="Z72" s="951"/>
      <c r="AA72" s="951"/>
      <c r="AB72" s="952"/>
    </row>
    <row r="73" spans="1:28">
      <c r="A73" s="858">
        <v>68</v>
      </c>
      <c r="B73" s="2671"/>
      <c r="C73" s="2698"/>
      <c r="D73" s="2657"/>
      <c r="E73" s="946"/>
      <c r="F73" s="947"/>
      <c r="G73" s="947"/>
      <c r="H73" s="947"/>
      <c r="I73" s="947"/>
      <c r="J73" s="948"/>
      <c r="K73" s="948"/>
      <c r="L73" s="948"/>
      <c r="M73" s="948"/>
      <c r="N73" s="948"/>
      <c r="O73" s="948"/>
      <c r="P73" s="949"/>
      <c r="Q73" s="949"/>
      <c r="R73" s="948"/>
      <c r="S73" s="949"/>
      <c r="T73" s="948"/>
      <c r="U73" s="964"/>
      <c r="V73" s="948"/>
      <c r="W73" s="964"/>
      <c r="X73" s="948"/>
      <c r="Y73" s="950"/>
      <c r="Z73" s="951"/>
      <c r="AA73" s="951"/>
      <c r="AB73" s="952"/>
    </row>
    <row r="74" spans="1:28">
      <c r="A74" s="858">
        <v>69</v>
      </c>
      <c r="B74" s="2671"/>
      <c r="C74" s="2698"/>
      <c r="D74" s="2657"/>
      <c r="E74" s="946"/>
      <c r="F74" s="947"/>
      <c r="G74" s="947"/>
      <c r="H74" s="947"/>
      <c r="I74" s="947"/>
      <c r="J74" s="948"/>
      <c r="K74" s="948"/>
      <c r="L74" s="948"/>
      <c r="M74" s="948"/>
      <c r="N74" s="948"/>
      <c r="O74" s="948"/>
      <c r="P74" s="949"/>
      <c r="Q74" s="949"/>
      <c r="R74" s="948"/>
      <c r="S74" s="949"/>
      <c r="T74" s="948"/>
      <c r="U74" s="964"/>
      <c r="V74" s="948"/>
      <c r="W74" s="964"/>
      <c r="X74" s="948"/>
      <c r="Y74" s="950"/>
      <c r="Z74" s="951"/>
      <c r="AA74" s="951"/>
      <c r="AB74" s="952"/>
    </row>
    <row r="75" spans="1:28" ht="14.25">
      <c r="A75" s="858">
        <v>70</v>
      </c>
      <c r="B75" s="2671"/>
      <c r="C75" s="2698"/>
      <c r="D75" s="2234" t="s">
        <v>588</v>
      </c>
      <c r="E75" s="955"/>
      <c r="F75" s="955"/>
      <c r="G75" s="955"/>
      <c r="H75" s="955"/>
      <c r="I75" s="955"/>
      <c r="J75" s="955"/>
      <c r="K75" s="955"/>
      <c r="L75" s="955"/>
      <c r="M75" s="948">
        <f>SUM(M65:M74)</f>
        <v>0</v>
      </c>
      <c r="N75" s="948">
        <f>SUM(N65:N74)</f>
        <v>0</v>
      </c>
      <c r="O75" s="948">
        <f>SUM(O65:O74)</f>
        <v>0</v>
      </c>
      <c r="P75" s="948">
        <f>SUM(P65:P74)</f>
        <v>0</v>
      </c>
      <c r="Q75" s="955"/>
      <c r="R75" s="948">
        <f>SUM(R65:R74)</f>
        <v>0</v>
      </c>
      <c r="S75" s="955"/>
      <c r="T75" s="948">
        <f>SUM(T65:T74)</f>
        <v>0</v>
      </c>
      <c r="U75" s="948">
        <f>SUM(U65:U74)</f>
        <v>0</v>
      </c>
      <c r="V75" s="948">
        <f>SUM(V65:V74)</f>
        <v>0</v>
      </c>
      <c r="W75" s="948">
        <f>SUM(W65:W74)</f>
        <v>0</v>
      </c>
      <c r="X75" s="955"/>
      <c r="Y75" s="955"/>
      <c r="Z75" s="955"/>
      <c r="AA75" s="955"/>
      <c r="AB75" s="1001"/>
    </row>
    <row r="76" spans="1:28" ht="13.5" customHeight="1">
      <c r="A76" s="858">
        <v>71</v>
      </c>
      <c r="B76" s="2671"/>
      <c r="C76" s="2698"/>
      <c r="D76" s="2703" t="s">
        <v>1687</v>
      </c>
      <c r="E76" s="946"/>
      <c r="F76" s="947"/>
      <c r="G76" s="947"/>
      <c r="H76" s="947"/>
      <c r="I76" s="947"/>
      <c r="J76" s="948"/>
      <c r="K76" s="948"/>
      <c r="L76" s="948"/>
      <c r="M76" s="948"/>
      <c r="N76" s="948"/>
      <c r="O76" s="948"/>
      <c r="P76" s="949"/>
      <c r="Q76" s="949"/>
      <c r="R76" s="948"/>
      <c r="S76" s="949"/>
      <c r="T76" s="948"/>
      <c r="U76" s="964"/>
      <c r="V76" s="948"/>
      <c r="W76" s="964"/>
      <c r="X76" s="948"/>
      <c r="Y76" s="950"/>
      <c r="Z76" s="951"/>
      <c r="AA76" s="951"/>
      <c r="AB76" s="952"/>
    </row>
    <row r="77" spans="1:28">
      <c r="A77" s="858">
        <v>72</v>
      </c>
      <c r="B77" s="2671"/>
      <c r="C77" s="2698"/>
      <c r="D77" s="2703"/>
      <c r="E77" s="946"/>
      <c r="F77" s="947"/>
      <c r="G77" s="947"/>
      <c r="H77" s="947"/>
      <c r="I77" s="947"/>
      <c r="J77" s="948"/>
      <c r="K77" s="948"/>
      <c r="L77" s="948"/>
      <c r="M77" s="948"/>
      <c r="N77" s="948"/>
      <c r="O77" s="948"/>
      <c r="P77" s="949"/>
      <c r="Q77" s="949"/>
      <c r="R77" s="948"/>
      <c r="S77" s="949"/>
      <c r="T77" s="948"/>
      <c r="U77" s="964"/>
      <c r="V77" s="948"/>
      <c r="W77" s="964"/>
      <c r="X77" s="948"/>
      <c r="Y77" s="950"/>
      <c r="Z77" s="951"/>
      <c r="AA77" s="951"/>
      <c r="AB77" s="952"/>
    </row>
    <row r="78" spans="1:28">
      <c r="A78" s="858">
        <v>73</v>
      </c>
      <c r="B78" s="2671"/>
      <c r="C78" s="2698"/>
      <c r="D78" s="2703"/>
      <c r="E78" s="946"/>
      <c r="F78" s="947"/>
      <c r="G78" s="947"/>
      <c r="H78" s="947"/>
      <c r="I78" s="947"/>
      <c r="J78" s="948"/>
      <c r="K78" s="948"/>
      <c r="L78" s="948"/>
      <c r="M78" s="948"/>
      <c r="N78" s="948"/>
      <c r="O78" s="948"/>
      <c r="P78" s="949"/>
      <c r="Q78" s="949"/>
      <c r="R78" s="948"/>
      <c r="S78" s="949"/>
      <c r="T78" s="948"/>
      <c r="U78" s="964"/>
      <c r="V78" s="948"/>
      <c r="W78" s="964"/>
      <c r="X78" s="948"/>
      <c r="Y78" s="950"/>
      <c r="Z78" s="951"/>
      <c r="AA78" s="951"/>
      <c r="AB78" s="952"/>
    </row>
    <row r="79" spans="1:28">
      <c r="A79" s="858">
        <v>74</v>
      </c>
      <c r="B79" s="2671"/>
      <c r="C79" s="2698"/>
      <c r="D79" s="2703"/>
      <c r="E79" s="946"/>
      <c r="F79" s="947"/>
      <c r="G79" s="947"/>
      <c r="H79" s="947"/>
      <c r="I79" s="947"/>
      <c r="J79" s="948"/>
      <c r="K79" s="948"/>
      <c r="L79" s="948"/>
      <c r="M79" s="948"/>
      <c r="N79" s="948"/>
      <c r="O79" s="948"/>
      <c r="P79" s="949"/>
      <c r="Q79" s="949"/>
      <c r="R79" s="948"/>
      <c r="S79" s="949"/>
      <c r="T79" s="948"/>
      <c r="U79" s="964"/>
      <c r="V79" s="948"/>
      <c r="W79" s="964"/>
      <c r="X79" s="948"/>
      <c r="Y79" s="950"/>
      <c r="Z79" s="951"/>
      <c r="AA79" s="951"/>
      <c r="AB79" s="952"/>
    </row>
    <row r="80" spans="1:28">
      <c r="A80" s="858">
        <v>75</v>
      </c>
      <c r="B80" s="2671"/>
      <c r="C80" s="2698"/>
      <c r="D80" s="2703"/>
      <c r="E80" s="946"/>
      <c r="F80" s="947"/>
      <c r="G80" s="947"/>
      <c r="H80" s="947"/>
      <c r="I80" s="947"/>
      <c r="J80" s="948"/>
      <c r="K80" s="948"/>
      <c r="L80" s="948"/>
      <c r="M80" s="948"/>
      <c r="N80" s="948"/>
      <c r="O80" s="948"/>
      <c r="P80" s="949"/>
      <c r="Q80" s="949"/>
      <c r="R80" s="948"/>
      <c r="S80" s="949"/>
      <c r="T80" s="948"/>
      <c r="U80" s="964"/>
      <c r="V80" s="948"/>
      <c r="W80" s="964"/>
      <c r="X80" s="948"/>
      <c r="Y80" s="950"/>
      <c r="Z80" s="951"/>
      <c r="AA80" s="951"/>
      <c r="AB80" s="952"/>
    </row>
    <row r="81" spans="1:28">
      <c r="A81" s="858">
        <v>76</v>
      </c>
      <c r="B81" s="2671"/>
      <c r="C81" s="2698"/>
      <c r="D81" s="2703"/>
      <c r="E81" s="946"/>
      <c r="F81" s="947"/>
      <c r="G81" s="947"/>
      <c r="H81" s="947"/>
      <c r="I81" s="947"/>
      <c r="J81" s="948"/>
      <c r="K81" s="948"/>
      <c r="L81" s="948"/>
      <c r="M81" s="948"/>
      <c r="N81" s="948"/>
      <c r="O81" s="948"/>
      <c r="P81" s="949"/>
      <c r="Q81" s="949"/>
      <c r="R81" s="948"/>
      <c r="S81" s="949"/>
      <c r="T81" s="948"/>
      <c r="U81" s="964"/>
      <c r="V81" s="948"/>
      <c r="W81" s="964"/>
      <c r="X81" s="948"/>
      <c r="Y81" s="950"/>
      <c r="Z81" s="951"/>
      <c r="AA81" s="951"/>
      <c r="AB81" s="952"/>
    </row>
    <row r="82" spans="1:28">
      <c r="A82" s="858">
        <v>77</v>
      </c>
      <c r="B82" s="2671"/>
      <c r="C82" s="2698"/>
      <c r="D82" s="2703"/>
      <c r="E82" s="946"/>
      <c r="F82" s="947"/>
      <c r="G82" s="947"/>
      <c r="H82" s="947"/>
      <c r="I82" s="947"/>
      <c r="J82" s="948"/>
      <c r="K82" s="948"/>
      <c r="L82" s="948"/>
      <c r="M82" s="948"/>
      <c r="N82" s="948"/>
      <c r="O82" s="948"/>
      <c r="P82" s="949"/>
      <c r="Q82" s="948"/>
      <c r="R82" s="948"/>
      <c r="S82" s="948"/>
      <c r="T82" s="948"/>
      <c r="U82" s="949"/>
      <c r="V82" s="948"/>
      <c r="W82" s="949"/>
      <c r="X82" s="948"/>
      <c r="Y82" s="950"/>
      <c r="Z82" s="951"/>
      <c r="AA82" s="951"/>
      <c r="AB82" s="952"/>
    </row>
    <row r="83" spans="1:28">
      <c r="A83" s="858">
        <v>78</v>
      </c>
      <c r="B83" s="2671"/>
      <c r="C83" s="2698"/>
      <c r="D83" s="2703"/>
      <c r="E83" s="946"/>
      <c r="F83" s="947"/>
      <c r="G83" s="947"/>
      <c r="H83" s="947"/>
      <c r="I83" s="947"/>
      <c r="J83" s="948"/>
      <c r="K83" s="948"/>
      <c r="L83" s="948"/>
      <c r="M83" s="948"/>
      <c r="N83" s="948"/>
      <c r="O83" s="948"/>
      <c r="P83" s="949"/>
      <c r="Q83" s="948"/>
      <c r="R83" s="948"/>
      <c r="S83" s="948"/>
      <c r="T83" s="948"/>
      <c r="U83" s="949"/>
      <c r="V83" s="948"/>
      <c r="W83" s="949"/>
      <c r="X83" s="948"/>
      <c r="Y83" s="950"/>
      <c r="Z83" s="951"/>
      <c r="AA83" s="951"/>
      <c r="AB83" s="952"/>
    </row>
    <row r="84" spans="1:28">
      <c r="A84" s="858">
        <v>79</v>
      </c>
      <c r="B84" s="2671"/>
      <c r="C84" s="2698"/>
      <c r="D84" s="2703"/>
      <c r="E84" s="946"/>
      <c r="F84" s="947"/>
      <c r="G84" s="947"/>
      <c r="H84" s="947"/>
      <c r="I84" s="947"/>
      <c r="J84" s="948"/>
      <c r="K84" s="948"/>
      <c r="L84" s="948"/>
      <c r="M84" s="948"/>
      <c r="N84" s="948"/>
      <c r="O84" s="948"/>
      <c r="P84" s="949"/>
      <c r="Q84" s="948"/>
      <c r="R84" s="948"/>
      <c r="S84" s="948"/>
      <c r="T84" s="948"/>
      <c r="U84" s="949"/>
      <c r="V84" s="948"/>
      <c r="W84" s="949"/>
      <c r="X84" s="948"/>
      <c r="Y84" s="950"/>
      <c r="Z84" s="951"/>
      <c r="AA84" s="951"/>
      <c r="AB84" s="952"/>
    </row>
    <row r="85" spans="1:28">
      <c r="A85" s="858">
        <v>80</v>
      </c>
      <c r="B85" s="2671"/>
      <c r="C85" s="2698"/>
      <c r="D85" s="2703"/>
      <c r="E85" s="946"/>
      <c r="F85" s="947"/>
      <c r="G85" s="947"/>
      <c r="H85" s="947"/>
      <c r="I85" s="947"/>
      <c r="J85" s="948"/>
      <c r="K85" s="948"/>
      <c r="L85" s="948"/>
      <c r="M85" s="948"/>
      <c r="N85" s="948"/>
      <c r="O85" s="948"/>
      <c r="P85" s="949"/>
      <c r="Q85" s="948"/>
      <c r="R85" s="948"/>
      <c r="S85" s="948"/>
      <c r="T85" s="948"/>
      <c r="U85" s="949"/>
      <c r="V85" s="948"/>
      <c r="W85" s="949"/>
      <c r="X85" s="948"/>
      <c r="Y85" s="950"/>
      <c r="Z85" s="951"/>
      <c r="AA85" s="951"/>
      <c r="AB85" s="952"/>
    </row>
    <row r="86" spans="1:28" ht="15" thickBot="1">
      <c r="A86" s="858">
        <v>81</v>
      </c>
      <c r="B86" s="2671"/>
      <c r="C86" s="2699"/>
      <c r="D86" s="869" t="s">
        <v>588</v>
      </c>
      <c r="E86" s="959"/>
      <c r="F86" s="959"/>
      <c r="G86" s="959"/>
      <c r="H86" s="959"/>
      <c r="I86" s="959"/>
      <c r="J86" s="959"/>
      <c r="K86" s="959"/>
      <c r="L86" s="959"/>
      <c r="M86" s="960">
        <f>SUM(M76:M85)</f>
        <v>0</v>
      </c>
      <c r="N86" s="960">
        <f>SUM(N76:N85)</f>
        <v>0</v>
      </c>
      <c r="O86" s="960">
        <f>SUM(O76:O85)</f>
        <v>0</v>
      </c>
      <c r="P86" s="960">
        <f>SUM(P76:P85)</f>
        <v>0</v>
      </c>
      <c r="Q86" s="959"/>
      <c r="R86" s="960">
        <f>SUM(R76:R85)</f>
        <v>0</v>
      </c>
      <c r="S86" s="955"/>
      <c r="T86" s="960">
        <f>SUM(T76:T85)</f>
        <v>0</v>
      </c>
      <c r="U86" s="960">
        <f>SUM(U76:U85)</f>
        <v>0</v>
      </c>
      <c r="V86" s="960">
        <f>SUM(V76:V85)</f>
        <v>0</v>
      </c>
      <c r="W86" s="960">
        <f>SUM(W76:W85)</f>
        <v>0</v>
      </c>
      <c r="X86" s="959"/>
      <c r="Y86" s="959"/>
      <c r="Z86" s="959"/>
      <c r="AA86" s="959"/>
      <c r="AB86" s="1001"/>
    </row>
    <row r="87" spans="1:28" ht="16.5" customHeight="1">
      <c r="A87" s="858">
        <v>82</v>
      </c>
      <c r="B87" s="2671"/>
      <c r="C87" s="2673" t="s">
        <v>591</v>
      </c>
      <c r="D87" s="2700" t="s">
        <v>592</v>
      </c>
      <c r="E87" s="962"/>
      <c r="F87" s="940"/>
      <c r="G87" s="940"/>
      <c r="H87" s="940"/>
      <c r="I87" s="940"/>
      <c r="J87" s="941"/>
      <c r="K87" s="941"/>
      <c r="L87" s="941"/>
      <c r="M87" s="941"/>
      <c r="N87" s="941"/>
      <c r="O87" s="941"/>
      <c r="P87" s="942"/>
      <c r="Q87" s="941"/>
      <c r="R87" s="941"/>
      <c r="S87" s="941"/>
      <c r="T87" s="965"/>
      <c r="U87" s="942"/>
      <c r="V87" s="965"/>
      <c r="W87" s="942"/>
      <c r="X87" s="941"/>
      <c r="Y87" s="943"/>
      <c r="Z87" s="944"/>
      <c r="AA87" s="944"/>
      <c r="AB87" s="963"/>
    </row>
    <row r="88" spans="1:28">
      <c r="A88" s="858">
        <v>83</v>
      </c>
      <c r="B88" s="2671"/>
      <c r="C88" s="2674"/>
      <c r="D88" s="2703"/>
      <c r="E88" s="946"/>
      <c r="F88" s="947"/>
      <c r="G88" s="947"/>
      <c r="H88" s="947"/>
      <c r="I88" s="947"/>
      <c r="J88" s="948"/>
      <c r="K88" s="948"/>
      <c r="L88" s="948"/>
      <c r="M88" s="948"/>
      <c r="N88" s="948"/>
      <c r="O88" s="948"/>
      <c r="P88" s="949"/>
      <c r="Q88" s="948"/>
      <c r="R88" s="948"/>
      <c r="S88" s="948"/>
      <c r="T88" s="964"/>
      <c r="U88" s="949"/>
      <c r="V88" s="964"/>
      <c r="W88" s="949"/>
      <c r="X88" s="948"/>
      <c r="Y88" s="950"/>
      <c r="Z88" s="951"/>
      <c r="AA88" s="951"/>
      <c r="AB88" s="952"/>
    </row>
    <row r="89" spans="1:28">
      <c r="A89" s="858">
        <v>84</v>
      </c>
      <c r="B89" s="2671"/>
      <c r="C89" s="2674"/>
      <c r="D89" s="2703"/>
      <c r="E89" s="946"/>
      <c r="F89" s="947"/>
      <c r="G89" s="947"/>
      <c r="H89" s="947"/>
      <c r="I89" s="947"/>
      <c r="J89" s="948"/>
      <c r="K89" s="948"/>
      <c r="L89" s="948"/>
      <c r="M89" s="948"/>
      <c r="N89" s="948"/>
      <c r="O89" s="948"/>
      <c r="P89" s="949"/>
      <c r="Q89" s="948"/>
      <c r="R89" s="948"/>
      <c r="S89" s="948"/>
      <c r="T89" s="964"/>
      <c r="U89" s="949"/>
      <c r="V89" s="964"/>
      <c r="W89" s="949"/>
      <c r="X89" s="948"/>
      <c r="Y89" s="950"/>
      <c r="Z89" s="951"/>
      <c r="AA89" s="951"/>
      <c r="AB89" s="952"/>
    </row>
    <row r="90" spans="1:28">
      <c r="A90" s="858">
        <v>85</v>
      </c>
      <c r="B90" s="2671"/>
      <c r="C90" s="2674"/>
      <c r="D90" s="2703"/>
      <c r="E90" s="946"/>
      <c r="F90" s="947"/>
      <c r="G90" s="947"/>
      <c r="H90" s="947"/>
      <c r="I90" s="947"/>
      <c r="J90" s="948"/>
      <c r="K90" s="948"/>
      <c r="L90" s="948"/>
      <c r="M90" s="948"/>
      <c r="N90" s="948"/>
      <c r="O90" s="948"/>
      <c r="P90" s="949"/>
      <c r="Q90" s="948"/>
      <c r="R90" s="948"/>
      <c r="S90" s="948"/>
      <c r="T90" s="964"/>
      <c r="U90" s="949"/>
      <c r="V90" s="964"/>
      <c r="W90" s="949"/>
      <c r="X90" s="948"/>
      <c r="Y90" s="950"/>
      <c r="Z90" s="951"/>
      <c r="AA90" s="951"/>
      <c r="AB90" s="952"/>
    </row>
    <row r="91" spans="1:28">
      <c r="A91" s="858">
        <v>86</v>
      </c>
      <c r="B91" s="2671"/>
      <c r="C91" s="2674"/>
      <c r="D91" s="2703"/>
      <c r="E91" s="946"/>
      <c r="F91" s="947"/>
      <c r="G91" s="947"/>
      <c r="H91" s="947"/>
      <c r="I91" s="947"/>
      <c r="J91" s="948"/>
      <c r="K91" s="948"/>
      <c r="L91" s="948"/>
      <c r="M91" s="948"/>
      <c r="N91" s="948"/>
      <c r="O91" s="948"/>
      <c r="P91" s="949"/>
      <c r="Q91" s="948"/>
      <c r="R91" s="948"/>
      <c r="S91" s="948"/>
      <c r="T91" s="964"/>
      <c r="U91" s="949"/>
      <c r="V91" s="964"/>
      <c r="W91" s="949"/>
      <c r="X91" s="948"/>
      <c r="Y91" s="950"/>
      <c r="Z91" s="951"/>
      <c r="AA91" s="951"/>
      <c r="AB91" s="952"/>
    </row>
    <row r="92" spans="1:28">
      <c r="A92" s="858">
        <v>87</v>
      </c>
      <c r="B92" s="2671"/>
      <c r="C92" s="2674"/>
      <c r="D92" s="2703"/>
      <c r="E92" s="946"/>
      <c r="F92" s="947"/>
      <c r="G92" s="947"/>
      <c r="H92" s="947"/>
      <c r="I92" s="947"/>
      <c r="J92" s="948"/>
      <c r="K92" s="948"/>
      <c r="L92" s="948"/>
      <c r="M92" s="948"/>
      <c r="N92" s="948"/>
      <c r="O92" s="948"/>
      <c r="P92" s="949"/>
      <c r="Q92" s="948"/>
      <c r="R92" s="948"/>
      <c r="S92" s="948"/>
      <c r="T92" s="964"/>
      <c r="U92" s="949"/>
      <c r="V92" s="964"/>
      <c r="W92" s="949"/>
      <c r="X92" s="948"/>
      <c r="Y92" s="950"/>
      <c r="Z92" s="951"/>
      <c r="AA92" s="951"/>
      <c r="AB92" s="952"/>
    </row>
    <row r="93" spans="1:28" ht="14.25">
      <c r="A93" s="858">
        <v>88</v>
      </c>
      <c r="B93" s="2671"/>
      <c r="C93" s="2674"/>
      <c r="D93" s="2234" t="s">
        <v>588</v>
      </c>
      <c r="E93" s="955"/>
      <c r="F93" s="955"/>
      <c r="G93" s="955"/>
      <c r="H93" s="955"/>
      <c r="I93" s="955"/>
      <c r="J93" s="955"/>
      <c r="K93" s="955"/>
      <c r="L93" s="955"/>
      <c r="M93" s="948">
        <f>SUM(M87:M92)</f>
        <v>0</v>
      </c>
      <c r="N93" s="948">
        <f>SUM(N87:N92)</f>
        <v>0</v>
      </c>
      <c r="O93" s="948">
        <f>SUM(O87:O92)</f>
        <v>0</v>
      </c>
      <c r="P93" s="948">
        <f>SUM(P87:P92)</f>
        <v>0</v>
      </c>
      <c r="Q93" s="955"/>
      <c r="R93" s="948">
        <f>SUM(R87:R92)</f>
        <v>0</v>
      </c>
      <c r="S93" s="955"/>
      <c r="T93" s="948">
        <f>SUM(T87:T92)</f>
        <v>0</v>
      </c>
      <c r="U93" s="948">
        <f>SUM(U87:U92)</f>
        <v>0</v>
      </c>
      <c r="V93" s="948">
        <f>SUM(V87:V92)</f>
        <v>0</v>
      </c>
      <c r="W93" s="948">
        <f>SUM(W87:W92)</f>
        <v>0</v>
      </c>
      <c r="X93" s="955"/>
      <c r="Y93" s="955"/>
      <c r="Z93" s="955"/>
      <c r="AA93" s="955"/>
      <c r="AB93" s="1001"/>
    </row>
    <row r="94" spans="1:28" ht="13.5" customHeight="1">
      <c r="A94" s="858">
        <v>89</v>
      </c>
      <c r="B94" s="2671"/>
      <c r="C94" s="2674"/>
      <c r="D94" s="2703" t="s">
        <v>1686</v>
      </c>
      <c r="E94" s="946"/>
      <c r="F94" s="947"/>
      <c r="G94" s="947"/>
      <c r="H94" s="947"/>
      <c r="I94" s="947"/>
      <c r="J94" s="948"/>
      <c r="K94" s="948"/>
      <c r="L94" s="948"/>
      <c r="M94" s="948"/>
      <c r="N94" s="948"/>
      <c r="O94" s="948"/>
      <c r="P94" s="949"/>
      <c r="Q94" s="948"/>
      <c r="R94" s="948"/>
      <c r="S94" s="948"/>
      <c r="T94" s="964"/>
      <c r="U94" s="949"/>
      <c r="V94" s="964"/>
      <c r="W94" s="949"/>
      <c r="X94" s="948"/>
      <c r="Y94" s="950"/>
      <c r="Z94" s="951"/>
      <c r="AA94" s="951"/>
      <c r="AB94" s="952"/>
    </row>
    <row r="95" spans="1:28">
      <c r="A95" s="858">
        <v>90</v>
      </c>
      <c r="B95" s="2671"/>
      <c r="C95" s="2674"/>
      <c r="D95" s="2703"/>
      <c r="E95" s="946"/>
      <c r="F95" s="947"/>
      <c r="G95" s="947"/>
      <c r="H95" s="947"/>
      <c r="I95" s="947"/>
      <c r="J95" s="948"/>
      <c r="K95" s="948"/>
      <c r="L95" s="948"/>
      <c r="M95" s="948"/>
      <c r="N95" s="948"/>
      <c r="O95" s="948"/>
      <c r="P95" s="949"/>
      <c r="Q95" s="948"/>
      <c r="R95" s="948"/>
      <c r="S95" s="948"/>
      <c r="T95" s="964"/>
      <c r="U95" s="949"/>
      <c r="V95" s="964"/>
      <c r="W95" s="949"/>
      <c r="X95" s="948"/>
      <c r="Y95" s="950"/>
      <c r="Z95" s="951"/>
      <c r="AA95" s="951"/>
      <c r="AB95" s="952"/>
    </row>
    <row r="96" spans="1:28">
      <c r="A96" s="858">
        <v>91</v>
      </c>
      <c r="B96" s="2671"/>
      <c r="C96" s="2674"/>
      <c r="D96" s="2703"/>
      <c r="E96" s="946"/>
      <c r="F96" s="947"/>
      <c r="G96" s="947"/>
      <c r="H96" s="947"/>
      <c r="I96" s="947"/>
      <c r="J96" s="948"/>
      <c r="K96" s="948"/>
      <c r="L96" s="948"/>
      <c r="M96" s="948"/>
      <c r="N96" s="948"/>
      <c r="O96" s="948"/>
      <c r="P96" s="949"/>
      <c r="Q96" s="948"/>
      <c r="R96" s="948"/>
      <c r="S96" s="948"/>
      <c r="T96" s="964"/>
      <c r="U96" s="949"/>
      <c r="V96" s="964"/>
      <c r="W96" s="949"/>
      <c r="X96" s="948"/>
      <c r="Y96" s="950"/>
      <c r="Z96" s="951"/>
      <c r="AA96" s="951"/>
      <c r="AB96" s="952"/>
    </row>
    <row r="97" spans="1:28">
      <c r="A97" s="858">
        <v>92</v>
      </c>
      <c r="B97" s="2671"/>
      <c r="C97" s="2674"/>
      <c r="D97" s="2703"/>
      <c r="E97" s="946"/>
      <c r="F97" s="947"/>
      <c r="G97" s="947"/>
      <c r="H97" s="947"/>
      <c r="I97" s="947"/>
      <c r="J97" s="948"/>
      <c r="K97" s="948"/>
      <c r="L97" s="948"/>
      <c r="M97" s="948"/>
      <c r="N97" s="948"/>
      <c r="O97" s="948"/>
      <c r="P97" s="949"/>
      <c r="Q97" s="948"/>
      <c r="R97" s="948"/>
      <c r="S97" s="948"/>
      <c r="T97" s="964"/>
      <c r="U97" s="949"/>
      <c r="V97" s="964"/>
      <c r="W97" s="949"/>
      <c r="X97" s="948"/>
      <c r="Y97" s="950"/>
      <c r="Z97" s="951"/>
      <c r="AA97" s="951"/>
      <c r="AB97" s="952"/>
    </row>
    <row r="98" spans="1:28" ht="16.5" customHeight="1">
      <c r="A98" s="858">
        <v>93</v>
      </c>
      <c r="B98" s="2671"/>
      <c r="C98" s="2674"/>
      <c r="D98" s="2703"/>
      <c r="E98" s="946"/>
      <c r="F98" s="947"/>
      <c r="G98" s="947"/>
      <c r="H98" s="947"/>
      <c r="I98" s="947"/>
      <c r="J98" s="948"/>
      <c r="K98" s="948"/>
      <c r="L98" s="948"/>
      <c r="M98" s="948"/>
      <c r="N98" s="948"/>
      <c r="O98" s="948"/>
      <c r="P98" s="949"/>
      <c r="Q98" s="948"/>
      <c r="R98" s="948"/>
      <c r="S98" s="948"/>
      <c r="T98" s="964"/>
      <c r="U98" s="949"/>
      <c r="V98" s="964"/>
      <c r="W98" s="949"/>
      <c r="X98" s="948"/>
      <c r="Y98" s="950"/>
      <c r="Z98" s="951"/>
      <c r="AA98" s="951"/>
      <c r="AB98" s="952"/>
    </row>
    <row r="99" spans="1:28" ht="16.5" customHeight="1">
      <c r="A99" s="858">
        <v>94</v>
      </c>
      <c r="B99" s="2671"/>
      <c r="C99" s="2674"/>
      <c r="D99" s="2703"/>
      <c r="E99" s="946"/>
      <c r="F99" s="947"/>
      <c r="G99" s="947"/>
      <c r="H99" s="947"/>
      <c r="I99" s="947"/>
      <c r="J99" s="948"/>
      <c r="K99" s="948"/>
      <c r="L99" s="948"/>
      <c r="M99" s="948"/>
      <c r="N99" s="948"/>
      <c r="O99" s="948"/>
      <c r="P99" s="949"/>
      <c r="Q99" s="948"/>
      <c r="R99" s="948"/>
      <c r="S99" s="948"/>
      <c r="T99" s="964"/>
      <c r="U99" s="949"/>
      <c r="V99" s="964"/>
      <c r="W99" s="949"/>
      <c r="X99" s="948"/>
      <c r="Y99" s="950"/>
      <c r="Z99" s="951"/>
      <c r="AA99" s="951"/>
      <c r="AB99" s="952"/>
    </row>
    <row r="100" spans="1:28" ht="14.25">
      <c r="A100" s="858">
        <v>95</v>
      </c>
      <c r="B100" s="2671"/>
      <c r="C100" s="2674"/>
      <c r="D100" s="2234" t="s">
        <v>588</v>
      </c>
      <c r="E100" s="955"/>
      <c r="F100" s="955"/>
      <c r="G100" s="955"/>
      <c r="H100" s="955"/>
      <c r="I100" s="955"/>
      <c r="J100" s="955"/>
      <c r="K100" s="955"/>
      <c r="L100" s="955"/>
      <c r="M100" s="948">
        <f>SUM(M94:M99)</f>
        <v>0</v>
      </c>
      <c r="N100" s="948">
        <f>SUM(N94:N99)</f>
        <v>0</v>
      </c>
      <c r="O100" s="948">
        <f>SUM(O94:O99)</f>
        <v>0</v>
      </c>
      <c r="P100" s="948">
        <f>SUM(P94:P99)</f>
        <v>0</v>
      </c>
      <c r="Q100" s="955"/>
      <c r="R100" s="948">
        <f>SUM(R94:R99)</f>
        <v>0</v>
      </c>
      <c r="S100" s="955"/>
      <c r="T100" s="948">
        <f>SUM(T94:T99)</f>
        <v>0</v>
      </c>
      <c r="U100" s="948">
        <f>SUM(U94:U99)</f>
        <v>0</v>
      </c>
      <c r="V100" s="948">
        <f>SUM(V94:V99)</f>
        <v>0</v>
      </c>
      <c r="W100" s="948">
        <f>SUM(W94:W99)</f>
        <v>0</v>
      </c>
      <c r="X100" s="955"/>
      <c r="Y100" s="955"/>
      <c r="Z100" s="955"/>
      <c r="AA100" s="955"/>
      <c r="AB100" s="1001"/>
    </row>
    <row r="101" spans="1:28" ht="13.5" customHeight="1">
      <c r="A101" s="858">
        <v>96</v>
      </c>
      <c r="B101" s="2671"/>
      <c r="C101" s="2674"/>
      <c r="D101" s="2703" t="s">
        <v>1687</v>
      </c>
      <c r="E101" s="946"/>
      <c r="F101" s="947"/>
      <c r="G101" s="947"/>
      <c r="H101" s="947"/>
      <c r="I101" s="947"/>
      <c r="J101" s="948"/>
      <c r="K101" s="948"/>
      <c r="L101" s="948"/>
      <c r="M101" s="948"/>
      <c r="N101" s="948"/>
      <c r="O101" s="948"/>
      <c r="P101" s="949"/>
      <c r="Q101" s="948"/>
      <c r="R101" s="948"/>
      <c r="S101" s="948"/>
      <c r="T101" s="964"/>
      <c r="U101" s="949"/>
      <c r="V101" s="964"/>
      <c r="W101" s="949"/>
      <c r="X101" s="948"/>
      <c r="Y101" s="950"/>
      <c r="Z101" s="951"/>
      <c r="AA101" s="951"/>
      <c r="AB101" s="952"/>
    </row>
    <row r="102" spans="1:28">
      <c r="A102" s="858">
        <v>97</v>
      </c>
      <c r="B102" s="2671"/>
      <c r="C102" s="2674"/>
      <c r="D102" s="2703"/>
      <c r="E102" s="946"/>
      <c r="F102" s="947"/>
      <c r="G102" s="947"/>
      <c r="H102" s="947"/>
      <c r="I102" s="947"/>
      <c r="J102" s="948"/>
      <c r="K102" s="948"/>
      <c r="L102" s="948"/>
      <c r="M102" s="948"/>
      <c r="N102" s="948"/>
      <c r="O102" s="948"/>
      <c r="P102" s="949"/>
      <c r="Q102" s="948"/>
      <c r="R102" s="948"/>
      <c r="S102" s="948"/>
      <c r="T102" s="964"/>
      <c r="U102" s="949"/>
      <c r="V102" s="964"/>
      <c r="W102" s="949"/>
      <c r="X102" s="948"/>
      <c r="Y102" s="950"/>
      <c r="Z102" s="951"/>
      <c r="AA102" s="951"/>
      <c r="AB102" s="952"/>
    </row>
    <row r="103" spans="1:28">
      <c r="A103" s="858">
        <v>98</v>
      </c>
      <c r="B103" s="2671"/>
      <c r="C103" s="2674"/>
      <c r="D103" s="2703"/>
      <c r="E103" s="946"/>
      <c r="F103" s="947"/>
      <c r="G103" s="947"/>
      <c r="H103" s="947"/>
      <c r="I103" s="947"/>
      <c r="J103" s="948"/>
      <c r="K103" s="948"/>
      <c r="L103" s="948"/>
      <c r="M103" s="948"/>
      <c r="N103" s="948"/>
      <c r="O103" s="948"/>
      <c r="P103" s="949"/>
      <c r="Q103" s="948"/>
      <c r="R103" s="948"/>
      <c r="S103" s="948"/>
      <c r="T103" s="964"/>
      <c r="U103" s="949"/>
      <c r="V103" s="964"/>
      <c r="W103" s="949"/>
      <c r="X103" s="948"/>
      <c r="Y103" s="950"/>
      <c r="Z103" s="951"/>
      <c r="AA103" s="951"/>
      <c r="AB103" s="952"/>
    </row>
    <row r="104" spans="1:28">
      <c r="A104" s="858">
        <v>99</v>
      </c>
      <c r="B104" s="2671"/>
      <c r="C104" s="2674"/>
      <c r="D104" s="2703"/>
      <c r="E104" s="946"/>
      <c r="F104" s="947"/>
      <c r="G104" s="947"/>
      <c r="H104" s="947"/>
      <c r="I104" s="947"/>
      <c r="J104" s="948"/>
      <c r="K104" s="948"/>
      <c r="L104" s="948"/>
      <c r="M104" s="948"/>
      <c r="N104" s="948"/>
      <c r="O104" s="948"/>
      <c r="P104" s="949"/>
      <c r="Q104" s="948"/>
      <c r="R104" s="948"/>
      <c r="S104" s="948"/>
      <c r="T104" s="964"/>
      <c r="U104" s="949"/>
      <c r="V104" s="964"/>
      <c r="W104" s="949"/>
      <c r="X104" s="948"/>
      <c r="Y104" s="950"/>
      <c r="Z104" s="951"/>
      <c r="AA104" s="951"/>
      <c r="AB104" s="952"/>
    </row>
    <row r="105" spans="1:28">
      <c r="A105" s="858">
        <v>100</v>
      </c>
      <c r="B105" s="2671"/>
      <c r="C105" s="2674"/>
      <c r="D105" s="2703"/>
      <c r="E105" s="946"/>
      <c r="F105" s="947"/>
      <c r="G105" s="947"/>
      <c r="H105" s="947"/>
      <c r="I105" s="947"/>
      <c r="J105" s="948"/>
      <c r="K105" s="948"/>
      <c r="L105" s="948"/>
      <c r="M105" s="948"/>
      <c r="N105" s="948"/>
      <c r="O105" s="948"/>
      <c r="P105" s="949"/>
      <c r="Q105" s="948"/>
      <c r="R105" s="948"/>
      <c r="S105" s="948"/>
      <c r="T105" s="964"/>
      <c r="U105" s="949"/>
      <c r="V105" s="964"/>
      <c r="W105" s="949"/>
      <c r="X105" s="948"/>
      <c r="Y105" s="950"/>
      <c r="Z105" s="951"/>
      <c r="AA105" s="951"/>
      <c r="AB105" s="952"/>
    </row>
    <row r="106" spans="1:28">
      <c r="A106" s="858">
        <v>101</v>
      </c>
      <c r="B106" s="2671"/>
      <c r="C106" s="2674"/>
      <c r="D106" s="2703"/>
      <c r="E106" s="946"/>
      <c r="F106" s="947"/>
      <c r="G106" s="947"/>
      <c r="H106" s="947"/>
      <c r="I106" s="947"/>
      <c r="J106" s="948"/>
      <c r="K106" s="948"/>
      <c r="L106" s="948"/>
      <c r="M106" s="948"/>
      <c r="N106" s="948"/>
      <c r="O106" s="948"/>
      <c r="P106" s="949"/>
      <c r="Q106" s="948"/>
      <c r="R106" s="948"/>
      <c r="S106" s="948"/>
      <c r="T106" s="964"/>
      <c r="U106" s="949"/>
      <c r="V106" s="964"/>
      <c r="W106" s="949"/>
      <c r="X106" s="948"/>
      <c r="Y106" s="950"/>
      <c r="Z106" s="951"/>
      <c r="AA106" s="951"/>
      <c r="AB106" s="952"/>
    </row>
    <row r="107" spans="1:28" ht="15" thickBot="1">
      <c r="A107" s="858">
        <v>102</v>
      </c>
      <c r="B107" s="2671"/>
      <c r="C107" s="2675"/>
      <c r="D107" s="869" t="s">
        <v>588</v>
      </c>
      <c r="E107" s="958"/>
      <c r="F107" s="1002"/>
      <c r="G107" s="1002"/>
      <c r="H107" s="1002"/>
      <c r="I107" s="1002"/>
      <c r="J107" s="959"/>
      <c r="K107" s="959"/>
      <c r="L107" s="959"/>
      <c r="M107" s="960">
        <f>SUM(M101:M106)</f>
        <v>0</v>
      </c>
      <c r="N107" s="960">
        <f>SUM(N101:N106)</f>
        <v>0</v>
      </c>
      <c r="O107" s="960">
        <f>SUM(O101:O106)</f>
        <v>0</v>
      </c>
      <c r="P107" s="960">
        <f>SUM(P101:P106)</f>
        <v>0</v>
      </c>
      <c r="Q107" s="959"/>
      <c r="R107" s="960">
        <f>SUM(R101:R106)</f>
        <v>0</v>
      </c>
      <c r="S107" s="955"/>
      <c r="T107" s="960">
        <f>SUM(T101:T106)</f>
        <v>0</v>
      </c>
      <c r="U107" s="960">
        <f>SUM(U101:U106)</f>
        <v>0</v>
      </c>
      <c r="V107" s="960">
        <f>SUM(V101:V106)</f>
        <v>0</v>
      </c>
      <c r="W107" s="960">
        <f>SUM(W101:W106)</f>
        <v>0</v>
      </c>
      <c r="X107" s="959"/>
      <c r="Y107" s="959"/>
      <c r="Z107" s="959"/>
      <c r="AA107" s="959"/>
      <c r="AB107" s="1001"/>
    </row>
    <row r="108" spans="1:28" ht="15" thickBot="1">
      <c r="A108" s="2246">
        <v>103</v>
      </c>
      <c r="B108" s="2712" t="s">
        <v>593</v>
      </c>
      <c r="C108" s="2705"/>
      <c r="D108" s="2232"/>
      <c r="E108" s="993"/>
      <c r="F108" s="994"/>
      <c r="G108" s="994"/>
      <c r="H108" s="994"/>
      <c r="I108" s="994"/>
      <c r="J108" s="995"/>
      <c r="K108" s="995"/>
      <c r="L108" s="995"/>
      <c r="M108" s="1003">
        <f>M107+M100+M93+M86+M75+M64+M53+M42+M31+M18</f>
        <v>0</v>
      </c>
      <c r="N108" s="1003">
        <f>N107+N100+N93+N86+N75+N64+N53+N42+N31+N18</f>
        <v>0</v>
      </c>
      <c r="O108" s="1003">
        <f>O107+O100+O93+O86+O75+O64+O53+O42+O31+O18</f>
        <v>0</v>
      </c>
      <c r="P108" s="1003">
        <f>P107+P100+P93+P86+P75+P64+P53+P42+P31+P18</f>
        <v>0</v>
      </c>
      <c r="Q108" s="995"/>
      <c r="R108" s="1003">
        <f>R107+R100+R93+R86+R75+R64+R53+R42+R31+R18</f>
        <v>0</v>
      </c>
      <c r="S108" s="955"/>
      <c r="T108" s="1003">
        <f>T107+T100+T93+T86+T75+T64+T53+T42+T31+T18</f>
        <v>0</v>
      </c>
      <c r="U108" s="1003">
        <f>U107+U100+U93+U86+U75+U64+U53+U42+U31+U18</f>
        <v>0</v>
      </c>
      <c r="V108" s="1003">
        <f>V107+V100+V93+V86+V75+V64+V53+V42+V31+V18</f>
        <v>0</v>
      </c>
      <c r="W108" s="1003">
        <f>W107+W100+W93+W86+W75+W64+W53+W42+W31+W18</f>
        <v>0</v>
      </c>
      <c r="X108" s="995"/>
      <c r="Y108" s="995"/>
      <c r="Z108" s="1004"/>
      <c r="AA108" s="1004"/>
      <c r="AB108" s="1005"/>
    </row>
    <row r="109" spans="1:28" ht="16.5" customHeight="1">
      <c r="A109" s="976">
        <v>104</v>
      </c>
      <c r="B109" s="2718" t="s">
        <v>594</v>
      </c>
      <c r="C109" s="2673" t="s">
        <v>595</v>
      </c>
      <c r="D109" s="2700" t="s">
        <v>1690</v>
      </c>
      <c r="E109" s="962"/>
      <c r="F109" s="940"/>
      <c r="G109" s="940"/>
      <c r="H109" s="940"/>
      <c r="I109" s="940"/>
      <c r="J109" s="941"/>
      <c r="K109" s="941"/>
      <c r="L109" s="941"/>
      <c r="M109" s="941"/>
      <c r="N109" s="941"/>
      <c r="O109" s="941"/>
      <c r="P109" s="942"/>
      <c r="Q109" s="941"/>
      <c r="R109" s="941"/>
      <c r="S109" s="941"/>
      <c r="T109" s="944"/>
      <c r="U109" s="944"/>
      <c r="V109" s="944"/>
      <c r="W109" s="944"/>
      <c r="X109" s="977"/>
      <c r="Y109" s="978"/>
      <c r="Z109" s="944"/>
      <c r="AA109" s="944"/>
      <c r="AB109" s="945"/>
    </row>
    <row r="110" spans="1:28" ht="16.5" customHeight="1">
      <c r="A110" s="979">
        <v>105</v>
      </c>
      <c r="B110" s="2719"/>
      <c r="C110" s="2674"/>
      <c r="D110" s="2703"/>
      <c r="E110" s="946"/>
      <c r="F110" s="947"/>
      <c r="G110" s="947"/>
      <c r="H110" s="947"/>
      <c r="I110" s="947"/>
      <c r="J110" s="948"/>
      <c r="K110" s="948"/>
      <c r="L110" s="948"/>
      <c r="M110" s="948"/>
      <c r="N110" s="948"/>
      <c r="O110" s="948"/>
      <c r="P110" s="949"/>
      <c r="Q110" s="948"/>
      <c r="R110" s="948"/>
      <c r="S110" s="948"/>
      <c r="T110" s="951"/>
      <c r="U110" s="951"/>
      <c r="V110" s="951"/>
      <c r="W110" s="951"/>
      <c r="X110" s="955"/>
      <c r="Y110" s="980"/>
      <c r="Z110" s="951"/>
      <c r="AA110" s="951"/>
      <c r="AB110" s="952"/>
    </row>
    <row r="111" spans="1:28" ht="16.5" customHeight="1">
      <c r="A111" s="979">
        <v>106</v>
      </c>
      <c r="B111" s="2719"/>
      <c r="C111" s="2674"/>
      <c r="D111" s="2703"/>
      <c r="E111" s="946"/>
      <c r="F111" s="947"/>
      <c r="G111" s="947"/>
      <c r="H111" s="947"/>
      <c r="I111" s="947"/>
      <c r="J111" s="948"/>
      <c r="K111" s="948"/>
      <c r="L111" s="948"/>
      <c r="M111" s="948"/>
      <c r="N111" s="948"/>
      <c r="O111" s="948"/>
      <c r="P111" s="949"/>
      <c r="Q111" s="948"/>
      <c r="R111" s="948"/>
      <c r="S111" s="948"/>
      <c r="T111" s="951"/>
      <c r="U111" s="951"/>
      <c r="V111" s="951"/>
      <c r="W111" s="951"/>
      <c r="X111" s="955"/>
      <c r="Y111" s="980"/>
      <c r="Z111" s="951"/>
      <c r="AA111" s="951"/>
      <c r="AB111" s="952"/>
    </row>
    <row r="112" spans="1:28" ht="16.5" customHeight="1">
      <c r="A112" s="979">
        <v>107</v>
      </c>
      <c r="B112" s="2719"/>
      <c r="C112" s="2674"/>
      <c r="D112" s="2703"/>
      <c r="E112" s="946"/>
      <c r="F112" s="947"/>
      <c r="G112" s="947"/>
      <c r="H112" s="947"/>
      <c r="I112" s="947"/>
      <c r="J112" s="948"/>
      <c r="K112" s="948"/>
      <c r="L112" s="948"/>
      <c r="M112" s="948"/>
      <c r="N112" s="948"/>
      <c r="O112" s="948"/>
      <c r="P112" s="949"/>
      <c r="Q112" s="948"/>
      <c r="R112" s="948"/>
      <c r="S112" s="948"/>
      <c r="T112" s="951"/>
      <c r="U112" s="951"/>
      <c r="V112" s="951"/>
      <c r="W112" s="951"/>
      <c r="X112" s="955"/>
      <c r="Y112" s="980"/>
      <c r="Z112" s="951"/>
      <c r="AA112" s="951"/>
      <c r="AB112" s="952"/>
    </row>
    <row r="113" spans="1:28" ht="16.5" customHeight="1">
      <c r="A113" s="979">
        <v>108</v>
      </c>
      <c r="B113" s="2719"/>
      <c r="C113" s="2674"/>
      <c r="D113" s="2703"/>
      <c r="E113" s="946"/>
      <c r="F113" s="947"/>
      <c r="G113" s="947"/>
      <c r="H113" s="947"/>
      <c r="I113" s="947"/>
      <c r="J113" s="948"/>
      <c r="K113" s="948"/>
      <c r="L113" s="948"/>
      <c r="M113" s="948"/>
      <c r="N113" s="948"/>
      <c r="O113" s="948"/>
      <c r="P113" s="949"/>
      <c r="Q113" s="948"/>
      <c r="R113" s="948"/>
      <c r="S113" s="948"/>
      <c r="T113" s="951"/>
      <c r="U113" s="951"/>
      <c r="V113" s="951"/>
      <c r="W113" s="951"/>
      <c r="X113" s="955"/>
      <c r="Y113" s="980"/>
      <c r="Z113" s="951"/>
      <c r="AA113" s="951"/>
      <c r="AB113" s="952"/>
    </row>
    <row r="114" spans="1:28" ht="16.5" customHeight="1">
      <c r="A114" s="979">
        <v>109</v>
      </c>
      <c r="B114" s="2719"/>
      <c r="C114" s="2674"/>
      <c r="D114" s="2703"/>
      <c r="E114" s="946"/>
      <c r="F114" s="947"/>
      <c r="G114" s="947"/>
      <c r="H114" s="947"/>
      <c r="I114" s="947"/>
      <c r="J114" s="948"/>
      <c r="K114" s="948"/>
      <c r="L114" s="948"/>
      <c r="M114" s="948"/>
      <c r="N114" s="948"/>
      <c r="O114" s="948"/>
      <c r="P114" s="949"/>
      <c r="Q114" s="948"/>
      <c r="R114" s="948"/>
      <c r="S114" s="948"/>
      <c r="T114" s="951"/>
      <c r="U114" s="951"/>
      <c r="V114" s="951"/>
      <c r="W114" s="951"/>
      <c r="X114" s="955"/>
      <c r="Y114" s="980"/>
      <c r="Z114" s="951"/>
      <c r="AA114" s="951"/>
      <c r="AB114" s="952"/>
    </row>
    <row r="115" spans="1:28" ht="16.5" customHeight="1">
      <c r="A115" s="979">
        <v>110</v>
      </c>
      <c r="B115" s="2719"/>
      <c r="C115" s="2674"/>
      <c r="D115" s="2237" t="s">
        <v>588</v>
      </c>
      <c r="E115" s="955"/>
      <c r="F115" s="955"/>
      <c r="G115" s="955"/>
      <c r="H115" s="955"/>
      <c r="I115" s="955"/>
      <c r="J115" s="955"/>
      <c r="K115" s="955"/>
      <c r="L115" s="955"/>
      <c r="M115" s="948">
        <f>SUM(M109:M114)</f>
        <v>0</v>
      </c>
      <c r="N115" s="948">
        <f>SUM(N109:N114)</f>
        <v>0</v>
      </c>
      <c r="O115" s="948">
        <f>SUM(O109:O114)</f>
        <v>0</v>
      </c>
      <c r="P115" s="948">
        <f>SUM(P109:P114)</f>
        <v>0</v>
      </c>
      <c r="Q115" s="955"/>
      <c r="R115" s="948">
        <f>SUM(R109:R114)</f>
        <v>0</v>
      </c>
      <c r="S115" s="955"/>
      <c r="T115" s="948">
        <f>SUM(T109:T114)</f>
        <v>0</v>
      </c>
      <c r="U115" s="948">
        <f>SUM(U109:U114)</f>
        <v>0</v>
      </c>
      <c r="V115" s="948">
        <f>SUM(V109:V114)</f>
        <v>0</v>
      </c>
      <c r="W115" s="948">
        <f>SUM(W109:W114)</f>
        <v>0</v>
      </c>
      <c r="X115" s="955"/>
      <c r="Y115" s="980"/>
      <c r="Z115" s="980"/>
      <c r="AA115" s="980"/>
      <c r="AB115" s="1001"/>
    </row>
    <row r="116" spans="1:28" ht="16.5" customHeight="1">
      <c r="A116" s="979">
        <v>111</v>
      </c>
      <c r="B116" s="2719"/>
      <c r="C116" s="2674"/>
      <c r="D116" s="2703" t="s">
        <v>1691</v>
      </c>
      <c r="E116" s="946"/>
      <c r="F116" s="947"/>
      <c r="G116" s="947"/>
      <c r="H116" s="947"/>
      <c r="I116" s="947"/>
      <c r="J116" s="948"/>
      <c r="K116" s="948"/>
      <c r="L116" s="948"/>
      <c r="M116" s="948"/>
      <c r="N116" s="948"/>
      <c r="O116" s="948"/>
      <c r="P116" s="949"/>
      <c r="Q116" s="948"/>
      <c r="R116" s="948"/>
      <c r="S116" s="948"/>
      <c r="T116" s="951"/>
      <c r="U116" s="951"/>
      <c r="V116" s="951"/>
      <c r="W116" s="951"/>
      <c r="X116" s="955"/>
      <c r="Y116" s="980"/>
      <c r="Z116" s="951"/>
      <c r="AA116" s="951"/>
      <c r="AB116" s="952"/>
    </row>
    <row r="117" spans="1:28" ht="16.5" customHeight="1">
      <c r="A117" s="979">
        <v>112</v>
      </c>
      <c r="B117" s="2719"/>
      <c r="C117" s="2674"/>
      <c r="D117" s="2703"/>
      <c r="E117" s="946"/>
      <c r="F117" s="947"/>
      <c r="G117" s="947"/>
      <c r="H117" s="947"/>
      <c r="I117" s="947"/>
      <c r="J117" s="948"/>
      <c r="K117" s="948"/>
      <c r="L117" s="948"/>
      <c r="M117" s="948"/>
      <c r="N117" s="948"/>
      <c r="O117" s="948"/>
      <c r="P117" s="949"/>
      <c r="Q117" s="948"/>
      <c r="R117" s="948"/>
      <c r="S117" s="948"/>
      <c r="T117" s="951"/>
      <c r="U117" s="951"/>
      <c r="V117" s="951"/>
      <c r="W117" s="951"/>
      <c r="X117" s="955"/>
      <c r="Y117" s="980"/>
      <c r="Z117" s="951"/>
      <c r="AA117" s="951"/>
      <c r="AB117" s="952"/>
    </row>
    <row r="118" spans="1:28" ht="16.5" customHeight="1">
      <c r="A118" s="979">
        <v>113</v>
      </c>
      <c r="B118" s="2719"/>
      <c r="C118" s="2674"/>
      <c r="D118" s="2703"/>
      <c r="E118" s="946"/>
      <c r="F118" s="947"/>
      <c r="G118" s="947"/>
      <c r="H118" s="947"/>
      <c r="I118" s="947"/>
      <c r="J118" s="948"/>
      <c r="K118" s="948"/>
      <c r="L118" s="948"/>
      <c r="M118" s="948"/>
      <c r="N118" s="948"/>
      <c r="O118" s="948"/>
      <c r="P118" s="949"/>
      <c r="Q118" s="948"/>
      <c r="R118" s="948"/>
      <c r="S118" s="948"/>
      <c r="T118" s="951"/>
      <c r="U118" s="951"/>
      <c r="V118" s="951"/>
      <c r="W118" s="951"/>
      <c r="X118" s="955"/>
      <c r="Y118" s="980"/>
      <c r="Z118" s="951"/>
      <c r="AA118" s="951"/>
      <c r="AB118" s="952"/>
    </row>
    <row r="119" spans="1:28" ht="16.5" customHeight="1">
      <c r="A119" s="979">
        <v>114</v>
      </c>
      <c r="B119" s="2719"/>
      <c r="C119" s="2674"/>
      <c r="D119" s="2703"/>
      <c r="E119" s="946"/>
      <c r="F119" s="947"/>
      <c r="G119" s="947"/>
      <c r="H119" s="947"/>
      <c r="I119" s="947"/>
      <c r="J119" s="948"/>
      <c r="K119" s="948"/>
      <c r="L119" s="948"/>
      <c r="M119" s="948"/>
      <c r="N119" s="948"/>
      <c r="O119" s="948"/>
      <c r="P119" s="949"/>
      <c r="Q119" s="948"/>
      <c r="R119" s="948"/>
      <c r="S119" s="948"/>
      <c r="T119" s="951"/>
      <c r="U119" s="951"/>
      <c r="V119" s="951"/>
      <c r="W119" s="951"/>
      <c r="X119" s="955"/>
      <c r="Y119" s="980"/>
      <c r="Z119" s="951"/>
      <c r="AA119" s="951"/>
      <c r="AB119" s="952"/>
    </row>
    <row r="120" spans="1:28">
      <c r="A120" s="979">
        <v>115</v>
      </c>
      <c r="B120" s="2719"/>
      <c r="C120" s="2674"/>
      <c r="D120" s="2703"/>
      <c r="E120" s="946"/>
      <c r="F120" s="947"/>
      <c r="G120" s="947"/>
      <c r="H120" s="947"/>
      <c r="I120" s="947"/>
      <c r="J120" s="948"/>
      <c r="K120" s="948"/>
      <c r="L120" s="948"/>
      <c r="M120" s="948"/>
      <c r="N120" s="948"/>
      <c r="O120" s="948"/>
      <c r="P120" s="949"/>
      <c r="Q120" s="948"/>
      <c r="R120" s="948"/>
      <c r="S120" s="948"/>
      <c r="T120" s="951"/>
      <c r="U120" s="951"/>
      <c r="V120" s="951"/>
      <c r="W120" s="951"/>
      <c r="X120" s="955"/>
      <c r="Y120" s="980"/>
      <c r="Z120" s="951"/>
      <c r="AA120" s="951"/>
      <c r="AB120" s="952"/>
    </row>
    <row r="121" spans="1:28">
      <c r="A121" s="979">
        <v>116</v>
      </c>
      <c r="B121" s="2719"/>
      <c r="C121" s="2674"/>
      <c r="D121" s="2703"/>
      <c r="E121" s="946"/>
      <c r="F121" s="947"/>
      <c r="G121" s="947"/>
      <c r="H121" s="947"/>
      <c r="I121" s="947"/>
      <c r="J121" s="948"/>
      <c r="K121" s="948"/>
      <c r="L121" s="948"/>
      <c r="M121" s="948"/>
      <c r="N121" s="948"/>
      <c r="O121" s="948"/>
      <c r="P121" s="949"/>
      <c r="Q121" s="948"/>
      <c r="R121" s="948"/>
      <c r="S121" s="948"/>
      <c r="T121" s="951"/>
      <c r="U121" s="951"/>
      <c r="V121" s="951"/>
      <c r="W121" s="951"/>
      <c r="X121" s="955"/>
      <c r="Y121" s="980"/>
      <c r="Z121" s="951"/>
      <c r="AA121" s="951"/>
      <c r="AB121" s="952"/>
    </row>
    <row r="122" spans="1:28" ht="15" thickBot="1">
      <c r="A122" s="979">
        <v>117</v>
      </c>
      <c r="B122" s="2719"/>
      <c r="C122" s="2675"/>
      <c r="D122" s="891" t="s">
        <v>588</v>
      </c>
      <c r="E122" s="959"/>
      <c r="F122" s="959"/>
      <c r="G122" s="959"/>
      <c r="H122" s="959"/>
      <c r="I122" s="959"/>
      <c r="J122" s="959"/>
      <c r="K122" s="959"/>
      <c r="L122" s="959"/>
      <c r="M122" s="960">
        <f>SUM(M116:M121)</f>
        <v>0</v>
      </c>
      <c r="N122" s="960">
        <f>SUM(N116:N121)</f>
        <v>0</v>
      </c>
      <c r="O122" s="960">
        <f>SUM(O116:O121)</f>
        <v>0</v>
      </c>
      <c r="P122" s="960">
        <f>SUM(P116:P121)</f>
        <v>0</v>
      </c>
      <c r="Q122" s="959"/>
      <c r="R122" s="960">
        <f>SUM(R116:R121)</f>
        <v>0</v>
      </c>
      <c r="S122" s="955"/>
      <c r="T122" s="960">
        <f>SUM(T116:T121)</f>
        <v>0</v>
      </c>
      <c r="U122" s="960">
        <f>SUM(U116:U121)</f>
        <v>0</v>
      </c>
      <c r="V122" s="960">
        <f>SUM(V116:V121)</f>
        <v>0</v>
      </c>
      <c r="W122" s="960">
        <f>SUM(W116:W121)</f>
        <v>0</v>
      </c>
      <c r="X122" s="959"/>
      <c r="Y122" s="982"/>
      <c r="Z122" s="982"/>
      <c r="AA122" s="982"/>
      <c r="AB122" s="1001"/>
    </row>
    <row r="123" spans="1:28" ht="16.5" customHeight="1">
      <c r="A123" s="979">
        <v>118</v>
      </c>
      <c r="B123" s="2719"/>
      <c r="C123" s="2697" t="s">
        <v>589</v>
      </c>
      <c r="D123" s="2700" t="s">
        <v>1411</v>
      </c>
      <c r="E123" s="962"/>
      <c r="F123" s="940"/>
      <c r="G123" s="940"/>
      <c r="H123" s="940"/>
      <c r="I123" s="940"/>
      <c r="J123" s="941"/>
      <c r="K123" s="941"/>
      <c r="L123" s="941"/>
      <c r="M123" s="941"/>
      <c r="N123" s="941"/>
      <c r="O123" s="941"/>
      <c r="P123" s="942"/>
      <c r="Q123" s="941"/>
      <c r="R123" s="941"/>
      <c r="S123" s="941"/>
      <c r="T123" s="944"/>
      <c r="U123" s="944"/>
      <c r="V123" s="944"/>
      <c r="W123" s="944"/>
      <c r="X123" s="983"/>
      <c r="Y123" s="978"/>
      <c r="Z123" s="944"/>
      <c r="AA123" s="944"/>
      <c r="AB123" s="963"/>
    </row>
    <row r="124" spans="1:28">
      <c r="A124" s="979">
        <v>119</v>
      </c>
      <c r="B124" s="2719"/>
      <c r="C124" s="2698"/>
      <c r="D124" s="2701"/>
      <c r="E124" s="946"/>
      <c r="F124" s="947"/>
      <c r="G124" s="947"/>
      <c r="H124" s="947"/>
      <c r="I124" s="947"/>
      <c r="J124" s="948"/>
      <c r="K124" s="948"/>
      <c r="L124" s="948"/>
      <c r="M124" s="948"/>
      <c r="N124" s="948"/>
      <c r="O124" s="948"/>
      <c r="P124" s="949"/>
      <c r="Q124" s="949"/>
      <c r="R124" s="948"/>
      <c r="S124" s="949"/>
      <c r="T124" s="951"/>
      <c r="U124" s="951"/>
      <c r="V124" s="951"/>
      <c r="W124" s="951"/>
      <c r="X124" s="955"/>
      <c r="Y124" s="984"/>
      <c r="Z124" s="951"/>
      <c r="AA124" s="951"/>
      <c r="AB124" s="952"/>
    </row>
    <row r="125" spans="1:28">
      <c r="A125" s="979">
        <v>120</v>
      </c>
      <c r="B125" s="2719"/>
      <c r="C125" s="2698"/>
      <c r="D125" s="2701"/>
      <c r="E125" s="946"/>
      <c r="F125" s="947"/>
      <c r="G125" s="947"/>
      <c r="H125" s="947"/>
      <c r="I125" s="947"/>
      <c r="J125" s="948"/>
      <c r="K125" s="948"/>
      <c r="L125" s="948"/>
      <c r="M125" s="948"/>
      <c r="N125" s="948"/>
      <c r="O125" s="948"/>
      <c r="P125" s="949"/>
      <c r="Q125" s="949"/>
      <c r="R125" s="948"/>
      <c r="S125" s="949"/>
      <c r="T125" s="951"/>
      <c r="U125" s="951"/>
      <c r="V125" s="951"/>
      <c r="W125" s="951"/>
      <c r="X125" s="955"/>
      <c r="Y125" s="984"/>
      <c r="Z125" s="951"/>
      <c r="AA125" s="951"/>
      <c r="AB125" s="952"/>
    </row>
    <row r="126" spans="1:28">
      <c r="A126" s="979">
        <v>121</v>
      </c>
      <c r="B126" s="2719"/>
      <c r="C126" s="2698"/>
      <c r="D126" s="2701"/>
      <c r="E126" s="946"/>
      <c r="F126" s="947"/>
      <c r="G126" s="947"/>
      <c r="H126" s="947"/>
      <c r="I126" s="947"/>
      <c r="J126" s="948"/>
      <c r="K126" s="948"/>
      <c r="L126" s="948"/>
      <c r="M126" s="948"/>
      <c r="N126" s="948"/>
      <c r="O126" s="948"/>
      <c r="P126" s="949"/>
      <c r="Q126" s="949"/>
      <c r="R126" s="948"/>
      <c r="S126" s="949"/>
      <c r="T126" s="951"/>
      <c r="U126" s="951"/>
      <c r="V126" s="951"/>
      <c r="W126" s="951"/>
      <c r="X126" s="955"/>
      <c r="Y126" s="984"/>
      <c r="Z126" s="951"/>
      <c r="AA126" s="951"/>
      <c r="AB126" s="952"/>
    </row>
    <row r="127" spans="1:28">
      <c r="A127" s="979">
        <v>122</v>
      </c>
      <c r="B127" s="2719"/>
      <c r="C127" s="2698"/>
      <c r="D127" s="2701"/>
      <c r="E127" s="946"/>
      <c r="F127" s="947"/>
      <c r="G127" s="947"/>
      <c r="H127" s="947"/>
      <c r="I127" s="947"/>
      <c r="J127" s="948"/>
      <c r="K127" s="948"/>
      <c r="L127" s="948"/>
      <c r="M127" s="948"/>
      <c r="N127" s="948"/>
      <c r="O127" s="948"/>
      <c r="P127" s="949"/>
      <c r="Q127" s="949"/>
      <c r="R127" s="948"/>
      <c r="S127" s="949"/>
      <c r="T127" s="951"/>
      <c r="U127" s="951"/>
      <c r="V127" s="951"/>
      <c r="W127" s="951"/>
      <c r="X127" s="955"/>
      <c r="Y127" s="984"/>
      <c r="Z127" s="951"/>
      <c r="AA127" s="951"/>
      <c r="AB127" s="952"/>
    </row>
    <row r="128" spans="1:28">
      <c r="A128" s="979">
        <v>123</v>
      </c>
      <c r="B128" s="2719"/>
      <c r="C128" s="2698"/>
      <c r="D128" s="2701"/>
      <c r="E128" s="946"/>
      <c r="F128" s="947"/>
      <c r="G128" s="947"/>
      <c r="H128" s="947"/>
      <c r="I128" s="947"/>
      <c r="J128" s="948"/>
      <c r="K128" s="948"/>
      <c r="L128" s="948"/>
      <c r="M128" s="948"/>
      <c r="N128" s="948"/>
      <c r="O128" s="948"/>
      <c r="P128" s="949"/>
      <c r="Q128" s="949"/>
      <c r="R128" s="948"/>
      <c r="S128" s="949"/>
      <c r="T128" s="951"/>
      <c r="U128" s="951"/>
      <c r="V128" s="951"/>
      <c r="W128" s="951"/>
      <c r="X128" s="955"/>
      <c r="Y128" s="984"/>
      <c r="Z128" s="951"/>
      <c r="AA128" s="951"/>
      <c r="AB128" s="952"/>
    </row>
    <row r="129" spans="1:28" ht="14.25">
      <c r="A129" s="979">
        <v>124</v>
      </c>
      <c r="B129" s="2719"/>
      <c r="C129" s="2698"/>
      <c r="D129" s="2237" t="s">
        <v>588</v>
      </c>
      <c r="E129" s="955"/>
      <c r="F129" s="955"/>
      <c r="G129" s="955"/>
      <c r="H129" s="955"/>
      <c r="I129" s="955"/>
      <c r="J129" s="955"/>
      <c r="K129" s="955"/>
      <c r="L129" s="955"/>
      <c r="M129" s="948">
        <f>SUM(M123:M128)</f>
        <v>0</v>
      </c>
      <c r="N129" s="948">
        <f>SUM(N123:N128)</f>
        <v>0</v>
      </c>
      <c r="O129" s="948">
        <f>SUM(O123:O128)</f>
        <v>0</v>
      </c>
      <c r="P129" s="948">
        <f>SUM(P123:P128)</f>
        <v>0</v>
      </c>
      <c r="Q129" s="955"/>
      <c r="R129" s="948">
        <f>SUM(R123:R128)</f>
        <v>0</v>
      </c>
      <c r="S129" s="955"/>
      <c r="T129" s="948">
        <f>SUM(T123:T128)</f>
        <v>0</v>
      </c>
      <c r="U129" s="948">
        <f>SUM(U123:U128)</f>
        <v>0</v>
      </c>
      <c r="V129" s="948">
        <f>SUM(V123:V128)</f>
        <v>0</v>
      </c>
      <c r="W129" s="948">
        <f>SUM(W123:W128)</f>
        <v>0</v>
      </c>
      <c r="X129" s="955"/>
      <c r="Y129" s="984"/>
      <c r="Z129" s="984"/>
      <c r="AA129" s="984"/>
      <c r="AB129" s="1001"/>
    </row>
    <row r="130" spans="1:28" ht="17.25" customHeight="1">
      <c r="A130" s="979">
        <v>125</v>
      </c>
      <c r="B130" s="2719"/>
      <c r="C130" s="2698"/>
      <c r="D130" s="2657" t="s">
        <v>1690</v>
      </c>
      <c r="E130" s="946"/>
      <c r="F130" s="947"/>
      <c r="G130" s="947"/>
      <c r="H130" s="947"/>
      <c r="I130" s="947"/>
      <c r="J130" s="948"/>
      <c r="K130" s="948"/>
      <c r="L130" s="948"/>
      <c r="M130" s="948"/>
      <c r="N130" s="948"/>
      <c r="O130" s="948"/>
      <c r="P130" s="949"/>
      <c r="Q130" s="949"/>
      <c r="R130" s="948"/>
      <c r="S130" s="949"/>
      <c r="T130" s="951"/>
      <c r="U130" s="951"/>
      <c r="V130" s="951"/>
      <c r="W130" s="951"/>
      <c r="X130" s="955"/>
      <c r="Y130" s="984"/>
      <c r="Z130" s="951"/>
      <c r="AA130" s="951"/>
      <c r="AB130" s="952"/>
    </row>
    <row r="131" spans="1:28">
      <c r="A131" s="979">
        <v>126</v>
      </c>
      <c r="B131" s="2719"/>
      <c r="C131" s="2698"/>
      <c r="D131" s="2657"/>
      <c r="E131" s="946"/>
      <c r="F131" s="947"/>
      <c r="G131" s="947"/>
      <c r="H131" s="947"/>
      <c r="I131" s="947"/>
      <c r="J131" s="948"/>
      <c r="K131" s="948"/>
      <c r="L131" s="948"/>
      <c r="M131" s="948"/>
      <c r="N131" s="948"/>
      <c r="O131" s="948"/>
      <c r="P131" s="949"/>
      <c r="Q131" s="949"/>
      <c r="R131" s="948"/>
      <c r="S131" s="949"/>
      <c r="T131" s="951"/>
      <c r="U131" s="951"/>
      <c r="V131" s="951"/>
      <c r="W131" s="951"/>
      <c r="X131" s="955"/>
      <c r="Y131" s="984"/>
      <c r="Z131" s="951"/>
      <c r="AA131" s="951"/>
      <c r="AB131" s="952"/>
    </row>
    <row r="132" spans="1:28">
      <c r="A132" s="979">
        <v>127</v>
      </c>
      <c r="B132" s="2719"/>
      <c r="C132" s="2698"/>
      <c r="D132" s="2657"/>
      <c r="E132" s="946"/>
      <c r="F132" s="947"/>
      <c r="G132" s="947"/>
      <c r="H132" s="947"/>
      <c r="I132" s="947"/>
      <c r="J132" s="948"/>
      <c r="K132" s="948"/>
      <c r="L132" s="948"/>
      <c r="M132" s="948"/>
      <c r="N132" s="948"/>
      <c r="O132" s="948"/>
      <c r="P132" s="949"/>
      <c r="Q132" s="949"/>
      <c r="R132" s="948"/>
      <c r="S132" s="949"/>
      <c r="T132" s="951"/>
      <c r="U132" s="951"/>
      <c r="V132" s="951"/>
      <c r="W132" s="951"/>
      <c r="X132" s="955"/>
      <c r="Y132" s="984"/>
      <c r="Z132" s="951"/>
      <c r="AA132" s="951"/>
      <c r="AB132" s="952"/>
    </row>
    <row r="133" spans="1:28">
      <c r="A133" s="979">
        <v>128</v>
      </c>
      <c r="B133" s="2719"/>
      <c r="C133" s="2698"/>
      <c r="D133" s="2657"/>
      <c r="E133" s="946"/>
      <c r="F133" s="947"/>
      <c r="G133" s="947"/>
      <c r="H133" s="947"/>
      <c r="I133" s="947"/>
      <c r="J133" s="948"/>
      <c r="K133" s="948"/>
      <c r="L133" s="948"/>
      <c r="M133" s="948"/>
      <c r="N133" s="948"/>
      <c r="O133" s="948"/>
      <c r="P133" s="949"/>
      <c r="Q133" s="949"/>
      <c r="R133" s="948"/>
      <c r="S133" s="949"/>
      <c r="T133" s="951"/>
      <c r="U133" s="951"/>
      <c r="V133" s="951"/>
      <c r="W133" s="951"/>
      <c r="X133" s="955"/>
      <c r="Y133" s="984"/>
      <c r="Z133" s="951"/>
      <c r="AA133" s="951"/>
      <c r="AB133" s="952"/>
    </row>
    <row r="134" spans="1:28">
      <c r="A134" s="979">
        <v>129</v>
      </c>
      <c r="B134" s="2719"/>
      <c r="C134" s="2698"/>
      <c r="D134" s="2657"/>
      <c r="E134" s="946"/>
      <c r="F134" s="947"/>
      <c r="G134" s="947"/>
      <c r="H134" s="947"/>
      <c r="I134" s="947"/>
      <c r="J134" s="948"/>
      <c r="K134" s="948"/>
      <c r="L134" s="948"/>
      <c r="M134" s="948"/>
      <c r="N134" s="948"/>
      <c r="O134" s="948"/>
      <c r="P134" s="949"/>
      <c r="Q134" s="949"/>
      <c r="R134" s="948"/>
      <c r="S134" s="949"/>
      <c r="T134" s="951"/>
      <c r="U134" s="951"/>
      <c r="V134" s="951"/>
      <c r="W134" s="951"/>
      <c r="X134" s="955"/>
      <c r="Y134" s="984"/>
      <c r="Z134" s="951"/>
      <c r="AA134" s="951"/>
      <c r="AB134" s="952"/>
    </row>
    <row r="135" spans="1:28">
      <c r="A135" s="979">
        <v>130</v>
      </c>
      <c r="B135" s="2719"/>
      <c r="C135" s="2698"/>
      <c r="D135" s="2657"/>
      <c r="E135" s="946"/>
      <c r="F135" s="947"/>
      <c r="G135" s="947"/>
      <c r="H135" s="947"/>
      <c r="I135" s="947"/>
      <c r="J135" s="948"/>
      <c r="K135" s="948"/>
      <c r="L135" s="948"/>
      <c r="M135" s="948"/>
      <c r="N135" s="948"/>
      <c r="O135" s="948"/>
      <c r="P135" s="949"/>
      <c r="Q135" s="949"/>
      <c r="R135" s="948"/>
      <c r="S135" s="949"/>
      <c r="T135" s="951"/>
      <c r="U135" s="951"/>
      <c r="V135" s="951"/>
      <c r="W135" s="951"/>
      <c r="X135" s="955"/>
      <c r="Y135" s="984"/>
      <c r="Z135" s="951"/>
      <c r="AA135" s="951"/>
      <c r="AB135" s="952"/>
    </row>
    <row r="136" spans="1:28" ht="14.25">
      <c r="A136" s="979">
        <v>131</v>
      </c>
      <c r="B136" s="2719"/>
      <c r="C136" s="2698"/>
      <c r="D136" s="2237" t="s">
        <v>588</v>
      </c>
      <c r="E136" s="955"/>
      <c r="F136" s="955"/>
      <c r="G136" s="955"/>
      <c r="H136" s="955"/>
      <c r="I136" s="955"/>
      <c r="J136" s="955"/>
      <c r="K136" s="955"/>
      <c r="L136" s="955"/>
      <c r="M136" s="948">
        <f>SUM(M130:M135)</f>
        <v>0</v>
      </c>
      <c r="N136" s="948">
        <f>SUM(N130:N135)</f>
        <v>0</v>
      </c>
      <c r="O136" s="948">
        <f>SUM(O130:O135)</f>
        <v>0</v>
      </c>
      <c r="P136" s="948">
        <f>SUM(P130:P135)</f>
        <v>0</v>
      </c>
      <c r="Q136" s="955"/>
      <c r="R136" s="948">
        <f>SUM(R130:R135)</f>
        <v>0</v>
      </c>
      <c r="S136" s="955"/>
      <c r="T136" s="948">
        <f>SUM(T130:T135)</f>
        <v>0</v>
      </c>
      <c r="U136" s="948">
        <f>SUM(U130:U135)</f>
        <v>0</v>
      </c>
      <c r="V136" s="948">
        <f>SUM(V130:V135)</f>
        <v>0</v>
      </c>
      <c r="W136" s="948">
        <f>SUM(W130:W135)</f>
        <v>0</v>
      </c>
      <c r="X136" s="955"/>
      <c r="Y136" s="984"/>
      <c r="Z136" s="984"/>
      <c r="AA136" s="984"/>
      <c r="AB136" s="1001"/>
    </row>
    <row r="137" spans="1:28" ht="16.5" customHeight="1">
      <c r="A137" s="979">
        <v>132</v>
      </c>
      <c r="B137" s="2719"/>
      <c r="C137" s="2698"/>
      <c r="D137" s="2657" t="s">
        <v>1691</v>
      </c>
      <c r="E137" s="946"/>
      <c r="F137" s="947"/>
      <c r="G137" s="947"/>
      <c r="H137" s="947"/>
      <c r="I137" s="947"/>
      <c r="J137" s="948"/>
      <c r="K137" s="948"/>
      <c r="L137" s="948"/>
      <c r="M137" s="948"/>
      <c r="N137" s="948"/>
      <c r="O137" s="948"/>
      <c r="P137" s="949"/>
      <c r="Q137" s="949"/>
      <c r="R137" s="948"/>
      <c r="S137" s="949"/>
      <c r="T137" s="951"/>
      <c r="U137" s="951"/>
      <c r="V137" s="951"/>
      <c r="W137" s="951"/>
      <c r="X137" s="955"/>
      <c r="Y137" s="984"/>
      <c r="Z137" s="951"/>
      <c r="AA137" s="951"/>
      <c r="AB137" s="952"/>
    </row>
    <row r="138" spans="1:28" ht="15.75" customHeight="1">
      <c r="A138" s="979">
        <v>133</v>
      </c>
      <c r="B138" s="2719"/>
      <c r="C138" s="2698"/>
      <c r="D138" s="2657"/>
      <c r="E138" s="946"/>
      <c r="F138" s="947"/>
      <c r="G138" s="947"/>
      <c r="H138" s="947"/>
      <c r="I138" s="947"/>
      <c r="J138" s="948"/>
      <c r="K138" s="948"/>
      <c r="L138" s="948"/>
      <c r="M138" s="948"/>
      <c r="N138" s="948"/>
      <c r="O138" s="948"/>
      <c r="P138" s="949"/>
      <c r="Q138" s="948"/>
      <c r="R138" s="948"/>
      <c r="S138" s="948"/>
      <c r="T138" s="951"/>
      <c r="U138" s="951"/>
      <c r="V138" s="951"/>
      <c r="W138" s="951"/>
      <c r="X138" s="955"/>
      <c r="Y138" s="980"/>
      <c r="Z138" s="951"/>
      <c r="AA138" s="951"/>
      <c r="AB138" s="952"/>
    </row>
    <row r="139" spans="1:28" ht="15.75" customHeight="1">
      <c r="A139" s="979">
        <v>134</v>
      </c>
      <c r="B139" s="2719"/>
      <c r="C139" s="2698"/>
      <c r="D139" s="2657"/>
      <c r="E139" s="946"/>
      <c r="F139" s="947"/>
      <c r="G139" s="947"/>
      <c r="H139" s="947"/>
      <c r="I139" s="947"/>
      <c r="J139" s="948"/>
      <c r="K139" s="948"/>
      <c r="L139" s="948"/>
      <c r="M139" s="948"/>
      <c r="N139" s="948"/>
      <c r="O139" s="948"/>
      <c r="P139" s="949"/>
      <c r="Q139" s="948"/>
      <c r="R139" s="948"/>
      <c r="S139" s="948"/>
      <c r="T139" s="951"/>
      <c r="U139" s="951"/>
      <c r="V139" s="951"/>
      <c r="W139" s="951"/>
      <c r="X139" s="955"/>
      <c r="Y139" s="980"/>
      <c r="Z139" s="951"/>
      <c r="AA139" s="951"/>
      <c r="AB139" s="952"/>
    </row>
    <row r="140" spans="1:28" ht="16.5" customHeight="1">
      <c r="A140" s="979">
        <v>135</v>
      </c>
      <c r="B140" s="2719"/>
      <c r="C140" s="2698"/>
      <c r="D140" s="2657"/>
      <c r="E140" s="946"/>
      <c r="F140" s="947"/>
      <c r="G140" s="947"/>
      <c r="H140" s="947"/>
      <c r="I140" s="947"/>
      <c r="J140" s="948"/>
      <c r="K140" s="948"/>
      <c r="L140" s="948"/>
      <c r="M140" s="948"/>
      <c r="N140" s="948"/>
      <c r="O140" s="948"/>
      <c r="P140" s="949"/>
      <c r="Q140" s="948"/>
      <c r="R140" s="948"/>
      <c r="S140" s="948"/>
      <c r="T140" s="951"/>
      <c r="U140" s="951"/>
      <c r="V140" s="951"/>
      <c r="W140" s="951"/>
      <c r="X140" s="955"/>
      <c r="Y140" s="980"/>
      <c r="Z140" s="951"/>
      <c r="AA140" s="951"/>
      <c r="AB140" s="952"/>
    </row>
    <row r="141" spans="1:28">
      <c r="A141" s="979">
        <v>136</v>
      </c>
      <c r="B141" s="2719"/>
      <c r="C141" s="2698"/>
      <c r="D141" s="2657"/>
      <c r="E141" s="946"/>
      <c r="F141" s="947"/>
      <c r="G141" s="947"/>
      <c r="H141" s="947"/>
      <c r="I141" s="947"/>
      <c r="J141" s="948"/>
      <c r="K141" s="948"/>
      <c r="L141" s="948"/>
      <c r="M141" s="948"/>
      <c r="N141" s="948"/>
      <c r="O141" s="948"/>
      <c r="P141" s="949"/>
      <c r="Q141" s="948"/>
      <c r="R141" s="948"/>
      <c r="S141" s="948"/>
      <c r="T141" s="951"/>
      <c r="U141" s="951"/>
      <c r="V141" s="951"/>
      <c r="W141" s="951"/>
      <c r="X141" s="955"/>
      <c r="Y141" s="980"/>
      <c r="Z141" s="951"/>
      <c r="AA141" s="951"/>
      <c r="AB141" s="952"/>
    </row>
    <row r="142" spans="1:28">
      <c r="A142" s="979">
        <v>137</v>
      </c>
      <c r="B142" s="2719"/>
      <c r="C142" s="2698"/>
      <c r="D142" s="2657"/>
      <c r="E142" s="946"/>
      <c r="F142" s="947"/>
      <c r="G142" s="947"/>
      <c r="H142" s="947"/>
      <c r="I142" s="947"/>
      <c r="J142" s="948"/>
      <c r="K142" s="948"/>
      <c r="L142" s="948"/>
      <c r="M142" s="948"/>
      <c r="N142" s="948"/>
      <c r="O142" s="948"/>
      <c r="P142" s="949"/>
      <c r="Q142" s="948"/>
      <c r="R142" s="948"/>
      <c r="S142" s="948"/>
      <c r="T142" s="951"/>
      <c r="U142" s="951"/>
      <c r="V142" s="951"/>
      <c r="W142" s="951"/>
      <c r="X142" s="955"/>
      <c r="Y142" s="980"/>
      <c r="Z142" s="951"/>
      <c r="AA142" s="951"/>
      <c r="AB142" s="952"/>
    </row>
    <row r="143" spans="1:28" ht="15" thickBot="1">
      <c r="A143" s="979">
        <v>138</v>
      </c>
      <c r="B143" s="2719"/>
      <c r="C143" s="2699"/>
      <c r="D143" s="891" t="s">
        <v>588</v>
      </c>
      <c r="E143" s="959"/>
      <c r="F143" s="959"/>
      <c r="G143" s="959"/>
      <c r="H143" s="959"/>
      <c r="I143" s="959"/>
      <c r="J143" s="959"/>
      <c r="K143" s="959"/>
      <c r="L143" s="959"/>
      <c r="M143" s="960">
        <f>SUM(M137:M142)</f>
        <v>0</v>
      </c>
      <c r="N143" s="960">
        <f>SUM(N137:N142)</f>
        <v>0</v>
      </c>
      <c r="O143" s="960">
        <f>SUM(O137:O142)</f>
        <v>0</v>
      </c>
      <c r="P143" s="960">
        <f>SUM(P137:P142)</f>
        <v>0</v>
      </c>
      <c r="Q143" s="959"/>
      <c r="R143" s="960">
        <f>SUM(R137:R142)</f>
        <v>0</v>
      </c>
      <c r="S143" s="955"/>
      <c r="T143" s="960">
        <f>SUM(T137:T142)</f>
        <v>0</v>
      </c>
      <c r="U143" s="960">
        <f>SUM(U137:U142)</f>
        <v>0</v>
      </c>
      <c r="V143" s="960">
        <f>SUM(V137:V142)</f>
        <v>0</v>
      </c>
      <c r="W143" s="960">
        <f>SUM(W137:W142)</f>
        <v>0</v>
      </c>
      <c r="X143" s="959"/>
      <c r="Y143" s="982"/>
      <c r="Z143" s="982"/>
      <c r="AA143" s="982"/>
      <c r="AB143" s="1001"/>
    </row>
    <row r="144" spans="1:28" ht="16.5" customHeight="1">
      <c r="A144" s="979">
        <v>139</v>
      </c>
      <c r="B144" s="2719"/>
      <c r="C144" s="2673" t="s">
        <v>591</v>
      </c>
      <c r="D144" s="2656" t="s">
        <v>1412</v>
      </c>
      <c r="E144" s="962"/>
      <c r="F144" s="940"/>
      <c r="G144" s="940"/>
      <c r="H144" s="940"/>
      <c r="I144" s="940"/>
      <c r="J144" s="941"/>
      <c r="K144" s="941"/>
      <c r="L144" s="941"/>
      <c r="M144" s="941"/>
      <c r="N144" s="941"/>
      <c r="O144" s="941"/>
      <c r="P144" s="942"/>
      <c r="Q144" s="941"/>
      <c r="R144" s="941"/>
      <c r="S144" s="941"/>
      <c r="T144" s="944"/>
      <c r="U144" s="944"/>
      <c r="V144" s="944"/>
      <c r="W144" s="944"/>
      <c r="X144" s="977"/>
      <c r="Y144" s="978"/>
      <c r="Z144" s="944"/>
      <c r="AA144" s="944"/>
      <c r="AB144" s="963"/>
    </row>
    <row r="145" spans="1:28">
      <c r="A145" s="979">
        <v>140</v>
      </c>
      <c r="B145" s="2719"/>
      <c r="C145" s="2674"/>
      <c r="D145" s="2657"/>
      <c r="E145" s="946"/>
      <c r="F145" s="947"/>
      <c r="G145" s="947"/>
      <c r="H145" s="947"/>
      <c r="I145" s="947"/>
      <c r="J145" s="948"/>
      <c r="K145" s="948"/>
      <c r="L145" s="948"/>
      <c r="M145" s="948"/>
      <c r="N145" s="948"/>
      <c r="O145" s="948"/>
      <c r="P145" s="949"/>
      <c r="Q145" s="948"/>
      <c r="R145" s="948"/>
      <c r="S145" s="948"/>
      <c r="T145" s="951"/>
      <c r="U145" s="951"/>
      <c r="V145" s="951"/>
      <c r="W145" s="951"/>
      <c r="X145" s="984"/>
      <c r="Y145" s="980"/>
      <c r="Z145" s="951"/>
      <c r="AA145" s="951"/>
      <c r="AB145" s="952"/>
    </row>
    <row r="146" spans="1:28">
      <c r="A146" s="979">
        <v>141</v>
      </c>
      <c r="B146" s="2719"/>
      <c r="C146" s="2674"/>
      <c r="D146" s="2657"/>
      <c r="E146" s="946"/>
      <c r="F146" s="947"/>
      <c r="G146" s="947"/>
      <c r="H146" s="947"/>
      <c r="I146" s="947"/>
      <c r="J146" s="948"/>
      <c r="K146" s="948"/>
      <c r="L146" s="948"/>
      <c r="M146" s="948"/>
      <c r="N146" s="948"/>
      <c r="O146" s="948"/>
      <c r="P146" s="949"/>
      <c r="Q146" s="948"/>
      <c r="R146" s="948"/>
      <c r="S146" s="948"/>
      <c r="T146" s="951"/>
      <c r="U146" s="951"/>
      <c r="V146" s="951"/>
      <c r="W146" s="951"/>
      <c r="X146" s="984"/>
      <c r="Y146" s="980"/>
      <c r="Z146" s="951"/>
      <c r="AA146" s="951"/>
      <c r="AB146" s="952"/>
    </row>
    <row r="147" spans="1:28">
      <c r="A147" s="979">
        <v>142</v>
      </c>
      <c r="B147" s="2719"/>
      <c r="C147" s="2674"/>
      <c r="D147" s="2657"/>
      <c r="E147" s="946"/>
      <c r="F147" s="947"/>
      <c r="G147" s="947"/>
      <c r="H147" s="947"/>
      <c r="I147" s="947"/>
      <c r="J147" s="948"/>
      <c r="K147" s="948"/>
      <c r="L147" s="948"/>
      <c r="M147" s="948"/>
      <c r="N147" s="948"/>
      <c r="O147" s="948"/>
      <c r="P147" s="949"/>
      <c r="Q147" s="948"/>
      <c r="R147" s="948"/>
      <c r="S147" s="948"/>
      <c r="T147" s="951"/>
      <c r="U147" s="951"/>
      <c r="V147" s="951"/>
      <c r="W147" s="951"/>
      <c r="X147" s="984"/>
      <c r="Y147" s="980"/>
      <c r="Z147" s="951"/>
      <c r="AA147" s="951"/>
      <c r="AB147" s="952"/>
    </row>
    <row r="148" spans="1:28">
      <c r="A148" s="979">
        <v>143</v>
      </c>
      <c r="B148" s="2719"/>
      <c r="C148" s="2674"/>
      <c r="D148" s="2657"/>
      <c r="E148" s="946"/>
      <c r="F148" s="947"/>
      <c r="G148" s="947"/>
      <c r="H148" s="947"/>
      <c r="I148" s="947"/>
      <c r="J148" s="948"/>
      <c r="K148" s="948"/>
      <c r="L148" s="948"/>
      <c r="M148" s="948"/>
      <c r="N148" s="948"/>
      <c r="O148" s="948"/>
      <c r="P148" s="949"/>
      <c r="Q148" s="948"/>
      <c r="R148" s="948"/>
      <c r="S148" s="948"/>
      <c r="T148" s="951"/>
      <c r="U148" s="951"/>
      <c r="V148" s="951"/>
      <c r="W148" s="951"/>
      <c r="X148" s="984"/>
      <c r="Y148" s="980"/>
      <c r="Z148" s="951"/>
      <c r="AA148" s="951"/>
      <c r="AB148" s="952"/>
    </row>
    <row r="149" spans="1:28">
      <c r="A149" s="979">
        <v>144</v>
      </c>
      <c r="B149" s="2719"/>
      <c r="C149" s="2674"/>
      <c r="D149" s="2657"/>
      <c r="E149" s="946"/>
      <c r="F149" s="947"/>
      <c r="G149" s="947"/>
      <c r="H149" s="947"/>
      <c r="I149" s="947"/>
      <c r="J149" s="948"/>
      <c r="K149" s="948"/>
      <c r="L149" s="948"/>
      <c r="M149" s="948"/>
      <c r="N149" s="948"/>
      <c r="O149" s="948"/>
      <c r="P149" s="949"/>
      <c r="Q149" s="948"/>
      <c r="R149" s="948"/>
      <c r="S149" s="948"/>
      <c r="T149" s="951"/>
      <c r="U149" s="951"/>
      <c r="V149" s="951"/>
      <c r="W149" s="951"/>
      <c r="X149" s="984"/>
      <c r="Y149" s="980"/>
      <c r="Z149" s="951"/>
      <c r="AA149" s="951"/>
      <c r="AB149" s="952"/>
    </row>
    <row r="150" spans="1:28" ht="14.25">
      <c r="A150" s="979">
        <v>145</v>
      </c>
      <c r="B150" s="2719"/>
      <c r="C150" s="2674"/>
      <c r="D150" s="2234" t="s">
        <v>588</v>
      </c>
      <c r="E150" s="955"/>
      <c r="F150" s="955"/>
      <c r="G150" s="955"/>
      <c r="H150" s="955"/>
      <c r="I150" s="955"/>
      <c r="J150" s="955"/>
      <c r="K150" s="955"/>
      <c r="L150" s="955"/>
      <c r="M150" s="948">
        <f>SUM(M144:M149)</f>
        <v>0</v>
      </c>
      <c r="N150" s="948">
        <f>SUM(N144:N149)</f>
        <v>0</v>
      </c>
      <c r="O150" s="948">
        <f>SUM(O144:O149)</f>
        <v>0</v>
      </c>
      <c r="P150" s="948">
        <f>SUM(P144:P149)</f>
        <v>0</v>
      </c>
      <c r="Q150" s="955"/>
      <c r="R150" s="948">
        <f>SUM(R144:R149)</f>
        <v>0</v>
      </c>
      <c r="S150" s="955"/>
      <c r="T150" s="948">
        <f>SUM(T144:T149)</f>
        <v>0</v>
      </c>
      <c r="U150" s="948">
        <f>SUM(U144:U149)</f>
        <v>0</v>
      </c>
      <c r="V150" s="948">
        <f>SUM(V144:V149)</f>
        <v>0</v>
      </c>
      <c r="W150" s="948">
        <f>SUM(W144:W149)</f>
        <v>0</v>
      </c>
      <c r="X150" s="984"/>
      <c r="Y150" s="980"/>
      <c r="Z150" s="980"/>
      <c r="AA150" s="980"/>
      <c r="AB150" s="1001"/>
    </row>
    <row r="151" spans="1:28" ht="16.5" customHeight="1">
      <c r="A151" s="979">
        <v>146</v>
      </c>
      <c r="B151" s="2719"/>
      <c r="C151" s="2674"/>
      <c r="D151" s="2657" t="s">
        <v>1690</v>
      </c>
      <c r="E151" s="946"/>
      <c r="F151" s="947"/>
      <c r="G151" s="947"/>
      <c r="H151" s="947"/>
      <c r="I151" s="947"/>
      <c r="J151" s="948"/>
      <c r="K151" s="948"/>
      <c r="L151" s="948"/>
      <c r="M151" s="948"/>
      <c r="N151" s="948"/>
      <c r="O151" s="948"/>
      <c r="P151" s="949"/>
      <c r="Q151" s="948"/>
      <c r="R151" s="948"/>
      <c r="S151" s="948"/>
      <c r="T151" s="951"/>
      <c r="U151" s="951"/>
      <c r="V151" s="951"/>
      <c r="W151" s="951"/>
      <c r="X151" s="984"/>
      <c r="Y151" s="980"/>
      <c r="Z151" s="951"/>
      <c r="AA151" s="951"/>
      <c r="AB151" s="952"/>
    </row>
    <row r="152" spans="1:28">
      <c r="A152" s="979">
        <v>147</v>
      </c>
      <c r="B152" s="2719"/>
      <c r="C152" s="2674"/>
      <c r="D152" s="2657"/>
      <c r="E152" s="946"/>
      <c r="F152" s="947"/>
      <c r="G152" s="947"/>
      <c r="H152" s="947"/>
      <c r="I152" s="947"/>
      <c r="J152" s="948"/>
      <c r="K152" s="948"/>
      <c r="L152" s="948"/>
      <c r="M152" s="948"/>
      <c r="N152" s="948"/>
      <c r="O152" s="948"/>
      <c r="P152" s="949"/>
      <c r="Q152" s="948"/>
      <c r="R152" s="948"/>
      <c r="S152" s="948"/>
      <c r="T152" s="951"/>
      <c r="U152" s="951"/>
      <c r="V152" s="951"/>
      <c r="W152" s="951"/>
      <c r="X152" s="984"/>
      <c r="Y152" s="980"/>
      <c r="Z152" s="951"/>
      <c r="AA152" s="951"/>
      <c r="AB152" s="952"/>
    </row>
    <row r="153" spans="1:28">
      <c r="A153" s="979">
        <v>148</v>
      </c>
      <c r="B153" s="2719"/>
      <c r="C153" s="2674"/>
      <c r="D153" s="2657"/>
      <c r="E153" s="946"/>
      <c r="F153" s="947"/>
      <c r="G153" s="947"/>
      <c r="H153" s="947"/>
      <c r="I153" s="947"/>
      <c r="J153" s="948"/>
      <c r="K153" s="948"/>
      <c r="L153" s="948"/>
      <c r="M153" s="948"/>
      <c r="N153" s="948"/>
      <c r="O153" s="948"/>
      <c r="P153" s="949"/>
      <c r="Q153" s="948"/>
      <c r="R153" s="948"/>
      <c r="S153" s="948"/>
      <c r="T153" s="951"/>
      <c r="U153" s="951"/>
      <c r="V153" s="951"/>
      <c r="W153" s="951"/>
      <c r="X153" s="984"/>
      <c r="Y153" s="980"/>
      <c r="Z153" s="951"/>
      <c r="AA153" s="951"/>
      <c r="AB153" s="952"/>
    </row>
    <row r="154" spans="1:28">
      <c r="A154" s="979">
        <v>149</v>
      </c>
      <c r="B154" s="2719"/>
      <c r="C154" s="2674"/>
      <c r="D154" s="2657"/>
      <c r="E154" s="946"/>
      <c r="F154" s="947"/>
      <c r="G154" s="947"/>
      <c r="H154" s="947"/>
      <c r="I154" s="947"/>
      <c r="J154" s="948"/>
      <c r="K154" s="948"/>
      <c r="L154" s="948"/>
      <c r="M154" s="948"/>
      <c r="N154" s="948"/>
      <c r="O154" s="948"/>
      <c r="P154" s="949"/>
      <c r="Q154" s="948"/>
      <c r="R154" s="948"/>
      <c r="S154" s="948"/>
      <c r="T154" s="951"/>
      <c r="U154" s="951"/>
      <c r="V154" s="951"/>
      <c r="W154" s="951"/>
      <c r="X154" s="984"/>
      <c r="Y154" s="980"/>
      <c r="Z154" s="951"/>
      <c r="AA154" s="951"/>
      <c r="AB154" s="952"/>
    </row>
    <row r="155" spans="1:28">
      <c r="A155" s="979">
        <v>150</v>
      </c>
      <c r="B155" s="2719"/>
      <c r="C155" s="2674"/>
      <c r="D155" s="2657"/>
      <c r="E155" s="946"/>
      <c r="F155" s="947"/>
      <c r="G155" s="947"/>
      <c r="H155" s="947"/>
      <c r="I155" s="947"/>
      <c r="J155" s="948"/>
      <c r="K155" s="948"/>
      <c r="L155" s="948"/>
      <c r="M155" s="948"/>
      <c r="N155" s="948"/>
      <c r="O155" s="948"/>
      <c r="P155" s="949"/>
      <c r="Q155" s="948"/>
      <c r="R155" s="948"/>
      <c r="S155" s="948"/>
      <c r="T155" s="951"/>
      <c r="U155" s="951"/>
      <c r="V155" s="951"/>
      <c r="W155" s="951"/>
      <c r="X155" s="984"/>
      <c r="Y155" s="980"/>
      <c r="Z155" s="951"/>
      <c r="AA155" s="951"/>
      <c r="AB155" s="952"/>
    </row>
    <row r="156" spans="1:28">
      <c r="A156" s="979">
        <v>151</v>
      </c>
      <c r="B156" s="2719"/>
      <c r="C156" s="2674"/>
      <c r="D156" s="2657"/>
      <c r="E156" s="946"/>
      <c r="F156" s="947"/>
      <c r="G156" s="947"/>
      <c r="H156" s="947"/>
      <c r="I156" s="947"/>
      <c r="J156" s="948"/>
      <c r="K156" s="948"/>
      <c r="L156" s="948"/>
      <c r="M156" s="948"/>
      <c r="N156" s="948"/>
      <c r="O156" s="948"/>
      <c r="P156" s="949"/>
      <c r="Q156" s="948"/>
      <c r="R156" s="948"/>
      <c r="S156" s="948"/>
      <c r="T156" s="951"/>
      <c r="U156" s="951"/>
      <c r="V156" s="951"/>
      <c r="W156" s="951"/>
      <c r="X156" s="984"/>
      <c r="Y156" s="980"/>
      <c r="Z156" s="951"/>
      <c r="AA156" s="951"/>
      <c r="AB156" s="952"/>
    </row>
    <row r="157" spans="1:28" ht="14.25">
      <c r="A157" s="979">
        <v>152</v>
      </c>
      <c r="B157" s="2719"/>
      <c r="C157" s="2674"/>
      <c r="D157" s="2237" t="s">
        <v>588</v>
      </c>
      <c r="E157" s="955"/>
      <c r="F157" s="955"/>
      <c r="G157" s="955"/>
      <c r="H157" s="955"/>
      <c r="I157" s="955"/>
      <c r="J157" s="955"/>
      <c r="K157" s="955"/>
      <c r="L157" s="955"/>
      <c r="M157" s="948">
        <f>SUM(M151:M156)</f>
        <v>0</v>
      </c>
      <c r="N157" s="948">
        <f>SUM(N151:N156)</f>
        <v>0</v>
      </c>
      <c r="O157" s="948">
        <f>SUM(O151:O156)</f>
        <v>0</v>
      </c>
      <c r="P157" s="948">
        <f>SUM(P151:P156)</f>
        <v>0</v>
      </c>
      <c r="Q157" s="955"/>
      <c r="R157" s="948">
        <f>SUM(R151:R156)</f>
        <v>0</v>
      </c>
      <c r="S157" s="955"/>
      <c r="T157" s="948">
        <f>SUM(T151:T156)</f>
        <v>0</v>
      </c>
      <c r="U157" s="948">
        <f>SUM(U151:U156)</f>
        <v>0</v>
      </c>
      <c r="V157" s="948">
        <f>SUM(V151:V156)</f>
        <v>0</v>
      </c>
      <c r="W157" s="948">
        <f>SUM(W151:W156)</f>
        <v>0</v>
      </c>
      <c r="X157" s="984"/>
      <c r="Y157" s="980"/>
      <c r="Z157" s="980"/>
      <c r="AA157" s="980"/>
      <c r="AB157" s="1001"/>
    </row>
    <row r="158" spans="1:28" ht="16.5" customHeight="1">
      <c r="A158" s="979">
        <v>153</v>
      </c>
      <c r="B158" s="2719"/>
      <c r="C158" s="2674"/>
      <c r="D158" s="2657" t="s">
        <v>1691</v>
      </c>
      <c r="E158" s="946"/>
      <c r="F158" s="947"/>
      <c r="G158" s="947"/>
      <c r="H158" s="947"/>
      <c r="I158" s="947"/>
      <c r="J158" s="948"/>
      <c r="K158" s="948"/>
      <c r="L158" s="948"/>
      <c r="M158" s="948"/>
      <c r="N158" s="948"/>
      <c r="O158" s="948"/>
      <c r="P158" s="949"/>
      <c r="Q158" s="948"/>
      <c r="R158" s="948"/>
      <c r="S158" s="948"/>
      <c r="T158" s="951"/>
      <c r="U158" s="951"/>
      <c r="V158" s="951"/>
      <c r="W158" s="951"/>
      <c r="X158" s="984"/>
      <c r="Y158" s="980"/>
      <c r="Z158" s="951"/>
      <c r="AA158" s="951"/>
      <c r="AB158" s="952"/>
    </row>
    <row r="159" spans="1:28">
      <c r="A159" s="979">
        <v>154</v>
      </c>
      <c r="B159" s="2719"/>
      <c r="C159" s="2674"/>
      <c r="D159" s="2657"/>
      <c r="E159" s="946"/>
      <c r="F159" s="947"/>
      <c r="G159" s="947"/>
      <c r="H159" s="947"/>
      <c r="I159" s="947"/>
      <c r="J159" s="948"/>
      <c r="K159" s="948"/>
      <c r="L159" s="948"/>
      <c r="M159" s="948"/>
      <c r="N159" s="948"/>
      <c r="O159" s="948"/>
      <c r="P159" s="949"/>
      <c r="Q159" s="948"/>
      <c r="R159" s="948"/>
      <c r="S159" s="948"/>
      <c r="T159" s="951"/>
      <c r="U159" s="951"/>
      <c r="V159" s="951"/>
      <c r="W159" s="951"/>
      <c r="X159" s="984"/>
      <c r="Y159" s="980"/>
      <c r="Z159" s="951"/>
      <c r="AA159" s="951"/>
      <c r="AB159" s="952"/>
    </row>
    <row r="160" spans="1:28">
      <c r="A160" s="979">
        <v>155</v>
      </c>
      <c r="B160" s="2719"/>
      <c r="C160" s="2674"/>
      <c r="D160" s="2657"/>
      <c r="E160" s="946"/>
      <c r="F160" s="947"/>
      <c r="G160" s="947"/>
      <c r="H160" s="947"/>
      <c r="I160" s="947"/>
      <c r="J160" s="948"/>
      <c r="K160" s="948"/>
      <c r="L160" s="948"/>
      <c r="M160" s="948"/>
      <c r="N160" s="948"/>
      <c r="O160" s="948"/>
      <c r="P160" s="949"/>
      <c r="Q160" s="948"/>
      <c r="R160" s="948"/>
      <c r="S160" s="948"/>
      <c r="T160" s="951"/>
      <c r="U160" s="951"/>
      <c r="V160" s="951"/>
      <c r="W160" s="951"/>
      <c r="X160" s="984"/>
      <c r="Y160" s="980"/>
      <c r="Z160" s="951"/>
      <c r="AA160" s="951"/>
      <c r="AB160" s="952"/>
    </row>
    <row r="161" spans="1:28">
      <c r="A161" s="979">
        <v>156</v>
      </c>
      <c r="B161" s="2719"/>
      <c r="C161" s="2674"/>
      <c r="D161" s="2657"/>
      <c r="E161" s="946"/>
      <c r="F161" s="947"/>
      <c r="G161" s="947"/>
      <c r="H161" s="947"/>
      <c r="I161" s="947"/>
      <c r="J161" s="948"/>
      <c r="K161" s="948"/>
      <c r="L161" s="948"/>
      <c r="M161" s="948"/>
      <c r="N161" s="948"/>
      <c r="O161" s="948"/>
      <c r="P161" s="949"/>
      <c r="Q161" s="948"/>
      <c r="R161" s="948"/>
      <c r="S161" s="948"/>
      <c r="T161" s="951"/>
      <c r="U161" s="951"/>
      <c r="V161" s="951"/>
      <c r="W161" s="951"/>
      <c r="X161" s="984"/>
      <c r="Y161" s="980"/>
      <c r="Z161" s="951"/>
      <c r="AA161" s="951"/>
      <c r="AB161" s="952"/>
    </row>
    <row r="162" spans="1:28">
      <c r="A162" s="979">
        <v>157</v>
      </c>
      <c r="B162" s="2719"/>
      <c r="C162" s="2674"/>
      <c r="D162" s="2657"/>
      <c r="E162" s="946"/>
      <c r="F162" s="947"/>
      <c r="G162" s="947"/>
      <c r="H162" s="947"/>
      <c r="I162" s="947"/>
      <c r="J162" s="948"/>
      <c r="K162" s="948"/>
      <c r="L162" s="948"/>
      <c r="M162" s="948"/>
      <c r="N162" s="948"/>
      <c r="O162" s="948"/>
      <c r="P162" s="949"/>
      <c r="Q162" s="948"/>
      <c r="R162" s="948"/>
      <c r="S162" s="948"/>
      <c r="T162" s="951"/>
      <c r="U162" s="951"/>
      <c r="V162" s="951"/>
      <c r="W162" s="951"/>
      <c r="X162" s="984"/>
      <c r="Y162" s="980"/>
      <c r="Z162" s="951"/>
      <c r="AA162" s="951"/>
      <c r="AB162" s="952"/>
    </row>
    <row r="163" spans="1:28">
      <c r="A163" s="979">
        <v>158</v>
      </c>
      <c r="B163" s="2719"/>
      <c r="C163" s="2674"/>
      <c r="D163" s="2657"/>
      <c r="E163" s="946"/>
      <c r="F163" s="947"/>
      <c r="G163" s="947"/>
      <c r="H163" s="947"/>
      <c r="I163" s="947"/>
      <c r="J163" s="948"/>
      <c r="K163" s="948"/>
      <c r="L163" s="948"/>
      <c r="M163" s="948"/>
      <c r="N163" s="948"/>
      <c r="O163" s="948"/>
      <c r="P163" s="949"/>
      <c r="Q163" s="948"/>
      <c r="R163" s="948"/>
      <c r="S163" s="948"/>
      <c r="T163" s="951"/>
      <c r="U163" s="951"/>
      <c r="V163" s="951"/>
      <c r="W163" s="951"/>
      <c r="X163" s="984"/>
      <c r="Y163" s="980"/>
      <c r="Z163" s="951"/>
      <c r="AA163" s="951"/>
      <c r="AB163" s="952"/>
    </row>
    <row r="164" spans="1:28" ht="15" thickBot="1">
      <c r="A164" s="979">
        <v>159</v>
      </c>
      <c r="B164" s="2719"/>
      <c r="C164" s="2675"/>
      <c r="D164" s="869" t="s">
        <v>588</v>
      </c>
      <c r="E164" s="959"/>
      <c r="F164" s="959"/>
      <c r="G164" s="959"/>
      <c r="H164" s="959"/>
      <c r="I164" s="959"/>
      <c r="J164" s="959"/>
      <c r="K164" s="959"/>
      <c r="L164" s="959"/>
      <c r="M164" s="960">
        <f>SUM(M158:M163)</f>
        <v>0</v>
      </c>
      <c r="N164" s="960">
        <f>SUM(N158:N163)</f>
        <v>0</v>
      </c>
      <c r="O164" s="960">
        <f>SUM(O158:O163)</f>
        <v>0</v>
      </c>
      <c r="P164" s="960">
        <f>SUM(P158:P163)</f>
        <v>0</v>
      </c>
      <c r="Q164" s="959"/>
      <c r="R164" s="960">
        <f>SUM(R158:R163)</f>
        <v>0</v>
      </c>
      <c r="S164" s="955"/>
      <c r="T164" s="960">
        <f>SUM(T158:T163)</f>
        <v>0</v>
      </c>
      <c r="U164" s="960">
        <f>SUM(U158:U163)</f>
        <v>0</v>
      </c>
      <c r="V164" s="960">
        <f>SUM(V158:V163)</f>
        <v>0</v>
      </c>
      <c r="W164" s="960">
        <f>SUM(W158:W163)</f>
        <v>0</v>
      </c>
      <c r="X164" s="1006"/>
      <c r="Y164" s="982"/>
      <c r="Z164" s="982"/>
      <c r="AA164" s="982"/>
      <c r="AB164" s="1001"/>
    </row>
    <row r="165" spans="1:28" ht="15" thickBot="1">
      <c r="A165" s="1007">
        <v>160</v>
      </c>
      <c r="B165" s="2721" t="s">
        <v>597</v>
      </c>
      <c r="C165" s="2705"/>
      <c r="D165" s="2705"/>
      <c r="E165" s="993"/>
      <c r="F165" s="994"/>
      <c r="G165" s="994"/>
      <c r="H165" s="994"/>
      <c r="I165" s="994"/>
      <c r="J165" s="995"/>
      <c r="K165" s="995"/>
      <c r="L165" s="995"/>
      <c r="M165" s="996">
        <f>M115+M122+M129+M136+M143+M150+M157+M164</f>
        <v>0</v>
      </c>
      <c r="N165" s="996">
        <f>N115+N122+N129+N136+N143+N150+N157+N164</f>
        <v>0</v>
      </c>
      <c r="O165" s="996">
        <f>O115+O122+O129+O136+O143+O150+O157+O164</f>
        <v>0</v>
      </c>
      <c r="P165" s="996">
        <f>P115+P122+P129+P136+P143+P150+P157+P164</f>
        <v>0</v>
      </c>
      <c r="Q165" s="995"/>
      <c r="R165" s="996">
        <f>R115+R122+R129+R136+R143+R150+R157+R164</f>
        <v>0</v>
      </c>
      <c r="S165" s="959"/>
      <c r="T165" s="996">
        <f>T115+T122+T129+T136+T143+T150+T157+T164</f>
        <v>0</v>
      </c>
      <c r="U165" s="996">
        <f>U115+U122+U129+U136+U143+U150+U157+U164</f>
        <v>0</v>
      </c>
      <c r="V165" s="996">
        <f>V115+V122+V129+V136+V143+V150+V157+V164</f>
        <v>0</v>
      </c>
      <c r="W165" s="996">
        <f>W115+W122+W129+W136+W143+W150+W157+W164</f>
        <v>0</v>
      </c>
      <c r="X165" s="998"/>
      <c r="Y165" s="999"/>
      <c r="Z165" s="999"/>
      <c r="AA165" s="999"/>
      <c r="AB165" s="1001"/>
    </row>
    <row r="166" spans="1:28" ht="15" thickBot="1">
      <c r="A166" s="899">
        <v>161</v>
      </c>
      <c r="B166" s="2704" t="s">
        <v>598</v>
      </c>
      <c r="C166" s="2705"/>
      <c r="D166" s="2705"/>
      <c r="E166" s="993"/>
      <c r="F166" s="994"/>
      <c r="G166" s="994"/>
      <c r="H166" s="994"/>
      <c r="I166" s="994"/>
      <c r="J166" s="995"/>
      <c r="K166" s="995"/>
      <c r="L166" s="995"/>
      <c r="M166" s="996">
        <f>M165+M108</f>
        <v>0</v>
      </c>
      <c r="N166" s="996">
        <f>N165+N108</f>
        <v>0</v>
      </c>
      <c r="O166" s="996">
        <f>O165+O108</f>
        <v>0</v>
      </c>
      <c r="P166" s="996">
        <f>P165+P108</f>
        <v>0</v>
      </c>
      <c r="Q166" s="995"/>
      <c r="R166" s="996">
        <f>R165+R108</f>
        <v>0</v>
      </c>
      <c r="S166" s="997"/>
      <c r="T166" s="996">
        <f>T165+T108</f>
        <v>0</v>
      </c>
      <c r="U166" s="996">
        <f>U165+U108</f>
        <v>0</v>
      </c>
      <c r="V166" s="996">
        <f>V165+V108</f>
        <v>0</v>
      </c>
      <c r="W166" s="996">
        <f>W165+W108</f>
        <v>0</v>
      </c>
      <c r="X166" s="998"/>
      <c r="Y166" s="999"/>
      <c r="Z166" s="999"/>
      <c r="AA166" s="999"/>
      <c r="AB166" s="1001"/>
    </row>
    <row r="169" spans="1:28" ht="14.25">
      <c r="A169" s="907" t="s">
        <v>983</v>
      </c>
      <c r="B169" s="907"/>
      <c r="C169" s="775"/>
      <c r="D169" s="908"/>
      <c r="E169" s="908"/>
      <c r="F169" s="908"/>
      <c r="G169" s="908"/>
      <c r="H169" s="908"/>
      <c r="I169" s="908"/>
      <c r="J169" s="908"/>
      <c r="K169" s="908"/>
      <c r="L169" s="908"/>
      <c r="M169" s="908"/>
      <c r="N169" s="908"/>
      <c r="O169" s="908"/>
    </row>
    <row r="170" spans="1:28" ht="14.25">
      <c r="A170" s="749">
        <v>1</v>
      </c>
      <c r="B170" s="775" t="s">
        <v>1445</v>
      </c>
      <c r="D170" s="908"/>
      <c r="E170" s="908"/>
      <c r="F170" s="908"/>
      <c r="G170" s="908"/>
      <c r="H170" s="908"/>
      <c r="I170" s="908"/>
      <c r="J170" s="908"/>
      <c r="K170" s="908"/>
      <c r="L170" s="908"/>
      <c r="M170" s="908"/>
      <c r="N170" s="908"/>
      <c r="O170" s="908"/>
    </row>
    <row r="171" spans="1:28" ht="14.25">
      <c r="A171" s="907" t="s">
        <v>494</v>
      </c>
      <c r="B171" s="775" t="s">
        <v>1444</v>
      </c>
      <c r="D171" s="908"/>
      <c r="E171" s="908"/>
      <c r="F171" s="908"/>
      <c r="G171" s="908"/>
      <c r="H171" s="908"/>
      <c r="I171" s="908"/>
      <c r="J171" s="908"/>
      <c r="K171" s="908"/>
      <c r="L171" s="908"/>
      <c r="M171" s="908"/>
      <c r="N171" s="908"/>
      <c r="O171" s="908"/>
    </row>
    <row r="172" spans="1:28" ht="14.25">
      <c r="A172" s="749">
        <v>3</v>
      </c>
      <c r="B172" s="750" t="s">
        <v>1418</v>
      </c>
      <c r="D172" s="750"/>
      <c r="E172" s="750"/>
      <c r="F172" s="750"/>
      <c r="G172" s="750"/>
      <c r="H172" s="750"/>
      <c r="I172" s="750"/>
      <c r="J172" s="750"/>
      <c r="K172" s="750"/>
      <c r="L172" s="750"/>
      <c r="M172" s="750"/>
      <c r="N172" s="750"/>
      <c r="O172" s="750"/>
    </row>
    <row r="173" spans="1:28" ht="14.25">
      <c r="A173" s="749">
        <v>4</v>
      </c>
      <c r="B173" s="750" t="s">
        <v>1419</v>
      </c>
      <c r="D173" s="750"/>
      <c r="E173" s="750"/>
      <c r="F173" s="750"/>
      <c r="G173" s="750"/>
      <c r="H173" s="750"/>
      <c r="I173" s="750"/>
      <c r="J173" s="750"/>
      <c r="K173" s="750"/>
      <c r="L173" s="750"/>
      <c r="M173" s="750"/>
      <c r="N173" s="750"/>
      <c r="O173" s="750"/>
    </row>
    <row r="174" spans="1:28" ht="14.25">
      <c r="A174" s="907" t="s">
        <v>495</v>
      </c>
      <c r="B174" s="775" t="s">
        <v>1447</v>
      </c>
      <c r="D174" s="908"/>
      <c r="E174" s="908"/>
      <c r="F174" s="908"/>
      <c r="G174" s="908"/>
      <c r="H174" s="908"/>
      <c r="I174" s="908"/>
      <c r="J174" s="908"/>
      <c r="K174" s="908"/>
      <c r="L174" s="908"/>
      <c r="M174" s="908"/>
      <c r="N174" s="908"/>
      <c r="O174" s="908"/>
    </row>
    <row r="175" spans="1:28">
      <c r="A175" s="749"/>
      <c r="B175" s="907"/>
      <c r="C175" s="775"/>
      <c r="D175" s="908"/>
      <c r="E175" s="908"/>
      <c r="F175" s="908"/>
      <c r="G175" s="908"/>
      <c r="H175" s="908"/>
      <c r="I175" s="908"/>
      <c r="J175" s="908"/>
      <c r="K175" s="908"/>
      <c r="L175" s="908"/>
      <c r="M175" s="908"/>
      <c r="N175" s="908"/>
      <c r="O175" s="908"/>
    </row>
    <row r="176" spans="1:28">
      <c r="A176" s="749"/>
      <c r="B176" s="907"/>
      <c r="C176" s="775"/>
      <c r="D176" s="908"/>
      <c r="E176" s="908"/>
      <c r="F176" s="908"/>
      <c r="G176" s="908"/>
      <c r="H176" s="908"/>
      <c r="I176" s="908"/>
      <c r="J176" s="908"/>
      <c r="K176" s="908"/>
      <c r="L176" s="908"/>
      <c r="M176" s="908"/>
      <c r="N176" s="908"/>
      <c r="O176" s="908"/>
    </row>
    <row r="177" spans="1:15">
      <c r="A177" s="907"/>
      <c r="B177" s="907"/>
      <c r="C177" s="756"/>
      <c r="D177" s="908"/>
      <c r="E177" s="908"/>
      <c r="F177" s="908"/>
      <c r="G177" s="908"/>
      <c r="H177" s="908"/>
      <c r="I177" s="908"/>
      <c r="J177" s="908"/>
      <c r="K177" s="908"/>
      <c r="L177" s="908"/>
      <c r="M177" s="908"/>
      <c r="N177" s="908"/>
      <c r="O177" s="908"/>
    </row>
    <row r="178" spans="1:15">
      <c r="A178" s="749"/>
      <c r="B178" s="907"/>
      <c r="C178" s="775"/>
      <c r="D178" s="908"/>
      <c r="E178" s="908"/>
      <c r="F178" s="908"/>
      <c r="G178" s="908"/>
      <c r="H178" s="908"/>
      <c r="I178" s="908"/>
      <c r="J178" s="908"/>
      <c r="K178" s="908"/>
      <c r="L178" s="908"/>
      <c r="M178" s="908"/>
      <c r="N178" s="908"/>
      <c r="O178" s="908"/>
    </row>
    <row r="179" spans="1:15">
      <c r="A179" s="749"/>
      <c r="B179" s="907"/>
      <c r="C179" s="775"/>
      <c r="D179" s="908"/>
      <c r="E179" s="908"/>
      <c r="F179" s="908"/>
      <c r="G179" s="908"/>
      <c r="H179" s="908"/>
      <c r="I179" s="908"/>
      <c r="J179" s="908"/>
      <c r="K179" s="908"/>
      <c r="L179" s="908"/>
      <c r="M179" s="908"/>
      <c r="N179" s="908"/>
      <c r="O179" s="908"/>
    </row>
    <row r="180" spans="1:15">
      <c r="A180" s="749"/>
      <c r="B180" s="907"/>
      <c r="C180" s="775"/>
      <c r="D180" s="908"/>
      <c r="E180" s="908"/>
      <c r="F180" s="908"/>
      <c r="G180" s="908"/>
      <c r="H180" s="908"/>
      <c r="I180" s="908"/>
      <c r="J180" s="908"/>
      <c r="K180" s="908"/>
      <c r="L180" s="908"/>
      <c r="M180" s="908"/>
      <c r="N180" s="908"/>
      <c r="O180" s="908"/>
    </row>
    <row r="181" spans="1:15">
      <c r="A181" s="907"/>
      <c r="B181" s="907"/>
      <c r="C181" s="908"/>
      <c r="D181" s="910"/>
      <c r="E181" s="912"/>
      <c r="F181" s="910"/>
      <c r="G181" s="910"/>
      <c r="H181" s="910"/>
      <c r="I181" s="910"/>
      <c r="J181" s="909"/>
      <c r="K181" s="909"/>
      <c r="L181" s="910"/>
      <c r="M181" s="910"/>
      <c r="N181" s="909"/>
      <c r="O181" s="909"/>
    </row>
    <row r="182" spans="1:15">
      <c r="A182" s="749"/>
      <c r="B182" s="907"/>
      <c r="C182" s="775"/>
      <c r="D182" s="908"/>
      <c r="E182" s="908"/>
      <c r="F182" s="908"/>
      <c r="G182" s="908"/>
      <c r="H182" s="908"/>
      <c r="I182" s="908"/>
      <c r="J182" s="908"/>
      <c r="K182" s="908"/>
      <c r="L182" s="908"/>
      <c r="M182" s="908"/>
      <c r="N182" s="908"/>
      <c r="O182" s="908"/>
    </row>
    <row r="183" spans="1:15">
      <c r="A183" s="749"/>
      <c r="B183" s="907"/>
      <c r="C183" s="775"/>
      <c r="D183" s="908"/>
      <c r="E183" s="908"/>
      <c r="F183" s="908"/>
      <c r="G183" s="908"/>
      <c r="H183" s="908"/>
      <c r="I183" s="908"/>
      <c r="J183" s="908"/>
      <c r="K183" s="908"/>
      <c r="L183" s="908"/>
      <c r="M183" s="908"/>
      <c r="N183" s="908"/>
      <c r="O183" s="908"/>
    </row>
    <row r="184" spans="1:15">
      <c r="A184" s="907"/>
      <c r="B184" s="907"/>
      <c r="C184" s="775"/>
      <c r="D184" s="908"/>
      <c r="E184" s="908"/>
      <c r="F184" s="908"/>
      <c r="G184" s="908"/>
      <c r="H184" s="908"/>
      <c r="I184" s="908"/>
      <c r="J184" s="908"/>
      <c r="K184" s="908"/>
      <c r="L184" s="908"/>
      <c r="M184" s="908"/>
      <c r="N184" s="908"/>
      <c r="O184" s="908"/>
    </row>
    <row r="185" spans="1:15">
      <c r="A185" s="749"/>
      <c r="B185" s="907"/>
      <c r="C185" s="775"/>
      <c r="D185" s="908"/>
      <c r="E185" s="908"/>
      <c r="F185" s="908"/>
      <c r="G185" s="908"/>
      <c r="H185" s="908"/>
      <c r="I185" s="908"/>
      <c r="J185" s="908"/>
      <c r="K185" s="908"/>
      <c r="L185" s="908"/>
      <c r="M185" s="908"/>
      <c r="N185" s="908"/>
      <c r="O185" s="908"/>
    </row>
    <row r="186" spans="1:15">
      <c r="A186" s="907"/>
      <c r="B186" s="907"/>
      <c r="C186" s="908"/>
      <c r="D186" s="908"/>
      <c r="E186" s="908"/>
      <c r="F186" s="908"/>
      <c r="G186" s="908"/>
      <c r="H186" s="908"/>
      <c r="I186" s="908"/>
      <c r="J186" s="908"/>
      <c r="K186" s="908"/>
      <c r="L186" s="911"/>
      <c r="M186" s="911"/>
      <c r="N186" s="908"/>
      <c r="O186" s="908"/>
    </row>
    <row r="187" spans="1:15">
      <c r="A187" s="749"/>
      <c r="B187" s="907"/>
      <c r="D187" s="908"/>
      <c r="E187" s="908"/>
      <c r="F187" s="908"/>
      <c r="G187" s="908"/>
      <c r="H187" s="908"/>
      <c r="I187" s="908"/>
      <c r="J187" s="908"/>
      <c r="K187" s="908"/>
      <c r="L187" s="911"/>
      <c r="M187" s="911"/>
      <c r="N187" s="908"/>
      <c r="O187" s="908"/>
    </row>
    <row r="188" spans="1:15">
      <c r="A188" s="749"/>
      <c r="B188" s="907"/>
      <c r="C188" s="908"/>
      <c r="D188" s="911"/>
      <c r="E188" s="911"/>
      <c r="F188" s="911"/>
      <c r="G188" s="911"/>
      <c r="H188" s="911"/>
      <c r="I188" s="911"/>
      <c r="J188" s="911"/>
      <c r="K188" s="911"/>
      <c r="L188" s="909"/>
      <c r="M188" s="909"/>
      <c r="N188" s="911"/>
      <c r="O188" s="911"/>
    </row>
    <row r="189" spans="1:15">
      <c r="A189" s="907"/>
      <c r="B189" s="907"/>
      <c r="C189" s="775"/>
      <c r="D189" s="911"/>
      <c r="E189" s="911"/>
      <c r="F189" s="911"/>
      <c r="G189" s="911"/>
      <c r="H189" s="911"/>
      <c r="I189" s="911"/>
      <c r="J189" s="911"/>
      <c r="K189" s="911"/>
      <c r="L189" s="910"/>
      <c r="M189" s="910"/>
      <c r="N189" s="911"/>
      <c r="O189" s="911"/>
    </row>
    <row r="190" spans="1:15">
      <c r="A190" s="749"/>
      <c r="B190" s="907"/>
      <c r="C190" s="908"/>
      <c r="D190" s="910"/>
      <c r="E190" s="912"/>
      <c r="F190" s="910"/>
      <c r="G190" s="910"/>
      <c r="H190" s="910"/>
      <c r="I190" s="910"/>
      <c r="J190" s="910"/>
      <c r="K190" s="910"/>
      <c r="L190" s="910"/>
      <c r="M190" s="910"/>
      <c r="N190" s="910"/>
      <c r="O190" s="910"/>
    </row>
  </sheetData>
  <mergeCells count="51">
    <mergeCell ref="B166:D166"/>
    <mergeCell ref="B108:C108"/>
    <mergeCell ref="B109:B164"/>
    <mergeCell ref="C109:C122"/>
    <mergeCell ref="D109:D114"/>
    <mergeCell ref="D151:D156"/>
    <mergeCell ref="D158:D163"/>
    <mergeCell ref="B165:D165"/>
    <mergeCell ref="C144:C164"/>
    <mergeCell ref="D116:D121"/>
    <mergeCell ref="C123:C143"/>
    <mergeCell ref="D123:D128"/>
    <mergeCell ref="D130:D135"/>
    <mergeCell ref="D137:D142"/>
    <mergeCell ref="D144:D149"/>
    <mergeCell ref="B6:B107"/>
    <mergeCell ref="C6:C31"/>
    <mergeCell ref="D6:D17"/>
    <mergeCell ref="D19:D30"/>
    <mergeCell ref="C32:C53"/>
    <mergeCell ref="D32:D41"/>
    <mergeCell ref="D43:D52"/>
    <mergeCell ref="C87:C107"/>
    <mergeCell ref="D87:D92"/>
    <mergeCell ref="D94:D99"/>
    <mergeCell ref="D101:D106"/>
    <mergeCell ref="C54:C86"/>
    <mergeCell ref="D54:D63"/>
    <mergeCell ref="D65:D74"/>
    <mergeCell ref="D76:D85"/>
    <mergeCell ref="V3:W4"/>
    <mergeCell ref="X3:X4"/>
    <mergeCell ref="AA3:AA4"/>
    <mergeCell ref="AB3:AB4"/>
    <mergeCell ref="Y3:Y4"/>
    <mergeCell ref="Z3:Z4"/>
    <mergeCell ref="Q3:Q4"/>
    <mergeCell ref="R3:R4"/>
    <mergeCell ref="S3:S4"/>
    <mergeCell ref="T3:U4"/>
    <mergeCell ref="M3:M4"/>
    <mergeCell ref="N3:N4"/>
    <mergeCell ref="O3:O4"/>
    <mergeCell ref="P3:P4"/>
    <mergeCell ref="K3:K4"/>
    <mergeCell ref="L3:L4"/>
    <mergeCell ref="A3:A5"/>
    <mergeCell ref="B3:B4"/>
    <mergeCell ref="C3:D4"/>
    <mergeCell ref="E3:I3"/>
    <mergeCell ref="C5:D5"/>
  </mergeCells>
  <phoneticPr fontId="26" type="noConversion"/>
  <printOptions horizontalCentered="1"/>
  <pageMargins left="0.39370078740157483" right="0.39370078740157483" top="0.39370078740157483" bottom="0.39370078740157483" header="0.19685039370078741" footer="0.19685039370078741"/>
  <pageSetup paperSize="9" scale="32" fitToHeight="4" orientation="portrait" horizontalDpi="4294967295" verticalDpi="4294967295" r:id="rId1"/>
  <headerFooter alignWithMargins="0">
    <oddFooter>&amp;C&amp;P+79&amp;R&amp;A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W247"/>
  <sheetViews>
    <sheetView zoomScale="85" zoomScaleNormal="85" workbookViewId="0">
      <pane xSplit="4" ySplit="5" topLeftCell="N6" activePane="bottomRight" state="frozen"/>
      <selection pane="topRight"/>
      <selection pane="bottomLeft"/>
      <selection pane="bottomRight"/>
    </sheetView>
  </sheetViews>
  <sheetFormatPr defaultRowHeight="13.5"/>
  <cols>
    <col min="1" max="1" width="5.125" style="848" customWidth="1"/>
    <col min="2" max="2" width="9" style="848"/>
    <col min="3" max="3" width="12.25" style="848" customWidth="1"/>
    <col min="4" max="8" width="9" style="848"/>
    <col min="9" max="9" width="9.125" style="848" customWidth="1"/>
    <col min="10" max="10" width="14.875" style="848" customWidth="1"/>
    <col min="11" max="13" width="9" style="848"/>
    <col min="14" max="14" width="14.625" style="848" customWidth="1"/>
    <col min="15" max="16" width="16.875" style="848" customWidth="1"/>
    <col min="17" max="17" width="13.125" style="848" customWidth="1"/>
    <col min="18" max="18" width="11.5" style="848" customWidth="1"/>
    <col min="19" max="19" width="19.75" style="848" customWidth="1"/>
    <col min="20" max="20" width="16" style="848" customWidth="1"/>
    <col min="21" max="21" width="12" style="848" customWidth="1"/>
    <col min="22" max="16384" width="9" style="848"/>
  </cols>
  <sheetData>
    <row r="1" spans="1:23" ht="14.25">
      <c r="A1" s="105" t="str">
        <f>表03!A1</f>
        <v xml:space="preserve"> 保險股份有限公司    年度(月)報表</v>
      </c>
      <c r="B1" s="844"/>
      <c r="C1" s="845"/>
      <c r="D1" s="845"/>
      <c r="E1" s="845"/>
      <c r="F1" s="846"/>
      <c r="G1" s="845"/>
      <c r="H1" s="845"/>
      <c r="I1" s="845"/>
      <c r="J1" s="845"/>
      <c r="K1" s="845"/>
      <c r="L1" s="845"/>
      <c r="M1" s="845"/>
      <c r="N1" s="845"/>
      <c r="O1" s="845"/>
      <c r="P1" s="845"/>
      <c r="Q1" s="845"/>
      <c r="R1" s="845"/>
      <c r="S1" s="845"/>
      <c r="T1" s="845"/>
      <c r="U1" s="845"/>
      <c r="V1" s="847" t="s">
        <v>1389</v>
      </c>
    </row>
    <row r="2" spans="1:23" ht="15" thickBot="1">
      <c r="A2" s="847" t="s">
        <v>1449</v>
      </c>
      <c r="B2" s="847"/>
      <c r="C2" s="845"/>
      <c r="D2" s="845"/>
      <c r="E2" s="845"/>
      <c r="F2" s="846"/>
      <c r="G2" s="845"/>
      <c r="H2" s="845"/>
      <c r="I2" s="845"/>
      <c r="J2" s="845"/>
      <c r="K2" s="845"/>
      <c r="L2" s="845"/>
      <c r="M2" s="845"/>
      <c r="N2" s="845"/>
      <c r="O2" s="845"/>
      <c r="P2" s="845"/>
      <c r="Q2" s="845"/>
      <c r="R2" s="845"/>
      <c r="S2" s="845"/>
      <c r="T2" s="845"/>
      <c r="U2" s="849"/>
      <c r="V2" s="845"/>
    </row>
    <row r="3" spans="1:23" ht="16.5" customHeight="1">
      <c r="A3" s="2651" t="s">
        <v>677</v>
      </c>
      <c r="B3" s="2654" t="s">
        <v>1390</v>
      </c>
      <c r="C3" s="2656" t="s">
        <v>1391</v>
      </c>
      <c r="D3" s="2656"/>
      <c r="E3" s="2654" t="s">
        <v>1392</v>
      </c>
      <c r="F3" s="2654"/>
      <c r="G3" s="2654"/>
      <c r="H3" s="2654"/>
      <c r="I3" s="2654"/>
      <c r="J3" s="2667" t="s">
        <v>1393</v>
      </c>
      <c r="K3" s="2654" t="s">
        <v>1394</v>
      </c>
      <c r="L3" s="2661" t="s">
        <v>678</v>
      </c>
      <c r="M3" s="2661" t="s">
        <v>1395</v>
      </c>
      <c r="N3" s="2654" t="s">
        <v>1396</v>
      </c>
      <c r="O3" s="2654" t="s">
        <v>1397</v>
      </c>
      <c r="P3" s="2654" t="s">
        <v>1398</v>
      </c>
      <c r="Q3" s="2654" t="s">
        <v>1399</v>
      </c>
      <c r="R3" s="2656" t="s">
        <v>1400</v>
      </c>
      <c r="S3" s="2654" t="s">
        <v>1401</v>
      </c>
      <c r="T3" s="2665" t="s">
        <v>1402</v>
      </c>
      <c r="U3" s="2654" t="s">
        <v>1403</v>
      </c>
      <c r="V3" s="2654" t="s">
        <v>1388</v>
      </c>
      <c r="W3" s="2659" t="s">
        <v>1291</v>
      </c>
    </row>
    <row r="4" spans="1:23" ht="28.5">
      <c r="A4" s="2652"/>
      <c r="B4" s="2655"/>
      <c r="C4" s="2657"/>
      <c r="D4" s="2657"/>
      <c r="E4" s="2239" t="s">
        <v>1292</v>
      </c>
      <c r="F4" s="2239" t="s">
        <v>1293</v>
      </c>
      <c r="G4" s="2285" t="s">
        <v>1404</v>
      </c>
      <c r="H4" s="2285" t="s">
        <v>1405</v>
      </c>
      <c r="I4" s="2285" t="s">
        <v>1308</v>
      </c>
      <c r="J4" s="2662"/>
      <c r="K4" s="2655"/>
      <c r="L4" s="2662"/>
      <c r="M4" s="2662"/>
      <c r="N4" s="2655"/>
      <c r="O4" s="2655"/>
      <c r="P4" s="2655"/>
      <c r="Q4" s="2655"/>
      <c r="R4" s="2657"/>
      <c r="S4" s="2655"/>
      <c r="T4" s="2666"/>
      <c r="U4" s="2655"/>
      <c r="V4" s="2655"/>
      <c r="W4" s="2660"/>
    </row>
    <row r="5" spans="1:23" ht="14.25" thickBot="1">
      <c r="A5" s="2653"/>
      <c r="B5" s="2240" t="s">
        <v>66</v>
      </c>
      <c r="C5" s="2658" t="s">
        <v>67</v>
      </c>
      <c r="D5" s="2658"/>
      <c r="E5" s="2240" t="s">
        <v>68</v>
      </c>
      <c r="F5" s="2240" t="s">
        <v>69</v>
      </c>
      <c r="G5" s="2240" t="s">
        <v>70</v>
      </c>
      <c r="H5" s="2240" t="s">
        <v>71</v>
      </c>
      <c r="I5" s="2240" t="s">
        <v>72</v>
      </c>
      <c r="J5" s="2240" t="s">
        <v>470</v>
      </c>
      <c r="K5" s="2240" t="s">
        <v>471</v>
      </c>
      <c r="L5" s="2240" t="s">
        <v>472</v>
      </c>
      <c r="M5" s="2240" t="s">
        <v>473</v>
      </c>
      <c r="N5" s="2240" t="s">
        <v>485</v>
      </c>
      <c r="O5" s="2240" t="s">
        <v>474</v>
      </c>
      <c r="P5" s="2240" t="s">
        <v>475</v>
      </c>
      <c r="Q5" s="2240" t="s">
        <v>476</v>
      </c>
      <c r="R5" s="2240" t="s">
        <v>477</v>
      </c>
      <c r="S5" s="2240" t="s">
        <v>478</v>
      </c>
      <c r="T5" s="2240" t="s">
        <v>479</v>
      </c>
      <c r="U5" s="2240" t="s">
        <v>480</v>
      </c>
      <c r="V5" s="2240" t="s">
        <v>481</v>
      </c>
      <c r="W5" s="850" t="s">
        <v>482</v>
      </c>
    </row>
    <row r="6" spans="1:23" ht="14.25" customHeight="1">
      <c r="A6" s="851">
        <v>1</v>
      </c>
      <c r="B6" s="2725" t="s">
        <v>587</v>
      </c>
      <c r="C6" s="2673" t="s">
        <v>1406</v>
      </c>
      <c r="D6" s="2727" t="s">
        <v>1686</v>
      </c>
      <c r="E6" s="852" t="s">
        <v>1407</v>
      </c>
      <c r="F6" s="853"/>
      <c r="G6" s="854"/>
      <c r="H6" s="854"/>
      <c r="I6" s="854"/>
      <c r="J6" s="854"/>
      <c r="K6" s="855"/>
      <c r="L6" s="855"/>
      <c r="M6" s="855"/>
      <c r="N6" s="855"/>
      <c r="O6" s="1008"/>
      <c r="P6" s="856"/>
      <c r="Q6" s="855"/>
      <c r="R6" s="1008"/>
      <c r="S6" s="855"/>
      <c r="T6" s="856"/>
      <c r="U6" s="855"/>
      <c r="V6" s="855"/>
      <c r="W6" s="857"/>
    </row>
    <row r="7" spans="1:23" ht="13.5" customHeight="1">
      <c r="A7" s="858">
        <v>2</v>
      </c>
      <c r="B7" s="2726"/>
      <c r="C7" s="2674"/>
      <c r="D7" s="2728"/>
      <c r="E7" s="859"/>
      <c r="F7" s="859"/>
      <c r="G7" s="860"/>
      <c r="H7" s="860"/>
      <c r="I7" s="860"/>
      <c r="J7" s="860"/>
      <c r="K7" s="861"/>
      <c r="L7" s="861"/>
      <c r="M7" s="861"/>
      <c r="N7" s="861"/>
      <c r="O7" s="1009"/>
      <c r="P7" s="862"/>
      <c r="Q7" s="861"/>
      <c r="R7" s="1009"/>
      <c r="S7" s="861"/>
      <c r="T7" s="862"/>
      <c r="U7" s="861"/>
      <c r="V7" s="861"/>
      <c r="W7" s="863"/>
    </row>
    <row r="8" spans="1:23" ht="13.5" customHeight="1">
      <c r="A8" s="858">
        <v>3</v>
      </c>
      <c r="B8" s="2726"/>
      <c r="C8" s="2674"/>
      <c r="D8" s="2728"/>
      <c r="E8" s="859"/>
      <c r="F8" s="859"/>
      <c r="G8" s="860"/>
      <c r="H8" s="860"/>
      <c r="I8" s="860"/>
      <c r="J8" s="860"/>
      <c r="K8" s="861"/>
      <c r="L8" s="861"/>
      <c r="M8" s="861"/>
      <c r="N8" s="861"/>
      <c r="O8" s="1009"/>
      <c r="P8" s="862"/>
      <c r="Q8" s="861"/>
      <c r="R8" s="1009"/>
      <c r="S8" s="861"/>
      <c r="T8" s="862"/>
      <c r="U8" s="861"/>
      <c r="V8" s="861"/>
      <c r="W8" s="863"/>
    </row>
    <row r="9" spans="1:23" ht="13.5" customHeight="1">
      <c r="A9" s="858">
        <v>4</v>
      </c>
      <c r="B9" s="2726"/>
      <c r="C9" s="2674"/>
      <c r="D9" s="2728"/>
      <c r="E9" s="859"/>
      <c r="F9" s="859"/>
      <c r="G9" s="860"/>
      <c r="H9" s="860"/>
      <c r="I9" s="860"/>
      <c r="J9" s="860"/>
      <c r="K9" s="861"/>
      <c r="L9" s="861"/>
      <c r="M9" s="861"/>
      <c r="N9" s="861"/>
      <c r="O9" s="1009"/>
      <c r="P9" s="862"/>
      <c r="Q9" s="861"/>
      <c r="R9" s="1009"/>
      <c r="S9" s="861"/>
      <c r="T9" s="862"/>
      <c r="U9" s="861"/>
      <c r="V9" s="861"/>
      <c r="W9" s="863"/>
    </row>
    <row r="10" spans="1:23" ht="13.5" customHeight="1">
      <c r="A10" s="858">
        <v>5</v>
      </c>
      <c r="B10" s="2726"/>
      <c r="C10" s="2674"/>
      <c r="D10" s="2728"/>
      <c r="E10" s="859"/>
      <c r="F10" s="859"/>
      <c r="G10" s="860"/>
      <c r="H10" s="860"/>
      <c r="I10" s="860"/>
      <c r="J10" s="860"/>
      <c r="K10" s="861"/>
      <c r="L10" s="861"/>
      <c r="M10" s="861"/>
      <c r="N10" s="861"/>
      <c r="O10" s="1009"/>
      <c r="P10" s="862"/>
      <c r="Q10" s="861"/>
      <c r="R10" s="1009"/>
      <c r="S10" s="861"/>
      <c r="T10" s="862"/>
      <c r="U10" s="861"/>
      <c r="V10" s="861"/>
      <c r="W10" s="863"/>
    </row>
    <row r="11" spans="1:23" ht="13.5" customHeight="1">
      <c r="A11" s="858">
        <v>6</v>
      </c>
      <c r="B11" s="2726"/>
      <c r="C11" s="2674"/>
      <c r="D11" s="2728"/>
      <c r="E11" s="859"/>
      <c r="F11" s="859"/>
      <c r="G11" s="860"/>
      <c r="H11" s="860"/>
      <c r="I11" s="860"/>
      <c r="J11" s="860"/>
      <c r="K11" s="861"/>
      <c r="L11" s="861"/>
      <c r="M11" s="861"/>
      <c r="N11" s="861"/>
      <c r="O11" s="1009"/>
      <c r="P11" s="862"/>
      <c r="Q11" s="861"/>
      <c r="R11" s="1009"/>
      <c r="S11" s="861"/>
      <c r="T11" s="862"/>
      <c r="U11" s="861"/>
      <c r="V11" s="861"/>
      <c r="W11" s="863"/>
    </row>
    <row r="12" spans="1:23" ht="13.5" customHeight="1">
      <c r="A12" s="858">
        <v>7</v>
      </c>
      <c r="B12" s="2726"/>
      <c r="C12" s="2674"/>
      <c r="D12" s="2728"/>
      <c r="E12" s="859"/>
      <c r="F12" s="859"/>
      <c r="G12" s="860"/>
      <c r="H12" s="860"/>
      <c r="I12" s="860"/>
      <c r="J12" s="860"/>
      <c r="K12" s="861"/>
      <c r="L12" s="861"/>
      <c r="M12" s="861"/>
      <c r="N12" s="861"/>
      <c r="O12" s="1009"/>
      <c r="P12" s="862"/>
      <c r="Q12" s="861"/>
      <c r="R12" s="1009"/>
      <c r="S12" s="861"/>
      <c r="T12" s="862"/>
      <c r="U12" s="861"/>
      <c r="V12" s="861"/>
      <c r="W12" s="863"/>
    </row>
    <row r="13" spans="1:23" ht="13.5" customHeight="1">
      <c r="A13" s="858">
        <v>8</v>
      </c>
      <c r="B13" s="2726"/>
      <c r="C13" s="2674"/>
      <c r="D13" s="2728"/>
      <c r="E13" s="859"/>
      <c r="F13" s="859"/>
      <c r="G13" s="860"/>
      <c r="H13" s="860"/>
      <c r="I13" s="860"/>
      <c r="J13" s="860"/>
      <c r="K13" s="861"/>
      <c r="L13" s="861"/>
      <c r="M13" s="861"/>
      <c r="N13" s="861"/>
      <c r="O13" s="1009"/>
      <c r="P13" s="862"/>
      <c r="Q13" s="861"/>
      <c r="R13" s="1009"/>
      <c r="S13" s="861"/>
      <c r="T13" s="862"/>
      <c r="U13" s="861"/>
      <c r="V13" s="861"/>
      <c r="W13" s="863"/>
    </row>
    <row r="14" spans="1:23" ht="13.5" customHeight="1">
      <c r="A14" s="858">
        <v>9</v>
      </c>
      <c r="B14" s="2726"/>
      <c r="C14" s="2674"/>
      <c r="D14" s="2728"/>
      <c r="E14" s="859"/>
      <c r="F14" s="859"/>
      <c r="G14" s="860"/>
      <c r="H14" s="860"/>
      <c r="I14" s="860"/>
      <c r="J14" s="860"/>
      <c r="K14" s="861"/>
      <c r="L14" s="861"/>
      <c r="M14" s="861"/>
      <c r="N14" s="861"/>
      <c r="O14" s="1009"/>
      <c r="P14" s="862"/>
      <c r="Q14" s="861"/>
      <c r="R14" s="1009"/>
      <c r="S14" s="861"/>
      <c r="T14" s="862"/>
      <c r="U14" s="861"/>
      <c r="V14" s="861"/>
      <c r="W14" s="863"/>
    </row>
    <row r="15" spans="1:23" ht="13.5" customHeight="1">
      <c r="A15" s="858">
        <v>10</v>
      </c>
      <c r="B15" s="2726"/>
      <c r="C15" s="2674"/>
      <c r="D15" s="2728"/>
      <c r="E15" s="859"/>
      <c r="F15" s="859"/>
      <c r="G15" s="860"/>
      <c r="H15" s="860"/>
      <c r="I15" s="860"/>
      <c r="J15" s="860"/>
      <c r="K15" s="861"/>
      <c r="L15" s="861"/>
      <c r="M15" s="861"/>
      <c r="N15" s="861"/>
      <c r="O15" s="1009"/>
      <c r="P15" s="862"/>
      <c r="Q15" s="861"/>
      <c r="R15" s="1009"/>
      <c r="S15" s="861"/>
      <c r="T15" s="862"/>
      <c r="U15" s="861"/>
      <c r="V15" s="861"/>
      <c r="W15" s="863"/>
    </row>
    <row r="16" spans="1:23" ht="13.5" customHeight="1">
      <c r="A16" s="858">
        <v>11</v>
      </c>
      <c r="B16" s="2726"/>
      <c r="C16" s="2674"/>
      <c r="D16" s="2728"/>
      <c r="E16" s="859"/>
      <c r="F16" s="859"/>
      <c r="G16" s="860"/>
      <c r="H16" s="860"/>
      <c r="I16" s="860"/>
      <c r="J16" s="860"/>
      <c r="K16" s="861"/>
      <c r="L16" s="861"/>
      <c r="M16" s="861"/>
      <c r="N16" s="861"/>
      <c r="O16" s="1009"/>
      <c r="P16" s="862"/>
      <c r="Q16" s="861"/>
      <c r="R16" s="1009"/>
      <c r="S16" s="861"/>
      <c r="T16" s="862"/>
      <c r="U16" s="861"/>
      <c r="V16" s="861"/>
      <c r="W16" s="863"/>
    </row>
    <row r="17" spans="1:23" ht="13.5" customHeight="1">
      <c r="A17" s="858">
        <v>12</v>
      </c>
      <c r="B17" s="2726"/>
      <c r="C17" s="2674"/>
      <c r="D17" s="2728"/>
      <c r="E17" s="859"/>
      <c r="F17" s="859"/>
      <c r="G17" s="860"/>
      <c r="H17" s="860"/>
      <c r="I17" s="860"/>
      <c r="J17" s="860"/>
      <c r="K17" s="861"/>
      <c r="L17" s="861"/>
      <c r="M17" s="861"/>
      <c r="N17" s="861"/>
      <c r="O17" s="1009"/>
      <c r="P17" s="862"/>
      <c r="Q17" s="861"/>
      <c r="R17" s="1009"/>
      <c r="S17" s="861"/>
      <c r="T17" s="862"/>
      <c r="U17" s="861"/>
      <c r="V17" s="861"/>
      <c r="W17" s="863"/>
    </row>
    <row r="18" spans="1:23" ht="14.25">
      <c r="A18" s="858">
        <v>13</v>
      </c>
      <c r="B18" s="2726"/>
      <c r="C18" s="2674"/>
      <c r="D18" s="2245" t="s">
        <v>588</v>
      </c>
      <c r="E18" s="864"/>
      <c r="F18" s="864"/>
      <c r="G18" s="865"/>
      <c r="H18" s="865"/>
      <c r="I18" s="865"/>
      <c r="J18" s="865"/>
      <c r="K18" s="866"/>
      <c r="L18" s="866"/>
      <c r="M18" s="866"/>
      <c r="N18" s="861">
        <f>SUM(N6:N17)</f>
        <v>0</v>
      </c>
      <c r="O18" s="861">
        <f>SUM(O6:O17)</f>
        <v>0</v>
      </c>
      <c r="P18" s="861">
        <f>SUM(P6:P17)</f>
        <v>0</v>
      </c>
      <c r="Q18" s="866"/>
      <c r="R18" s="861">
        <f>SUM(R6:R17)</f>
        <v>0</v>
      </c>
      <c r="S18" s="866"/>
      <c r="T18" s="867"/>
      <c r="U18" s="866"/>
      <c r="V18" s="866"/>
      <c r="W18" s="863"/>
    </row>
    <row r="19" spans="1:23" ht="13.5" customHeight="1">
      <c r="A19" s="858">
        <v>14</v>
      </c>
      <c r="B19" s="2726"/>
      <c r="C19" s="2674"/>
      <c r="D19" s="2729" t="s">
        <v>1687</v>
      </c>
      <c r="E19" s="859"/>
      <c r="F19" s="859"/>
      <c r="G19" s="860"/>
      <c r="H19" s="860"/>
      <c r="I19" s="860"/>
      <c r="J19" s="860"/>
      <c r="K19" s="861"/>
      <c r="L19" s="861"/>
      <c r="M19" s="861"/>
      <c r="N19" s="861"/>
      <c r="O19" s="1009"/>
      <c r="P19" s="862"/>
      <c r="Q19" s="861"/>
      <c r="R19" s="1009"/>
      <c r="S19" s="861"/>
      <c r="T19" s="862"/>
      <c r="U19" s="861"/>
      <c r="V19" s="861"/>
      <c r="W19" s="863"/>
    </row>
    <row r="20" spans="1:23" ht="13.5" customHeight="1">
      <c r="A20" s="858">
        <v>15</v>
      </c>
      <c r="B20" s="2726"/>
      <c r="C20" s="2674"/>
      <c r="D20" s="2728"/>
      <c r="E20" s="859"/>
      <c r="F20" s="859"/>
      <c r="G20" s="860"/>
      <c r="H20" s="860"/>
      <c r="I20" s="860"/>
      <c r="J20" s="860"/>
      <c r="K20" s="861"/>
      <c r="L20" s="861"/>
      <c r="M20" s="861"/>
      <c r="N20" s="861"/>
      <c r="O20" s="1009"/>
      <c r="P20" s="862"/>
      <c r="Q20" s="861"/>
      <c r="R20" s="1009"/>
      <c r="S20" s="861"/>
      <c r="T20" s="862"/>
      <c r="U20" s="861"/>
      <c r="V20" s="861"/>
      <c r="W20" s="863"/>
    </row>
    <row r="21" spans="1:23" ht="13.5" customHeight="1">
      <c r="A21" s="858">
        <v>16</v>
      </c>
      <c r="B21" s="2726"/>
      <c r="C21" s="2674"/>
      <c r="D21" s="2728"/>
      <c r="E21" s="859"/>
      <c r="F21" s="859"/>
      <c r="G21" s="860"/>
      <c r="H21" s="860"/>
      <c r="I21" s="860"/>
      <c r="J21" s="860"/>
      <c r="K21" s="861"/>
      <c r="L21" s="861"/>
      <c r="M21" s="861"/>
      <c r="N21" s="861"/>
      <c r="O21" s="1009"/>
      <c r="P21" s="862"/>
      <c r="Q21" s="861"/>
      <c r="R21" s="1009"/>
      <c r="S21" s="861"/>
      <c r="T21" s="862"/>
      <c r="U21" s="861"/>
      <c r="V21" s="861"/>
      <c r="W21" s="863"/>
    </row>
    <row r="22" spans="1:23" ht="13.5" customHeight="1">
      <c r="A22" s="858">
        <v>17</v>
      </c>
      <c r="B22" s="2726"/>
      <c r="C22" s="2674"/>
      <c r="D22" s="2728"/>
      <c r="E22" s="859"/>
      <c r="F22" s="859"/>
      <c r="G22" s="860"/>
      <c r="H22" s="860"/>
      <c r="I22" s="860"/>
      <c r="J22" s="860"/>
      <c r="K22" s="861"/>
      <c r="L22" s="861"/>
      <c r="M22" s="861"/>
      <c r="N22" s="861"/>
      <c r="O22" s="1009"/>
      <c r="P22" s="862"/>
      <c r="Q22" s="861"/>
      <c r="R22" s="1009"/>
      <c r="S22" s="861"/>
      <c r="T22" s="862"/>
      <c r="U22" s="861"/>
      <c r="V22" s="861"/>
      <c r="W22" s="863"/>
    </row>
    <row r="23" spans="1:23" ht="13.5" customHeight="1">
      <c r="A23" s="858">
        <v>18</v>
      </c>
      <c r="B23" s="2726"/>
      <c r="C23" s="2674"/>
      <c r="D23" s="2728"/>
      <c r="E23" s="859"/>
      <c r="F23" s="859"/>
      <c r="G23" s="860"/>
      <c r="H23" s="860"/>
      <c r="I23" s="860"/>
      <c r="J23" s="860"/>
      <c r="K23" s="861"/>
      <c r="L23" s="861"/>
      <c r="M23" s="861"/>
      <c r="N23" s="861"/>
      <c r="O23" s="1009"/>
      <c r="P23" s="862"/>
      <c r="Q23" s="861"/>
      <c r="R23" s="1009"/>
      <c r="S23" s="861"/>
      <c r="T23" s="862"/>
      <c r="U23" s="861"/>
      <c r="V23" s="861"/>
      <c r="W23" s="863"/>
    </row>
    <row r="24" spans="1:23" ht="13.5" customHeight="1">
      <c r="A24" s="858">
        <v>19</v>
      </c>
      <c r="B24" s="2726"/>
      <c r="C24" s="2674"/>
      <c r="D24" s="2728"/>
      <c r="E24" s="859"/>
      <c r="F24" s="859"/>
      <c r="G24" s="860"/>
      <c r="H24" s="860"/>
      <c r="I24" s="860"/>
      <c r="J24" s="860"/>
      <c r="K24" s="861"/>
      <c r="L24" s="861"/>
      <c r="M24" s="861"/>
      <c r="N24" s="861"/>
      <c r="O24" s="1009"/>
      <c r="P24" s="862"/>
      <c r="Q24" s="861"/>
      <c r="R24" s="1009"/>
      <c r="S24" s="861"/>
      <c r="T24" s="862"/>
      <c r="U24" s="861"/>
      <c r="V24" s="861"/>
      <c r="W24" s="863"/>
    </row>
    <row r="25" spans="1:23" ht="13.5" customHeight="1">
      <c r="A25" s="858">
        <v>20</v>
      </c>
      <c r="B25" s="2726"/>
      <c r="C25" s="2674"/>
      <c r="D25" s="2728"/>
      <c r="E25" s="859"/>
      <c r="F25" s="859"/>
      <c r="G25" s="860"/>
      <c r="H25" s="860"/>
      <c r="I25" s="860"/>
      <c r="J25" s="860"/>
      <c r="K25" s="861"/>
      <c r="L25" s="861"/>
      <c r="M25" s="861"/>
      <c r="N25" s="861"/>
      <c r="O25" s="1009"/>
      <c r="P25" s="862"/>
      <c r="Q25" s="861"/>
      <c r="R25" s="1009"/>
      <c r="S25" s="861"/>
      <c r="T25" s="862"/>
      <c r="U25" s="861"/>
      <c r="V25" s="861"/>
      <c r="W25" s="863"/>
    </row>
    <row r="26" spans="1:23" ht="13.5" customHeight="1">
      <c r="A26" s="858">
        <v>21</v>
      </c>
      <c r="B26" s="2726"/>
      <c r="C26" s="2674"/>
      <c r="D26" s="2728"/>
      <c r="E26" s="859"/>
      <c r="F26" s="859"/>
      <c r="G26" s="860"/>
      <c r="H26" s="860"/>
      <c r="I26" s="860"/>
      <c r="J26" s="860"/>
      <c r="K26" s="861"/>
      <c r="L26" s="861"/>
      <c r="M26" s="861"/>
      <c r="N26" s="861"/>
      <c r="O26" s="1009"/>
      <c r="P26" s="862"/>
      <c r="Q26" s="861"/>
      <c r="R26" s="1009"/>
      <c r="S26" s="861"/>
      <c r="T26" s="862"/>
      <c r="U26" s="861"/>
      <c r="V26" s="861"/>
      <c r="W26" s="863"/>
    </row>
    <row r="27" spans="1:23" ht="13.5" customHeight="1">
      <c r="A27" s="858">
        <v>22</v>
      </c>
      <c r="B27" s="2726"/>
      <c r="C27" s="2674"/>
      <c r="D27" s="2728"/>
      <c r="E27" s="859"/>
      <c r="F27" s="859"/>
      <c r="G27" s="860"/>
      <c r="H27" s="860"/>
      <c r="I27" s="860"/>
      <c r="J27" s="860"/>
      <c r="K27" s="861"/>
      <c r="L27" s="861"/>
      <c r="M27" s="861"/>
      <c r="N27" s="861"/>
      <c r="O27" s="1009"/>
      <c r="P27" s="862"/>
      <c r="Q27" s="861"/>
      <c r="R27" s="1009"/>
      <c r="S27" s="861"/>
      <c r="T27" s="862"/>
      <c r="U27" s="861"/>
      <c r="V27" s="861"/>
      <c r="W27" s="863"/>
    </row>
    <row r="28" spans="1:23" ht="13.5" customHeight="1">
      <c r="A28" s="858">
        <v>23</v>
      </c>
      <c r="B28" s="2726"/>
      <c r="C28" s="2674"/>
      <c r="D28" s="2728"/>
      <c r="E28" s="859"/>
      <c r="F28" s="859"/>
      <c r="G28" s="860"/>
      <c r="H28" s="860"/>
      <c r="I28" s="860"/>
      <c r="J28" s="860"/>
      <c r="K28" s="861"/>
      <c r="L28" s="861"/>
      <c r="M28" s="861"/>
      <c r="N28" s="861"/>
      <c r="O28" s="1009"/>
      <c r="P28" s="862"/>
      <c r="Q28" s="861"/>
      <c r="R28" s="1009"/>
      <c r="S28" s="861"/>
      <c r="T28" s="862"/>
      <c r="U28" s="861"/>
      <c r="V28" s="861"/>
      <c r="W28" s="863"/>
    </row>
    <row r="29" spans="1:23" ht="13.5" customHeight="1">
      <c r="A29" s="858">
        <v>24</v>
      </c>
      <c r="B29" s="2726"/>
      <c r="C29" s="2674"/>
      <c r="D29" s="2728"/>
      <c r="E29" s="859"/>
      <c r="F29" s="859"/>
      <c r="G29" s="860"/>
      <c r="H29" s="860"/>
      <c r="I29" s="860"/>
      <c r="J29" s="860"/>
      <c r="K29" s="861"/>
      <c r="L29" s="861"/>
      <c r="M29" s="861"/>
      <c r="N29" s="861"/>
      <c r="O29" s="1009"/>
      <c r="P29" s="862"/>
      <c r="Q29" s="861"/>
      <c r="R29" s="1009"/>
      <c r="S29" s="861"/>
      <c r="T29" s="862"/>
      <c r="U29" s="861"/>
      <c r="V29" s="861"/>
      <c r="W29" s="863"/>
    </row>
    <row r="30" spans="1:23" ht="13.5" customHeight="1">
      <c r="A30" s="858">
        <v>25</v>
      </c>
      <c r="B30" s="2726"/>
      <c r="C30" s="2674"/>
      <c r="D30" s="2716"/>
      <c r="E30" s="859"/>
      <c r="F30" s="859"/>
      <c r="G30" s="860"/>
      <c r="H30" s="860"/>
      <c r="I30" s="860"/>
      <c r="J30" s="860"/>
      <c r="K30" s="861"/>
      <c r="L30" s="861"/>
      <c r="M30" s="861"/>
      <c r="N30" s="861"/>
      <c r="O30" s="1009"/>
      <c r="P30" s="862"/>
      <c r="Q30" s="861"/>
      <c r="R30" s="1009"/>
      <c r="S30" s="861"/>
      <c r="T30" s="862"/>
      <c r="U30" s="861"/>
      <c r="V30" s="861"/>
      <c r="W30" s="863"/>
    </row>
    <row r="31" spans="1:23" ht="15" thickBot="1">
      <c r="A31" s="858">
        <v>26</v>
      </c>
      <c r="B31" s="2726"/>
      <c r="C31" s="2675"/>
      <c r="D31" s="869" t="s">
        <v>588</v>
      </c>
      <c r="E31" s="870"/>
      <c r="F31" s="870"/>
      <c r="G31" s="870"/>
      <c r="H31" s="870"/>
      <c r="I31" s="870"/>
      <c r="J31" s="870"/>
      <c r="K31" s="870"/>
      <c r="L31" s="870"/>
      <c r="M31" s="870"/>
      <c r="N31" s="871">
        <f>SUM(N19:N30)</f>
        <v>0</v>
      </c>
      <c r="O31" s="871">
        <f>SUM(O19:O30)</f>
        <v>0</v>
      </c>
      <c r="P31" s="871">
        <f>SUM(P19:P30)</f>
        <v>0</v>
      </c>
      <c r="Q31" s="872"/>
      <c r="R31" s="1010">
        <f>SUM(R19:R30)</f>
        <v>0</v>
      </c>
      <c r="S31" s="872"/>
      <c r="T31" s="872"/>
      <c r="U31" s="872"/>
      <c r="V31" s="872"/>
      <c r="W31" s="1011"/>
    </row>
    <row r="32" spans="1:23" ht="16.5" customHeight="1">
      <c r="A32" s="858">
        <v>27</v>
      </c>
      <c r="B32" s="2726"/>
      <c r="C32" s="2730" t="s">
        <v>1409</v>
      </c>
      <c r="D32" s="2727" t="s">
        <v>1686</v>
      </c>
      <c r="E32" s="853"/>
      <c r="F32" s="853"/>
      <c r="G32" s="854"/>
      <c r="H32" s="854"/>
      <c r="I32" s="854"/>
      <c r="J32" s="854"/>
      <c r="K32" s="855"/>
      <c r="L32" s="855"/>
      <c r="M32" s="855"/>
      <c r="N32" s="855"/>
      <c r="O32" s="1008"/>
      <c r="P32" s="856"/>
      <c r="Q32" s="855"/>
      <c r="R32" s="1008"/>
      <c r="S32" s="855"/>
      <c r="T32" s="856"/>
      <c r="U32" s="855"/>
      <c r="V32" s="855"/>
      <c r="W32" s="857"/>
    </row>
    <row r="33" spans="1:23" ht="13.5" customHeight="1">
      <c r="A33" s="858">
        <v>28</v>
      </c>
      <c r="B33" s="2726"/>
      <c r="C33" s="2731"/>
      <c r="D33" s="2728"/>
      <c r="E33" s="859"/>
      <c r="F33" s="859"/>
      <c r="G33" s="860"/>
      <c r="H33" s="860"/>
      <c r="I33" s="860"/>
      <c r="J33" s="860"/>
      <c r="K33" s="861"/>
      <c r="L33" s="861"/>
      <c r="M33" s="861"/>
      <c r="N33" s="861"/>
      <c r="O33" s="1009"/>
      <c r="P33" s="862"/>
      <c r="Q33" s="861"/>
      <c r="R33" s="1009"/>
      <c r="S33" s="861"/>
      <c r="T33" s="862"/>
      <c r="U33" s="861"/>
      <c r="V33" s="861"/>
      <c r="W33" s="863"/>
    </row>
    <row r="34" spans="1:23" ht="13.5" customHeight="1">
      <c r="A34" s="858">
        <v>29</v>
      </c>
      <c r="B34" s="2726"/>
      <c r="C34" s="2731"/>
      <c r="D34" s="2728"/>
      <c r="E34" s="859"/>
      <c r="F34" s="859"/>
      <c r="G34" s="860"/>
      <c r="H34" s="860"/>
      <c r="I34" s="860"/>
      <c r="J34" s="860"/>
      <c r="K34" s="861"/>
      <c r="L34" s="861"/>
      <c r="M34" s="861"/>
      <c r="N34" s="861"/>
      <c r="O34" s="1009"/>
      <c r="P34" s="862"/>
      <c r="Q34" s="861"/>
      <c r="R34" s="1009"/>
      <c r="S34" s="861"/>
      <c r="T34" s="862"/>
      <c r="U34" s="861"/>
      <c r="V34" s="861"/>
      <c r="W34" s="863"/>
    </row>
    <row r="35" spans="1:23" ht="13.5" customHeight="1">
      <c r="A35" s="858">
        <v>30</v>
      </c>
      <c r="B35" s="2726"/>
      <c r="C35" s="2731"/>
      <c r="D35" s="2728"/>
      <c r="E35" s="859"/>
      <c r="F35" s="859"/>
      <c r="G35" s="860"/>
      <c r="H35" s="860"/>
      <c r="I35" s="860"/>
      <c r="J35" s="860"/>
      <c r="K35" s="861"/>
      <c r="L35" s="861"/>
      <c r="M35" s="861"/>
      <c r="N35" s="861"/>
      <c r="O35" s="1009"/>
      <c r="P35" s="862"/>
      <c r="Q35" s="861"/>
      <c r="R35" s="1009"/>
      <c r="S35" s="861"/>
      <c r="T35" s="862"/>
      <c r="U35" s="861"/>
      <c r="V35" s="861"/>
      <c r="W35" s="863"/>
    </row>
    <row r="36" spans="1:23" ht="13.5" customHeight="1">
      <c r="A36" s="858">
        <v>31</v>
      </c>
      <c r="B36" s="2726"/>
      <c r="C36" s="2731"/>
      <c r="D36" s="2728"/>
      <c r="E36" s="859"/>
      <c r="F36" s="859"/>
      <c r="G36" s="860"/>
      <c r="H36" s="860"/>
      <c r="I36" s="860"/>
      <c r="J36" s="860"/>
      <c r="K36" s="861"/>
      <c r="L36" s="861"/>
      <c r="M36" s="861"/>
      <c r="N36" s="861"/>
      <c r="O36" s="1009"/>
      <c r="P36" s="862"/>
      <c r="Q36" s="861"/>
      <c r="R36" s="1009"/>
      <c r="S36" s="861"/>
      <c r="T36" s="862"/>
      <c r="U36" s="861"/>
      <c r="V36" s="861"/>
      <c r="W36" s="863"/>
    </row>
    <row r="37" spans="1:23" ht="13.5" customHeight="1">
      <c r="A37" s="858">
        <v>32</v>
      </c>
      <c r="B37" s="2726"/>
      <c r="C37" s="2731"/>
      <c r="D37" s="2728"/>
      <c r="E37" s="859"/>
      <c r="F37" s="859"/>
      <c r="G37" s="860"/>
      <c r="H37" s="860"/>
      <c r="I37" s="860"/>
      <c r="J37" s="860"/>
      <c r="K37" s="861"/>
      <c r="L37" s="861"/>
      <c r="M37" s="861"/>
      <c r="N37" s="861"/>
      <c r="O37" s="1009"/>
      <c r="P37" s="862"/>
      <c r="Q37" s="861"/>
      <c r="R37" s="1009"/>
      <c r="S37" s="861"/>
      <c r="T37" s="862"/>
      <c r="U37" s="861"/>
      <c r="V37" s="861"/>
      <c r="W37" s="863"/>
    </row>
    <row r="38" spans="1:23" ht="13.5" customHeight="1">
      <c r="A38" s="858">
        <v>33</v>
      </c>
      <c r="B38" s="2726"/>
      <c r="C38" s="2731"/>
      <c r="D38" s="2728"/>
      <c r="E38" s="859"/>
      <c r="F38" s="859"/>
      <c r="G38" s="860"/>
      <c r="H38" s="860"/>
      <c r="I38" s="860"/>
      <c r="J38" s="860"/>
      <c r="K38" s="861"/>
      <c r="L38" s="861"/>
      <c r="M38" s="861"/>
      <c r="N38" s="861"/>
      <c r="O38" s="1009"/>
      <c r="P38" s="862"/>
      <c r="Q38" s="861"/>
      <c r="R38" s="1009"/>
      <c r="S38" s="861"/>
      <c r="T38" s="862"/>
      <c r="U38" s="861"/>
      <c r="V38" s="861"/>
      <c r="W38" s="863"/>
    </row>
    <row r="39" spans="1:23" ht="13.5" customHeight="1">
      <c r="A39" s="858">
        <v>34</v>
      </c>
      <c r="B39" s="2726"/>
      <c r="C39" s="2731"/>
      <c r="D39" s="2728"/>
      <c r="E39" s="859"/>
      <c r="F39" s="859"/>
      <c r="G39" s="860"/>
      <c r="H39" s="860"/>
      <c r="I39" s="860"/>
      <c r="J39" s="860"/>
      <c r="K39" s="861"/>
      <c r="L39" s="861"/>
      <c r="M39" s="861"/>
      <c r="N39" s="861"/>
      <c r="O39" s="1009"/>
      <c r="P39" s="862"/>
      <c r="Q39" s="861"/>
      <c r="R39" s="1009"/>
      <c r="S39" s="861"/>
      <c r="T39" s="862"/>
      <c r="U39" s="861"/>
      <c r="V39" s="861"/>
      <c r="W39" s="863"/>
    </row>
    <row r="40" spans="1:23" ht="13.5" customHeight="1">
      <c r="A40" s="858">
        <v>35</v>
      </c>
      <c r="B40" s="2726"/>
      <c r="C40" s="2731"/>
      <c r="D40" s="2728"/>
      <c r="E40" s="859"/>
      <c r="F40" s="859"/>
      <c r="G40" s="860"/>
      <c r="H40" s="860"/>
      <c r="I40" s="860"/>
      <c r="J40" s="860"/>
      <c r="K40" s="861"/>
      <c r="L40" s="861"/>
      <c r="M40" s="861"/>
      <c r="N40" s="861"/>
      <c r="O40" s="1009"/>
      <c r="P40" s="862"/>
      <c r="Q40" s="861"/>
      <c r="R40" s="1009"/>
      <c r="S40" s="861"/>
      <c r="T40" s="862"/>
      <c r="U40" s="861"/>
      <c r="V40" s="861"/>
      <c r="W40" s="863"/>
    </row>
    <row r="41" spans="1:23" ht="13.5" customHeight="1">
      <c r="A41" s="858">
        <v>36</v>
      </c>
      <c r="B41" s="2726"/>
      <c r="C41" s="2731"/>
      <c r="D41" s="2716"/>
      <c r="E41" s="859"/>
      <c r="F41" s="859"/>
      <c r="G41" s="860"/>
      <c r="H41" s="860"/>
      <c r="I41" s="860"/>
      <c r="J41" s="860"/>
      <c r="K41" s="861"/>
      <c r="L41" s="861"/>
      <c r="M41" s="861"/>
      <c r="N41" s="861"/>
      <c r="O41" s="1009"/>
      <c r="P41" s="862"/>
      <c r="Q41" s="861"/>
      <c r="R41" s="1009"/>
      <c r="S41" s="861"/>
      <c r="T41" s="862"/>
      <c r="U41" s="861"/>
      <c r="V41" s="861"/>
      <c r="W41" s="863"/>
    </row>
    <row r="42" spans="1:23" ht="14.25">
      <c r="A42" s="858">
        <v>37</v>
      </c>
      <c r="B42" s="2726"/>
      <c r="C42" s="2731"/>
      <c r="D42" s="2234" t="s">
        <v>588</v>
      </c>
      <c r="E42" s="866"/>
      <c r="F42" s="866"/>
      <c r="G42" s="866"/>
      <c r="H42" s="866"/>
      <c r="I42" s="866"/>
      <c r="J42" s="866"/>
      <c r="K42" s="866"/>
      <c r="L42" s="866"/>
      <c r="M42" s="866"/>
      <c r="N42" s="861">
        <f>SUM(N32:N41)</f>
        <v>0</v>
      </c>
      <c r="O42" s="861">
        <f>SUM(O32:O41)</f>
        <v>0</v>
      </c>
      <c r="P42" s="861">
        <f>SUM(P32:P41)</f>
        <v>0</v>
      </c>
      <c r="Q42" s="866"/>
      <c r="R42" s="861">
        <f>SUM(R32:R41)</f>
        <v>0</v>
      </c>
      <c r="S42" s="866"/>
      <c r="T42" s="867"/>
      <c r="U42" s="866"/>
      <c r="V42" s="866"/>
      <c r="W42" s="863"/>
    </row>
    <row r="43" spans="1:23" ht="13.5" customHeight="1">
      <c r="A43" s="858">
        <v>38</v>
      </c>
      <c r="B43" s="2726"/>
      <c r="C43" s="2731"/>
      <c r="D43" s="2729" t="s">
        <v>1687</v>
      </c>
      <c r="E43" s="859"/>
      <c r="F43" s="859"/>
      <c r="G43" s="860"/>
      <c r="H43" s="860"/>
      <c r="I43" s="860"/>
      <c r="J43" s="860"/>
      <c r="K43" s="861"/>
      <c r="L43" s="861"/>
      <c r="M43" s="861"/>
      <c r="N43" s="861"/>
      <c r="O43" s="1009"/>
      <c r="P43" s="862"/>
      <c r="Q43" s="861"/>
      <c r="R43" s="1009"/>
      <c r="S43" s="861"/>
      <c r="T43" s="862"/>
      <c r="U43" s="861"/>
      <c r="V43" s="861"/>
      <c r="W43" s="863"/>
    </row>
    <row r="44" spans="1:23" ht="13.5" customHeight="1">
      <c r="A44" s="858">
        <v>39</v>
      </c>
      <c r="B44" s="2726"/>
      <c r="C44" s="2731"/>
      <c r="D44" s="2728"/>
      <c r="E44" s="859"/>
      <c r="F44" s="859"/>
      <c r="G44" s="860"/>
      <c r="H44" s="860"/>
      <c r="I44" s="860"/>
      <c r="J44" s="860"/>
      <c r="K44" s="861"/>
      <c r="L44" s="861"/>
      <c r="M44" s="861"/>
      <c r="N44" s="861"/>
      <c r="O44" s="1009"/>
      <c r="P44" s="862"/>
      <c r="Q44" s="861"/>
      <c r="R44" s="1009"/>
      <c r="S44" s="861"/>
      <c r="T44" s="862"/>
      <c r="U44" s="861"/>
      <c r="V44" s="861"/>
      <c r="W44" s="863"/>
    </row>
    <row r="45" spans="1:23" ht="13.5" customHeight="1">
      <c r="A45" s="858">
        <v>40</v>
      </c>
      <c r="B45" s="2726"/>
      <c r="C45" s="2731"/>
      <c r="D45" s="2728"/>
      <c r="E45" s="859"/>
      <c r="F45" s="859"/>
      <c r="G45" s="860"/>
      <c r="H45" s="860"/>
      <c r="I45" s="860"/>
      <c r="J45" s="860"/>
      <c r="K45" s="861"/>
      <c r="L45" s="861"/>
      <c r="M45" s="861"/>
      <c r="N45" s="861"/>
      <c r="O45" s="1009"/>
      <c r="P45" s="862"/>
      <c r="Q45" s="861"/>
      <c r="R45" s="1009"/>
      <c r="S45" s="861"/>
      <c r="T45" s="862"/>
      <c r="U45" s="861"/>
      <c r="V45" s="861"/>
      <c r="W45" s="863"/>
    </row>
    <row r="46" spans="1:23" ht="13.5" customHeight="1">
      <c r="A46" s="858">
        <v>41</v>
      </c>
      <c r="B46" s="2726"/>
      <c r="C46" s="2731"/>
      <c r="D46" s="2728"/>
      <c r="E46" s="859"/>
      <c r="F46" s="859"/>
      <c r="G46" s="860"/>
      <c r="H46" s="860"/>
      <c r="I46" s="860"/>
      <c r="J46" s="860"/>
      <c r="K46" s="861"/>
      <c r="L46" s="861"/>
      <c r="M46" s="861"/>
      <c r="N46" s="861"/>
      <c r="O46" s="1009"/>
      <c r="P46" s="862"/>
      <c r="Q46" s="861"/>
      <c r="R46" s="1009"/>
      <c r="S46" s="861"/>
      <c r="T46" s="862"/>
      <c r="U46" s="861"/>
      <c r="V46" s="861"/>
      <c r="W46" s="863"/>
    </row>
    <row r="47" spans="1:23" ht="13.5" customHeight="1">
      <c r="A47" s="858">
        <v>42</v>
      </c>
      <c r="B47" s="2726"/>
      <c r="C47" s="2731"/>
      <c r="D47" s="2728"/>
      <c r="E47" s="859"/>
      <c r="F47" s="859"/>
      <c r="G47" s="860"/>
      <c r="H47" s="860"/>
      <c r="I47" s="860"/>
      <c r="J47" s="860"/>
      <c r="K47" s="861"/>
      <c r="L47" s="861"/>
      <c r="M47" s="861"/>
      <c r="N47" s="861"/>
      <c r="O47" s="1009"/>
      <c r="P47" s="862"/>
      <c r="Q47" s="861"/>
      <c r="R47" s="1009"/>
      <c r="S47" s="861"/>
      <c r="T47" s="862"/>
      <c r="U47" s="861"/>
      <c r="V47" s="861"/>
      <c r="W47" s="863"/>
    </row>
    <row r="48" spans="1:23" ht="13.5" customHeight="1">
      <c r="A48" s="858">
        <v>43</v>
      </c>
      <c r="B48" s="2726"/>
      <c r="C48" s="2731"/>
      <c r="D48" s="2728"/>
      <c r="E48" s="859"/>
      <c r="F48" s="859"/>
      <c r="G48" s="860"/>
      <c r="H48" s="860"/>
      <c r="I48" s="860"/>
      <c r="J48" s="860"/>
      <c r="K48" s="861"/>
      <c r="L48" s="861"/>
      <c r="M48" s="861"/>
      <c r="N48" s="861"/>
      <c r="O48" s="1009"/>
      <c r="P48" s="862"/>
      <c r="Q48" s="861"/>
      <c r="R48" s="1009"/>
      <c r="S48" s="861"/>
      <c r="T48" s="862"/>
      <c r="U48" s="861"/>
      <c r="V48" s="861"/>
      <c r="W48" s="863"/>
    </row>
    <row r="49" spans="1:23" ht="13.5" customHeight="1">
      <c r="A49" s="858">
        <v>44</v>
      </c>
      <c r="B49" s="2726"/>
      <c r="C49" s="2731"/>
      <c r="D49" s="2728"/>
      <c r="E49" s="859"/>
      <c r="F49" s="859"/>
      <c r="G49" s="860"/>
      <c r="H49" s="860"/>
      <c r="I49" s="860"/>
      <c r="J49" s="860"/>
      <c r="K49" s="861"/>
      <c r="L49" s="861"/>
      <c r="M49" s="861"/>
      <c r="N49" s="861"/>
      <c r="O49" s="1009"/>
      <c r="P49" s="862"/>
      <c r="Q49" s="861"/>
      <c r="R49" s="1009"/>
      <c r="S49" s="861"/>
      <c r="T49" s="862"/>
      <c r="U49" s="861"/>
      <c r="V49" s="861"/>
      <c r="W49" s="863"/>
    </row>
    <row r="50" spans="1:23" ht="13.5" customHeight="1">
      <c r="A50" s="858">
        <v>45</v>
      </c>
      <c r="B50" s="2726"/>
      <c r="C50" s="2731"/>
      <c r="D50" s="2728"/>
      <c r="E50" s="859"/>
      <c r="F50" s="859"/>
      <c r="G50" s="860"/>
      <c r="H50" s="860"/>
      <c r="I50" s="860"/>
      <c r="J50" s="860"/>
      <c r="K50" s="861"/>
      <c r="L50" s="861"/>
      <c r="M50" s="861"/>
      <c r="N50" s="861"/>
      <c r="O50" s="1009"/>
      <c r="P50" s="862"/>
      <c r="Q50" s="861"/>
      <c r="R50" s="1009"/>
      <c r="S50" s="861"/>
      <c r="T50" s="862"/>
      <c r="U50" s="861"/>
      <c r="V50" s="861"/>
      <c r="W50" s="863"/>
    </row>
    <row r="51" spans="1:23" ht="13.5" customHeight="1">
      <c r="A51" s="858">
        <v>46</v>
      </c>
      <c r="B51" s="2726"/>
      <c r="C51" s="2731"/>
      <c r="D51" s="2728"/>
      <c r="E51" s="859"/>
      <c r="F51" s="859"/>
      <c r="G51" s="860"/>
      <c r="H51" s="860"/>
      <c r="I51" s="860"/>
      <c r="J51" s="860"/>
      <c r="K51" s="861"/>
      <c r="L51" s="861"/>
      <c r="M51" s="861"/>
      <c r="N51" s="861"/>
      <c r="O51" s="1009"/>
      <c r="P51" s="862"/>
      <c r="Q51" s="861"/>
      <c r="R51" s="1009"/>
      <c r="S51" s="861"/>
      <c r="T51" s="862"/>
      <c r="U51" s="861"/>
      <c r="V51" s="861"/>
      <c r="W51" s="863"/>
    </row>
    <row r="52" spans="1:23" ht="13.5" customHeight="1">
      <c r="A52" s="858">
        <v>47</v>
      </c>
      <c r="B52" s="2726"/>
      <c r="C52" s="2731"/>
      <c r="D52" s="2728"/>
      <c r="E52" s="859"/>
      <c r="F52" s="859"/>
      <c r="G52" s="860"/>
      <c r="H52" s="860"/>
      <c r="I52" s="860"/>
      <c r="J52" s="860"/>
      <c r="K52" s="861"/>
      <c r="L52" s="861"/>
      <c r="M52" s="861"/>
      <c r="N52" s="861"/>
      <c r="O52" s="1009"/>
      <c r="P52" s="862"/>
      <c r="Q52" s="861"/>
      <c r="R52" s="1009"/>
      <c r="S52" s="861"/>
      <c r="T52" s="862"/>
      <c r="U52" s="861"/>
      <c r="V52" s="861"/>
      <c r="W52" s="863"/>
    </row>
    <row r="53" spans="1:23" ht="15" thickBot="1">
      <c r="A53" s="858">
        <v>48</v>
      </c>
      <c r="B53" s="2726"/>
      <c r="C53" s="2732"/>
      <c r="D53" s="869" t="s">
        <v>588</v>
      </c>
      <c r="E53" s="872"/>
      <c r="F53" s="872"/>
      <c r="G53" s="872"/>
      <c r="H53" s="872"/>
      <c r="I53" s="872"/>
      <c r="J53" s="872"/>
      <c r="K53" s="872"/>
      <c r="L53" s="872"/>
      <c r="M53" s="872"/>
      <c r="N53" s="871">
        <f>SUM(N43:N52)</f>
        <v>0</v>
      </c>
      <c r="O53" s="871">
        <f>SUM(O43:O52)</f>
        <v>0</v>
      </c>
      <c r="P53" s="871">
        <f>SUM(P43:P52)</f>
        <v>0</v>
      </c>
      <c r="Q53" s="872"/>
      <c r="R53" s="871">
        <f>SUM(R43:R52)</f>
        <v>0</v>
      </c>
      <c r="S53" s="872"/>
      <c r="T53" s="872"/>
      <c r="U53" s="872"/>
      <c r="V53" s="872"/>
      <c r="W53" s="1011"/>
    </row>
    <row r="54" spans="1:23">
      <c r="A54" s="858">
        <v>49</v>
      </c>
      <c r="B54" s="2726"/>
      <c r="C54" s="2733" t="s">
        <v>589</v>
      </c>
      <c r="D54" s="2710" t="s">
        <v>590</v>
      </c>
      <c r="E54" s="853"/>
      <c r="F54" s="853"/>
      <c r="G54" s="854"/>
      <c r="H54" s="854"/>
      <c r="I54" s="854"/>
      <c r="J54" s="854"/>
      <c r="K54" s="855"/>
      <c r="L54" s="855"/>
      <c r="M54" s="855"/>
      <c r="N54" s="855"/>
      <c r="O54" s="1008"/>
      <c r="P54" s="856"/>
      <c r="Q54" s="855"/>
      <c r="R54" s="1008"/>
      <c r="S54" s="855"/>
      <c r="T54" s="856"/>
      <c r="U54" s="855"/>
      <c r="V54" s="855"/>
      <c r="W54" s="857"/>
    </row>
    <row r="55" spans="1:23">
      <c r="A55" s="858">
        <v>50</v>
      </c>
      <c r="B55" s="2726"/>
      <c r="C55" s="2734"/>
      <c r="D55" s="2711"/>
      <c r="E55" s="859"/>
      <c r="F55" s="859"/>
      <c r="G55" s="860"/>
      <c r="H55" s="860"/>
      <c r="I55" s="860"/>
      <c r="J55" s="860"/>
      <c r="K55" s="861"/>
      <c r="L55" s="861"/>
      <c r="M55" s="861"/>
      <c r="N55" s="861"/>
      <c r="O55" s="1009"/>
      <c r="P55" s="862"/>
      <c r="Q55" s="861"/>
      <c r="R55" s="1009"/>
      <c r="S55" s="861"/>
      <c r="T55" s="862"/>
      <c r="U55" s="861"/>
      <c r="V55" s="861"/>
      <c r="W55" s="863"/>
    </row>
    <row r="56" spans="1:23">
      <c r="A56" s="858">
        <v>51</v>
      </c>
      <c r="B56" s="2726"/>
      <c r="C56" s="2734"/>
      <c r="D56" s="2711"/>
      <c r="E56" s="859"/>
      <c r="F56" s="859"/>
      <c r="G56" s="860"/>
      <c r="H56" s="860"/>
      <c r="I56" s="860"/>
      <c r="J56" s="860"/>
      <c r="K56" s="861"/>
      <c r="L56" s="861"/>
      <c r="M56" s="861"/>
      <c r="N56" s="861"/>
      <c r="O56" s="1009"/>
      <c r="P56" s="862"/>
      <c r="Q56" s="861"/>
      <c r="R56" s="1009"/>
      <c r="S56" s="861"/>
      <c r="T56" s="862"/>
      <c r="U56" s="861"/>
      <c r="V56" s="861"/>
      <c r="W56" s="863"/>
    </row>
    <row r="57" spans="1:23">
      <c r="A57" s="858">
        <v>52</v>
      </c>
      <c r="B57" s="2726"/>
      <c r="C57" s="2734"/>
      <c r="D57" s="2711"/>
      <c r="E57" s="859"/>
      <c r="F57" s="859"/>
      <c r="G57" s="860"/>
      <c r="H57" s="860"/>
      <c r="I57" s="860"/>
      <c r="J57" s="860"/>
      <c r="K57" s="861"/>
      <c r="L57" s="861"/>
      <c r="M57" s="861"/>
      <c r="N57" s="861"/>
      <c r="O57" s="1009"/>
      <c r="P57" s="862"/>
      <c r="Q57" s="861"/>
      <c r="R57" s="1009"/>
      <c r="S57" s="861"/>
      <c r="T57" s="862"/>
      <c r="U57" s="861"/>
      <c r="V57" s="861"/>
      <c r="W57" s="863"/>
    </row>
    <row r="58" spans="1:23">
      <c r="A58" s="858">
        <v>53</v>
      </c>
      <c r="B58" s="2726"/>
      <c r="C58" s="2734"/>
      <c r="D58" s="2711"/>
      <c r="E58" s="859"/>
      <c r="F58" s="859"/>
      <c r="G58" s="860"/>
      <c r="H58" s="860"/>
      <c r="I58" s="860"/>
      <c r="J58" s="860"/>
      <c r="K58" s="861"/>
      <c r="L58" s="861"/>
      <c r="M58" s="861"/>
      <c r="N58" s="861"/>
      <c r="O58" s="1009"/>
      <c r="P58" s="862"/>
      <c r="Q58" s="861"/>
      <c r="R58" s="1009"/>
      <c r="S58" s="861"/>
      <c r="T58" s="862"/>
      <c r="U58" s="861"/>
      <c r="V58" s="861"/>
      <c r="W58" s="863"/>
    </row>
    <row r="59" spans="1:23">
      <c r="A59" s="858">
        <v>54</v>
      </c>
      <c r="B59" s="2726"/>
      <c r="C59" s="2734"/>
      <c r="D59" s="2711"/>
      <c r="E59" s="859"/>
      <c r="F59" s="859"/>
      <c r="G59" s="860"/>
      <c r="H59" s="860"/>
      <c r="I59" s="860"/>
      <c r="J59" s="860"/>
      <c r="K59" s="861"/>
      <c r="L59" s="861"/>
      <c r="M59" s="861"/>
      <c r="N59" s="861"/>
      <c r="O59" s="1009"/>
      <c r="P59" s="862"/>
      <c r="Q59" s="861"/>
      <c r="R59" s="1009"/>
      <c r="S59" s="861"/>
      <c r="T59" s="862"/>
      <c r="U59" s="861"/>
      <c r="V59" s="861"/>
      <c r="W59" s="863"/>
    </row>
    <row r="60" spans="1:23">
      <c r="A60" s="858">
        <v>55</v>
      </c>
      <c r="B60" s="2726"/>
      <c r="C60" s="2734"/>
      <c r="D60" s="2711"/>
      <c r="E60" s="859"/>
      <c r="F60" s="859"/>
      <c r="G60" s="860"/>
      <c r="H60" s="860"/>
      <c r="I60" s="860"/>
      <c r="J60" s="860"/>
      <c r="K60" s="861"/>
      <c r="L60" s="861"/>
      <c r="M60" s="861"/>
      <c r="N60" s="861"/>
      <c r="O60" s="1009"/>
      <c r="P60" s="862"/>
      <c r="Q60" s="861"/>
      <c r="R60" s="1009"/>
      <c r="S60" s="861"/>
      <c r="T60" s="862"/>
      <c r="U60" s="861"/>
      <c r="V60" s="861"/>
      <c r="W60" s="863"/>
    </row>
    <row r="61" spans="1:23">
      <c r="A61" s="858">
        <v>56</v>
      </c>
      <c r="B61" s="2726"/>
      <c r="C61" s="2734"/>
      <c r="D61" s="2711"/>
      <c r="E61" s="859"/>
      <c r="F61" s="859"/>
      <c r="G61" s="860"/>
      <c r="H61" s="860"/>
      <c r="I61" s="860"/>
      <c r="J61" s="860"/>
      <c r="K61" s="861"/>
      <c r="L61" s="861"/>
      <c r="M61" s="861"/>
      <c r="N61" s="861"/>
      <c r="O61" s="1009"/>
      <c r="P61" s="862"/>
      <c r="Q61" s="861"/>
      <c r="R61" s="1009"/>
      <c r="S61" s="861"/>
      <c r="T61" s="862"/>
      <c r="U61" s="861"/>
      <c r="V61" s="861"/>
      <c r="W61" s="863"/>
    </row>
    <row r="62" spans="1:23">
      <c r="A62" s="858">
        <v>57</v>
      </c>
      <c r="B62" s="2726"/>
      <c r="C62" s="2734"/>
      <c r="D62" s="2711"/>
      <c r="E62" s="859"/>
      <c r="F62" s="859"/>
      <c r="G62" s="860"/>
      <c r="H62" s="860"/>
      <c r="I62" s="860"/>
      <c r="J62" s="860"/>
      <c r="K62" s="861"/>
      <c r="L62" s="861"/>
      <c r="M62" s="861"/>
      <c r="N62" s="861"/>
      <c r="O62" s="1009"/>
      <c r="P62" s="862"/>
      <c r="Q62" s="861"/>
      <c r="R62" s="1009"/>
      <c r="S62" s="861"/>
      <c r="T62" s="862"/>
      <c r="U62" s="861"/>
      <c r="V62" s="861"/>
      <c r="W62" s="863"/>
    </row>
    <row r="63" spans="1:23">
      <c r="A63" s="858">
        <v>58</v>
      </c>
      <c r="B63" s="2726"/>
      <c r="C63" s="2734"/>
      <c r="D63" s="2662"/>
      <c r="E63" s="859"/>
      <c r="F63" s="859"/>
      <c r="G63" s="860"/>
      <c r="H63" s="860"/>
      <c r="I63" s="860"/>
      <c r="J63" s="860"/>
      <c r="K63" s="861"/>
      <c r="L63" s="861"/>
      <c r="M63" s="861"/>
      <c r="N63" s="861"/>
      <c r="O63" s="1009"/>
      <c r="P63" s="862"/>
      <c r="Q63" s="861"/>
      <c r="R63" s="1009"/>
      <c r="S63" s="861"/>
      <c r="T63" s="862"/>
      <c r="U63" s="861"/>
      <c r="V63" s="861"/>
      <c r="W63" s="863"/>
    </row>
    <row r="64" spans="1:23" ht="14.25">
      <c r="A64" s="858">
        <v>59</v>
      </c>
      <c r="B64" s="2726"/>
      <c r="C64" s="2734"/>
      <c r="D64" s="2234" t="s">
        <v>588</v>
      </c>
      <c r="E64" s="866"/>
      <c r="F64" s="866"/>
      <c r="G64" s="866"/>
      <c r="H64" s="866"/>
      <c r="I64" s="866"/>
      <c r="J64" s="866"/>
      <c r="K64" s="866"/>
      <c r="L64" s="866"/>
      <c r="M64" s="866"/>
      <c r="N64" s="861">
        <f>SUM(N54:N63)</f>
        <v>0</v>
      </c>
      <c r="O64" s="861">
        <f>SUM(O54:O63)</f>
        <v>0</v>
      </c>
      <c r="P64" s="861">
        <f>SUM(P54:P63)</f>
        <v>0</v>
      </c>
      <c r="Q64" s="866"/>
      <c r="R64" s="861">
        <f>SUM(R54:R63)</f>
        <v>0</v>
      </c>
      <c r="S64" s="866"/>
      <c r="T64" s="866"/>
      <c r="U64" s="866"/>
      <c r="V64" s="866"/>
      <c r="W64" s="1012"/>
    </row>
    <row r="65" spans="1:23" ht="13.5" customHeight="1">
      <c r="A65" s="858">
        <v>60</v>
      </c>
      <c r="B65" s="2726"/>
      <c r="C65" s="2734"/>
      <c r="D65" s="2715" t="s">
        <v>1686</v>
      </c>
      <c r="E65" s="859"/>
      <c r="F65" s="859"/>
      <c r="G65" s="860"/>
      <c r="H65" s="860"/>
      <c r="I65" s="860"/>
      <c r="J65" s="860"/>
      <c r="K65" s="861"/>
      <c r="L65" s="861"/>
      <c r="M65" s="861"/>
      <c r="N65" s="861"/>
      <c r="O65" s="1009"/>
      <c r="P65" s="862"/>
      <c r="Q65" s="861"/>
      <c r="R65" s="1009"/>
      <c r="S65" s="861"/>
      <c r="T65" s="862"/>
      <c r="U65" s="861"/>
      <c r="V65" s="861"/>
      <c r="W65" s="863"/>
    </row>
    <row r="66" spans="1:23" ht="13.5" customHeight="1">
      <c r="A66" s="858">
        <v>61</v>
      </c>
      <c r="B66" s="2726"/>
      <c r="C66" s="2734"/>
      <c r="D66" s="2711"/>
      <c r="E66" s="859"/>
      <c r="F66" s="859"/>
      <c r="G66" s="860"/>
      <c r="H66" s="860"/>
      <c r="I66" s="860"/>
      <c r="J66" s="860"/>
      <c r="K66" s="861"/>
      <c r="L66" s="861"/>
      <c r="M66" s="861"/>
      <c r="N66" s="861"/>
      <c r="O66" s="1009"/>
      <c r="P66" s="862"/>
      <c r="Q66" s="862"/>
      <c r="R66" s="1009"/>
      <c r="S66" s="861"/>
      <c r="T66" s="875"/>
      <c r="U66" s="861"/>
      <c r="V66" s="861"/>
      <c r="W66" s="863"/>
    </row>
    <row r="67" spans="1:23" ht="13.5" customHeight="1">
      <c r="A67" s="858">
        <v>62</v>
      </c>
      <c r="B67" s="2726"/>
      <c r="C67" s="2734"/>
      <c r="D67" s="2711"/>
      <c r="E67" s="859"/>
      <c r="F67" s="859"/>
      <c r="G67" s="860"/>
      <c r="H67" s="860"/>
      <c r="I67" s="860"/>
      <c r="J67" s="860"/>
      <c r="K67" s="861"/>
      <c r="L67" s="861"/>
      <c r="M67" s="861"/>
      <c r="N67" s="861"/>
      <c r="O67" s="1009"/>
      <c r="P67" s="862"/>
      <c r="Q67" s="862"/>
      <c r="R67" s="1009"/>
      <c r="S67" s="861"/>
      <c r="T67" s="875"/>
      <c r="U67" s="861"/>
      <c r="V67" s="861"/>
      <c r="W67" s="863"/>
    </row>
    <row r="68" spans="1:23" ht="13.5" customHeight="1">
      <c r="A68" s="858">
        <v>63</v>
      </c>
      <c r="B68" s="2726"/>
      <c r="C68" s="2734"/>
      <c r="D68" s="2711"/>
      <c r="E68" s="859"/>
      <c r="F68" s="859"/>
      <c r="G68" s="860"/>
      <c r="H68" s="860"/>
      <c r="I68" s="860"/>
      <c r="J68" s="860"/>
      <c r="K68" s="861"/>
      <c r="L68" s="861"/>
      <c r="M68" s="861"/>
      <c r="N68" s="861"/>
      <c r="O68" s="1009"/>
      <c r="P68" s="862"/>
      <c r="Q68" s="862"/>
      <c r="R68" s="1009"/>
      <c r="S68" s="861"/>
      <c r="T68" s="875"/>
      <c r="U68" s="861"/>
      <c r="V68" s="861"/>
      <c r="W68" s="863"/>
    </row>
    <row r="69" spans="1:23" ht="13.5" customHeight="1">
      <c r="A69" s="858">
        <v>64</v>
      </c>
      <c r="B69" s="2726"/>
      <c r="C69" s="2734"/>
      <c r="D69" s="2711"/>
      <c r="E69" s="859"/>
      <c r="F69" s="859"/>
      <c r="G69" s="860"/>
      <c r="H69" s="860"/>
      <c r="I69" s="860"/>
      <c r="J69" s="860"/>
      <c r="K69" s="861"/>
      <c r="L69" s="861"/>
      <c r="M69" s="861"/>
      <c r="N69" s="861"/>
      <c r="O69" s="1009"/>
      <c r="P69" s="862"/>
      <c r="Q69" s="862"/>
      <c r="R69" s="1009"/>
      <c r="S69" s="861"/>
      <c r="T69" s="875"/>
      <c r="U69" s="861"/>
      <c r="V69" s="861"/>
      <c r="W69" s="863"/>
    </row>
    <row r="70" spans="1:23" ht="13.5" customHeight="1">
      <c r="A70" s="858">
        <v>65</v>
      </c>
      <c r="B70" s="2726"/>
      <c r="C70" s="2734"/>
      <c r="D70" s="2711"/>
      <c r="E70" s="859"/>
      <c r="F70" s="859"/>
      <c r="G70" s="860"/>
      <c r="H70" s="860"/>
      <c r="I70" s="860"/>
      <c r="J70" s="860"/>
      <c r="K70" s="861"/>
      <c r="L70" s="861"/>
      <c r="M70" s="861"/>
      <c r="N70" s="861"/>
      <c r="O70" s="1009"/>
      <c r="P70" s="862"/>
      <c r="Q70" s="862"/>
      <c r="R70" s="1009"/>
      <c r="S70" s="861"/>
      <c r="T70" s="875"/>
      <c r="U70" s="861"/>
      <c r="V70" s="861"/>
      <c r="W70" s="863"/>
    </row>
    <row r="71" spans="1:23" ht="13.5" customHeight="1">
      <c r="A71" s="858">
        <v>66</v>
      </c>
      <c r="B71" s="2726"/>
      <c r="C71" s="2734"/>
      <c r="D71" s="2711"/>
      <c r="E71" s="859"/>
      <c r="F71" s="859"/>
      <c r="G71" s="860"/>
      <c r="H71" s="860"/>
      <c r="I71" s="860"/>
      <c r="J71" s="860"/>
      <c r="K71" s="861"/>
      <c r="L71" s="861"/>
      <c r="M71" s="861"/>
      <c r="N71" s="861"/>
      <c r="O71" s="1009"/>
      <c r="P71" s="862"/>
      <c r="Q71" s="862"/>
      <c r="R71" s="1009"/>
      <c r="S71" s="861"/>
      <c r="T71" s="875"/>
      <c r="U71" s="861"/>
      <c r="V71" s="861"/>
      <c r="W71" s="863"/>
    </row>
    <row r="72" spans="1:23" ht="13.5" customHeight="1">
      <c r="A72" s="858">
        <v>67</v>
      </c>
      <c r="B72" s="2726"/>
      <c r="C72" s="2734"/>
      <c r="D72" s="2711"/>
      <c r="E72" s="859"/>
      <c r="F72" s="859"/>
      <c r="G72" s="860"/>
      <c r="H72" s="860"/>
      <c r="I72" s="860"/>
      <c r="J72" s="860"/>
      <c r="K72" s="861"/>
      <c r="L72" s="861"/>
      <c r="M72" s="861"/>
      <c r="N72" s="861"/>
      <c r="O72" s="1009"/>
      <c r="P72" s="862"/>
      <c r="Q72" s="862"/>
      <c r="R72" s="1009"/>
      <c r="S72" s="861"/>
      <c r="T72" s="875"/>
      <c r="U72" s="861"/>
      <c r="V72" s="861"/>
      <c r="W72" s="863"/>
    </row>
    <row r="73" spans="1:23" ht="13.5" customHeight="1">
      <c r="A73" s="858">
        <v>68</v>
      </c>
      <c r="B73" s="2726"/>
      <c r="C73" s="2734"/>
      <c r="D73" s="2711"/>
      <c r="E73" s="859"/>
      <c r="F73" s="859"/>
      <c r="G73" s="860"/>
      <c r="H73" s="860"/>
      <c r="I73" s="860"/>
      <c r="J73" s="860"/>
      <c r="K73" s="861"/>
      <c r="L73" s="861"/>
      <c r="M73" s="861"/>
      <c r="N73" s="861"/>
      <c r="O73" s="1009"/>
      <c r="P73" s="862"/>
      <c r="Q73" s="862"/>
      <c r="R73" s="1009"/>
      <c r="S73" s="861"/>
      <c r="T73" s="875"/>
      <c r="U73" s="861"/>
      <c r="V73" s="861"/>
      <c r="W73" s="863"/>
    </row>
    <row r="74" spans="1:23" ht="13.5" customHeight="1">
      <c r="A74" s="858">
        <v>69</v>
      </c>
      <c r="B74" s="2726"/>
      <c r="C74" s="2734"/>
      <c r="D74" s="2711"/>
      <c r="E74" s="859"/>
      <c r="F74" s="859"/>
      <c r="G74" s="860"/>
      <c r="H74" s="860"/>
      <c r="I74" s="860"/>
      <c r="J74" s="860"/>
      <c r="K74" s="861"/>
      <c r="L74" s="861"/>
      <c r="M74" s="861"/>
      <c r="N74" s="861"/>
      <c r="O74" s="1009"/>
      <c r="P74" s="862"/>
      <c r="Q74" s="862"/>
      <c r="R74" s="1009"/>
      <c r="S74" s="861"/>
      <c r="T74" s="875"/>
      <c r="U74" s="861"/>
      <c r="V74" s="861"/>
      <c r="W74" s="863"/>
    </row>
    <row r="75" spans="1:23" ht="14.25">
      <c r="A75" s="858">
        <v>70</v>
      </c>
      <c r="B75" s="2726"/>
      <c r="C75" s="2734"/>
      <c r="D75" s="2234" t="s">
        <v>588</v>
      </c>
      <c r="E75" s="866"/>
      <c r="F75" s="866"/>
      <c r="G75" s="866"/>
      <c r="H75" s="866"/>
      <c r="I75" s="866"/>
      <c r="J75" s="866"/>
      <c r="K75" s="866"/>
      <c r="L75" s="866"/>
      <c r="M75" s="866"/>
      <c r="N75" s="861">
        <f>SUM(N65:N74)</f>
        <v>0</v>
      </c>
      <c r="O75" s="861">
        <f>SUM(O65:O74)</f>
        <v>0</v>
      </c>
      <c r="P75" s="861">
        <f>SUM(P65:P74)</f>
        <v>0</v>
      </c>
      <c r="Q75" s="866"/>
      <c r="R75" s="861">
        <f>SUM(R65:R74)</f>
        <v>0</v>
      </c>
      <c r="S75" s="866"/>
      <c r="T75" s="866"/>
      <c r="U75" s="866"/>
      <c r="V75" s="866"/>
      <c r="W75" s="1012"/>
    </row>
    <row r="76" spans="1:23" ht="13.5" customHeight="1">
      <c r="A76" s="858">
        <v>71</v>
      </c>
      <c r="B76" s="2726"/>
      <c r="C76" s="2734"/>
      <c r="D76" s="2729" t="s">
        <v>1687</v>
      </c>
      <c r="E76" s="859"/>
      <c r="F76" s="859"/>
      <c r="G76" s="860"/>
      <c r="H76" s="860"/>
      <c r="I76" s="860"/>
      <c r="J76" s="860"/>
      <c r="K76" s="861"/>
      <c r="L76" s="861"/>
      <c r="M76" s="861"/>
      <c r="N76" s="861"/>
      <c r="O76" s="1009"/>
      <c r="P76" s="862"/>
      <c r="Q76" s="862"/>
      <c r="R76" s="1009"/>
      <c r="S76" s="861"/>
      <c r="T76" s="875"/>
      <c r="U76" s="861"/>
      <c r="V76" s="861"/>
      <c r="W76" s="863"/>
    </row>
    <row r="77" spans="1:23" ht="13.5" customHeight="1">
      <c r="A77" s="858">
        <v>72</v>
      </c>
      <c r="B77" s="2726"/>
      <c r="C77" s="2734"/>
      <c r="D77" s="2728"/>
      <c r="E77" s="859"/>
      <c r="F77" s="859"/>
      <c r="G77" s="860"/>
      <c r="H77" s="860"/>
      <c r="I77" s="860"/>
      <c r="J77" s="860"/>
      <c r="K77" s="861"/>
      <c r="L77" s="861"/>
      <c r="M77" s="861"/>
      <c r="N77" s="861"/>
      <c r="O77" s="1009"/>
      <c r="P77" s="862"/>
      <c r="Q77" s="862"/>
      <c r="R77" s="1009"/>
      <c r="S77" s="861"/>
      <c r="T77" s="875"/>
      <c r="U77" s="861"/>
      <c r="V77" s="861"/>
      <c r="W77" s="863"/>
    </row>
    <row r="78" spans="1:23" ht="13.5" customHeight="1">
      <c r="A78" s="858">
        <v>73</v>
      </c>
      <c r="B78" s="2726"/>
      <c r="C78" s="2734"/>
      <c r="D78" s="2728"/>
      <c r="E78" s="859"/>
      <c r="F78" s="859"/>
      <c r="G78" s="860"/>
      <c r="H78" s="860"/>
      <c r="I78" s="860"/>
      <c r="J78" s="860"/>
      <c r="K78" s="861"/>
      <c r="L78" s="861"/>
      <c r="M78" s="861"/>
      <c r="N78" s="861"/>
      <c r="O78" s="1009"/>
      <c r="P78" s="862"/>
      <c r="Q78" s="862"/>
      <c r="R78" s="1009"/>
      <c r="S78" s="861"/>
      <c r="T78" s="875"/>
      <c r="U78" s="861"/>
      <c r="V78" s="861"/>
      <c r="W78" s="863"/>
    </row>
    <row r="79" spans="1:23" ht="13.5" customHeight="1">
      <c r="A79" s="858">
        <v>74</v>
      </c>
      <c r="B79" s="2726"/>
      <c r="C79" s="2734"/>
      <c r="D79" s="2728"/>
      <c r="E79" s="859"/>
      <c r="F79" s="859"/>
      <c r="G79" s="860"/>
      <c r="H79" s="860"/>
      <c r="I79" s="860"/>
      <c r="J79" s="860"/>
      <c r="K79" s="861"/>
      <c r="L79" s="861"/>
      <c r="M79" s="861"/>
      <c r="N79" s="861"/>
      <c r="O79" s="1009"/>
      <c r="P79" s="862"/>
      <c r="Q79" s="862"/>
      <c r="R79" s="1009"/>
      <c r="S79" s="861"/>
      <c r="T79" s="875"/>
      <c r="U79" s="861"/>
      <c r="V79" s="861"/>
      <c r="W79" s="863"/>
    </row>
    <row r="80" spans="1:23" ht="13.5" customHeight="1">
      <c r="A80" s="858">
        <v>75</v>
      </c>
      <c r="B80" s="2726"/>
      <c r="C80" s="2734"/>
      <c r="D80" s="2728"/>
      <c r="E80" s="859"/>
      <c r="F80" s="859"/>
      <c r="G80" s="860"/>
      <c r="H80" s="860"/>
      <c r="I80" s="860"/>
      <c r="J80" s="860"/>
      <c r="K80" s="861"/>
      <c r="L80" s="861"/>
      <c r="M80" s="861"/>
      <c r="N80" s="861"/>
      <c r="O80" s="1009"/>
      <c r="P80" s="862"/>
      <c r="Q80" s="862"/>
      <c r="R80" s="1009"/>
      <c r="S80" s="861"/>
      <c r="T80" s="875"/>
      <c r="U80" s="861"/>
      <c r="V80" s="861"/>
      <c r="W80" s="863"/>
    </row>
    <row r="81" spans="1:23" ht="13.5" customHeight="1">
      <c r="A81" s="858">
        <v>76</v>
      </c>
      <c r="B81" s="2726"/>
      <c r="C81" s="2734"/>
      <c r="D81" s="2728"/>
      <c r="E81" s="859"/>
      <c r="F81" s="859"/>
      <c r="G81" s="860"/>
      <c r="H81" s="860"/>
      <c r="I81" s="860"/>
      <c r="J81" s="860"/>
      <c r="K81" s="861"/>
      <c r="L81" s="861"/>
      <c r="M81" s="861"/>
      <c r="N81" s="861"/>
      <c r="O81" s="1009"/>
      <c r="P81" s="862"/>
      <c r="Q81" s="862"/>
      <c r="R81" s="1009"/>
      <c r="S81" s="861"/>
      <c r="T81" s="875"/>
      <c r="U81" s="861"/>
      <c r="V81" s="861"/>
      <c r="W81" s="863"/>
    </row>
    <row r="82" spans="1:23" ht="13.5" customHeight="1">
      <c r="A82" s="858">
        <v>77</v>
      </c>
      <c r="B82" s="2726"/>
      <c r="C82" s="2734"/>
      <c r="D82" s="2728"/>
      <c r="E82" s="859"/>
      <c r="F82" s="859"/>
      <c r="G82" s="860"/>
      <c r="H82" s="860"/>
      <c r="I82" s="860"/>
      <c r="J82" s="860"/>
      <c r="K82" s="861"/>
      <c r="L82" s="861"/>
      <c r="M82" s="861"/>
      <c r="N82" s="861"/>
      <c r="O82" s="1009"/>
      <c r="P82" s="862"/>
      <c r="Q82" s="861"/>
      <c r="R82" s="1009"/>
      <c r="S82" s="861"/>
      <c r="T82" s="862"/>
      <c r="U82" s="861"/>
      <c r="V82" s="861"/>
      <c r="W82" s="863"/>
    </row>
    <row r="83" spans="1:23" ht="13.5" customHeight="1">
      <c r="A83" s="858">
        <v>78</v>
      </c>
      <c r="B83" s="2726"/>
      <c r="C83" s="2734"/>
      <c r="D83" s="2728"/>
      <c r="E83" s="859"/>
      <c r="F83" s="859"/>
      <c r="G83" s="860"/>
      <c r="H83" s="860"/>
      <c r="I83" s="860"/>
      <c r="J83" s="860"/>
      <c r="K83" s="861"/>
      <c r="L83" s="861"/>
      <c r="M83" s="861"/>
      <c r="N83" s="861"/>
      <c r="O83" s="1009"/>
      <c r="P83" s="862"/>
      <c r="Q83" s="861"/>
      <c r="R83" s="1009"/>
      <c r="S83" s="861"/>
      <c r="T83" s="862"/>
      <c r="U83" s="861"/>
      <c r="V83" s="861"/>
      <c r="W83" s="863"/>
    </row>
    <row r="84" spans="1:23" ht="13.5" customHeight="1">
      <c r="A84" s="858">
        <v>79</v>
      </c>
      <c r="B84" s="2726"/>
      <c r="C84" s="2734"/>
      <c r="D84" s="2728"/>
      <c r="E84" s="859"/>
      <c r="F84" s="859"/>
      <c r="G84" s="860"/>
      <c r="H84" s="860"/>
      <c r="I84" s="860"/>
      <c r="J84" s="860"/>
      <c r="K84" s="861"/>
      <c r="L84" s="861"/>
      <c r="M84" s="861"/>
      <c r="N84" s="861"/>
      <c r="O84" s="1009"/>
      <c r="P84" s="862"/>
      <c r="Q84" s="861"/>
      <c r="R84" s="1009"/>
      <c r="S84" s="861"/>
      <c r="T84" s="862"/>
      <c r="U84" s="861"/>
      <c r="V84" s="861"/>
      <c r="W84" s="863"/>
    </row>
    <row r="85" spans="1:23" ht="13.5" customHeight="1">
      <c r="A85" s="858">
        <v>80</v>
      </c>
      <c r="B85" s="2726"/>
      <c r="C85" s="2734"/>
      <c r="D85" s="2728"/>
      <c r="E85" s="859"/>
      <c r="F85" s="859"/>
      <c r="G85" s="860"/>
      <c r="H85" s="860"/>
      <c r="I85" s="860"/>
      <c r="J85" s="860"/>
      <c r="K85" s="861"/>
      <c r="L85" s="861"/>
      <c r="M85" s="861"/>
      <c r="N85" s="861"/>
      <c r="O85" s="1009"/>
      <c r="P85" s="862"/>
      <c r="Q85" s="861"/>
      <c r="R85" s="1009"/>
      <c r="S85" s="861"/>
      <c r="T85" s="862"/>
      <c r="U85" s="861"/>
      <c r="V85" s="861"/>
      <c r="W85" s="863"/>
    </row>
    <row r="86" spans="1:23" ht="15" thickBot="1">
      <c r="A86" s="858">
        <v>81</v>
      </c>
      <c r="B86" s="2726"/>
      <c r="C86" s="2735"/>
      <c r="D86" s="869" t="s">
        <v>588</v>
      </c>
      <c r="E86" s="872"/>
      <c r="F86" s="872"/>
      <c r="G86" s="872"/>
      <c r="H86" s="872"/>
      <c r="I86" s="872"/>
      <c r="J86" s="872"/>
      <c r="K86" s="872"/>
      <c r="L86" s="872"/>
      <c r="M86" s="872"/>
      <c r="N86" s="871">
        <f>SUM(N76:N85)</f>
        <v>0</v>
      </c>
      <c r="O86" s="871">
        <f>SUM(O76:O85)</f>
        <v>0</v>
      </c>
      <c r="P86" s="871">
        <f>SUM(P76:P85)</f>
        <v>0</v>
      </c>
      <c r="Q86" s="872"/>
      <c r="R86" s="871">
        <f>SUM(R76:R85)</f>
        <v>0</v>
      </c>
      <c r="S86" s="872"/>
      <c r="T86" s="872"/>
      <c r="U86" s="872"/>
      <c r="V86" s="872"/>
      <c r="W86" s="1011"/>
    </row>
    <row r="87" spans="1:23" ht="16.5" customHeight="1">
      <c r="A87" s="858">
        <v>82</v>
      </c>
      <c r="B87" s="2726"/>
      <c r="C87" s="2730" t="s">
        <v>591</v>
      </c>
      <c r="D87" s="2727" t="s">
        <v>592</v>
      </c>
      <c r="E87" s="853"/>
      <c r="F87" s="853"/>
      <c r="G87" s="854"/>
      <c r="H87" s="854"/>
      <c r="I87" s="854"/>
      <c r="J87" s="854"/>
      <c r="K87" s="855"/>
      <c r="L87" s="855"/>
      <c r="M87" s="855"/>
      <c r="N87" s="855"/>
      <c r="O87" s="1008"/>
      <c r="P87" s="856"/>
      <c r="Q87" s="855"/>
      <c r="R87" s="1008"/>
      <c r="S87" s="876"/>
      <c r="T87" s="856"/>
      <c r="U87" s="855"/>
      <c r="V87" s="855"/>
      <c r="W87" s="857"/>
    </row>
    <row r="88" spans="1:23">
      <c r="A88" s="858">
        <v>83</v>
      </c>
      <c r="B88" s="2726"/>
      <c r="C88" s="2731"/>
      <c r="D88" s="2728"/>
      <c r="E88" s="859"/>
      <c r="F88" s="859"/>
      <c r="G88" s="860"/>
      <c r="H88" s="860"/>
      <c r="I88" s="860"/>
      <c r="J88" s="860"/>
      <c r="K88" s="861"/>
      <c r="L88" s="861"/>
      <c r="M88" s="861"/>
      <c r="N88" s="861"/>
      <c r="O88" s="1009"/>
      <c r="P88" s="862"/>
      <c r="Q88" s="861"/>
      <c r="R88" s="1009"/>
      <c r="S88" s="875"/>
      <c r="T88" s="862"/>
      <c r="U88" s="861"/>
      <c r="V88" s="861"/>
      <c r="W88" s="863"/>
    </row>
    <row r="89" spans="1:23">
      <c r="A89" s="858">
        <v>84</v>
      </c>
      <c r="B89" s="2726"/>
      <c r="C89" s="2731"/>
      <c r="D89" s="2728"/>
      <c r="E89" s="859"/>
      <c r="F89" s="859"/>
      <c r="G89" s="860"/>
      <c r="H89" s="860"/>
      <c r="I89" s="860"/>
      <c r="J89" s="860"/>
      <c r="K89" s="861"/>
      <c r="L89" s="861"/>
      <c r="M89" s="861"/>
      <c r="N89" s="861"/>
      <c r="O89" s="1009"/>
      <c r="P89" s="862"/>
      <c r="Q89" s="861"/>
      <c r="R89" s="1009"/>
      <c r="S89" s="875"/>
      <c r="T89" s="862"/>
      <c r="U89" s="861"/>
      <c r="V89" s="861"/>
      <c r="W89" s="863"/>
    </row>
    <row r="90" spans="1:23">
      <c r="A90" s="858">
        <v>85</v>
      </c>
      <c r="B90" s="2726"/>
      <c r="C90" s="2731"/>
      <c r="D90" s="2728"/>
      <c r="E90" s="859"/>
      <c r="F90" s="859"/>
      <c r="G90" s="860"/>
      <c r="H90" s="860"/>
      <c r="I90" s="860"/>
      <c r="J90" s="860"/>
      <c r="K90" s="861"/>
      <c r="L90" s="861"/>
      <c r="M90" s="861"/>
      <c r="N90" s="861"/>
      <c r="O90" s="1009"/>
      <c r="P90" s="862"/>
      <c r="Q90" s="861"/>
      <c r="R90" s="1009"/>
      <c r="S90" s="875"/>
      <c r="T90" s="862"/>
      <c r="U90" s="861"/>
      <c r="V90" s="861"/>
      <c r="W90" s="863"/>
    </row>
    <row r="91" spans="1:23">
      <c r="A91" s="858">
        <v>86</v>
      </c>
      <c r="B91" s="2726"/>
      <c r="C91" s="2731"/>
      <c r="D91" s="2728"/>
      <c r="E91" s="859"/>
      <c r="F91" s="859"/>
      <c r="G91" s="860"/>
      <c r="H91" s="860"/>
      <c r="I91" s="860"/>
      <c r="J91" s="860"/>
      <c r="K91" s="861"/>
      <c r="L91" s="861"/>
      <c r="M91" s="861"/>
      <c r="N91" s="861"/>
      <c r="O91" s="1009"/>
      <c r="P91" s="862"/>
      <c r="Q91" s="861"/>
      <c r="R91" s="1009"/>
      <c r="S91" s="875"/>
      <c r="T91" s="862"/>
      <c r="U91" s="861"/>
      <c r="V91" s="861"/>
      <c r="W91" s="863"/>
    </row>
    <row r="92" spans="1:23">
      <c r="A92" s="858">
        <v>87</v>
      </c>
      <c r="B92" s="2726"/>
      <c r="C92" s="2731"/>
      <c r="D92" s="2728"/>
      <c r="E92" s="859"/>
      <c r="F92" s="859"/>
      <c r="G92" s="860"/>
      <c r="H92" s="860"/>
      <c r="I92" s="860"/>
      <c r="J92" s="860"/>
      <c r="K92" s="861"/>
      <c r="L92" s="861"/>
      <c r="M92" s="861"/>
      <c r="N92" s="861"/>
      <c r="O92" s="1009"/>
      <c r="P92" s="862"/>
      <c r="Q92" s="861"/>
      <c r="R92" s="1009"/>
      <c r="S92" s="875"/>
      <c r="T92" s="862"/>
      <c r="U92" s="861"/>
      <c r="V92" s="861"/>
      <c r="W92" s="863"/>
    </row>
    <row r="93" spans="1:23" ht="14.25">
      <c r="A93" s="858">
        <v>88</v>
      </c>
      <c r="B93" s="2726"/>
      <c r="C93" s="2731"/>
      <c r="D93" s="2234" t="s">
        <v>588</v>
      </c>
      <c r="E93" s="866"/>
      <c r="F93" s="866"/>
      <c r="G93" s="866"/>
      <c r="H93" s="866"/>
      <c r="I93" s="866"/>
      <c r="J93" s="866"/>
      <c r="K93" s="866"/>
      <c r="L93" s="866"/>
      <c r="M93" s="866"/>
      <c r="N93" s="861">
        <f>SUM(N87:N92)</f>
        <v>0</v>
      </c>
      <c r="O93" s="861">
        <f>SUM(O87:O92)</f>
        <v>0</v>
      </c>
      <c r="P93" s="861">
        <f>SUM(P87:P92)</f>
        <v>0</v>
      </c>
      <c r="Q93" s="866"/>
      <c r="R93" s="861">
        <f>SUM(R87:R92)</f>
        <v>0</v>
      </c>
      <c r="S93" s="866"/>
      <c r="T93" s="866"/>
      <c r="U93" s="866"/>
      <c r="V93" s="866"/>
      <c r="W93" s="1012"/>
    </row>
    <row r="94" spans="1:23" ht="13.5" customHeight="1">
      <c r="A94" s="858">
        <v>89</v>
      </c>
      <c r="B94" s="2726"/>
      <c r="C94" s="2731"/>
      <c r="D94" s="2729" t="s">
        <v>1686</v>
      </c>
      <c r="E94" s="859"/>
      <c r="F94" s="859"/>
      <c r="G94" s="860"/>
      <c r="H94" s="860"/>
      <c r="I94" s="860"/>
      <c r="J94" s="860"/>
      <c r="K94" s="861"/>
      <c r="L94" s="861"/>
      <c r="M94" s="861"/>
      <c r="N94" s="861"/>
      <c r="O94" s="1009"/>
      <c r="P94" s="862"/>
      <c r="Q94" s="861"/>
      <c r="R94" s="1009"/>
      <c r="S94" s="875"/>
      <c r="T94" s="862"/>
      <c r="U94" s="861"/>
      <c r="V94" s="861"/>
      <c r="W94" s="863"/>
    </row>
    <row r="95" spans="1:23" ht="13.5" customHeight="1">
      <c r="A95" s="858">
        <v>90</v>
      </c>
      <c r="B95" s="2726"/>
      <c r="C95" s="2731"/>
      <c r="D95" s="2728"/>
      <c r="E95" s="859"/>
      <c r="F95" s="859"/>
      <c r="G95" s="860"/>
      <c r="H95" s="860"/>
      <c r="I95" s="860"/>
      <c r="J95" s="860"/>
      <c r="K95" s="861"/>
      <c r="L95" s="861"/>
      <c r="M95" s="861"/>
      <c r="N95" s="861"/>
      <c r="O95" s="1009"/>
      <c r="P95" s="862"/>
      <c r="Q95" s="861"/>
      <c r="R95" s="1009"/>
      <c r="S95" s="875"/>
      <c r="T95" s="862"/>
      <c r="U95" s="861"/>
      <c r="V95" s="861"/>
      <c r="W95" s="863"/>
    </row>
    <row r="96" spans="1:23" ht="13.5" customHeight="1">
      <c r="A96" s="858">
        <v>91</v>
      </c>
      <c r="B96" s="2726"/>
      <c r="C96" s="2731"/>
      <c r="D96" s="2728"/>
      <c r="E96" s="859"/>
      <c r="F96" s="859"/>
      <c r="G96" s="860"/>
      <c r="H96" s="860"/>
      <c r="I96" s="860"/>
      <c r="J96" s="860"/>
      <c r="K96" s="861"/>
      <c r="L96" s="861"/>
      <c r="M96" s="861"/>
      <c r="N96" s="861"/>
      <c r="O96" s="1009"/>
      <c r="P96" s="862"/>
      <c r="Q96" s="861"/>
      <c r="R96" s="1009"/>
      <c r="S96" s="875"/>
      <c r="T96" s="862"/>
      <c r="U96" s="861"/>
      <c r="V96" s="861"/>
      <c r="W96" s="863"/>
    </row>
    <row r="97" spans="1:23" ht="13.5" customHeight="1">
      <c r="A97" s="858">
        <v>92</v>
      </c>
      <c r="B97" s="2726"/>
      <c r="C97" s="2731"/>
      <c r="D97" s="2728"/>
      <c r="E97" s="859"/>
      <c r="F97" s="859"/>
      <c r="G97" s="860"/>
      <c r="H97" s="860"/>
      <c r="I97" s="860"/>
      <c r="J97" s="860"/>
      <c r="K97" s="861"/>
      <c r="L97" s="861"/>
      <c r="M97" s="861"/>
      <c r="N97" s="861"/>
      <c r="O97" s="1009"/>
      <c r="P97" s="862"/>
      <c r="Q97" s="861"/>
      <c r="R97" s="1009"/>
      <c r="S97" s="875"/>
      <c r="T97" s="862"/>
      <c r="U97" s="861"/>
      <c r="V97" s="861"/>
      <c r="W97" s="863"/>
    </row>
    <row r="98" spans="1:23" ht="16.5" customHeight="1">
      <c r="A98" s="858">
        <v>93</v>
      </c>
      <c r="B98" s="2726"/>
      <c r="C98" s="2731"/>
      <c r="D98" s="2728"/>
      <c r="E98" s="859"/>
      <c r="F98" s="859"/>
      <c r="G98" s="860"/>
      <c r="H98" s="860"/>
      <c r="I98" s="860"/>
      <c r="J98" s="860"/>
      <c r="K98" s="861"/>
      <c r="L98" s="861"/>
      <c r="M98" s="861"/>
      <c r="N98" s="861"/>
      <c r="O98" s="1009"/>
      <c r="P98" s="862"/>
      <c r="Q98" s="861"/>
      <c r="R98" s="1009"/>
      <c r="S98" s="875"/>
      <c r="T98" s="862"/>
      <c r="U98" s="861"/>
      <c r="V98" s="861"/>
      <c r="W98" s="863"/>
    </row>
    <row r="99" spans="1:23" ht="16.5" customHeight="1">
      <c r="A99" s="858">
        <v>94</v>
      </c>
      <c r="B99" s="2726"/>
      <c r="C99" s="2731"/>
      <c r="D99" s="2728"/>
      <c r="E99" s="859"/>
      <c r="F99" s="859"/>
      <c r="G99" s="860"/>
      <c r="H99" s="860"/>
      <c r="I99" s="860"/>
      <c r="J99" s="860"/>
      <c r="K99" s="861"/>
      <c r="L99" s="861"/>
      <c r="M99" s="861"/>
      <c r="N99" s="861"/>
      <c r="O99" s="1009"/>
      <c r="P99" s="862"/>
      <c r="Q99" s="861"/>
      <c r="R99" s="1009"/>
      <c r="S99" s="875"/>
      <c r="T99" s="862"/>
      <c r="U99" s="861"/>
      <c r="V99" s="861"/>
      <c r="W99" s="863"/>
    </row>
    <row r="100" spans="1:23" ht="14.25">
      <c r="A100" s="858">
        <v>95</v>
      </c>
      <c r="B100" s="2726"/>
      <c r="C100" s="2731"/>
      <c r="D100" s="2234" t="s">
        <v>588</v>
      </c>
      <c r="E100" s="866"/>
      <c r="F100" s="866"/>
      <c r="G100" s="866"/>
      <c r="H100" s="866"/>
      <c r="I100" s="866"/>
      <c r="J100" s="866"/>
      <c r="K100" s="866"/>
      <c r="L100" s="866"/>
      <c r="M100" s="866"/>
      <c r="N100" s="861">
        <f>SUM(N94:N99)</f>
        <v>0</v>
      </c>
      <c r="O100" s="861">
        <f>SUM(O94:O99)</f>
        <v>0</v>
      </c>
      <c r="P100" s="861">
        <f>SUM(P94:P99)</f>
        <v>0</v>
      </c>
      <c r="Q100" s="866"/>
      <c r="R100" s="861">
        <f>SUM(R94:R99)</f>
        <v>0</v>
      </c>
      <c r="S100" s="866"/>
      <c r="T100" s="866"/>
      <c r="U100" s="866"/>
      <c r="V100" s="866"/>
      <c r="W100" s="1012"/>
    </row>
    <row r="101" spans="1:23" ht="13.5" customHeight="1">
      <c r="A101" s="858">
        <v>96</v>
      </c>
      <c r="B101" s="2726"/>
      <c r="C101" s="2731"/>
      <c r="D101" s="2729" t="s">
        <v>1687</v>
      </c>
      <c r="E101" s="859"/>
      <c r="F101" s="859"/>
      <c r="G101" s="860"/>
      <c r="H101" s="860"/>
      <c r="I101" s="860"/>
      <c r="J101" s="860"/>
      <c r="K101" s="861"/>
      <c r="L101" s="861"/>
      <c r="M101" s="861"/>
      <c r="N101" s="861"/>
      <c r="O101" s="1009"/>
      <c r="P101" s="862"/>
      <c r="Q101" s="861"/>
      <c r="R101" s="1009"/>
      <c r="S101" s="875"/>
      <c r="T101" s="862"/>
      <c r="U101" s="861"/>
      <c r="V101" s="861"/>
      <c r="W101" s="863"/>
    </row>
    <row r="102" spans="1:23" ht="13.5" customHeight="1">
      <c r="A102" s="858">
        <v>97</v>
      </c>
      <c r="B102" s="2726"/>
      <c r="C102" s="2731"/>
      <c r="D102" s="2728"/>
      <c r="E102" s="859"/>
      <c r="F102" s="859"/>
      <c r="G102" s="860"/>
      <c r="H102" s="860"/>
      <c r="I102" s="860"/>
      <c r="J102" s="860"/>
      <c r="K102" s="861"/>
      <c r="L102" s="861"/>
      <c r="M102" s="861"/>
      <c r="N102" s="861"/>
      <c r="O102" s="1009"/>
      <c r="P102" s="862"/>
      <c r="Q102" s="861"/>
      <c r="R102" s="1009"/>
      <c r="S102" s="875"/>
      <c r="T102" s="862"/>
      <c r="U102" s="861"/>
      <c r="V102" s="861"/>
      <c r="W102" s="863"/>
    </row>
    <row r="103" spans="1:23" ht="13.5" customHeight="1">
      <c r="A103" s="858">
        <v>98</v>
      </c>
      <c r="B103" s="2726"/>
      <c r="C103" s="2731"/>
      <c r="D103" s="2728"/>
      <c r="E103" s="859"/>
      <c r="F103" s="859"/>
      <c r="G103" s="860"/>
      <c r="H103" s="860"/>
      <c r="I103" s="860"/>
      <c r="J103" s="860"/>
      <c r="K103" s="861"/>
      <c r="L103" s="861"/>
      <c r="M103" s="861"/>
      <c r="N103" s="861"/>
      <c r="O103" s="1009"/>
      <c r="P103" s="862"/>
      <c r="Q103" s="861"/>
      <c r="R103" s="1009"/>
      <c r="S103" s="875"/>
      <c r="T103" s="862"/>
      <c r="U103" s="861"/>
      <c r="V103" s="861"/>
      <c r="W103" s="863"/>
    </row>
    <row r="104" spans="1:23" ht="13.5" customHeight="1">
      <c r="A104" s="858">
        <v>99</v>
      </c>
      <c r="B104" s="2726"/>
      <c r="C104" s="2731"/>
      <c r="D104" s="2728"/>
      <c r="E104" s="859"/>
      <c r="F104" s="859"/>
      <c r="G104" s="860"/>
      <c r="H104" s="860"/>
      <c r="I104" s="860"/>
      <c r="J104" s="860"/>
      <c r="K104" s="861"/>
      <c r="L104" s="861"/>
      <c r="M104" s="861"/>
      <c r="N104" s="861"/>
      <c r="O104" s="1009"/>
      <c r="P104" s="862"/>
      <c r="Q104" s="861"/>
      <c r="R104" s="1009"/>
      <c r="S104" s="875"/>
      <c r="T104" s="862"/>
      <c r="U104" s="861"/>
      <c r="V104" s="861"/>
      <c r="W104" s="863"/>
    </row>
    <row r="105" spans="1:23" ht="13.5" customHeight="1">
      <c r="A105" s="858">
        <v>100</v>
      </c>
      <c r="B105" s="2726"/>
      <c r="C105" s="2731"/>
      <c r="D105" s="2728"/>
      <c r="E105" s="859"/>
      <c r="F105" s="859"/>
      <c r="G105" s="860"/>
      <c r="H105" s="860"/>
      <c r="I105" s="860"/>
      <c r="J105" s="860"/>
      <c r="K105" s="861"/>
      <c r="L105" s="861"/>
      <c r="M105" s="861"/>
      <c r="N105" s="861"/>
      <c r="O105" s="1009"/>
      <c r="P105" s="862"/>
      <c r="Q105" s="861"/>
      <c r="R105" s="1009"/>
      <c r="S105" s="875"/>
      <c r="T105" s="862"/>
      <c r="U105" s="861"/>
      <c r="V105" s="861"/>
      <c r="W105" s="863"/>
    </row>
    <row r="106" spans="1:23" ht="13.5" customHeight="1">
      <c r="A106" s="858">
        <v>101</v>
      </c>
      <c r="B106" s="2726"/>
      <c r="C106" s="2731"/>
      <c r="D106" s="2728"/>
      <c r="E106" s="859"/>
      <c r="F106" s="859"/>
      <c r="G106" s="860"/>
      <c r="H106" s="860"/>
      <c r="I106" s="860"/>
      <c r="J106" s="860"/>
      <c r="K106" s="861"/>
      <c r="L106" s="861"/>
      <c r="M106" s="861"/>
      <c r="N106" s="861"/>
      <c r="O106" s="1009"/>
      <c r="P106" s="862"/>
      <c r="Q106" s="861"/>
      <c r="R106" s="1009"/>
      <c r="S106" s="875"/>
      <c r="T106" s="862"/>
      <c r="U106" s="861"/>
      <c r="V106" s="861"/>
      <c r="W106" s="863"/>
    </row>
    <row r="107" spans="1:23" ht="15" thickBot="1">
      <c r="A107" s="877">
        <v>102</v>
      </c>
      <c r="B107" s="2726"/>
      <c r="C107" s="2731"/>
      <c r="D107" s="2245" t="s">
        <v>588</v>
      </c>
      <c r="E107" s="878"/>
      <c r="F107" s="878"/>
      <c r="G107" s="879"/>
      <c r="H107" s="879"/>
      <c r="I107" s="879"/>
      <c r="J107" s="879"/>
      <c r="K107" s="880"/>
      <c r="L107" s="880"/>
      <c r="M107" s="880"/>
      <c r="N107" s="881">
        <f>SUM(N101:N106)</f>
        <v>0</v>
      </c>
      <c r="O107" s="881">
        <f>SUM(O101:O106)</f>
        <v>0</v>
      </c>
      <c r="P107" s="881">
        <f>SUM(P101:P106)</f>
        <v>0</v>
      </c>
      <c r="Q107" s="880"/>
      <c r="R107" s="881">
        <f>SUM(R101:R106)</f>
        <v>0</v>
      </c>
      <c r="S107" s="880"/>
      <c r="T107" s="880"/>
      <c r="U107" s="880"/>
      <c r="V107" s="880"/>
      <c r="W107" s="1013"/>
    </row>
    <row r="108" spans="1:23" ht="15" thickBot="1">
      <c r="A108" s="2243">
        <v>103</v>
      </c>
      <c r="B108" s="2722" t="s">
        <v>593</v>
      </c>
      <c r="C108" s="2723"/>
      <c r="D108" s="2724"/>
      <c r="E108" s="883"/>
      <c r="F108" s="883"/>
      <c r="G108" s="884"/>
      <c r="H108" s="884"/>
      <c r="I108" s="884"/>
      <c r="J108" s="884"/>
      <c r="K108" s="885"/>
      <c r="L108" s="885"/>
      <c r="M108" s="885"/>
      <c r="N108" s="886">
        <f>N107+N100+N93+N86+N75+N64+N53+N42+N31+N18</f>
        <v>0</v>
      </c>
      <c r="O108" s="886">
        <f>O107+O100+O93+O86+O75+O64+O53+O42+O31+O18</f>
        <v>0</v>
      </c>
      <c r="P108" s="886">
        <f>P107+P100+P93+P86+P75+P64+P53+P42+P31+P18</f>
        <v>0</v>
      </c>
      <c r="Q108" s="885"/>
      <c r="R108" s="886">
        <f>R107+R100+R93+R86+R75+R64+R53+R42+R31+R18</f>
        <v>0</v>
      </c>
      <c r="S108" s="885"/>
      <c r="T108" s="887"/>
      <c r="U108" s="885"/>
      <c r="V108" s="885"/>
      <c r="W108" s="1014"/>
    </row>
    <row r="109" spans="1:23" ht="16.5" customHeight="1">
      <c r="A109" s="851">
        <v>104</v>
      </c>
      <c r="B109" s="2725" t="s">
        <v>1410</v>
      </c>
      <c r="C109" s="2730" t="s">
        <v>595</v>
      </c>
      <c r="D109" s="2727" t="s">
        <v>1690</v>
      </c>
      <c r="E109" s="853"/>
      <c r="F109" s="853"/>
      <c r="G109" s="854"/>
      <c r="H109" s="854"/>
      <c r="I109" s="854"/>
      <c r="J109" s="854"/>
      <c r="K109" s="855"/>
      <c r="L109" s="855"/>
      <c r="M109" s="855"/>
      <c r="N109" s="855"/>
      <c r="O109" s="1008"/>
      <c r="P109" s="856"/>
      <c r="Q109" s="855"/>
      <c r="R109" s="1008"/>
      <c r="S109" s="889"/>
      <c r="T109" s="890"/>
      <c r="U109" s="855"/>
      <c r="V109" s="855"/>
      <c r="W109" s="857"/>
    </row>
    <row r="110" spans="1:23" ht="16.5" customHeight="1">
      <c r="A110" s="858">
        <v>105</v>
      </c>
      <c r="B110" s="2736"/>
      <c r="C110" s="2731"/>
      <c r="D110" s="2728"/>
      <c r="E110" s="859"/>
      <c r="F110" s="859"/>
      <c r="G110" s="860"/>
      <c r="H110" s="860"/>
      <c r="I110" s="860"/>
      <c r="J110" s="860"/>
      <c r="K110" s="861"/>
      <c r="L110" s="861"/>
      <c r="M110" s="861"/>
      <c r="N110" s="861"/>
      <c r="O110" s="1009"/>
      <c r="P110" s="862"/>
      <c r="Q110" s="861"/>
      <c r="R110" s="1009"/>
      <c r="S110" s="866"/>
      <c r="T110" s="867"/>
      <c r="U110" s="861"/>
      <c r="V110" s="861"/>
      <c r="W110" s="863"/>
    </row>
    <row r="111" spans="1:23" ht="16.5" customHeight="1">
      <c r="A111" s="858">
        <v>106</v>
      </c>
      <c r="B111" s="2736"/>
      <c r="C111" s="2731"/>
      <c r="D111" s="2728"/>
      <c r="E111" s="859"/>
      <c r="F111" s="859"/>
      <c r="G111" s="860"/>
      <c r="H111" s="860"/>
      <c r="I111" s="860"/>
      <c r="J111" s="860"/>
      <c r="K111" s="861"/>
      <c r="L111" s="861"/>
      <c r="M111" s="861"/>
      <c r="N111" s="861"/>
      <c r="O111" s="1009"/>
      <c r="P111" s="862"/>
      <c r="Q111" s="861"/>
      <c r="R111" s="1009"/>
      <c r="S111" s="866"/>
      <c r="T111" s="867"/>
      <c r="U111" s="861"/>
      <c r="V111" s="861"/>
      <c r="W111" s="863"/>
    </row>
    <row r="112" spans="1:23" ht="16.5" customHeight="1">
      <c r="A112" s="858">
        <v>107</v>
      </c>
      <c r="B112" s="2736"/>
      <c r="C112" s="2731"/>
      <c r="D112" s="2728"/>
      <c r="E112" s="859"/>
      <c r="F112" s="859"/>
      <c r="G112" s="860"/>
      <c r="H112" s="860"/>
      <c r="I112" s="860"/>
      <c r="J112" s="860"/>
      <c r="K112" s="861"/>
      <c r="L112" s="861"/>
      <c r="M112" s="861"/>
      <c r="N112" s="861"/>
      <c r="O112" s="1009"/>
      <c r="P112" s="862"/>
      <c r="Q112" s="861"/>
      <c r="R112" s="1009"/>
      <c r="S112" s="866"/>
      <c r="T112" s="867"/>
      <c r="U112" s="861"/>
      <c r="V112" s="861"/>
      <c r="W112" s="863"/>
    </row>
    <row r="113" spans="1:23" ht="16.5" customHeight="1">
      <c r="A113" s="858">
        <v>108</v>
      </c>
      <c r="B113" s="2736"/>
      <c r="C113" s="2731"/>
      <c r="D113" s="2728"/>
      <c r="E113" s="859"/>
      <c r="F113" s="859"/>
      <c r="G113" s="860"/>
      <c r="H113" s="860"/>
      <c r="I113" s="860"/>
      <c r="J113" s="860"/>
      <c r="K113" s="861"/>
      <c r="L113" s="861"/>
      <c r="M113" s="861"/>
      <c r="N113" s="861"/>
      <c r="O113" s="1009"/>
      <c r="P113" s="862"/>
      <c r="Q113" s="861"/>
      <c r="R113" s="1009"/>
      <c r="S113" s="866"/>
      <c r="T113" s="867"/>
      <c r="U113" s="861"/>
      <c r="V113" s="861"/>
      <c r="W113" s="863"/>
    </row>
    <row r="114" spans="1:23" ht="16.5" customHeight="1">
      <c r="A114" s="858">
        <v>109</v>
      </c>
      <c r="B114" s="2736"/>
      <c r="C114" s="2731"/>
      <c r="D114" s="2728"/>
      <c r="E114" s="859"/>
      <c r="F114" s="859"/>
      <c r="G114" s="860"/>
      <c r="H114" s="860"/>
      <c r="I114" s="860"/>
      <c r="J114" s="860"/>
      <c r="K114" s="861"/>
      <c r="L114" s="861"/>
      <c r="M114" s="861"/>
      <c r="N114" s="861"/>
      <c r="O114" s="1009"/>
      <c r="P114" s="862"/>
      <c r="Q114" s="861"/>
      <c r="R114" s="1009"/>
      <c r="S114" s="866"/>
      <c r="T114" s="867"/>
      <c r="U114" s="861"/>
      <c r="V114" s="861"/>
      <c r="W114" s="863"/>
    </row>
    <row r="115" spans="1:23" ht="16.5" customHeight="1" thickBot="1">
      <c r="A115" s="858">
        <v>110</v>
      </c>
      <c r="B115" s="2736"/>
      <c r="C115" s="2731"/>
      <c r="D115" s="2237" t="s">
        <v>588</v>
      </c>
      <c r="E115" s="866"/>
      <c r="F115" s="866"/>
      <c r="G115" s="866"/>
      <c r="H115" s="866"/>
      <c r="I115" s="866"/>
      <c r="J115" s="866"/>
      <c r="K115" s="866"/>
      <c r="L115" s="866"/>
      <c r="M115" s="866"/>
      <c r="N115" s="861">
        <f>SUM(N109:N114)</f>
        <v>0</v>
      </c>
      <c r="O115" s="861">
        <f>SUM(O109:O114)</f>
        <v>0</v>
      </c>
      <c r="P115" s="861">
        <f>SUM(P109:P114)</f>
        <v>0</v>
      </c>
      <c r="Q115" s="866"/>
      <c r="R115" s="861">
        <f>SUM(R109:R114)</f>
        <v>0</v>
      </c>
      <c r="S115" s="866"/>
      <c r="T115" s="867"/>
      <c r="U115" s="872"/>
      <c r="V115" s="872"/>
      <c r="W115" s="1012"/>
    </row>
    <row r="116" spans="1:23" ht="16.5" customHeight="1">
      <c r="A116" s="858">
        <v>111</v>
      </c>
      <c r="B116" s="2736"/>
      <c r="C116" s="2731"/>
      <c r="D116" s="2729" t="s">
        <v>1691</v>
      </c>
      <c r="E116" s="859"/>
      <c r="F116" s="859"/>
      <c r="G116" s="860"/>
      <c r="H116" s="860"/>
      <c r="I116" s="860"/>
      <c r="J116" s="860"/>
      <c r="K116" s="861"/>
      <c r="L116" s="861"/>
      <c r="M116" s="861"/>
      <c r="N116" s="861"/>
      <c r="O116" s="1009"/>
      <c r="P116" s="862"/>
      <c r="Q116" s="861"/>
      <c r="R116" s="1009"/>
      <c r="S116" s="866"/>
      <c r="T116" s="867"/>
      <c r="U116" s="861"/>
      <c r="V116" s="861"/>
      <c r="W116" s="863"/>
    </row>
    <row r="117" spans="1:23" ht="16.5" customHeight="1">
      <c r="A117" s="858">
        <v>112</v>
      </c>
      <c r="B117" s="2736"/>
      <c r="C117" s="2731"/>
      <c r="D117" s="2728"/>
      <c r="E117" s="859"/>
      <c r="F117" s="859"/>
      <c r="G117" s="860"/>
      <c r="H117" s="860"/>
      <c r="I117" s="860"/>
      <c r="J117" s="860"/>
      <c r="K117" s="861"/>
      <c r="L117" s="861"/>
      <c r="M117" s="861"/>
      <c r="N117" s="861"/>
      <c r="O117" s="1009"/>
      <c r="P117" s="862"/>
      <c r="Q117" s="861"/>
      <c r="R117" s="1009"/>
      <c r="S117" s="866"/>
      <c r="T117" s="867"/>
      <c r="U117" s="861"/>
      <c r="V117" s="861"/>
      <c r="W117" s="863"/>
    </row>
    <row r="118" spans="1:23" ht="16.5" customHeight="1">
      <c r="A118" s="858">
        <v>113</v>
      </c>
      <c r="B118" s="2736"/>
      <c r="C118" s="2731"/>
      <c r="D118" s="2728"/>
      <c r="E118" s="859"/>
      <c r="F118" s="859"/>
      <c r="G118" s="860"/>
      <c r="H118" s="860"/>
      <c r="I118" s="860"/>
      <c r="J118" s="860"/>
      <c r="K118" s="861"/>
      <c r="L118" s="861"/>
      <c r="M118" s="861"/>
      <c r="N118" s="861"/>
      <c r="O118" s="1009"/>
      <c r="P118" s="862"/>
      <c r="Q118" s="861"/>
      <c r="R118" s="1009"/>
      <c r="S118" s="866"/>
      <c r="T118" s="867"/>
      <c r="U118" s="861"/>
      <c r="V118" s="861"/>
      <c r="W118" s="863"/>
    </row>
    <row r="119" spans="1:23" ht="16.5" customHeight="1">
      <c r="A119" s="858">
        <v>114</v>
      </c>
      <c r="B119" s="2736"/>
      <c r="C119" s="2731"/>
      <c r="D119" s="2728"/>
      <c r="E119" s="859"/>
      <c r="F119" s="859"/>
      <c r="G119" s="860"/>
      <c r="H119" s="860"/>
      <c r="I119" s="860"/>
      <c r="J119" s="860"/>
      <c r="K119" s="861"/>
      <c r="L119" s="861"/>
      <c r="M119" s="861"/>
      <c r="N119" s="861"/>
      <c r="O119" s="1009"/>
      <c r="P119" s="862"/>
      <c r="Q119" s="861"/>
      <c r="R119" s="1009"/>
      <c r="S119" s="866"/>
      <c r="T119" s="867"/>
      <c r="U119" s="861"/>
      <c r="V119" s="861"/>
      <c r="W119" s="863"/>
    </row>
    <row r="120" spans="1:23" ht="13.5" customHeight="1">
      <c r="A120" s="858">
        <v>115</v>
      </c>
      <c r="B120" s="2736"/>
      <c r="C120" s="2731"/>
      <c r="D120" s="2728"/>
      <c r="E120" s="859"/>
      <c r="F120" s="859"/>
      <c r="G120" s="860"/>
      <c r="H120" s="860"/>
      <c r="I120" s="860"/>
      <c r="J120" s="860"/>
      <c r="K120" s="861"/>
      <c r="L120" s="861"/>
      <c r="M120" s="861"/>
      <c r="N120" s="861"/>
      <c r="O120" s="1009"/>
      <c r="P120" s="862"/>
      <c r="Q120" s="861"/>
      <c r="R120" s="1009"/>
      <c r="S120" s="866"/>
      <c r="T120" s="867"/>
      <c r="U120" s="861"/>
      <c r="V120" s="861"/>
      <c r="W120" s="863"/>
    </row>
    <row r="121" spans="1:23" ht="13.5" customHeight="1">
      <c r="A121" s="858">
        <v>116</v>
      </c>
      <c r="B121" s="2736"/>
      <c r="C121" s="2731"/>
      <c r="D121" s="2728"/>
      <c r="E121" s="859"/>
      <c r="F121" s="859"/>
      <c r="G121" s="860"/>
      <c r="H121" s="860"/>
      <c r="I121" s="860"/>
      <c r="J121" s="860"/>
      <c r="K121" s="861"/>
      <c r="L121" s="861"/>
      <c r="M121" s="861"/>
      <c r="N121" s="861"/>
      <c r="O121" s="1009"/>
      <c r="P121" s="862"/>
      <c r="Q121" s="861"/>
      <c r="R121" s="1009"/>
      <c r="S121" s="866"/>
      <c r="T121" s="867"/>
      <c r="U121" s="861"/>
      <c r="V121" s="861"/>
      <c r="W121" s="863"/>
    </row>
    <row r="122" spans="1:23" ht="15" thickBot="1">
      <c r="A122" s="858">
        <v>117</v>
      </c>
      <c r="B122" s="2736"/>
      <c r="C122" s="2732"/>
      <c r="D122" s="2241" t="s">
        <v>588</v>
      </c>
      <c r="E122" s="872"/>
      <c r="F122" s="872"/>
      <c r="G122" s="872"/>
      <c r="H122" s="872"/>
      <c r="I122" s="872"/>
      <c r="J122" s="872"/>
      <c r="K122" s="872"/>
      <c r="L122" s="872"/>
      <c r="M122" s="872"/>
      <c r="N122" s="871">
        <f>SUM(N116:N121)</f>
        <v>0</v>
      </c>
      <c r="O122" s="871">
        <f>SUM(O116:O121)</f>
        <v>0</v>
      </c>
      <c r="P122" s="871">
        <f>SUM(P116:P121)</f>
        <v>0</v>
      </c>
      <c r="Q122" s="872"/>
      <c r="R122" s="871">
        <f>SUM(R116:R121)</f>
        <v>0</v>
      </c>
      <c r="S122" s="872"/>
      <c r="T122" s="892"/>
      <c r="U122" s="872"/>
      <c r="V122" s="872"/>
      <c r="W122" s="1011"/>
    </row>
    <row r="123" spans="1:23" ht="16.5" customHeight="1">
      <c r="A123" s="858">
        <v>118</v>
      </c>
      <c r="B123" s="2736"/>
      <c r="C123" s="2733" t="s">
        <v>589</v>
      </c>
      <c r="D123" s="2727" t="s">
        <v>1411</v>
      </c>
      <c r="E123" s="853"/>
      <c r="F123" s="853"/>
      <c r="G123" s="854"/>
      <c r="H123" s="854"/>
      <c r="I123" s="854"/>
      <c r="J123" s="854"/>
      <c r="K123" s="855"/>
      <c r="L123" s="855"/>
      <c r="M123" s="855"/>
      <c r="N123" s="855"/>
      <c r="O123" s="1008"/>
      <c r="P123" s="856"/>
      <c r="Q123" s="855"/>
      <c r="R123" s="1008"/>
      <c r="S123" s="893"/>
      <c r="T123" s="890"/>
      <c r="U123" s="855"/>
      <c r="V123" s="855"/>
      <c r="W123" s="857"/>
    </row>
    <row r="124" spans="1:23">
      <c r="A124" s="858">
        <v>119</v>
      </c>
      <c r="B124" s="2736"/>
      <c r="C124" s="2734"/>
      <c r="D124" s="2737"/>
      <c r="E124" s="859"/>
      <c r="F124" s="859"/>
      <c r="G124" s="860"/>
      <c r="H124" s="860"/>
      <c r="I124" s="860"/>
      <c r="J124" s="860"/>
      <c r="K124" s="861"/>
      <c r="L124" s="861"/>
      <c r="M124" s="861"/>
      <c r="N124" s="861"/>
      <c r="O124" s="1009"/>
      <c r="P124" s="862"/>
      <c r="Q124" s="862"/>
      <c r="R124" s="1009"/>
      <c r="S124" s="866"/>
      <c r="T124" s="894"/>
      <c r="U124" s="861"/>
      <c r="V124" s="861"/>
      <c r="W124" s="863"/>
    </row>
    <row r="125" spans="1:23">
      <c r="A125" s="858">
        <v>120</v>
      </c>
      <c r="B125" s="2736"/>
      <c r="C125" s="2734"/>
      <c r="D125" s="2737"/>
      <c r="E125" s="859"/>
      <c r="F125" s="859"/>
      <c r="G125" s="860"/>
      <c r="H125" s="860"/>
      <c r="I125" s="860"/>
      <c r="J125" s="860"/>
      <c r="K125" s="861"/>
      <c r="L125" s="861"/>
      <c r="M125" s="861"/>
      <c r="N125" s="861"/>
      <c r="O125" s="1009"/>
      <c r="P125" s="862"/>
      <c r="Q125" s="862"/>
      <c r="R125" s="1009"/>
      <c r="S125" s="866"/>
      <c r="T125" s="894"/>
      <c r="U125" s="861"/>
      <c r="V125" s="861"/>
      <c r="W125" s="863"/>
    </row>
    <row r="126" spans="1:23">
      <c r="A126" s="858">
        <v>121</v>
      </c>
      <c r="B126" s="2736"/>
      <c r="C126" s="2734"/>
      <c r="D126" s="2737"/>
      <c r="E126" s="859"/>
      <c r="F126" s="859"/>
      <c r="G126" s="860"/>
      <c r="H126" s="860"/>
      <c r="I126" s="860"/>
      <c r="J126" s="860"/>
      <c r="K126" s="861"/>
      <c r="L126" s="861"/>
      <c r="M126" s="861"/>
      <c r="N126" s="861"/>
      <c r="O126" s="1009"/>
      <c r="P126" s="862"/>
      <c r="Q126" s="862"/>
      <c r="R126" s="1009"/>
      <c r="S126" s="866"/>
      <c r="T126" s="894"/>
      <c r="U126" s="861"/>
      <c r="V126" s="861"/>
      <c r="W126" s="863"/>
    </row>
    <row r="127" spans="1:23">
      <c r="A127" s="858">
        <v>122</v>
      </c>
      <c r="B127" s="2736"/>
      <c r="C127" s="2734"/>
      <c r="D127" s="2737"/>
      <c r="E127" s="859"/>
      <c r="F127" s="859"/>
      <c r="G127" s="860"/>
      <c r="H127" s="860"/>
      <c r="I127" s="860"/>
      <c r="J127" s="860"/>
      <c r="K127" s="861"/>
      <c r="L127" s="861"/>
      <c r="M127" s="861"/>
      <c r="N127" s="861"/>
      <c r="O127" s="1009"/>
      <c r="P127" s="862"/>
      <c r="Q127" s="862"/>
      <c r="R127" s="1009"/>
      <c r="S127" s="866"/>
      <c r="T127" s="894"/>
      <c r="U127" s="861"/>
      <c r="V127" s="861"/>
      <c r="W127" s="863"/>
    </row>
    <row r="128" spans="1:23">
      <c r="A128" s="858">
        <v>123</v>
      </c>
      <c r="B128" s="2736"/>
      <c r="C128" s="2734"/>
      <c r="D128" s="2738"/>
      <c r="E128" s="859"/>
      <c r="F128" s="859"/>
      <c r="G128" s="860"/>
      <c r="H128" s="860"/>
      <c r="I128" s="860"/>
      <c r="J128" s="860"/>
      <c r="K128" s="861"/>
      <c r="L128" s="861"/>
      <c r="M128" s="861"/>
      <c r="N128" s="861"/>
      <c r="O128" s="1009"/>
      <c r="P128" s="862"/>
      <c r="Q128" s="862"/>
      <c r="R128" s="1009"/>
      <c r="S128" s="866"/>
      <c r="T128" s="894"/>
      <c r="U128" s="861"/>
      <c r="V128" s="861"/>
      <c r="W128" s="863"/>
    </row>
    <row r="129" spans="1:23" ht="15" thickBot="1">
      <c r="A129" s="858">
        <v>124</v>
      </c>
      <c r="B129" s="2736"/>
      <c r="C129" s="2734"/>
      <c r="D129" s="2237" t="s">
        <v>588</v>
      </c>
      <c r="E129" s="866"/>
      <c r="F129" s="866"/>
      <c r="G129" s="866"/>
      <c r="H129" s="866"/>
      <c r="I129" s="866"/>
      <c r="J129" s="866"/>
      <c r="K129" s="866"/>
      <c r="L129" s="866"/>
      <c r="M129" s="866"/>
      <c r="N129" s="861">
        <f>SUM(N123:N128)</f>
        <v>0</v>
      </c>
      <c r="O129" s="861">
        <f>SUM(O123:O128)</f>
        <v>0</v>
      </c>
      <c r="P129" s="861">
        <f>SUM(P123:P128)</f>
        <v>0</v>
      </c>
      <c r="Q129" s="866"/>
      <c r="R129" s="861">
        <f>SUM(R123:R128)</f>
        <v>0</v>
      </c>
      <c r="S129" s="866"/>
      <c r="T129" s="894"/>
      <c r="U129" s="872"/>
      <c r="V129" s="872"/>
      <c r="W129" s="1012"/>
    </row>
    <row r="130" spans="1:23" ht="17.25" customHeight="1">
      <c r="A130" s="858">
        <v>125</v>
      </c>
      <c r="B130" s="2736"/>
      <c r="C130" s="2734"/>
      <c r="D130" s="2715" t="s">
        <v>1690</v>
      </c>
      <c r="E130" s="859"/>
      <c r="F130" s="859"/>
      <c r="G130" s="860"/>
      <c r="H130" s="860"/>
      <c r="I130" s="860"/>
      <c r="J130" s="860"/>
      <c r="K130" s="861"/>
      <c r="L130" s="861"/>
      <c r="M130" s="861"/>
      <c r="N130" s="861"/>
      <c r="O130" s="1009"/>
      <c r="P130" s="862"/>
      <c r="Q130" s="862"/>
      <c r="R130" s="1009"/>
      <c r="S130" s="866"/>
      <c r="T130" s="894"/>
      <c r="U130" s="861"/>
      <c r="V130" s="861"/>
      <c r="W130" s="863"/>
    </row>
    <row r="131" spans="1:23" ht="13.5" customHeight="1">
      <c r="A131" s="858">
        <v>126</v>
      </c>
      <c r="B131" s="2736"/>
      <c r="C131" s="2734"/>
      <c r="D131" s="2711"/>
      <c r="E131" s="859"/>
      <c r="F131" s="859"/>
      <c r="G131" s="860"/>
      <c r="H131" s="860"/>
      <c r="I131" s="860"/>
      <c r="J131" s="860"/>
      <c r="K131" s="861"/>
      <c r="L131" s="861"/>
      <c r="M131" s="861"/>
      <c r="N131" s="861"/>
      <c r="O131" s="1009"/>
      <c r="P131" s="862"/>
      <c r="Q131" s="862"/>
      <c r="R131" s="1009"/>
      <c r="S131" s="866"/>
      <c r="T131" s="894"/>
      <c r="U131" s="861"/>
      <c r="V131" s="861"/>
      <c r="W131" s="863"/>
    </row>
    <row r="132" spans="1:23" ht="13.5" customHeight="1">
      <c r="A132" s="858">
        <v>127</v>
      </c>
      <c r="B132" s="2736"/>
      <c r="C132" s="2734"/>
      <c r="D132" s="2711"/>
      <c r="E132" s="859"/>
      <c r="F132" s="859"/>
      <c r="G132" s="860"/>
      <c r="H132" s="860"/>
      <c r="I132" s="860"/>
      <c r="J132" s="860"/>
      <c r="K132" s="861"/>
      <c r="L132" s="861"/>
      <c r="M132" s="861"/>
      <c r="N132" s="861"/>
      <c r="O132" s="1009"/>
      <c r="P132" s="862"/>
      <c r="Q132" s="862"/>
      <c r="R132" s="1009"/>
      <c r="S132" s="866"/>
      <c r="T132" s="894"/>
      <c r="U132" s="861"/>
      <c r="V132" s="861"/>
      <c r="W132" s="863"/>
    </row>
    <row r="133" spans="1:23" ht="13.5" customHeight="1">
      <c r="A133" s="858">
        <v>128</v>
      </c>
      <c r="B133" s="2736"/>
      <c r="C133" s="2734"/>
      <c r="D133" s="2711"/>
      <c r="E133" s="859"/>
      <c r="F133" s="859"/>
      <c r="G133" s="860"/>
      <c r="H133" s="860"/>
      <c r="I133" s="860"/>
      <c r="J133" s="860"/>
      <c r="K133" s="861"/>
      <c r="L133" s="861"/>
      <c r="M133" s="861"/>
      <c r="N133" s="861"/>
      <c r="O133" s="1009"/>
      <c r="P133" s="862"/>
      <c r="Q133" s="862"/>
      <c r="R133" s="1009"/>
      <c r="S133" s="866"/>
      <c r="T133" s="894"/>
      <c r="U133" s="861"/>
      <c r="V133" s="861"/>
      <c r="W133" s="863"/>
    </row>
    <row r="134" spans="1:23" ht="13.5" customHeight="1">
      <c r="A134" s="858">
        <v>129</v>
      </c>
      <c r="B134" s="2736"/>
      <c r="C134" s="2734"/>
      <c r="D134" s="2711"/>
      <c r="E134" s="859"/>
      <c r="F134" s="859"/>
      <c r="G134" s="860"/>
      <c r="H134" s="860"/>
      <c r="I134" s="860"/>
      <c r="J134" s="860"/>
      <c r="K134" s="861"/>
      <c r="L134" s="861"/>
      <c r="M134" s="861"/>
      <c r="N134" s="861"/>
      <c r="O134" s="1009"/>
      <c r="P134" s="862"/>
      <c r="Q134" s="862"/>
      <c r="R134" s="1009"/>
      <c r="S134" s="866"/>
      <c r="T134" s="894"/>
      <c r="U134" s="861"/>
      <c r="V134" s="861"/>
      <c r="W134" s="863"/>
    </row>
    <row r="135" spans="1:23" ht="13.5" customHeight="1">
      <c r="A135" s="858">
        <v>130</v>
      </c>
      <c r="B135" s="2736"/>
      <c r="C135" s="2734"/>
      <c r="D135" s="2711"/>
      <c r="E135" s="859"/>
      <c r="F135" s="859"/>
      <c r="G135" s="860"/>
      <c r="H135" s="860"/>
      <c r="I135" s="860"/>
      <c r="J135" s="860"/>
      <c r="K135" s="861"/>
      <c r="L135" s="861"/>
      <c r="M135" s="861"/>
      <c r="N135" s="861"/>
      <c r="O135" s="1009"/>
      <c r="P135" s="862"/>
      <c r="Q135" s="862"/>
      <c r="R135" s="1009"/>
      <c r="S135" s="866"/>
      <c r="T135" s="894"/>
      <c r="U135" s="861"/>
      <c r="V135" s="861"/>
      <c r="W135" s="863"/>
    </row>
    <row r="136" spans="1:23" ht="15" thickBot="1">
      <c r="A136" s="858">
        <v>131</v>
      </c>
      <c r="B136" s="2736"/>
      <c r="C136" s="2734"/>
      <c r="D136" s="2247" t="s">
        <v>588</v>
      </c>
      <c r="E136" s="866"/>
      <c r="F136" s="866"/>
      <c r="G136" s="866"/>
      <c r="H136" s="866"/>
      <c r="I136" s="866"/>
      <c r="J136" s="866"/>
      <c r="K136" s="866"/>
      <c r="L136" s="866"/>
      <c r="M136" s="866"/>
      <c r="N136" s="861">
        <f>SUM(N130:N135)</f>
        <v>0</v>
      </c>
      <c r="O136" s="861">
        <f>SUM(O130:O135)</f>
        <v>0</v>
      </c>
      <c r="P136" s="861">
        <f>SUM(P130:P135)</f>
        <v>0</v>
      </c>
      <c r="Q136" s="866"/>
      <c r="R136" s="861">
        <f>SUM(R130:R135)</f>
        <v>0</v>
      </c>
      <c r="S136" s="866"/>
      <c r="T136" s="894"/>
      <c r="U136" s="872"/>
      <c r="V136" s="872"/>
      <c r="W136" s="1012"/>
    </row>
    <row r="137" spans="1:23" ht="16.5" customHeight="1">
      <c r="A137" s="858">
        <v>132</v>
      </c>
      <c r="B137" s="2736"/>
      <c r="C137" s="2734"/>
      <c r="D137" s="2715" t="s">
        <v>1691</v>
      </c>
      <c r="E137" s="859"/>
      <c r="F137" s="859"/>
      <c r="G137" s="860"/>
      <c r="H137" s="860"/>
      <c r="I137" s="860"/>
      <c r="J137" s="860"/>
      <c r="K137" s="861"/>
      <c r="L137" s="861"/>
      <c r="M137" s="861"/>
      <c r="N137" s="861"/>
      <c r="O137" s="1009"/>
      <c r="P137" s="862"/>
      <c r="Q137" s="862"/>
      <c r="R137" s="1009"/>
      <c r="S137" s="866"/>
      <c r="T137" s="894"/>
      <c r="U137" s="861"/>
      <c r="V137" s="861"/>
      <c r="W137" s="863"/>
    </row>
    <row r="138" spans="1:23" ht="15.75" customHeight="1">
      <c r="A138" s="858">
        <v>133</v>
      </c>
      <c r="B138" s="2736"/>
      <c r="C138" s="2734"/>
      <c r="D138" s="2711"/>
      <c r="E138" s="859"/>
      <c r="F138" s="859"/>
      <c r="G138" s="860"/>
      <c r="H138" s="860"/>
      <c r="I138" s="860"/>
      <c r="J138" s="860"/>
      <c r="K138" s="861"/>
      <c r="L138" s="861"/>
      <c r="M138" s="861"/>
      <c r="N138" s="861"/>
      <c r="O138" s="1009"/>
      <c r="P138" s="862"/>
      <c r="Q138" s="861"/>
      <c r="R138" s="1009"/>
      <c r="S138" s="866"/>
      <c r="T138" s="867"/>
      <c r="U138" s="861"/>
      <c r="V138" s="861"/>
      <c r="W138" s="863"/>
    </row>
    <row r="139" spans="1:23" ht="15.75" customHeight="1">
      <c r="A139" s="858">
        <v>134</v>
      </c>
      <c r="B139" s="2736"/>
      <c r="C139" s="2734"/>
      <c r="D139" s="2711"/>
      <c r="E139" s="859"/>
      <c r="F139" s="859"/>
      <c r="G139" s="860"/>
      <c r="H139" s="860"/>
      <c r="I139" s="860"/>
      <c r="J139" s="860"/>
      <c r="K139" s="861"/>
      <c r="L139" s="861"/>
      <c r="M139" s="861"/>
      <c r="N139" s="861"/>
      <c r="O139" s="1009"/>
      <c r="P139" s="862"/>
      <c r="Q139" s="861"/>
      <c r="R139" s="1009"/>
      <c r="S139" s="866"/>
      <c r="T139" s="867"/>
      <c r="U139" s="861"/>
      <c r="V139" s="861"/>
      <c r="W139" s="863"/>
    </row>
    <row r="140" spans="1:23" ht="16.5" customHeight="1">
      <c r="A140" s="858">
        <v>135</v>
      </c>
      <c r="B140" s="2736"/>
      <c r="C140" s="2734"/>
      <c r="D140" s="2711"/>
      <c r="E140" s="859"/>
      <c r="F140" s="859"/>
      <c r="G140" s="860"/>
      <c r="H140" s="860"/>
      <c r="I140" s="860"/>
      <c r="J140" s="860"/>
      <c r="K140" s="861"/>
      <c r="L140" s="861"/>
      <c r="M140" s="861"/>
      <c r="N140" s="861"/>
      <c r="O140" s="1009"/>
      <c r="P140" s="862"/>
      <c r="Q140" s="861"/>
      <c r="R140" s="1009"/>
      <c r="S140" s="866"/>
      <c r="T140" s="867"/>
      <c r="U140" s="861"/>
      <c r="V140" s="861"/>
      <c r="W140" s="863"/>
    </row>
    <row r="141" spans="1:23" ht="13.5" customHeight="1">
      <c r="A141" s="858">
        <v>136</v>
      </c>
      <c r="B141" s="2736"/>
      <c r="C141" s="2734"/>
      <c r="D141" s="2711"/>
      <c r="E141" s="859"/>
      <c r="F141" s="859"/>
      <c r="G141" s="860"/>
      <c r="H141" s="860"/>
      <c r="I141" s="860"/>
      <c r="J141" s="860"/>
      <c r="K141" s="861"/>
      <c r="L141" s="861"/>
      <c r="M141" s="861"/>
      <c r="N141" s="861"/>
      <c r="O141" s="1009"/>
      <c r="P141" s="862"/>
      <c r="Q141" s="861"/>
      <c r="R141" s="1009"/>
      <c r="S141" s="866"/>
      <c r="T141" s="867"/>
      <c r="U141" s="861"/>
      <c r="V141" s="861"/>
      <c r="W141" s="863"/>
    </row>
    <row r="142" spans="1:23" ht="13.5" customHeight="1">
      <c r="A142" s="858">
        <v>137</v>
      </c>
      <c r="B142" s="2736"/>
      <c r="C142" s="2734"/>
      <c r="D142" s="2711"/>
      <c r="E142" s="859"/>
      <c r="F142" s="859"/>
      <c r="G142" s="860"/>
      <c r="H142" s="860"/>
      <c r="I142" s="860"/>
      <c r="J142" s="860"/>
      <c r="K142" s="861"/>
      <c r="L142" s="861"/>
      <c r="M142" s="861"/>
      <c r="N142" s="861"/>
      <c r="O142" s="1009"/>
      <c r="P142" s="862"/>
      <c r="Q142" s="861"/>
      <c r="R142" s="1009"/>
      <c r="S142" s="866"/>
      <c r="T142" s="867"/>
      <c r="U142" s="861"/>
      <c r="V142" s="861"/>
      <c r="W142" s="863"/>
    </row>
    <row r="143" spans="1:23" ht="15" thickBot="1">
      <c r="A143" s="858">
        <v>138</v>
      </c>
      <c r="B143" s="2736"/>
      <c r="C143" s="2735"/>
      <c r="D143" s="2241" t="s">
        <v>588</v>
      </c>
      <c r="E143" s="872"/>
      <c r="F143" s="872"/>
      <c r="G143" s="872"/>
      <c r="H143" s="872"/>
      <c r="I143" s="872"/>
      <c r="J143" s="872"/>
      <c r="K143" s="872"/>
      <c r="L143" s="872"/>
      <c r="M143" s="872"/>
      <c r="N143" s="871">
        <f>SUM(N137:N142)</f>
        <v>0</v>
      </c>
      <c r="O143" s="871">
        <f>SUM(O137:O142)</f>
        <v>0</v>
      </c>
      <c r="P143" s="871">
        <f>SUM(P137:P142)</f>
        <v>0</v>
      </c>
      <c r="Q143" s="872"/>
      <c r="R143" s="871">
        <f>SUM(R137:R142)</f>
        <v>0</v>
      </c>
      <c r="S143" s="872"/>
      <c r="T143" s="892"/>
      <c r="U143" s="872"/>
      <c r="V143" s="872"/>
      <c r="W143" s="1011"/>
    </row>
    <row r="144" spans="1:23" ht="16.5" customHeight="1">
      <c r="A144" s="858">
        <v>139</v>
      </c>
      <c r="B144" s="2736"/>
      <c r="C144" s="2730" t="s">
        <v>591</v>
      </c>
      <c r="D144" s="2710" t="s">
        <v>1412</v>
      </c>
      <c r="E144" s="853"/>
      <c r="F144" s="853"/>
      <c r="G144" s="854"/>
      <c r="H144" s="854"/>
      <c r="I144" s="854"/>
      <c r="J144" s="854"/>
      <c r="K144" s="855"/>
      <c r="L144" s="855"/>
      <c r="M144" s="855"/>
      <c r="N144" s="855"/>
      <c r="O144" s="1008"/>
      <c r="P144" s="856"/>
      <c r="Q144" s="855"/>
      <c r="R144" s="1008"/>
      <c r="S144" s="889"/>
      <c r="T144" s="890"/>
      <c r="U144" s="855"/>
      <c r="V144" s="855"/>
      <c r="W144" s="857"/>
    </row>
    <row r="145" spans="1:23">
      <c r="A145" s="858">
        <v>140</v>
      </c>
      <c r="B145" s="2736"/>
      <c r="C145" s="2731"/>
      <c r="D145" s="2711"/>
      <c r="E145" s="859"/>
      <c r="F145" s="859"/>
      <c r="G145" s="860"/>
      <c r="H145" s="860"/>
      <c r="I145" s="860"/>
      <c r="J145" s="860"/>
      <c r="K145" s="861"/>
      <c r="L145" s="861"/>
      <c r="M145" s="861"/>
      <c r="N145" s="861"/>
      <c r="O145" s="1009"/>
      <c r="P145" s="862"/>
      <c r="Q145" s="861"/>
      <c r="R145" s="1009"/>
      <c r="S145" s="894"/>
      <c r="T145" s="867"/>
      <c r="U145" s="861"/>
      <c r="V145" s="861"/>
      <c r="W145" s="863"/>
    </row>
    <row r="146" spans="1:23">
      <c r="A146" s="858">
        <v>141</v>
      </c>
      <c r="B146" s="2736"/>
      <c r="C146" s="2731"/>
      <c r="D146" s="2711"/>
      <c r="E146" s="859"/>
      <c r="F146" s="859"/>
      <c r="G146" s="860"/>
      <c r="H146" s="860"/>
      <c r="I146" s="860"/>
      <c r="J146" s="860"/>
      <c r="K146" s="861"/>
      <c r="L146" s="861"/>
      <c r="M146" s="861"/>
      <c r="N146" s="861"/>
      <c r="O146" s="1009"/>
      <c r="P146" s="862"/>
      <c r="Q146" s="861"/>
      <c r="R146" s="1009"/>
      <c r="S146" s="894"/>
      <c r="T146" s="867"/>
      <c r="U146" s="861"/>
      <c r="V146" s="861"/>
      <c r="W146" s="863"/>
    </row>
    <row r="147" spans="1:23">
      <c r="A147" s="858">
        <v>142</v>
      </c>
      <c r="B147" s="2736"/>
      <c r="C147" s="2731"/>
      <c r="D147" s="2711"/>
      <c r="E147" s="859"/>
      <c r="F147" s="859"/>
      <c r="G147" s="860"/>
      <c r="H147" s="860"/>
      <c r="I147" s="860"/>
      <c r="J147" s="860"/>
      <c r="K147" s="861"/>
      <c r="L147" s="861"/>
      <c r="M147" s="861"/>
      <c r="N147" s="861"/>
      <c r="O147" s="1009"/>
      <c r="P147" s="862"/>
      <c r="Q147" s="861"/>
      <c r="R147" s="1009"/>
      <c r="S147" s="894"/>
      <c r="T147" s="867"/>
      <c r="U147" s="861"/>
      <c r="V147" s="861"/>
      <c r="W147" s="863"/>
    </row>
    <row r="148" spans="1:23">
      <c r="A148" s="858">
        <v>143</v>
      </c>
      <c r="B148" s="2736"/>
      <c r="C148" s="2731"/>
      <c r="D148" s="2711"/>
      <c r="E148" s="859"/>
      <c r="F148" s="859"/>
      <c r="G148" s="860"/>
      <c r="H148" s="860"/>
      <c r="I148" s="860"/>
      <c r="J148" s="860"/>
      <c r="K148" s="861"/>
      <c r="L148" s="861"/>
      <c r="M148" s="861"/>
      <c r="N148" s="861"/>
      <c r="O148" s="1009"/>
      <c r="P148" s="862"/>
      <c r="Q148" s="861"/>
      <c r="R148" s="1009"/>
      <c r="S148" s="894"/>
      <c r="T148" s="867"/>
      <c r="U148" s="861"/>
      <c r="V148" s="861"/>
      <c r="W148" s="863"/>
    </row>
    <row r="149" spans="1:23">
      <c r="A149" s="858">
        <v>144</v>
      </c>
      <c r="B149" s="2736"/>
      <c r="C149" s="2731"/>
      <c r="D149" s="2711"/>
      <c r="E149" s="859"/>
      <c r="F149" s="859"/>
      <c r="G149" s="860"/>
      <c r="H149" s="860"/>
      <c r="I149" s="860"/>
      <c r="J149" s="860"/>
      <c r="K149" s="861"/>
      <c r="L149" s="861"/>
      <c r="M149" s="861"/>
      <c r="N149" s="861"/>
      <c r="O149" s="1009"/>
      <c r="P149" s="862"/>
      <c r="Q149" s="861"/>
      <c r="R149" s="1009"/>
      <c r="S149" s="894"/>
      <c r="T149" s="867"/>
      <c r="U149" s="861"/>
      <c r="V149" s="861"/>
      <c r="W149" s="863"/>
    </row>
    <row r="150" spans="1:23" ht="14.25">
      <c r="A150" s="858">
        <v>145</v>
      </c>
      <c r="B150" s="2736"/>
      <c r="C150" s="2731"/>
      <c r="D150" s="2234" t="s">
        <v>588</v>
      </c>
      <c r="E150" s="866"/>
      <c r="F150" s="866"/>
      <c r="G150" s="866"/>
      <c r="H150" s="866"/>
      <c r="I150" s="866"/>
      <c r="J150" s="866"/>
      <c r="K150" s="866"/>
      <c r="L150" s="866"/>
      <c r="M150" s="866"/>
      <c r="N150" s="861">
        <f>SUM(N144:N149)</f>
        <v>0</v>
      </c>
      <c r="O150" s="861">
        <f>SUM(O144:O149)</f>
        <v>0</v>
      </c>
      <c r="P150" s="861">
        <f>SUM(P144:P149)</f>
        <v>0</v>
      </c>
      <c r="Q150" s="866"/>
      <c r="R150" s="861">
        <f>SUM(R144:R149)</f>
        <v>0</v>
      </c>
      <c r="S150" s="894"/>
      <c r="T150" s="867"/>
      <c r="U150" s="866"/>
      <c r="V150" s="866"/>
      <c r="W150" s="1012"/>
    </row>
    <row r="151" spans="1:23" ht="16.5" customHeight="1">
      <c r="A151" s="858">
        <v>146</v>
      </c>
      <c r="B151" s="2736"/>
      <c r="C151" s="2731"/>
      <c r="D151" s="2715" t="s">
        <v>1690</v>
      </c>
      <c r="E151" s="859"/>
      <c r="F151" s="859"/>
      <c r="G151" s="860"/>
      <c r="H151" s="860"/>
      <c r="I151" s="860"/>
      <c r="J151" s="860"/>
      <c r="K151" s="861"/>
      <c r="L151" s="861"/>
      <c r="M151" s="861"/>
      <c r="N151" s="861"/>
      <c r="O151" s="1009"/>
      <c r="P151" s="862"/>
      <c r="Q151" s="861"/>
      <c r="R151" s="1009"/>
      <c r="S151" s="894"/>
      <c r="T151" s="867"/>
      <c r="U151" s="1015"/>
      <c r="V151" s="1015"/>
      <c r="W151" s="863"/>
    </row>
    <row r="152" spans="1:23" ht="13.5" customHeight="1">
      <c r="A152" s="858">
        <v>147</v>
      </c>
      <c r="B152" s="2736"/>
      <c r="C152" s="2731"/>
      <c r="D152" s="2711"/>
      <c r="E152" s="859"/>
      <c r="F152" s="859"/>
      <c r="G152" s="860"/>
      <c r="H152" s="860"/>
      <c r="I152" s="860"/>
      <c r="J152" s="860"/>
      <c r="K152" s="861"/>
      <c r="L152" s="861"/>
      <c r="M152" s="861"/>
      <c r="N152" s="861"/>
      <c r="O152" s="1009"/>
      <c r="P152" s="862"/>
      <c r="Q152" s="861"/>
      <c r="R152" s="1009"/>
      <c r="S152" s="894"/>
      <c r="T152" s="867"/>
      <c r="U152" s="861"/>
      <c r="V152" s="861"/>
      <c r="W152" s="863"/>
    </row>
    <row r="153" spans="1:23" ht="13.5" customHeight="1">
      <c r="A153" s="858">
        <v>148</v>
      </c>
      <c r="B153" s="2736"/>
      <c r="C153" s="2731"/>
      <c r="D153" s="2711"/>
      <c r="E153" s="859"/>
      <c r="F153" s="859"/>
      <c r="G153" s="860"/>
      <c r="H153" s="860"/>
      <c r="I153" s="860"/>
      <c r="J153" s="860"/>
      <c r="K153" s="861"/>
      <c r="L153" s="861"/>
      <c r="M153" s="861"/>
      <c r="N153" s="861"/>
      <c r="O153" s="1009"/>
      <c r="P153" s="862"/>
      <c r="Q153" s="861"/>
      <c r="R153" s="1009"/>
      <c r="S153" s="894"/>
      <c r="T153" s="867"/>
      <c r="U153" s="861"/>
      <c r="V153" s="861"/>
      <c r="W153" s="863"/>
    </row>
    <row r="154" spans="1:23" ht="13.5" customHeight="1">
      <c r="A154" s="858">
        <v>149</v>
      </c>
      <c r="B154" s="2736"/>
      <c r="C154" s="2731"/>
      <c r="D154" s="2711"/>
      <c r="E154" s="859"/>
      <c r="F154" s="859"/>
      <c r="G154" s="860"/>
      <c r="H154" s="860"/>
      <c r="I154" s="860"/>
      <c r="J154" s="860"/>
      <c r="K154" s="861"/>
      <c r="L154" s="861"/>
      <c r="M154" s="861"/>
      <c r="N154" s="861"/>
      <c r="O154" s="1009"/>
      <c r="P154" s="862"/>
      <c r="Q154" s="861"/>
      <c r="R154" s="1009"/>
      <c r="S154" s="894"/>
      <c r="T154" s="867"/>
      <c r="U154" s="861"/>
      <c r="V154" s="861"/>
      <c r="W154" s="863"/>
    </row>
    <row r="155" spans="1:23" ht="13.5" customHeight="1">
      <c r="A155" s="858">
        <v>150</v>
      </c>
      <c r="B155" s="2736"/>
      <c r="C155" s="2731"/>
      <c r="D155" s="2711"/>
      <c r="E155" s="859"/>
      <c r="F155" s="859"/>
      <c r="G155" s="860"/>
      <c r="H155" s="860"/>
      <c r="I155" s="860"/>
      <c r="J155" s="860"/>
      <c r="K155" s="861"/>
      <c r="L155" s="861"/>
      <c r="M155" s="861"/>
      <c r="N155" s="861"/>
      <c r="O155" s="1009"/>
      <c r="P155" s="862"/>
      <c r="Q155" s="861"/>
      <c r="R155" s="1009"/>
      <c r="S155" s="894"/>
      <c r="T155" s="867"/>
      <c r="U155" s="861"/>
      <c r="V155" s="861"/>
      <c r="W155" s="863"/>
    </row>
    <row r="156" spans="1:23" ht="13.5" customHeight="1">
      <c r="A156" s="858">
        <v>151</v>
      </c>
      <c r="B156" s="2736"/>
      <c r="C156" s="2731"/>
      <c r="D156" s="2711"/>
      <c r="E156" s="859"/>
      <c r="F156" s="859"/>
      <c r="G156" s="860"/>
      <c r="H156" s="860"/>
      <c r="I156" s="860"/>
      <c r="J156" s="860"/>
      <c r="K156" s="861"/>
      <c r="L156" s="861"/>
      <c r="M156" s="861"/>
      <c r="N156" s="861"/>
      <c r="O156" s="1009"/>
      <c r="P156" s="862"/>
      <c r="Q156" s="861"/>
      <c r="R156" s="1009"/>
      <c r="S156" s="894"/>
      <c r="T156" s="867"/>
      <c r="U156" s="861"/>
      <c r="V156" s="861"/>
      <c r="W156" s="863"/>
    </row>
    <row r="157" spans="1:23" ht="14.25">
      <c r="A157" s="858">
        <v>152</v>
      </c>
      <c r="B157" s="2736"/>
      <c r="C157" s="2731"/>
      <c r="D157" s="2244" t="s">
        <v>588</v>
      </c>
      <c r="E157" s="866"/>
      <c r="F157" s="866"/>
      <c r="G157" s="866"/>
      <c r="H157" s="866"/>
      <c r="I157" s="866"/>
      <c r="J157" s="866"/>
      <c r="K157" s="866"/>
      <c r="L157" s="866"/>
      <c r="M157" s="866"/>
      <c r="N157" s="861">
        <f>SUM(N151:N156)</f>
        <v>0</v>
      </c>
      <c r="O157" s="861">
        <f>SUM(O151:O156)</f>
        <v>0</v>
      </c>
      <c r="P157" s="861">
        <f>SUM(P151:P156)</f>
        <v>0</v>
      </c>
      <c r="Q157" s="866"/>
      <c r="R157" s="861">
        <f>SUM(R151:R156)</f>
        <v>0</v>
      </c>
      <c r="S157" s="894"/>
      <c r="T157" s="867"/>
      <c r="U157" s="866"/>
      <c r="V157" s="866"/>
      <c r="W157" s="1012"/>
    </row>
    <row r="158" spans="1:23" ht="16.5" customHeight="1">
      <c r="A158" s="858">
        <v>153</v>
      </c>
      <c r="B158" s="2736"/>
      <c r="C158" s="2731"/>
      <c r="D158" s="2715" t="s">
        <v>1691</v>
      </c>
      <c r="E158" s="859"/>
      <c r="F158" s="859"/>
      <c r="G158" s="860"/>
      <c r="H158" s="860"/>
      <c r="I158" s="860"/>
      <c r="J158" s="860"/>
      <c r="K158" s="861"/>
      <c r="L158" s="861"/>
      <c r="M158" s="861"/>
      <c r="N158" s="861"/>
      <c r="O158" s="1009"/>
      <c r="P158" s="862"/>
      <c r="Q158" s="861"/>
      <c r="R158" s="1009"/>
      <c r="S158" s="894"/>
      <c r="T158" s="867"/>
      <c r="U158" s="1015"/>
      <c r="V158" s="1015"/>
      <c r="W158" s="863"/>
    </row>
    <row r="159" spans="1:23" ht="13.5" customHeight="1">
      <c r="A159" s="858">
        <v>154</v>
      </c>
      <c r="B159" s="2736"/>
      <c r="C159" s="2731"/>
      <c r="D159" s="2711"/>
      <c r="E159" s="859"/>
      <c r="F159" s="859"/>
      <c r="G159" s="860"/>
      <c r="H159" s="860"/>
      <c r="I159" s="860"/>
      <c r="J159" s="860"/>
      <c r="K159" s="861"/>
      <c r="L159" s="861"/>
      <c r="M159" s="861"/>
      <c r="N159" s="861"/>
      <c r="O159" s="1009"/>
      <c r="P159" s="862"/>
      <c r="Q159" s="861"/>
      <c r="R159" s="1009"/>
      <c r="S159" s="894"/>
      <c r="T159" s="867"/>
      <c r="U159" s="861"/>
      <c r="V159" s="861"/>
      <c r="W159" s="863"/>
    </row>
    <row r="160" spans="1:23" ht="13.5" customHeight="1">
      <c r="A160" s="858">
        <v>155</v>
      </c>
      <c r="B160" s="2736"/>
      <c r="C160" s="2731"/>
      <c r="D160" s="2711"/>
      <c r="E160" s="859"/>
      <c r="F160" s="859"/>
      <c r="G160" s="860"/>
      <c r="H160" s="860"/>
      <c r="I160" s="860"/>
      <c r="J160" s="860"/>
      <c r="K160" s="861"/>
      <c r="L160" s="861"/>
      <c r="M160" s="861"/>
      <c r="N160" s="861"/>
      <c r="O160" s="1009"/>
      <c r="P160" s="862"/>
      <c r="Q160" s="861"/>
      <c r="R160" s="1009"/>
      <c r="S160" s="894"/>
      <c r="T160" s="867"/>
      <c r="U160" s="861"/>
      <c r="V160" s="861"/>
      <c r="W160" s="863"/>
    </row>
    <row r="161" spans="1:23" ht="13.5" customHeight="1">
      <c r="A161" s="858">
        <v>156</v>
      </c>
      <c r="B161" s="2736"/>
      <c r="C161" s="2731"/>
      <c r="D161" s="2711"/>
      <c r="E161" s="859"/>
      <c r="F161" s="859"/>
      <c r="G161" s="860"/>
      <c r="H161" s="860"/>
      <c r="I161" s="860"/>
      <c r="J161" s="860"/>
      <c r="K161" s="861"/>
      <c r="L161" s="861"/>
      <c r="M161" s="861"/>
      <c r="N161" s="861"/>
      <c r="O161" s="1009"/>
      <c r="P161" s="862"/>
      <c r="Q161" s="861"/>
      <c r="R161" s="1009"/>
      <c r="S161" s="894"/>
      <c r="T161" s="867"/>
      <c r="U161" s="861"/>
      <c r="V161" s="861"/>
      <c r="W161" s="863"/>
    </row>
    <row r="162" spans="1:23" ht="13.5" customHeight="1">
      <c r="A162" s="858">
        <v>157</v>
      </c>
      <c r="B162" s="2736"/>
      <c r="C162" s="2731"/>
      <c r="D162" s="2711"/>
      <c r="E162" s="859"/>
      <c r="F162" s="859"/>
      <c r="G162" s="860"/>
      <c r="H162" s="860"/>
      <c r="I162" s="860"/>
      <c r="J162" s="860"/>
      <c r="K162" s="861"/>
      <c r="L162" s="861"/>
      <c r="M162" s="861"/>
      <c r="N162" s="861"/>
      <c r="O162" s="1009"/>
      <c r="P162" s="862"/>
      <c r="Q162" s="861"/>
      <c r="R162" s="1009"/>
      <c r="S162" s="894"/>
      <c r="T162" s="867"/>
      <c r="U162" s="861"/>
      <c r="V162" s="861"/>
      <c r="W162" s="863"/>
    </row>
    <row r="163" spans="1:23" ht="13.5" customHeight="1">
      <c r="A163" s="858">
        <v>158</v>
      </c>
      <c r="B163" s="2736"/>
      <c r="C163" s="2731"/>
      <c r="D163" s="2711"/>
      <c r="E163" s="859"/>
      <c r="F163" s="859"/>
      <c r="G163" s="860"/>
      <c r="H163" s="860"/>
      <c r="I163" s="860"/>
      <c r="J163" s="860"/>
      <c r="K163" s="861"/>
      <c r="L163" s="861"/>
      <c r="M163" s="861"/>
      <c r="N163" s="861"/>
      <c r="O163" s="1009"/>
      <c r="P163" s="862"/>
      <c r="Q163" s="861"/>
      <c r="R163" s="1009"/>
      <c r="S163" s="894"/>
      <c r="T163" s="867"/>
      <c r="U163" s="861"/>
      <c r="V163" s="861"/>
      <c r="W163" s="863"/>
    </row>
    <row r="164" spans="1:23" ht="15" thickBot="1">
      <c r="A164" s="877">
        <v>159</v>
      </c>
      <c r="B164" s="2736"/>
      <c r="C164" s="2731"/>
      <c r="D164" s="2242" t="s">
        <v>588</v>
      </c>
      <c r="E164" s="880"/>
      <c r="F164" s="880"/>
      <c r="G164" s="880"/>
      <c r="H164" s="880"/>
      <c r="I164" s="880"/>
      <c r="J164" s="880"/>
      <c r="K164" s="880"/>
      <c r="L164" s="880"/>
      <c r="M164" s="880"/>
      <c r="N164" s="881">
        <f>SUM(N158:N163)</f>
        <v>0</v>
      </c>
      <c r="O164" s="881">
        <f>SUM(O158:O163)</f>
        <v>0</v>
      </c>
      <c r="P164" s="881">
        <f>SUM(P158:P163)</f>
        <v>0</v>
      </c>
      <c r="Q164" s="880"/>
      <c r="R164" s="881">
        <f>SUM(R158:R163)</f>
        <v>0</v>
      </c>
      <c r="S164" s="895"/>
      <c r="T164" s="896"/>
      <c r="U164" s="880"/>
      <c r="V164" s="880"/>
      <c r="W164" s="1013"/>
    </row>
    <row r="165" spans="1:23" ht="15" thickBot="1">
      <c r="A165" s="2243">
        <v>160</v>
      </c>
      <c r="B165" s="2722" t="s">
        <v>1413</v>
      </c>
      <c r="C165" s="2723"/>
      <c r="D165" s="2724"/>
      <c r="E165" s="883"/>
      <c r="F165" s="883"/>
      <c r="G165" s="884"/>
      <c r="H165" s="884"/>
      <c r="I165" s="884"/>
      <c r="J165" s="884"/>
      <c r="K165" s="885"/>
      <c r="L165" s="885"/>
      <c r="M165" s="885"/>
      <c r="N165" s="897">
        <f>N115+N122+N129+N136+N143+N150+N157+N164</f>
        <v>0</v>
      </c>
      <c r="O165" s="897">
        <f>O115+O122+O129+O136+O143+O150+O157+O164</f>
        <v>0</v>
      </c>
      <c r="P165" s="897">
        <f>P115+P122+P129+P136+P143+P150+P157+P164</f>
        <v>0</v>
      </c>
      <c r="Q165" s="885"/>
      <c r="R165" s="897">
        <f>R115+R122+R129+R136+R143+R150+R157+R164</f>
        <v>0</v>
      </c>
      <c r="S165" s="898"/>
      <c r="T165" s="887"/>
      <c r="U165" s="885"/>
      <c r="V165" s="885"/>
      <c r="W165" s="1014"/>
    </row>
    <row r="166" spans="1:23" ht="16.5" customHeight="1">
      <c r="A166" s="851">
        <v>161</v>
      </c>
      <c r="B166" s="2725" t="s">
        <v>1414</v>
      </c>
      <c r="C166" s="2730" t="s">
        <v>595</v>
      </c>
      <c r="D166" s="2727" t="s">
        <v>1690</v>
      </c>
      <c r="E166" s="853"/>
      <c r="F166" s="853"/>
      <c r="G166" s="854"/>
      <c r="H166" s="854"/>
      <c r="I166" s="854"/>
      <c r="J166" s="854"/>
      <c r="K166" s="855"/>
      <c r="L166" s="855"/>
      <c r="M166" s="855"/>
      <c r="N166" s="855"/>
      <c r="O166" s="1008"/>
      <c r="P166" s="856"/>
      <c r="Q166" s="855"/>
      <c r="R166" s="1008"/>
      <c r="S166" s="889"/>
      <c r="T166" s="890"/>
      <c r="U166" s="855"/>
      <c r="V166" s="855"/>
      <c r="W166" s="857"/>
    </row>
    <row r="167" spans="1:23" ht="16.5" customHeight="1">
      <c r="A167" s="858">
        <v>162</v>
      </c>
      <c r="B167" s="2736"/>
      <c r="C167" s="2731"/>
      <c r="D167" s="2728"/>
      <c r="E167" s="859"/>
      <c r="F167" s="859"/>
      <c r="G167" s="860"/>
      <c r="H167" s="860"/>
      <c r="I167" s="860"/>
      <c r="J167" s="860"/>
      <c r="K167" s="861"/>
      <c r="L167" s="861"/>
      <c r="M167" s="861"/>
      <c r="N167" s="861"/>
      <c r="O167" s="1009"/>
      <c r="P167" s="862"/>
      <c r="Q167" s="861"/>
      <c r="R167" s="1009"/>
      <c r="S167" s="866"/>
      <c r="T167" s="867"/>
      <c r="U167" s="861"/>
      <c r="V167" s="861"/>
      <c r="W167" s="863"/>
    </row>
    <row r="168" spans="1:23" ht="16.5" customHeight="1">
      <c r="A168" s="858">
        <v>163</v>
      </c>
      <c r="B168" s="2736"/>
      <c r="C168" s="2731"/>
      <c r="D168" s="2728"/>
      <c r="E168" s="859"/>
      <c r="F168" s="859"/>
      <c r="G168" s="860"/>
      <c r="H168" s="860"/>
      <c r="I168" s="860"/>
      <c r="J168" s="860"/>
      <c r="K168" s="861"/>
      <c r="L168" s="861"/>
      <c r="M168" s="861"/>
      <c r="N168" s="861"/>
      <c r="O168" s="1009"/>
      <c r="P168" s="862"/>
      <c r="Q168" s="861"/>
      <c r="R168" s="1009"/>
      <c r="S168" s="866"/>
      <c r="T168" s="867"/>
      <c r="U168" s="861"/>
      <c r="V168" s="861"/>
      <c r="W168" s="863"/>
    </row>
    <row r="169" spans="1:23" ht="16.5" customHeight="1">
      <c r="A169" s="858">
        <v>164</v>
      </c>
      <c r="B169" s="2736"/>
      <c r="C169" s="2731"/>
      <c r="D169" s="2728"/>
      <c r="E169" s="859"/>
      <c r="F169" s="859"/>
      <c r="G169" s="860"/>
      <c r="H169" s="860"/>
      <c r="I169" s="860"/>
      <c r="J169" s="860"/>
      <c r="K169" s="861"/>
      <c r="L169" s="861"/>
      <c r="M169" s="861"/>
      <c r="N169" s="861"/>
      <c r="O169" s="1009"/>
      <c r="P169" s="862"/>
      <c r="Q169" s="861"/>
      <c r="R169" s="1009"/>
      <c r="S169" s="866"/>
      <c r="T169" s="867"/>
      <c r="U169" s="861"/>
      <c r="V169" s="861"/>
      <c r="W169" s="863"/>
    </row>
    <row r="170" spans="1:23" ht="16.5" customHeight="1">
      <c r="A170" s="858">
        <v>165</v>
      </c>
      <c r="B170" s="2736"/>
      <c r="C170" s="2731"/>
      <c r="D170" s="2728"/>
      <c r="E170" s="859"/>
      <c r="F170" s="859"/>
      <c r="G170" s="860"/>
      <c r="H170" s="860"/>
      <c r="I170" s="860"/>
      <c r="J170" s="860"/>
      <c r="K170" s="861"/>
      <c r="L170" s="861"/>
      <c r="M170" s="861"/>
      <c r="N170" s="861"/>
      <c r="O170" s="1009"/>
      <c r="P170" s="862"/>
      <c r="Q170" s="861"/>
      <c r="R170" s="1009"/>
      <c r="S170" s="866"/>
      <c r="T170" s="867"/>
      <c r="U170" s="861"/>
      <c r="V170" s="861"/>
      <c r="W170" s="863"/>
    </row>
    <row r="171" spans="1:23" ht="16.5" customHeight="1">
      <c r="A171" s="858">
        <v>166</v>
      </c>
      <c r="B171" s="2736"/>
      <c r="C171" s="2731"/>
      <c r="D171" s="2728"/>
      <c r="E171" s="859"/>
      <c r="F171" s="859"/>
      <c r="G171" s="860"/>
      <c r="H171" s="860"/>
      <c r="I171" s="860"/>
      <c r="J171" s="860"/>
      <c r="K171" s="861"/>
      <c r="L171" s="861"/>
      <c r="M171" s="861"/>
      <c r="N171" s="861"/>
      <c r="O171" s="1009"/>
      <c r="P171" s="862"/>
      <c r="Q171" s="861"/>
      <c r="R171" s="1009"/>
      <c r="S171" s="866"/>
      <c r="T171" s="867"/>
      <c r="U171" s="861"/>
      <c r="V171" s="861"/>
      <c r="W171" s="863"/>
    </row>
    <row r="172" spans="1:23" ht="16.5" customHeight="1">
      <c r="A172" s="858">
        <v>167</v>
      </c>
      <c r="B172" s="2736"/>
      <c r="C172" s="2731"/>
      <c r="D172" s="2237" t="s">
        <v>588</v>
      </c>
      <c r="E172" s="866"/>
      <c r="F172" s="866"/>
      <c r="G172" s="866"/>
      <c r="H172" s="866"/>
      <c r="I172" s="866"/>
      <c r="J172" s="866"/>
      <c r="K172" s="866"/>
      <c r="L172" s="866"/>
      <c r="M172" s="866"/>
      <c r="N172" s="861">
        <f>SUM(N166:N171)</f>
        <v>0</v>
      </c>
      <c r="O172" s="861">
        <f>SUM(O166:O171)</f>
        <v>0</v>
      </c>
      <c r="P172" s="861">
        <f>SUM(P166:P171)</f>
        <v>0</v>
      </c>
      <c r="Q172" s="866"/>
      <c r="R172" s="861">
        <f>SUM(R166:R171)</f>
        <v>0</v>
      </c>
      <c r="S172" s="866"/>
      <c r="T172" s="867"/>
      <c r="U172" s="866"/>
      <c r="V172" s="866"/>
      <c r="W172" s="1012"/>
    </row>
    <row r="173" spans="1:23" ht="16.5" customHeight="1">
      <c r="A173" s="858">
        <v>168</v>
      </c>
      <c r="B173" s="2736"/>
      <c r="C173" s="2731"/>
      <c r="D173" s="2729" t="s">
        <v>1691</v>
      </c>
      <c r="E173" s="859"/>
      <c r="F173" s="859"/>
      <c r="G173" s="860"/>
      <c r="H173" s="860"/>
      <c r="I173" s="860"/>
      <c r="J173" s="860"/>
      <c r="K173" s="861"/>
      <c r="L173" s="861"/>
      <c r="M173" s="861"/>
      <c r="N173" s="861"/>
      <c r="O173" s="1009"/>
      <c r="P173" s="862"/>
      <c r="Q173" s="861"/>
      <c r="R173" s="1009"/>
      <c r="S173" s="866"/>
      <c r="T173" s="867"/>
      <c r="U173" s="1015"/>
      <c r="V173" s="1015"/>
      <c r="W173" s="863"/>
    </row>
    <row r="174" spans="1:23" ht="16.5" customHeight="1">
      <c r="A174" s="858">
        <v>169</v>
      </c>
      <c r="B174" s="2736"/>
      <c r="C174" s="2731"/>
      <c r="D174" s="2728"/>
      <c r="E174" s="859"/>
      <c r="F174" s="859"/>
      <c r="G174" s="860"/>
      <c r="H174" s="860"/>
      <c r="I174" s="860"/>
      <c r="J174" s="860"/>
      <c r="K174" s="861"/>
      <c r="L174" s="861"/>
      <c r="M174" s="861"/>
      <c r="N174" s="861"/>
      <c r="O174" s="1009"/>
      <c r="P174" s="862"/>
      <c r="Q174" s="861"/>
      <c r="R174" s="1009"/>
      <c r="S174" s="866"/>
      <c r="T174" s="867"/>
      <c r="U174" s="861"/>
      <c r="V174" s="861"/>
      <c r="W174" s="863"/>
    </row>
    <row r="175" spans="1:23" ht="16.5" customHeight="1">
      <c r="A175" s="858">
        <v>170</v>
      </c>
      <c r="B175" s="2736"/>
      <c r="C175" s="2731"/>
      <c r="D175" s="2728"/>
      <c r="E175" s="859"/>
      <c r="F175" s="859"/>
      <c r="G175" s="860"/>
      <c r="H175" s="860"/>
      <c r="I175" s="860"/>
      <c r="J175" s="860"/>
      <c r="K175" s="861"/>
      <c r="L175" s="861"/>
      <c r="M175" s="861"/>
      <c r="N175" s="861"/>
      <c r="O175" s="1009"/>
      <c r="P175" s="862"/>
      <c r="Q175" s="861"/>
      <c r="R175" s="1009"/>
      <c r="S175" s="866"/>
      <c r="T175" s="867"/>
      <c r="U175" s="861"/>
      <c r="V175" s="861"/>
      <c r="W175" s="863"/>
    </row>
    <row r="176" spans="1:23" ht="16.5" customHeight="1">
      <c r="A176" s="858">
        <v>171</v>
      </c>
      <c r="B176" s="2736"/>
      <c r="C176" s="2731"/>
      <c r="D176" s="2728"/>
      <c r="E176" s="859"/>
      <c r="F176" s="859"/>
      <c r="G176" s="860"/>
      <c r="H176" s="860"/>
      <c r="I176" s="860"/>
      <c r="J176" s="860"/>
      <c r="K176" s="861"/>
      <c r="L176" s="861"/>
      <c r="M176" s="861"/>
      <c r="N176" s="861"/>
      <c r="O176" s="1009"/>
      <c r="P176" s="862"/>
      <c r="Q176" s="861"/>
      <c r="R176" s="1009"/>
      <c r="S176" s="866"/>
      <c r="T176" s="867"/>
      <c r="U176" s="861"/>
      <c r="V176" s="861"/>
      <c r="W176" s="863"/>
    </row>
    <row r="177" spans="1:23">
      <c r="A177" s="858">
        <v>172</v>
      </c>
      <c r="B177" s="2736"/>
      <c r="C177" s="2731"/>
      <c r="D177" s="2728"/>
      <c r="E177" s="859"/>
      <c r="F177" s="859"/>
      <c r="G177" s="860"/>
      <c r="H177" s="860"/>
      <c r="I177" s="860"/>
      <c r="J177" s="860"/>
      <c r="K177" s="861"/>
      <c r="L177" s="861"/>
      <c r="M177" s="861"/>
      <c r="N177" s="861"/>
      <c r="O177" s="1009"/>
      <c r="P177" s="862"/>
      <c r="Q177" s="861"/>
      <c r="R177" s="1009"/>
      <c r="S177" s="866"/>
      <c r="T177" s="867"/>
      <c r="U177" s="861"/>
      <c r="V177" s="861"/>
      <c r="W177" s="863"/>
    </row>
    <row r="178" spans="1:23">
      <c r="A178" s="858">
        <v>173</v>
      </c>
      <c r="B178" s="2736"/>
      <c r="C178" s="2731"/>
      <c r="D178" s="2728"/>
      <c r="E178" s="859"/>
      <c r="F178" s="859"/>
      <c r="G178" s="860"/>
      <c r="H178" s="860"/>
      <c r="I178" s="860"/>
      <c r="J178" s="860"/>
      <c r="K178" s="861"/>
      <c r="L178" s="861"/>
      <c r="M178" s="861"/>
      <c r="N178" s="861"/>
      <c r="O178" s="1009"/>
      <c r="P178" s="862"/>
      <c r="Q178" s="861"/>
      <c r="R178" s="1009"/>
      <c r="S178" s="866"/>
      <c r="T178" s="867"/>
      <c r="U178" s="861"/>
      <c r="V178" s="861"/>
      <c r="W178" s="863"/>
    </row>
    <row r="179" spans="1:23" ht="15" thickBot="1">
      <c r="A179" s="858">
        <v>174</v>
      </c>
      <c r="B179" s="2736"/>
      <c r="C179" s="2732"/>
      <c r="D179" s="2241" t="s">
        <v>588</v>
      </c>
      <c r="E179" s="872"/>
      <c r="F179" s="872"/>
      <c r="G179" s="872"/>
      <c r="H179" s="872"/>
      <c r="I179" s="872"/>
      <c r="J179" s="872"/>
      <c r="K179" s="872"/>
      <c r="L179" s="872"/>
      <c r="M179" s="872"/>
      <c r="N179" s="871">
        <f>SUM(N173:N178)</f>
        <v>0</v>
      </c>
      <c r="O179" s="871">
        <f>SUM(O173:O178)</f>
        <v>0</v>
      </c>
      <c r="P179" s="871">
        <f>SUM(P173:P178)</f>
        <v>0</v>
      </c>
      <c r="Q179" s="872"/>
      <c r="R179" s="871">
        <f>SUM(R173:R178)</f>
        <v>0</v>
      </c>
      <c r="S179" s="872"/>
      <c r="T179" s="892"/>
      <c r="U179" s="872"/>
      <c r="V179" s="872"/>
      <c r="W179" s="1011"/>
    </row>
    <row r="180" spans="1:23" ht="16.5" customHeight="1">
      <c r="A180" s="858">
        <v>175</v>
      </c>
      <c r="B180" s="2736"/>
      <c r="C180" s="2733" t="s">
        <v>589</v>
      </c>
      <c r="D180" s="2727" t="s">
        <v>1411</v>
      </c>
      <c r="E180" s="853"/>
      <c r="F180" s="853"/>
      <c r="G180" s="854"/>
      <c r="H180" s="854"/>
      <c r="I180" s="854"/>
      <c r="J180" s="854"/>
      <c r="K180" s="855"/>
      <c r="L180" s="855"/>
      <c r="M180" s="855"/>
      <c r="N180" s="855"/>
      <c r="O180" s="1008"/>
      <c r="P180" s="856"/>
      <c r="Q180" s="855"/>
      <c r="R180" s="1008"/>
      <c r="S180" s="893"/>
      <c r="T180" s="890"/>
      <c r="U180" s="855"/>
      <c r="V180" s="855"/>
      <c r="W180" s="857"/>
    </row>
    <row r="181" spans="1:23">
      <c r="A181" s="858">
        <v>176</v>
      </c>
      <c r="B181" s="2736"/>
      <c r="C181" s="2734"/>
      <c r="D181" s="2737"/>
      <c r="E181" s="859"/>
      <c r="F181" s="859"/>
      <c r="G181" s="860"/>
      <c r="H181" s="860"/>
      <c r="I181" s="860"/>
      <c r="J181" s="860"/>
      <c r="K181" s="861"/>
      <c r="L181" s="861"/>
      <c r="M181" s="861"/>
      <c r="N181" s="861"/>
      <c r="O181" s="1009"/>
      <c r="P181" s="862"/>
      <c r="Q181" s="862"/>
      <c r="R181" s="1009"/>
      <c r="S181" s="866"/>
      <c r="T181" s="894"/>
      <c r="U181" s="861"/>
      <c r="V181" s="861"/>
      <c r="W181" s="863"/>
    </row>
    <row r="182" spans="1:23">
      <c r="A182" s="858">
        <v>177</v>
      </c>
      <c r="B182" s="2736"/>
      <c r="C182" s="2734"/>
      <c r="D182" s="2737"/>
      <c r="E182" s="859"/>
      <c r="F182" s="859"/>
      <c r="G182" s="860"/>
      <c r="H182" s="860"/>
      <c r="I182" s="860"/>
      <c r="J182" s="860"/>
      <c r="K182" s="861"/>
      <c r="L182" s="861"/>
      <c r="M182" s="861"/>
      <c r="N182" s="861"/>
      <c r="O182" s="1009"/>
      <c r="P182" s="862"/>
      <c r="Q182" s="862"/>
      <c r="R182" s="1009"/>
      <c r="S182" s="866"/>
      <c r="T182" s="894"/>
      <c r="U182" s="861"/>
      <c r="V182" s="861"/>
      <c r="W182" s="863"/>
    </row>
    <row r="183" spans="1:23">
      <c r="A183" s="858">
        <v>178</v>
      </c>
      <c r="B183" s="2736"/>
      <c r="C183" s="2734"/>
      <c r="D183" s="2737"/>
      <c r="E183" s="859"/>
      <c r="F183" s="859"/>
      <c r="G183" s="860"/>
      <c r="H183" s="860"/>
      <c r="I183" s="860"/>
      <c r="J183" s="860"/>
      <c r="K183" s="861"/>
      <c r="L183" s="861"/>
      <c r="M183" s="861"/>
      <c r="N183" s="861"/>
      <c r="O183" s="1009"/>
      <c r="P183" s="862"/>
      <c r="Q183" s="862"/>
      <c r="R183" s="1009"/>
      <c r="S183" s="866"/>
      <c r="T183" s="894"/>
      <c r="U183" s="861"/>
      <c r="V183" s="861"/>
      <c r="W183" s="863"/>
    </row>
    <row r="184" spans="1:23">
      <c r="A184" s="858">
        <v>179</v>
      </c>
      <c r="B184" s="2736"/>
      <c r="C184" s="2734"/>
      <c r="D184" s="2737"/>
      <c r="E184" s="859"/>
      <c r="F184" s="859"/>
      <c r="G184" s="860"/>
      <c r="H184" s="860"/>
      <c r="I184" s="860"/>
      <c r="J184" s="860"/>
      <c r="K184" s="861"/>
      <c r="L184" s="861"/>
      <c r="M184" s="861"/>
      <c r="N184" s="861"/>
      <c r="O184" s="1009"/>
      <c r="P184" s="862"/>
      <c r="Q184" s="862"/>
      <c r="R184" s="1009"/>
      <c r="S184" s="866"/>
      <c r="T184" s="894"/>
      <c r="U184" s="861"/>
      <c r="V184" s="861"/>
      <c r="W184" s="863"/>
    </row>
    <row r="185" spans="1:23">
      <c r="A185" s="858">
        <v>180</v>
      </c>
      <c r="B185" s="2736"/>
      <c r="C185" s="2734"/>
      <c r="D185" s="2738"/>
      <c r="E185" s="859"/>
      <c r="F185" s="859"/>
      <c r="G185" s="860"/>
      <c r="H185" s="860"/>
      <c r="I185" s="860"/>
      <c r="J185" s="860"/>
      <c r="K185" s="861"/>
      <c r="L185" s="861"/>
      <c r="M185" s="861"/>
      <c r="N185" s="861"/>
      <c r="O185" s="1009"/>
      <c r="P185" s="862"/>
      <c r="Q185" s="862"/>
      <c r="R185" s="1009"/>
      <c r="S185" s="866"/>
      <c r="T185" s="894"/>
      <c r="U185" s="861"/>
      <c r="V185" s="861"/>
      <c r="W185" s="863"/>
    </row>
    <row r="186" spans="1:23" ht="14.25">
      <c r="A186" s="858">
        <v>181</v>
      </c>
      <c r="B186" s="2736"/>
      <c r="C186" s="2734"/>
      <c r="D186" s="2237" t="s">
        <v>588</v>
      </c>
      <c r="E186" s="866"/>
      <c r="F186" s="866"/>
      <c r="G186" s="866"/>
      <c r="H186" s="866"/>
      <c r="I186" s="866"/>
      <c r="J186" s="866"/>
      <c r="K186" s="866"/>
      <c r="L186" s="866"/>
      <c r="M186" s="866"/>
      <c r="N186" s="861">
        <f>SUM(N180:N185)</f>
        <v>0</v>
      </c>
      <c r="O186" s="861">
        <f>SUM(O180:O185)</f>
        <v>0</v>
      </c>
      <c r="P186" s="861">
        <f>SUM(P180:P185)</f>
        <v>0</v>
      </c>
      <c r="Q186" s="866"/>
      <c r="R186" s="861">
        <f>SUM(R180:R185)</f>
        <v>0</v>
      </c>
      <c r="S186" s="866"/>
      <c r="T186" s="894"/>
      <c r="U186" s="866"/>
      <c r="V186" s="866"/>
      <c r="W186" s="1012"/>
    </row>
    <row r="187" spans="1:23" ht="17.25" customHeight="1">
      <c r="A187" s="858">
        <v>182</v>
      </c>
      <c r="B187" s="2736"/>
      <c r="C187" s="2734"/>
      <c r="D187" s="2715" t="s">
        <v>1690</v>
      </c>
      <c r="E187" s="859"/>
      <c r="F187" s="859"/>
      <c r="G187" s="860"/>
      <c r="H187" s="860"/>
      <c r="I187" s="860"/>
      <c r="J187" s="860"/>
      <c r="K187" s="861"/>
      <c r="L187" s="861"/>
      <c r="M187" s="861"/>
      <c r="N187" s="861"/>
      <c r="O187" s="1009"/>
      <c r="P187" s="862"/>
      <c r="Q187" s="862"/>
      <c r="R187" s="1009"/>
      <c r="S187" s="866"/>
      <c r="T187" s="894"/>
      <c r="U187" s="1015"/>
      <c r="V187" s="1015"/>
      <c r="W187" s="863"/>
    </row>
    <row r="188" spans="1:23">
      <c r="A188" s="858">
        <v>183</v>
      </c>
      <c r="B188" s="2736"/>
      <c r="C188" s="2734"/>
      <c r="D188" s="2711"/>
      <c r="E188" s="859"/>
      <c r="F188" s="859"/>
      <c r="G188" s="860"/>
      <c r="H188" s="860"/>
      <c r="I188" s="860"/>
      <c r="J188" s="860"/>
      <c r="K188" s="861"/>
      <c r="L188" s="861"/>
      <c r="M188" s="861"/>
      <c r="N188" s="861"/>
      <c r="O188" s="1009"/>
      <c r="P188" s="862"/>
      <c r="Q188" s="862"/>
      <c r="R188" s="1009"/>
      <c r="S188" s="866"/>
      <c r="T188" s="894"/>
      <c r="U188" s="861"/>
      <c r="V188" s="861"/>
      <c r="W188" s="863"/>
    </row>
    <row r="189" spans="1:23">
      <c r="A189" s="858">
        <v>184</v>
      </c>
      <c r="B189" s="2736"/>
      <c r="C189" s="2734"/>
      <c r="D189" s="2711"/>
      <c r="E189" s="859"/>
      <c r="F189" s="859"/>
      <c r="G189" s="860"/>
      <c r="H189" s="860"/>
      <c r="I189" s="860"/>
      <c r="J189" s="860"/>
      <c r="K189" s="861"/>
      <c r="L189" s="861"/>
      <c r="M189" s="861"/>
      <c r="N189" s="861"/>
      <c r="O189" s="1009"/>
      <c r="P189" s="862"/>
      <c r="Q189" s="862"/>
      <c r="R189" s="1009"/>
      <c r="S189" s="866"/>
      <c r="T189" s="894"/>
      <c r="U189" s="861"/>
      <c r="V189" s="861"/>
      <c r="W189" s="863"/>
    </row>
    <row r="190" spans="1:23">
      <c r="A190" s="858">
        <v>185</v>
      </c>
      <c r="B190" s="2736"/>
      <c r="C190" s="2734"/>
      <c r="D190" s="2711"/>
      <c r="E190" s="859"/>
      <c r="F190" s="859"/>
      <c r="G190" s="860"/>
      <c r="H190" s="860"/>
      <c r="I190" s="860"/>
      <c r="J190" s="860"/>
      <c r="K190" s="861"/>
      <c r="L190" s="861"/>
      <c r="M190" s="861"/>
      <c r="N190" s="861"/>
      <c r="O190" s="1009"/>
      <c r="P190" s="862"/>
      <c r="Q190" s="862"/>
      <c r="R190" s="1009"/>
      <c r="S190" s="866"/>
      <c r="T190" s="894"/>
      <c r="U190" s="861"/>
      <c r="V190" s="861"/>
      <c r="W190" s="863"/>
    </row>
    <row r="191" spans="1:23">
      <c r="A191" s="858">
        <v>186</v>
      </c>
      <c r="B191" s="2736"/>
      <c r="C191" s="2734"/>
      <c r="D191" s="2711"/>
      <c r="E191" s="859"/>
      <c r="F191" s="859"/>
      <c r="G191" s="860"/>
      <c r="H191" s="860"/>
      <c r="I191" s="860"/>
      <c r="J191" s="860"/>
      <c r="K191" s="861"/>
      <c r="L191" s="861"/>
      <c r="M191" s="861"/>
      <c r="N191" s="861"/>
      <c r="O191" s="1009"/>
      <c r="P191" s="862"/>
      <c r="Q191" s="862"/>
      <c r="R191" s="1009"/>
      <c r="S191" s="866"/>
      <c r="T191" s="894"/>
      <c r="U191" s="861"/>
      <c r="V191" s="861"/>
      <c r="W191" s="863"/>
    </row>
    <row r="192" spans="1:23">
      <c r="A192" s="858">
        <v>187</v>
      </c>
      <c r="B192" s="2736"/>
      <c r="C192" s="2734"/>
      <c r="D192" s="2711"/>
      <c r="E192" s="859"/>
      <c r="F192" s="859"/>
      <c r="G192" s="860"/>
      <c r="H192" s="860"/>
      <c r="I192" s="860"/>
      <c r="J192" s="860"/>
      <c r="K192" s="861"/>
      <c r="L192" s="861"/>
      <c r="M192" s="861"/>
      <c r="N192" s="861"/>
      <c r="O192" s="1009"/>
      <c r="P192" s="862"/>
      <c r="Q192" s="862"/>
      <c r="R192" s="1009"/>
      <c r="S192" s="866"/>
      <c r="T192" s="894"/>
      <c r="U192" s="861"/>
      <c r="V192" s="861"/>
      <c r="W192" s="863"/>
    </row>
    <row r="193" spans="1:23" ht="14.25">
      <c r="A193" s="858">
        <v>188</v>
      </c>
      <c r="B193" s="2736"/>
      <c r="C193" s="2734"/>
      <c r="D193" s="2247" t="s">
        <v>588</v>
      </c>
      <c r="E193" s="866"/>
      <c r="F193" s="866"/>
      <c r="G193" s="866"/>
      <c r="H193" s="866"/>
      <c r="I193" s="866"/>
      <c r="J193" s="866"/>
      <c r="K193" s="866"/>
      <c r="L193" s="866"/>
      <c r="M193" s="866"/>
      <c r="N193" s="861">
        <f>SUM(N187:N192)</f>
        <v>0</v>
      </c>
      <c r="O193" s="861">
        <f>SUM(O187:O192)</f>
        <v>0</v>
      </c>
      <c r="P193" s="861">
        <f>SUM(P187:P192)</f>
        <v>0</v>
      </c>
      <c r="Q193" s="866"/>
      <c r="R193" s="861">
        <f>SUM(R187:R192)</f>
        <v>0</v>
      </c>
      <c r="S193" s="866"/>
      <c r="T193" s="894"/>
      <c r="U193" s="866"/>
      <c r="V193" s="866"/>
      <c r="W193" s="1012"/>
    </row>
    <row r="194" spans="1:23" ht="16.5" customHeight="1">
      <c r="A194" s="858">
        <v>189</v>
      </c>
      <c r="B194" s="2736"/>
      <c r="C194" s="2734"/>
      <c r="D194" s="2715" t="s">
        <v>1691</v>
      </c>
      <c r="E194" s="859"/>
      <c r="F194" s="859"/>
      <c r="G194" s="860"/>
      <c r="H194" s="860"/>
      <c r="I194" s="860"/>
      <c r="J194" s="860"/>
      <c r="K194" s="861"/>
      <c r="L194" s="861"/>
      <c r="M194" s="861"/>
      <c r="N194" s="861"/>
      <c r="O194" s="1009"/>
      <c r="P194" s="862"/>
      <c r="Q194" s="862"/>
      <c r="R194" s="1009"/>
      <c r="S194" s="866"/>
      <c r="T194" s="894"/>
      <c r="U194" s="1015"/>
      <c r="V194" s="1015"/>
      <c r="W194" s="863"/>
    </row>
    <row r="195" spans="1:23" ht="15.75" customHeight="1">
      <c r="A195" s="858">
        <v>190</v>
      </c>
      <c r="B195" s="2736"/>
      <c r="C195" s="2734"/>
      <c r="D195" s="2711"/>
      <c r="E195" s="859"/>
      <c r="F195" s="859"/>
      <c r="G195" s="860"/>
      <c r="H195" s="860"/>
      <c r="I195" s="860"/>
      <c r="J195" s="860"/>
      <c r="K195" s="861"/>
      <c r="L195" s="861"/>
      <c r="M195" s="861"/>
      <c r="N195" s="861"/>
      <c r="O195" s="1009"/>
      <c r="P195" s="862"/>
      <c r="Q195" s="861"/>
      <c r="R195" s="1009"/>
      <c r="S195" s="866"/>
      <c r="T195" s="867"/>
      <c r="U195" s="861"/>
      <c r="V195" s="861"/>
      <c r="W195" s="863"/>
    </row>
    <row r="196" spans="1:23" ht="15.75" customHeight="1">
      <c r="A196" s="858">
        <v>191</v>
      </c>
      <c r="B196" s="2736"/>
      <c r="C196" s="2734"/>
      <c r="D196" s="2711"/>
      <c r="E196" s="859"/>
      <c r="F196" s="859"/>
      <c r="G196" s="860"/>
      <c r="H196" s="860"/>
      <c r="I196" s="860"/>
      <c r="J196" s="860"/>
      <c r="K196" s="861"/>
      <c r="L196" s="861"/>
      <c r="M196" s="861"/>
      <c r="N196" s="861"/>
      <c r="O196" s="1009"/>
      <c r="P196" s="862"/>
      <c r="Q196" s="861"/>
      <c r="R196" s="1009"/>
      <c r="S196" s="866"/>
      <c r="T196" s="867"/>
      <c r="U196" s="861"/>
      <c r="V196" s="861"/>
      <c r="W196" s="863"/>
    </row>
    <row r="197" spans="1:23" ht="16.5" customHeight="1">
      <c r="A197" s="858">
        <v>192</v>
      </c>
      <c r="B197" s="2736"/>
      <c r="C197" s="2734"/>
      <c r="D197" s="2711"/>
      <c r="E197" s="859"/>
      <c r="F197" s="859"/>
      <c r="G197" s="860"/>
      <c r="H197" s="860"/>
      <c r="I197" s="860"/>
      <c r="J197" s="860"/>
      <c r="K197" s="861"/>
      <c r="L197" s="861"/>
      <c r="M197" s="861"/>
      <c r="N197" s="861"/>
      <c r="O197" s="1009"/>
      <c r="P197" s="862"/>
      <c r="Q197" s="861"/>
      <c r="R197" s="1009"/>
      <c r="S197" s="866"/>
      <c r="T197" s="867"/>
      <c r="U197" s="861"/>
      <c r="V197" s="861"/>
      <c r="W197" s="863"/>
    </row>
    <row r="198" spans="1:23">
      <c r="A198" s="858">
        <v>193</v>
      </c>
      <c r="B198" s="2736"/>
      <c r="C198" s="2734"/>
      <c r="D198" s="2711"/>
      <c r="E198" s="859"/>
      <c r="F198" s="859"/>
      <c r="G198" s="860"/>
      <c r="H198" s="860"/>
      <c r="I198" s="860"/>
      <c r="J198" s="860"/>
      <c r="K198" s="861"/>
      <c r="L198" s="861"/>
      <c r="M198" s="861"/>
      <c r="N198" s="861"/>
      <c r="O198" s="1009"/>
      <c r="P198" s="862"/>
      <c r="Q198" s="861"/>
      <c r="R198" s="1009"/>
      <c r="S198" s="866"/>
      <c r="T198" s="867"/>
      <c r="U198" s="861"/>
      <c r="V198" s="861"/>
      <c r="W198" s="863"/>
    </row>
    <row r="199" spans="1:23">
      <c r="A199" s="858">
        <v>194</v>
      </c>
      <c r="B199" s="2736"/>
      <c r="C199" s="2734"/>
      <c r="D199" s="2711"/>
      <c r="E199" s="859"/>
      <c r="F199" s="859"/>
      <c r="G199" s="860"/>
      <c r="H199" s="860"/>
      <c r="I199" s="860"/>
      <c r="J199" s="860"/>
      <c r="K199" s="861"/>
      <c r="L199" s="861"/>
      <c r="M199" s="861"/>
      <c r="N199" s="861"/>
      <c r="O199" s="1009"/>
      <c r="P199" s="862"/>
      <c r="Q199" s="861"/>
      <c r="R199" s="1009"/>
      <c r="S199" s="866"/>
      <c r="T199" s="867"/>
      <c r="U199" s="861"/>
      <c r="V199" s="861"/>
      <c r="W199" s="863"/>
    </row>
    <row r="200" spans="1:23" ht="15" thickBot="1">
      <c r="A200" s="858">
        <v>195</v>
      </c>
      <c r="B200" s="2736"/>
      <c r="C200" s="2735"/>
      <c r="D200" s="2241" t="s">
        <v>588</v>
      </c>
      <c r="E200" s="872"/>
      <c r="F200" s="872"/>
      <c r="G200" s="872"/>
      <c r="H200" s="872"/>
      <c r="I200" s="872"/>
      <c r="J200" s="872"/>
      <c r="K200" s="872"/>
      <c r="L200" s="872"/>
      <c r="M200" s="872"/>
      <c r="N200" s="871">
        <f>SUM(N194:N199)</f>
        <v>0</v>
      </c>
      <c r="O200" s="871">
        <f>SUM(O194:O199)</f>
        <v>0</v>
      </c>
      <c r="P200" s="871">
        <f>SUM(P194:P199)</f>
        <v>0</v>
      </c>
      <c r="Q200" s="872"/>
      <c r="R200" s="871">
        <f>SUM(R194:R199)</f>
        <v>0</v>
      </c>
      <c r="S200" s="872"/>
      <c r="T200" s="892"/>
      <c r="U200" s="872"/>
      <c r="V200" s="872"/>
      <c r="W200" s="1011"/>
    </row>
    <row r="201" spans="1:23" ht="16.5" customHeight="1">
      <c r="A201" s="858">
        <v>196</v>
      </c>
      <c r="B201" s="2736"/>
      <c r="C201" s="2730" t="s">
        <v>591</v>
      </c>
      <c r="D201" s="2710" t="s">
        <v>1412</v>
      </c>
      <c r="E201" s="853"/>
      <c r="F201" s="853"/>
      <c r="G201" s="854"/>
      <c r="H201" s="854"/>
      <c r="I201" s="854"/>
      <c r="J201" s="854"/>
      <c r="K201" s="855"/>
      <c r="L201" s="855"/>
      <c r="M201" s="855"/>
      <c r="N201" s="855"/>
      <c r="O201" s="1008"/>
      <c r="P201" s="856"/>
      <c r="Q201" s="855"/>
      <c r="R201" s="1008"/>
      <c r="S201" s="889"/>
      <c r="T201" s="890"/>
      <c r="U201" s="855"/>
      <c r="V201" s="855"/>
      <c r="W201" s="857"/>
    </row>
    <row r="202" spans="1:23">
      <c r="A202" s="858">
        <v>197</v>
      </c>
      <c r="B202" s="2736"/>
      <c r="C202" s="2731"/>
      <c r="D202" s="2711"/>
      <c r="E202" s="859"/>
      <c r="F202" s="859"/>
      <c r="G202" s="860"/>
      <c r="H202" s="860"/>
      <c r="I202" s="860"/>
      <c r="J202" s="860"/>
      <c r="K202" s="861"/>
      <c r="L202" s="861"/>
      <c r="M202" s="861"/>
      <c r="N202" s="861"/>
      <c r="O202" s="1009"/>
      <c r="P202" s="862"/>
      <c r="Q202" s="861"/>
      <c r="R202" s="1009"/>
      <c r="S202" s="894"/>
      <c r="T202" s="867"/>
      <c r="U202" s="861"/>
      <c r="V202" s="861"/>
      <c r="W202" s="863"/>
    </row>
    <row r="203" spans="1:23">
      <c r="A203" s="858">
        <v>198</v>
      </c>
      <c r="B203" s="2736"/>
      <c r="C203" s="2731"/>
      <c r="D203" s="2711"/>
      <c r="E203" s="859"/>
      <c r="F203" s="859"/>
      <c r="G203" s="860"/>
      <c r="H203" s="860"/>
      <c r="I203" s="860"/>
      <c r="J203" s="860"/>
      <c r="K203" s="861"/>
      <c r="L203" s="861"/>
      <c r="M203" s="861"/>
      <c r="N203" s="861"/>
      <c r="O203" s="1009"/>
      <c r="P203" s="862"/>
      <c r="Q203" s="861"/>
      <c r="R203" s="1009"/>
      <c r="S203" s="894"/>
      <c r="T203" s="867"/>
      <c r="U203" s="861"/>
      <c r="V203" s="861"/>
      <c r="W203" s="863"/>
    </row>
    <row r="204" spans="1:23">
      <c r="A204" s="858">
        <v>199</v>
      </c>
      <c r="B204" s="2736"/>
      <c r="C204" s="2731"/>
      <c r="D204" s="2711"/>
      <c r="E204" s="859"/>
      <c r="F204" s="859"/>
      <c r="G204" s="860"/>
      <c r="H204" s="860"/>
      <c r="I204" s="860"/>
      <c r="J204" s="860"/>
      <c r="K204" s="861"/>
      <c r="L204" s="861"/>
      <c r="M204" s="861"/>
      <c r="N204" s="861"/>
      <c r="O204" s="1009"/>
      <c r="P204" s="862"/>
      <c r="Q204" s="861"/>
      <c r="R204" s="1009"/>
      <c r="S204" s="894"/>
      <c r="T204" s="867"/>
      <c r="U204" s="861"/>
      <c r="V204" s="861"/>
      <c r="W204" s="863"/>
    </row>
    <row r="205" spans="1:23">
      <c r="A205" s="858">
        <v>200</v>
      </c>
      <c r="B205" s="2736"/>
      <c r="C205" s="2731"/>
      <c r="D205" s="2711"/>
      <c r="E205" s="859"/>
      <c r="F205" s="859"/>
      <c r="G205" s="860"/>
      <c r="H205" s="860"/>
      <c r="I205" s="860"/>
      <c r="J205" s="860"/>
      <c r="K205" s="861"/>
      <c r="L205" s="861"/>
      <c r="M205" s="861"/>
      <c r="N205" s="861"/>
      <c r="O205" s="1009"/>
      <c r="P205" s="862"/>
      <c r="Q205" s="861"/>
      <c r="R205" s="1009"/>
      <c r="S205" s="894"/>
      <c r="T205" s="867"/>
      <c r="U205" s="861"/>
      <c r="V205" s="861"/>
      <c r="W205" s="863"/>
    </row>
    <row r="206" spans="1:23">
      <c r="A206" s="858">
        <v>201</v>
      </c>
      <c r="B206" s="2736"/>
      <c r="C206" s="2731"/>
      <c r="D206" s="2711"/>
      <c r="E206" s="859"/>
      <c r="F206" s="859"/>
      <c r="G206" s="860"/>
      <c r="H206" s="860"/>
      <c r="I206" s="860"/>
      <c r="J206" s="860"/>
      <c r="K206" s="861"/>
      <c r="L206" s="861"/>
      <c r="M206" s="861"/>
      <c r="N206" s="861"/>
      <c r="O206" s="1009"/>
      <c r="P206" s="862"/>
      <c r="Q206" s="861"/>
      <c r="R206" s="1009"/>
      <c r="S206" s="894"/>
      <c r="T206" s="867"/>
      <c r="U206" s="861"/>
      <c r="V206" s="861"/>
      <c r="W206" s="863"/>
    </row>
    <row r="207" spans="1:23" ht="14.25">
      <c r="A207" s="858">
        <v>202</v>
      </c>
      <c r="B207" s="2736"/>
      <c r="C207" s="2731"/>
      <c r="D207" s="2234" t="s">
        <v>588</v>
      </c>
      <c r="E207" s="866"/>
      <c r="F207" s="866"/>
      <c r="G207" s="866"/>
      <c r="H207" s="866"/>
      <c r="I207" s="866"/>
      <c r="J207" s="866"/>
      <c r="K207" s="866"/>
      <c r="L207" s="866"/>
      <c r="M207" s="866"/>
      <c r="N207" s="861">
        <f>SUM(N201:N206)</f>
        <v>0</v>
      </c>
      <c r="O207" s="861">
        <f>SUM(O201:O206)</f>
        <v>0</v>
      </c>
      <c r="P207" s="861">
        <f>SUM(P201:P206)</f>
        <v>0</v>
      </c>
      <c r="Q207" s="866"/>
      <c r="R207" s="861">
        <f>SUM(R201:R206)</f>
        <v>0</v>
      </c>
      <c r="S207" s="894"/>
      <c r="T207" s="867"/>
      <c r="U207" s="866"/>
      <c r="V207" s="866"/>
      <c r="W207" s="1012"/>
    </row>
    <row r="208" spans="1:23" ht="16.5" customHeight="1">
      <c r="A208" s="858">
        <v>203</v>
      </c>
      <c r="B208" s="2736"/>
      <c r="C208" s="2731"/>
      <c r="D208" s="2715" t="s">
        <v>1690</v>
      </c>
      <c r="E208" s="859"/>
      <c r="F208" s="859"/>
      <c r="G208" s="860"/>
      <c r="H208" s="860"/>
      <c r="I208" s="860"/>
      <c r="J208" s="860"/>
      <c r="K208" s="861"/>
      <c r="L208" s="861"/>
      <c r="M208" s="861"/>
      <c r="N208" s="861"/>
      <c r="O208" s="1009"/>
      <c r="P208" s="862"/>
      <c r="Q208" s="861"/>
      <c r="R208" s="1009"/>
      <c r="S208" s="894"/>
      <c r="T208" s="867"/>
      <c r="U208" s="1015"/>
      <c r="V208" s="1015"/>
      <c r="W208" s="863"/>
    </row>
    <row r="209" spans="1:23">
      <c r="A209" s="858">
        <v>204</v>
      </c>
      <c r="B209" s="2736"/>
      <c r="C209" s="2731"/>
      <c r="D209" s="2711"/>
      <c r="E209" s="859"/>
      <c r="F209" s="859"/>
      <c r="G209" s="860"/>
      <c r="H209" s="860"/>
      <c r="I209" s="860"/>
      <c r="J209" s="860"/>
      <c r="K209" s="861"/>
      <c r="L209" s="861"/>
      <c r="M209" s="861"/>
      <c r="N209" s="861"/>
      <c r="O209" s="1009"/>
      <c r="P209" s="862"/>
      <c r="Q209" s="861"/>
      <c r="R209" s="1009"/>
      <c r="S209" s="894"/>
      <c r="T209" s="867"/>
      <c r="U209" s="861"/>
      <c r="V209" s="861"/>
      <c r="W209" s="863"/>
    </row>
    <row r="210" spans="1:23">
      <c r="A210" s="858">
        <v>205</v>
      </c>
      <c r="B210" s="2736"/>
      <c r="C210" s="2731"/>
      <c r="D210" s="2711"/>
      <c r="E210" s="859"/>
      <c r="F210" s="859"/>
      <c r="G210" s="860"/>
      <c r="H210" s="860"/>
      <c r="I210" s="860"/>
      <c r="J210" s="860"/>
      <c r="K210" s="861"/>
      <c r="L210" s="861"/>
      <c r="M210" s="861"/>
      <c r="N210" s="861"/>
      <c r="O210" s="1009"/>
      <c r="P210" s="862"/>
      <c r="Q210" s="861"/>
      <c r="R210" s="1009"/>
      <c r="S210" s="894"/>
      <c r="T210" s="867"/>
      <c r="U210" s="861"/>
      <c r="V210" s="861"/>
      <c r="W210" s="863"/>
    </row>
    <row r="211" spans="1:23">
      <c r="A211" s="858">
        <v>206</v>
      </c>
      <c r="B211" s="2736"/>
      <c r="C211" s="2731"/>
      <c r="D211" s="2711"/>
      <c r="E211" s="859"/>
      <c r="F211" s="859"/>
      <c r="G211" s="860"/>
      <c r="H211" s="860"/>
      <c r="I211" s="860"/>
      <c r="J211" s="860"/>
      <c r="K211" s="861"/>
      <c r="L211" s="861"/>
      <c r="M211" s="861"/>
      <c r="N211" s="861"/>
      <c r="O211" s="1009"/>
      <c r="P211" s="862"/>
      <c r="Q211" s="861"/>
      <c r="R211" s="1009"/>
      <c r="S211" s="894"/>
      <c r="T211" s="867"/>
      <c r="U211" s="861"/>
      <c r="V211" s="861"/>
      <c r="W211" s="863"/>
    </row>
    <row r="212" spans="1:23">
      <c r="A212" s="858">
        <v>207</v>
      </c>
      <c r="B212" s="2736"/>
      <c r="C212" s="2731"/>
      <c r="D212" s="2711"/>
      <c r="E212" s="859"/>
      <c r="F212" s="859"/>
      <c r="G212" s="860"/>
      <c r="H212" s="860"/>
      <c r="I212" s="860"/>
      <c r="J212" s="860"/>
      <c r="K212" s="861"/>
      <c r="L212" s="861"/>
      <c r="M212" s="861"/>
      <c r="N212" s="861"/>
      <c r="O212" s="1009"/>
      <c r="P212" s="862"/>
      <c r="Q212" s="861"/>
      <c r="R212" s="1009"/>
      <c r="S212" s="894"/>
      <c r="T212" s="867"/>
      <c r="U212" s="861"/>
      <c r="V212" s="861"/>
      <c r="W212" s="863"/>
    </row>
    <row r="213" spans="1:23">
      <c r="A213" s="858">
        <v>208</v>
      </c>
      <c r="B213" s="2736"/>
      <c r="C213" s="2731"/>
      <c r="D213" s="2711"/>
      <c r="E213" s="859"/>
      <c r="F213" s="859"/>
      <c r="G213" s="860"/>
      <c r="H213" s="860"/>
      <c r="I213" s="860"/>
      <c r="J213" s="860"/>
      <c r="K213" s="861"/>
      <c r="L213" s="861"/>
      <c r="M213" s="861"/>
      <c r="N213" s="861"/>
      <c r="O213" s="1009"/>
      <c r="P213" s="862"/>
      <c r="Q213" s="861"/>
      <c r="R213" s="1009"/>
      <c r="S213" s="894"/>
      <c r="T213" s="867"/>
      <c r="U213" s="861"/>
      <c r="V213" s="861"/>
      <c r="W213" s="863"/>
    </row>
    <row r="214" spans="1:23" ht="14.25">
      <c r="A214" s="858">
        <v>209</v>
      </c>
      <c r="B214" s="2736"/>
      <c r="C214" s="2731"/>
      <c r="D214" s="2244" t="s">
        <v>588</v>
      </c>
      <c r="E214" s="866"/>
      <c r="F214" s="866"/>
      <c r="G214" s="866"/>
      <c r="H214" s="866"/>
      <c r="I214" s="866"/>
      <c r="J214" s="866"/>
      <c r="K214" s="866"/>
      <c r="L214" s="866"/>
      <c r="M214" s="866"/>
      <c r="N214" s="861">
        <f>SUM(N208:N213)</f>
        <v>0</v>
      </c>
      <c r="O214" s="861">
        <f>SUM(O208:O213)</f>
        <v>0</v>
      </c>
      <c r="P214" s="861">
        <f>SUM(P208:P213)</f>
        <v>0</v>
      </c>
      <c r="Q214" s="866"/>
      <c r="R214" s="861">
        <f>SUM(R208:R213)</f>
        <v>0</v>
      </c>
      <c r="S214" s="894"/>
      <c r="T214" s="867"/>
      <c r="U214" s="866"/>
      <c r="V214" s="866"/>
      <c r="W214" s="1012"/>
    </row>
    <row r="215" spans="1:23" ht="16.5" customHeight="1">
      <c r="A215" s="858">
        <v>210</v>
      </c>
      <c r="B215" s="2736"/>
      <c r="C215" s="2731"/>
      <c r="D215" s="2715" t="s">
        <v>1691</v>
      </c>
      <c r="E215" s="859"/>
      <c r="F215" s="859"/>
      <c r="G215" s="860"/>
      <c r="H215" s="860"/>
      <c r="I215" s="860"/>
      <c r="J215" s="860"/>
      <c r="K215" s="861"/>
      <c r="L215" s="861"/>
      <c r="M215" s="861"/>
      <c r="N215" s="861"/>
      <c r="O215" s="1009"/>
      <c r="P215" s="862"/>
      <c r="Q215" s="861"/>
      <c r="R215" s="1009"/>
      <c r="S215" s="894"/>
      <c r="T215" s="867"/>
      <c r="U215" s="1015"/>
      <c r="V215" s="1015"/>
      <c r="W215" s="863"/>
    </row>
    <row r="216" spans="1:23">
      <c r="A216" s="858">
        <v>211</v>
      </c>
      <c r="B216" s="2736"/>
      <c r="C216" s="2731"/>
      <c r="D216" s="2711"/>
      <c r="E216" s="859"/>
      <c r="F216" s="859"/>
      <c r="G216" s="860"/>
      <c r="H216" s="860"/>
      <c r="I216" s="860"/>
      <c r="J216" s="860"/>
      <c r="K216" s="861"/>
      <c r="L216" s="861"/>
      <c r="M216" s="861"/>
      <c r="N216" s="861"/>
      <c r="O216" s="1009"/>
      <c r="P216" s="862"/>
      <c r="Q216" s="861"/>
      <c r="R216" s="1009"/>
      <c r="S216" s="894"/>
      <c r="T216" s="867"/>
      <c r="U216" s="861"/>
      <c r="V216" s="861"/>
      <c r="W216" s="863"/>
    </row>
    <row r="217" spans="1:23">
      <c r="A217" s="858">
        <v>212</v>
      </c>
      <c r="B217" s="2736"/>
      <c r="C217" s="2731"/>
      <c r="D217" s="2711"/>
      <c r="E217" s="859"/>
      <c r="F217" s="859"/>
      <c r="G217" s="860"/>
      <c r="H217" s="860"/>
      <c r="I217" s="860"/>
      <c r="J217" s="860"/>
      <c r="K217" s="861"/>
      <c r="L217" s="861"/>
      <c r="M217" s="861"/>
      <c r="N217" s="861"/>
      <c r="O217" s="1009"/>
      <c r="P217" s="862"/>
      <c r="Q217" s="861"/>
      <c r="R217" s="1009"/>
      <c r="S217" s="894"/>
      <c r="T217" s="867"/>
      <c r="U217" s="861"/>
      <c r="V217" s="861"/>
      <c r="W217" s="863"/>
    </row>
    <row r="218" spans="1:23">
      <c r="A218" s="858">
        <v>213</v>
      </c>
      <c r="B218" s="2736"/>
      <c r="C218" s="2731"/>
      <c r="D218" s="2711"/>
      <c r="E218" s="859"/>
      <c r="F218" s="859"/>
      <c r="G218" s="860"/>
      <c r="H218" s="860"/>
      <c r="I218" s="860"/>
      <c r="J218" s="860"/>
      <c r="K218" s="861"/>
      <c r="L218" s="861"/>
      <c r="M218" s="861"/>
      <c r="N218" s="861"/>
      <c r="O218" s="1009"/>
      <c r="P218" s="862"/>
      <c r="Q218" s="861"/>
      <c r="R218" s="1009"/>
      <c r="S218" s="894"/>
      <c r="T218" s="867"/>
      <c r="U218" s="861"/>
      <c r="V218" s="861"/>
      <c r="W218" s="863"/>
    </row>
    <row r="219" spans="1:23">
      <c r="A219" s="858">
        <v>214</v>
      </c>
      <c r="B219" s="2736"/>
      <c r="C219" s="2731"/>
      <c r="D219" s="2711"/>
      <c r="E219" s="859"/>
      <c r="F219" s="859"/>
      <c r="G219" s="860"/>
      <c r="H219" s="860"/>
      <c r="I219" s="860"/>
      <c r="J219" s="860"/>
      <c r="K219" s="861"/>
      <c r="L219" s="861"/>
      <c r="M219" s="861"/>
      <c r="N219" s="861"/>
      <c r="O219" s="1009"/>
      <c r="P219" s="862"/>
      <c r="Q219" s="861"/>
      <c r="R219" s="1009"/>
      <c r="S219" s="894"/>
      <c r="T219" s="867"/>
      <c r="U219" s="861"/>
      <c r="V219" s="861"/>
      <c r="W219" s="863"/>
    </row>
    <row r="220" spans="1:23">
      <c r="A220" s="858">
        <v>215</v>
      </c>
      <c r="B220" s="2736"/>
      <c r="C220" s="2731"/>
      <c r="D220" s="2711"/>
      <c r="E220" s="859"/>
      <c r="F220" s="859"/>
      <c r="G220" s="860"/>
      <c r="H220" s="860"/>
      <c r="I220" s="860"/>
      <c r="J220" s="860"/>
      <c r="K220" s="861"/>
      <c r="L220" s="861"/>
      <c r="M220" s="861"/>
      <c r="N220" s="861"/>
      <c r="O220" s="1009"/>
      <c r="P220" s="862"/>
      <c r="Q220" s="861"/>
      <c r="R220" s="1009"/>
      <c r="S220" s="894"/>
      <c r="T220" s="867"/>
      <c r="U220" s="861"/>
      <c r="V220" s="861"/>
      <c r="W220" s="863"/>
    </row>
    <row r="221" spans="1:23" ht="15" thickBot="1">
      <c r="A221" s="877">
        <v>216</v>
      </c>
      <c r="B221" s="2736"/>
      <c r="C221" s="2731"/>
      <c r="D221" s="2242" t="s">
        <v>588</v>
      </c>
      <c r="E221" s="880"/>
      <c r="F221" s="880"/>
      <c r="G221" s="880"/>
      <c r="H221" s="880"/>
      <c r="I221" s="880"/>
      <c r="J221" s="880"/>
      <c r="K221" s="880"/>
      <c r="L221" s="880"/>
      <c r="M221" s="880"/>
      <c r="N221" s="881">
        <f>SUM(N215:N220)</f>
        <v>0</v>
      </c>
      <c r="O221" s="881">
        <f>SUM(O215:O220)</f>
        <v>0</v>
      </c>
      <c r="P221" s="881">
        <f>SUM(P215:P220)</f>
        <v>0</v>
      </c>
      <c r="Q221" s="880"/>
      <c r="R221" s="881">
        <f>SUM(R215:R220)</f>
        <v>0</v>
      </c>
      <c r="S221" s="895"/>
      <c r="T221" s="896"/>
      <c r="U221" s="880"/>
      <c r="V221" s="880"/>
      <c r="W221" s="1013"/>
    </row>
    <row r="222" spans="1:23" ht="15" thickBot="1">
      <c r="A222" s="2243">
        <v>217</v>
      </c>
      <c r="B222" s="2722" t="s">
        <v>1415</v>
      </c>
      <c r="C222" s="2723"/>
      <c r="D222" s="2724"/>
      <c r="E222" s="883"/>
      <c r="F222" s="883"/>
      <c r="G222" s="884"/>
      <c r="H222" s="884"/>
      <c r="I222" s="884"/>
      <c r="J222" s="884"/>
      <c r="K222" s="885"/>
      <c r="L222" s="885"/>
      <c r="M222" s="885"/>
      <c r="N222" s="897">
        <f>N172+N179+N186+N193+N200+N207+N214+N221</f>
        <v>0</v>
      </c>
      <c r="O222" s="897">
        <f>O172+O179+O186+O193+O200+O207+O214+O221</f>
        <v>0</v>
      </c>
      <c r="P222" s="897">
        <f>P172+P179+P186+P193+P200+P207+P214+P221</f>
        <v>0</v>
      </c>
      <c r="Q222" s="885"/>
      <c r="R222" s="897">
        <f>R172+R179+R186+R193+R200+R207+R214+R221</f>
        <v>0</v>
      </c>
      <c r="S222" s="898"/>
      <c r="T222" s="887"/>
      <c r="U222" s="885"/>
      <c r="V222" s="885"/>
      <c r="W222" s="1014"/>
    </row>
    <row r="223" spans="1:23" ht="15" thickBot="1">
      <c r="A223" s="2231">
        <v>218</v>
      </c>
      <c r="B223" s="2739" t="s">
        <v>598</v>
      </c>
      <c r="C223" s="2740"/>
      <c r="D223" s="2741"/>
      <c r="E223" s="900"/>
      <c r="F223" s="900"/>
      <c r="G223" s="901"/>
      <c r="H223" s="901"/>
      <c r="I223" s="901"/>
      <c r="J223" s="901"/>
      <c r="K223" s="902"/>
      <c r="L223" s="902"/>
      <c r="M223" s="902"/>
      <c r="N223" s="903">
        <f>N165+N108+N222</f>
        <v>0</v>
      </c>
      <c r="O223" s="903">
        <f>O165+O108+O222</f>
        <v>0</v>
      </c>
      <c r="P223" s="903">
        <f>P165+P108+P222</f>
        <v>0</v>
      </c>
      <c r="Q223" s="902"/>
      <c r="R223" s="903">
        <f>R165+R108+R222</f>
        <v>0</v>
      </c>
      <c r="S223" s="904"/>
      <c r="T223" s="905"/>
      <c r="U223" s="902"/>
      <c r="V223" s="902"/>
      <c r="W223" s="1016"/>
    </row>
    <row r="224" spans="1:23">
      <c r="B224" s="907"/>
      <c r="C224" s="775"/>
      <c r="D224" s="775"/>
      <c r="E224" s="908"/>
      <c r="F224" s="908"/>
      <c r="G224" s="908"/>
      <c r="H224" s="908"/>
      <c r="I224" s="908"/>
      <c r="J224" s="908"/>
      <c r="K224" s="908"/>
      <c r="L224" s="908"/>
      <c r="M224" s="908"/>
      <c r="N224" s="908"/>
      <c r="O224" s="908"/>
      <c r="P224" s="908"/>
      <c r="Q224" s="908"/>
      <c r="R224" s="908"/>
      <c r="S224" s="908"/>
      <c r="T224" s="909"/>
      <c r="U224" s="909"/>
      <c r="V224" s="750"/>
    </row>
    <row r="225" spans="1:22" ht="14.25">
      <c r="A225" s="749" t="s">
        <v>642</v>
      </c>
      <c r="B225" s="907"/>
      <c r="C225" s="775"/>
      <c r="D225" s="775"/>
      <c r="E225" s="908"/>
      <c r="F225" s="908"/>
      <c r="G225" s="908"/>
      <c r="H225" s="908"/>
      <c r="I225" s="908"/>
      <c r="J225" s="908"/>
      <c r="K225" s="908"/>
      <c r="L225" s="908"/>
      <c r="M225" s="908"/>
      <c r="N225" s="908"/>
      <c r="O225" s="908"/>
      <c r="P225" s="908"/>
      <c r="Q225" s="908"/>
      <c r="R225" s="908"/>
      <c r="S225" s="908"/>
      <c r="T225" s="909"/>
      <c r="U225" s="909"/>
      <c r="V225" s="750"/>
    </row>
    <row r="226" spans="1:22" ht="14.25">
      <c r="A226" s="749">
        <v>1</v>
      </c>
      <c r="B226" s="775" t="s">
        <v>1416</v>
      </c>
      <c r="D226" s="775"/>
      <c r="E226" s="908"/>
      <c r="F226" s="908"/>
      <c r="G226" s="908"/>
      <c r="H226" s="908"/>
      <c r="I226" s="908"/>
      <c r="J226" s="908"/>
      <c r="K226" s="908"/>
      <c r="L226" s="908"/>
      <c r="M226" s="908"/>
      <c r="N226" s="908"/>
      <c r="O226" s="908"/>
      <c r="P226" s="908"/>
      <c r="Q226" s="908"/>
      <c r="R226" s="908"/>
      <c r="S226" s="908"/>
      <c r="T226" s="909"/>
      <c r="U226" s="909"/>
      <c r="V226" s="750"/>
    </row>
    <row r="227" spans="1:22" ht="14.25">
      <c r="A227" s="907" t="s">
        <v>494</v>
      </c>
      <c r="B227" s="775" t="s">
        <v>1417</v>
      </c>
      <c r="D227" s="775"/>
      <c r="E227" s="908"/>
      <c r="F227" s="908"/>
      <c r="G227" s="908"/>
      <c r="H227" s="908"/>
      <c r="I227" s="908"/>
      <c r="J227" s="908"/>
      <c r="K227" s="908"/>
      <c r="L227" s="908"/>
      <c r="M227" s="908"/>
      <c r="N227" s="908"/>
      <c r="O227" s="908"/>
      <c r="P227" s="908"/>
      <c r="Q227" s="908"/>
      <c r="R227" s="908"/>
      <c r="S227" s="908"/>
      <c r="T227" s="909"/>
      <c r="U227" s="909"/>
      <c r="V227" s="750"/>
    </row>
    <row r="228" spans="1:22" ht="14.25">
      <c r="A228" s="749">
        <v>3</v>
      </c>
      <c r="B228" s="750" t="s">
        <v>1418</v>
      </c>
      <c r="D228" s="750"/>
      <c r="E228" s="750"/>
      <c r="F228" s="750"/>
      <c r="G228" s="750"/>
      <c r="H228" s="750"/>
      <c r="I228" s="750"/>
      <c r="J228" s="750"/>
      <c r="K228" s="750"/>
      <c r="L228" s="750"/>
      <c r="M228" s="750"/>
      <c r="N228" s="750"/>
    </row>
    <row r="229" spans="1:22" ht="14.25">
      <c r="A229" s="749">
        <v>4</v>
      </c>
      <c r="B229" s="750" t="s">
        <v>1419</v>
      </c>
      <c r="D229" s="750"/>
      <c r="E229" s="750"/>
      <c r="F229" s="750"/>
      <c r="G229" s="750"/>
      <c r="H229" s="750"/>
      <c r="I229" s="750"/>
      <c r="J229" s="750"/>
      <c r="K229" s="750"/>
      <c r="L229" s="750"/>
      <c r="M229" s="750"/>
      <c r="N229" s="750"/>
    </row>
    <row r="230" spans="1:22" ht="14.25">
      <c r="A230" s="907" t="s">
        <v>495</v>
      </c>
      <c r="B230" s="775" t="s">
        <v>1448</v>
      </c>
      <c r="D230" s="908"/>
      <c r="E230" s="908"/>
      <c r="F230" s="908"/>
      <c r="G230" s="908"/>
      <c r="H230" s="908"/>
      <c r="I230" s="908"/>
      <c r="J230" s="908"/>
      <c r="K230" s="908"/>
      <c r="L230" s="908"/>
      <c r="M230" s="908"/>
      <c r="N230" s="908"/>
      <c r="O230" s="908"/>
      <c r="P230" s="908"/>
      <c r="Q230" s="908"/>
      <c r="R230" s="908"/>
      <c r="S230" s="908"/>
      <c r="T230" s="909"/>
      <c r="U230" s="909"/>
      <c r="V230" s="750"/>
    </row>
    <row r="231" spans="1:22">
      <c r="A231" s="749"/>
      <c r="B231" s="907"/>
      <c r="C231" s="775"/>
      <c r="D231" s="775"/>
      <c r="E231" s="908"/>
      <c r="F231" s="908"/>
      <c r="G231" s="908"/>
      <c r="H231" s="908"/>
      <c r="I231" s="908"/>
      <c r="J231" s="908"/>
      <c r="K231" s="908"/>
      <c r="L231" s="908"/>
      <c r="M231" s="908"/>
      <c r="N231" s="908"/>
      <c r="O231" s="908"/>
      <c r="P231" s="908"/>
      <c r="Q231" s="908"/>
      <c r="R231" s="908"/>
      <c r="S231" s="908"/>
      <c r="T231" s="909"/>
      <c r="U231" s="909"/>
      <c r="V231" s="750"/>
    </row>
    <row r="232" spans="1:22">
      <c r="A232" s="749"/>
      <c r="B232" s="907"/>
      <c r="C232" s="775"/>
      <c r="D232" s="775"/>
      <c r="E232" s="908"/>
      <c r="F232" s="908"/>
      <c r="G232" s="908"/>
      <c r="H232" s="908"/>
      <c r="I232" s="908"/>
      <c r="J232" s="908"/>
      <c r="K232" s="908"/>
      <c r="L232" s="908"/>
      <c r="M232" s="908"/>
      <c r="N232" s="908"/>
      <c r="O232" s="908"/>
      <c r="P232" s="908"/>
      <c r="Q232" s="908"/>
      <c r="R232" s="908"/>
      <c r="S232" s="908"/>
      <c r="T232" s="910"/>
      <c r="U232" s="910"/>
      <c r="V232" s="750"/>
    </row>
    <row r="233" spans="1:22">
      <c r="A233" s="907"/>
      <c r="B233" s="907"/>
      <c r="C233" s="756"/>
      <c r="D233" s="756"/>
      <c r="E233" s="908"/>
      <c r="F233" s="908"/>
      <c r="G233" s="908"/>
      <c r="H233" s="908"/>
      <c r="I233" s="908"/>
      <c r="J233" s="908"/>
      <c r="K233" s="908"/>
      <c r="L233" s="908"/>
      <c r="M233" s="908"/>
      <c r="N233" s="908"/>
      <c r="O233" s="908"/>
      <c r="P233" s="908"/>
      <c r="Q233" s="908"/>
      <c r="R233" s="908"/>
      <c r="S233" s="908"/>
      <c r="T233" s="910"/>
      <c r="U233" s="910"/>
      <c r="V233" s="750"/>
    </row>
    <row r="234" spans="1:22">
      <c r="A234" s="749"/>
      <c r="B234" s="907"/>
      <c r="C234" s="775"/>
      <c r="D234" s="775"/>
      <c r="E234" s="908"/>
      <c r="F234" s="908"/>
      <c r="G234" s="908"/>
      <c r="H234" s="908"/>
      <c r="I234" s="908"/>
      <c r="J234" s="908"/>
      <c r="K234" s="908"/>
      <c r="L234" s="908"/>
      <c r="M234" s="908"/>
      <c r="N234" s="908"/>
      <c r="O234" s="908"/>
      <c r="P234" s="908"/>
      <c r="Q234" s="908"/>
      <c r="R234" s="908"/>
      <c r="S234" s="908"/>
      <c r="T234" s="910"/>
      <c r="U234" s="910"/>
      <c r="V234" s="750"/>
    </row>
    <row r="235" spans="1:22">
      <c r="A235" s="749"/>
      <c r="B235" s="907"/>
      <c r="C235" s="775"/>
      <c r="D235" s="775"/>
      <c r="E235" s="908"/>
      <c r="F235" s="908"/>
      <c r="G235" s="908"/>
      <c r="H235" s="908"/>
      <c r="I235" s="908"/>
      <c r="J235" s="908"/>
      <c r="K235" s="908"/>
      <c r="L235" s="908"/>
      <c r="M235" s="908"/>
      <c r="N235" s="908"/>
      <c r="O235" s="908"/>
      <c r="P235" s="908"/>
      <c r="Q235" s="908"/>
      <c r="R235" s="908"/>
      <c r="S235" s="908"/>
      <c r="T235" s="909"/>
      <c r="U235" s="909"/>
      <c r="V235" s="750"/>
    </row>
    <row r="236" spans="1:22">
      <c r="A236" s="907"/>
      <c r="B236" s="907"/>
      <c r="C236" s="908"/>
      <c r="D236" s="775"/>
      <c r="E236" s="908"/>
      <c r="F236" s="908"/>
      <c r="G236" s="908"/>
      <c r="H236" s="908"/>
      <c r="I236" s="908"/>
      <c r="J236" s="908"/>
      <c r="K236" s="908"/>
      <c r="L236" s="908"/>
      <c r="M236" s="908"/>
      <c r="N236" s="908"/>
      <c r="O236" s="908"/>
      <c r="P236" s="908"/>
      <c r="Q236" s="908"/>
      <c r="R236" s="908"/>
      <c r="S236" s="908"/>
      <c r="T236" s="909"/>
      <c r="U236" s="909"/>
      <c r="V236" s="750"/>
    </row>
    <row r="237" spans="1:22">
      <c r="A237" s="749"/>
      <c r="B237" s="907"/>
      <c r="C237" s="775"/>
      <c r="D237" s="775"/>
      <c r="E237" s="908"/>
      <c r="F237" s="908"/>
      <c r="G237" s="908"/>
      <c r="H237" s="908"/>
      <c r="I237" s="908"/>
      <c r="J237" s="908"/>
      <c r="K237" s="908"/>
      <c r="L237" s="908"/>
      <c r="M237" s="908"/>
      <c r="N237" s="908"/>
      <c r="O237" s="908"/>
      <c r="P237" s="908"/>
      <c r="Q237" s="908"/>
      <c r="R237" s="908"/>
      <c r="S237" s="908"/>
      <c r="T237" s="909"/>
      <c r="U237" s="909"/>
      <c r="V237" s="750"/>
    </row>
    <row r="238" spans="1:22">
      <c r="A238" s="749"/>
      <c r="B238" s="907"/>
      <c r="C238" s="775"/>
      <c r="D238" s="775"/>
      <c r="E238" s="908"/>
      <c r="F238" s="908"/>
      <c r="G238" s="908"/>
      <c r="H238" s="908"/>
      <c r="I238" s="908"/>
      <c r="J238" s="908"/>
      <c r="K238" s="908"/>
      <c r="L238" s="908"/>
      <c r="M238" s="908"/>
      <c r="N238" s="908"/>
      <c r="O238" s="908"/>
      <c r="P238" s="908"/>
      <c r="Q238" s="908"/>
      <c r="R238" s="908"/>
      <c r="S238" s="908"/>
      <c r="T238" s="909"/>
      <c r="U238" s="909"/>
      <c r="V238" s="750"/>
    </row>
    <row r="239" spans="1:22">
      <c r="A239" s="907"/>
      <c r="B239" s="907"/>
      <c r="C239" s="908"/>
      <c r="D239" s="908"/>
      <c r="E239" s="908"/>
      <c r="F239" s="908"/>
      <c r="G239" s="908"/>
      <c r="H239" s="908"/>
      <c r="I239" s="908"/>
      <c r="J239" s="908"/>
      <c r="K239" s="908"/>
      <c r="L239" s="908"/>
      <c r="M239" s="908"/>
      <c r="N239" s="908"/>
      <c r="O239" s="908"/>
      <c r="P239" s="908"/>
      <c r="Q239" s="908"/>
      <c r="R239" s="908"/>
      <c r="S239" s="908"/>
    </row>
    <row r="240" spans="1:22">
      <c r="A240" s="749"/>
      <c r="B240" s="907"/>
      <c r="E240" s="908"/>
      <c r="F240" s="908"/>
      <c r="G240" s="908"/>
      <c r="H240" s="908"/>
      <c r="I240" s="908"/>
      <c r="J240" s="908"/>
      <c r="K240" s="908"/>
      <c r="L240" s="908"/>
      <c r="M240" s="908"/>
      <c r="N240" s="908"/>
      <c r="O240" s="908"/>
      <c r="P240" s="908"/>
      <c r="Q240" s="908"/>
      <c r="R240" s="908"/>
      <c r="S240" s="908"/>
    </row>
    <row r="241" spans="1:19">
      <c r="A241" s="749"/>
      <c r="B241" s="907"/>
      <c r="C241" s="908"/>
      <c r="D241" s="908"/>
      <c r="E241" s="911"/>
      <c r="F241" s="911"/>
      <c r="G241" s="911"/>
      <c r="H241" s="911"/>
      <c r="I241" s="911"/>
      <c r="J241" s="911"/>
      <c r="K241" s="911"/>
      <c r="L241" s="911"/>
      <c r="M241" s="911"/>
      <c r="N241" s="911"/>
      <c r="O241" s="911"/>
      <c r="P241" s="908"/>
      <c r="Q241" s="911"/>
      <c r="R241" s="911"/>
      <c r="S241" s="911"/>
    </row>
    <row r="242" spans="1:19">
      <c r="A242" s="907"/>
      <c r="B242" s="907"/>
      <c r="C242" s="775"/>
      <c r="D242" s="775"/>
      <c r="E242" s="911"/>
      <c r="F242" s="911"/>
      <c r="G242" s="911"/>
      <c r="H242" s="911"/>
      <c r="I242" s="911"/>
      <c r="J242" s="911"/>
      <c r="K242" s="911"/>
      <c r="L242" s="911"/>
      <c r="M242" s="911"/>
      <c r="N242" s="911"/>
      <c r="O242" s="911"/>
      <c r="P242" s="908"/>
      <c r="Q242" s="911"/>
      <c r="R242" s="911"/>
      <c r="S242" s="911"/>
    </row>
    <row r="243" spans="1:19">
      <c r="A243" s="749"/>
      <c r="B243" s="907"/>
      <c r="C243" s="908"/>
      <c r="D243" s="908"/>
      <c r="E243" s="910"/>
      <c r="F243" s="912"/>
      <c r="G243" s="910"/>
      <c r="H243" s="910"/>
      <c r="I243" s="910"/>
      <c r="J243" s="910"/>
      <c r="K243" s="910"/>
      <c r="L243" s="910"/>
      <c r="M243" s="910"/>
      <c r="N243" s="910"/>
      <c r="O243" s="910"/>
      <c r="P243" s="911"/>
      <c r="Q243" s="910"/>
      <c r="R243" s="910"/>
      <c r="S243" s="910"/>
    </row>
    <row r="244" spans="1:19">
      <c r="A244" s="907"/>
      <c r="B244" s="907"/>
      <c r="C244" s="908"/>
      <c r="D244" s="908"/>
      <c r="E244" s="910"/>
      <c r="F244" s="912"/>
      <c r="G244" s="910"/>
      <c r="H244" s="910"/>
      <c r="I244" s="910"/>
      <c r="J244" s="910"/>
      <c r="K244" s="910"/>
      <c r="L244" s="910"/>
      <c r="M244" s="910"/>
      <c r="N244" s="910"/>
      <c r="O244" s="910"/>
      <c r="P244" s="909"/>
      <c r="Q244" s="910"/>
      <c r="R244" s="910"/>
      <c r="S244" s="910"/>
    </row>
    <row r="245" spans="1:19">
      <c r="A245" s="907"/>
      <c r="B245" s="907"/>
      <c r="C245" s="908"/>
      <c r="D245" s="908"/>
      <c r="E245" s="910"/>
      <c r="F245" s="912"/>
      <c r="G245" s="910"/>
      <c r="H245" s="910"/>
      <c r="I245" s="910"/>
      <c r="J245" s="910"/>
      <c r="K245" s="910"/>
      <c r="L245" s="910"/>
      <c r="M245" s="910"/>
      <c r="N245" s="910"/>
      <c r="O245" s="910"/>
      <c r="P245" s="910"/>
      <c r="Q245" s="910"/>
      <c r="R245" s="910"/>
      <c r="S245" s="910"/>
    </row>
    <row r="246" spans="1:19">
      <c r="A246" s="907"/>
      <c r="B246" s="907"/>
      <c r="C246" s="908"/>
      <c r="D246" s="908"/>
      <c r="E246" s="750"/>
      <c r="F246" s="913"/>
      <c r="G246" s="750"/>
      <c r="H246" s="750"/>
      <c r="I246" s="750"/>
      <c r="J246" s="750"/>
      <c r="K246" s="750"/>
      <c r="L246" s="750"/>
      <c r="M246" s="750"/>
      <c r="N246" s="750"/>
      <c r="O246" s="750"/>
      <c r="P246" s="910"/>
      <c r="Q246" s="750"/>
      <c r="R246" s="750"/>
      <c r="S246" s="750"/>
    </row>
    <row r="247" spans="1:19">
      <c r="A247" s="907"/>
      <c r="B247" s="907"/>
      <c r="C247" s="908"/>
      <c r="D247" s="908"/>
      <c r="F247" s="914"/>
      <c r="P247" s="910"/>
    </row>
  </sheetData>
  <mergeCells count="62">
    <mergeCell ref="B223:D223"/>
    <mergeCell ref="D194:D199"/>
    <mergeCell ref="C201:C221"/>
    <mergeCell ref="D201:D206"/>
    <mergeCell ref="D208:D213"/>
    <mergeCell ref="D215:D220"/>
    <mergeCell ref="B222:D222"/>
    <mergeCell ref="B165:D165"/>
    <mergeCell ref="B166:B221"/>
    <mergeCell ref="C166:C179"/>
    <mergeCell ref="D166:D171"/>
    <mergeCell ref="D173:D178"/>
    <mergeCell ref="C180:C200"/>
    <mergeCell ref="D180:D185"/>
    <mergeCell ref="D187:D192"/>
    <mergeCell ref="D94:D99"/>
    <mergeCell ref="D101:D106"/>
    <mergeCell ref="D123:D128"/>
    <mergeCell ref="D130:D135"/>
    <mergeCell ref="D137:D142"/>
    <mergeCell ref="B109:B164"/>
    <mergeCell ref="C109:C122"/>
    <mergeCell ref="D109:D114"/>
    <mergeCell ref="D116:D121"/>
    <mergeCell ref="C123:C143"/>
    <mergeCell ref="C144:C164"/>
    <mergeCell ref="D144:D149"/>
    <mergeCell ref="D151:D156"/>
    <mergeCell ref="D158:D163"/>
    <mergeCell ref="J3:J4"/>
    <mergeCell ref="K3:K4"/>
    <mergeCell ref="B108:D108"/>
    <mergeCell ref="B6:B107"/>
    <mergeCell ref="C6:C31"/>
    <mergeCell ref="D6:D17"/>
    <mergeCell ref="D19:D30"/>
    <mergeCell ref="C32:C53"/>
    <mergeCell ref="D32:D41"/>
    <mergeCell ref="D43:D52"/>
    <mergeCell ref="C54:C86"/>
    <mergeCell ref="D54:D63"/>
    <mergeCell ref="D65:D74"/>
    <mergeCell ref="D76:D85"/>
    <mergeCell ref="C87:C107"/>
    <mergeCell ref="D87:D92"/>
    <mergeCell ref="V3:V4"/>
    <mergeCell ref="W3:W4"/>
    <mergeCell ref="L3:L4"/>
    <mergeCell ref="M3:M4"/>
    <mergeCell ref="N3:N4"/>
    <mergeCell ref="O3:O4"/>
    <mergeCell ref="P3:P4"/>
    <mergeCell ref="Q3:Q4"/>
    <mergeCell ref="U3:U4"/>
    <mergeCell ref="R3:R4"/>
    <mergeCell ref="S3:S4"/>
    <mergeCell ref="T3:T4"/>
    <mergeCell ref="A3:A5"/>
    <mergeCell ref="B3:B4"/>
    <mergeCell ref="C3:D4"/>
    <mergeCell ref="E3:I3"/>
    <mergeCell ref="C5:D5"/>
  </mergeCells>
  <phoneticPr fontId="26" type="noConversion"/>
  <printOptions horizontalCentered="1"/>
  <pageMargins left="0.39370078740157483" right="0.39370078740157483" top="0.39370078740157483" bottom="0.39370078740157483" header="0.19685039370078741" footer="0.19685039370078741"/>
  <pageSetup paperSize="9" scale="36" fitToHeight="0" orientation="portrait" horizontalDpi="4294967295" verticalDpi="4294967295" r:id="rId1"/>
  <headerFooter alignWithMargins="0">
    <oddFooter>&amp;C&amp;P+82&amp;R&amp;A</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pageSetUpPr fitToPage="1"/>
  </sheetPr>
  <dimension ref="A1:L54"/>
  <sheetViews>
    <sheetView zoomScale="80" zoomScaleNormal="80" workbookViewId="0">
      <pane xSplit="3" ySplit="5" topLeftCell="D12" activePane="bottomRight" state="frozen"/>
      <selection pane="topRight"/>
      <selection pane="bottomLeft"/>
      <selection pane="bottomRight"/>
    </sheetView>
  </sheetViews>
  <sheetFormatPr defaultRowHeight="15.75"/>
  <cols>
    <col min="1" max="1" width="5.125" style="1017" customWidth="1"/>
    <col min="2" max="2" width="16.5" style="1017" customWidth="1"/>
    <col min="3" max="3" width="22.375" style="1017" customWidth="1"/>
    <col min="4" max="4" width="12.25" style="1017" bestFit="1" customWidth="1"/>
    <col min="5" max="5" width="13.5" style="1017" customWidth="1"/>
    <col min="6" max="6" width="10.5" style="1017" customWidth="1"/>
    <col min="7" max="7" width="13.375" style="1017" customWidth="1"/>
    <col min="8" max="8" width="14" style="1017" customWidth="1"/>
    <col min="9" max="9" width="11.625" style="1017" customWidth="1"/>
    <col min="10" max="10" width="12.625" style="1017" customWidth="1"/>
    <col min="11" max="11" width="14.125" style="1017" customWidth="1"/>
    <col min="12" max="12" width="12.875" style="1017" customWidth="1"/>
    <col min="13" max="16384" width="9" style="1017"/>
  </cols>
  <sheetData>
    <row r="1" spans="1:12">
      <c r="A1" s="105" t="str">
        <f>表03!A1</f>
        <v xml:space="preserve"> 保險股份有限公司    年度(月)報表</v>
      </c>
      <c r="B1" s="721"/>
      <c r="C1" s="721"/>
      <c r="D1" s="721"/>
      <c r="E1" s="721"/>
      <c r="F1" s="721"/>
      <c r="G1" s="721"/>
      <c r="H1" s="721"/>
      <c r="I1" s="721"/>
      <c r="J1" s="721"/>
      <c r="K1" s="721"/>
      <c r="L1" s="721"/>
    </row>
    <row r="2" spans="1:12" ht="16.5" thickBot="1">
      <c r="A2" s="1018" t="s">
        <v>1453</v>
      </c>
      <c r="B2" s="1018"/>
      <c r="C2" s="721"/>
      <c r="D2" s="721"/>
      <c r="E2" s="721"/>
      <c r="F2" s="721"/>
      <c r="G2" s="721"/>
      <c r="H2" s="721"/>
      <c r="I2" s="721"/>
      <c r="J2" s="721" t="s">
        <v>1389</v>
      </c>
      <c r="K2" s="721"/>
      <c r="L2" s="721"/>
    </row>
    <row r="3" spans="1:12" ht="16.5" customHeight="1">
      <c r="A3" s="2751" t="s">
        <v>677</v>
      </c>
      <c r="B3" s="2753" t="s">
        <v>1454</v>
      </c>
      <c r="C3" s="2754"/>
      <c r="D3" s="2743" t="s">
        <v>590</v>
      </c>
      <c r="E3" s="2755"/>
      <c r="F3" s="2755"/>
      <c r="G3" s="2756" t="s">
        <v>1858</v>
      </c>
      <c r="H3" s="2755"/>
      <c r="I3" s="2757"/>
      <c r="J3" s="2743" t="s">
        <v>6988</v>
      </c>
      <c r="K3" s="2743"/>
      <c r="L3" s="2744"/>
    </row>
    <row r="4" spans="1:12" ht="28.5">
      <c r="A4" s="2752"/>
      <c r="B4" s="2640"/>
      <c r="C4" s="2641"/>
      <c r="D4" s="1301" t="s">
        <v>1431</v>
      </c>
      <c r="E4" s="2284" t="s">
        <v>1451</v>
      </c>
      <c r="F4" s="1302" t="s">
        <v>1387</v>
      </c>
      <c r="G4" s="1019" t="s">
        <v>1450</v>
      </c>
      <c r="H4" s="2227" t="s">
        <v>1451</v>
      </c>
      <c r="I4" s="1020" t="s">
        <v>1387</v>
      </c>
      <c r="J4" s="1019" t="s">
        <v>1450</v>
      </c>
      <c r="K4" s="2227" t="s">
        <v>1451</v>
      </c>
      <c r="L4" s="1020" t="s">
        <v>1387</v>
      </c>
    </row>
    <row r="5" spans="1:12" ht="17.25" thickBot="1">
      <c r="A5" s="2752"/>
      <c r="B5" s="2745" t="s">
        <v>66</v>
      </c>
      <c r="C5" s="2746"/>
      <c r="D5" s="1303" t="s">
        <v>187</v>
      </c>
      <c r="E5" s="1022" t="s">
        <v>308</v>
      </c>
      <c r="F5" s="1023" t="s">
        <v>69</v>
      </c>
      <c r="G5" s="1021" t="s">
        <v>70</v>
      </c>
      <c r="H5" s="1022" t="s">
        <v>71</v>
      </c>
      <c r="I5" s="1023" t="s">
        <v>72</v>
      </c>
      <c r="J5" s="1021" t="s">
        <v>73</v>
      </c>
      <c r="K5" s="1022" t="s">
        <v>74</v>
      </c>
      <c r="L5" s="1023" t="s">
        <v>75</v>
      </c>
    </row>
    <row r="6" spans="1:12">
      <c r="A6" s="1024">
        <v>1</v>
      </c>
      <c r="B6" s="2747" t="s">
        <v>1455</v>
      </c>
      <c r="C6" s="1025" t="s">
        <v>599</v>
      </c>
      <c r="D6" s="1305"/>
      <c r="E6" s="1306"/>
      <c r="F6" s="1307"/>
      <c r="G6" s="1308">
        <f>'表16-1-1'!N18</f>
        <v>0</v>
      </c>
      <c r="H6" s="918">
        <f>'表16-1-1'!O18</f>
        <v>0</v>
      </c>
      <c r="I6" s="1309">
        <f>'表16-1-1'!P18</f>
        <v>0</v>
      </c>
      <c r="J6" s="1308">
        <f>'表16-1-1'!N31</f>
        <v>0</v>
      </c>
      <c r="K6" s="918">
        <f>'表16-1-1'!O31</f>
        <v>0</v>
      </c>
      <c r="L6" s="1309">
        <f>'表16-1-1'!P31</f>
        <v>0</v>
      </c>
    </row>
    <row r="7" spans="1:12">
      <c r="A7" s="1026">
        <v>2</v>
      </c>
      <c r="B7" s="2748"/>
      <c r="C7" s="1062" t="s">
        <v>600</v>
      </c>
      <c r="D7" s="1310"/>
      <c r="E7" s="1311"/>
      <c r="F7" s="1312"/>
      <c r="G7" s="1313">
        <f>'表16-1-2'!M20</f>
        <v>0</v>
      </c>
      <c r="H7" s="1314"/>
      <c r="I7" s="1315">
        <f>'表16-1-2'!N20</f>
        <v>0</v>
      </c>
      <c r="J7" s="1313">
        <f>'表16-1-2'!M27</f>
        <v>0</v>
      </c>
      <c r="K7" s="1314"/>
      <c r="L7" s="1315">
        <f>'表16-1-2'!N27</f>
        <v>0</v>
      </c>
    </row>
    <row r="8" spans="1:12">
      <c r="A8" s="1026">
        <v>3</v>
      </c>
      <c r="B8" s="2749"/>
      <c r="C8" s="1062" t="s">
        <v>601</v>
      </c>
      <c r="D8" s="1310"/>
      <c r="E8" s="1311"/>
      <c r="F8" s="1312"/>
      <c r="G8" s="1313">
        <f>'表16-1-3'!N18</f>
        <v>0</v>
      </c>
      <c r="H8" s="923">
        <f>'表16-1-3'!O18</f>
        <v>0</v>
      </c>
      <c r="I8" s="1315">
        <f>'表16-1-3'!P18</f>
        <v>0</v>
      </c>
      <c r="J8" s="1313">
        <f>'表16-1-3'!N31</f>
        <v>0</v>
      </c>
      <c r="K8" s="923">
        <f>'表16-1-3'!O31</f>
        <v>0</v>
      </c>
      <c r="L8" s="1315">
        <f>'表16-1-3'!P31</f>
        <v>0</v>
      </c>
    </row>
    <row r="9" spans="1:12">
      <c r="A9" s="1026">
        <v>4</v>
      </c>
      <c r="B9" s="2749"/>
      <c r="C9" s="1062" t="s">
        <v>602</v>
      </c>
      <c r="D9" s="1310"/>
      <c r="E9" s="1311"/>
      <c r="F9" s="1312"/>
      <c r="G9" s="1313">
        <f>'表16-1-4'!N18</f>
        <v>0</v>
      </c>
      <c r="H9" s="923">
        <f>'表16-1-4'!O18</f>
        <v>0</v>
      </c>
      <c r="I9" s="1315">
        <f>'表16-1-4'!P18</f>
        <v>0</v>
      </c>
      <c r="J9" s="1313">
        <f>'表16-1-4'!N31</f>
        <v>0</v>
      </c>
      <c r="K9" s="923">
        <f>'表16-1-4'!O31</f>
        <v>0</v>
      </c>
      <c r="L9" s="1315">
        <f>'表16-1-4'!P31</f>
        <v>0</v>
      </c>
    </row>
    <row r="10" spans="1:12">
      <c r="A10" s="1026">
        <v>5</v>
      </c>
      <c r="B10" s="2749"/>
      <c r="C10" s="1062" t="s">
        <v>603</v>
      </c>
      <c r="D10" s="1310"/>
      <c r="E10" s="1311"/>
      <c r="F10" s="1312"/>
      <c r="G10" s="1313">
        <f>'表16-1-5'!N18</f>
        <v>0</v>
      </c>
      <c r="H10" s="923">
        <f>'表16-1-5'!O18</f>
        <v>0</v>
      </c>
      <c r="I10" s="1315">
        <f>'表16-1-5'!P18</f>
        <v>0</v>
      </c>
      <c r="J10" s="1313">
        <f>'表16-1-5'!N31</f>
        <v>0</v>
      </c>
      <c r="K10" s="923">
        <f>'表16-1-5'!O31</f>
        <v>0</v>
      </c>
      <c r="L10" s="1315">
        <f>'表16-1-5'!P31</f>
        <v>0</v>
      </c>
    </row>
    <row r="11" spans="1:12" ht="16.5" thickBot="1">
      <c r="A11" s="1028">
        <v>6</v>
      </c>
      <c r="B11" s="2750"/>
      <c r="C11" s="2248" t="s">
        <v>604</v>
      </c>
      <c r="D11" s="1316"/>
      <c r="E11" s="1317"/>
      <c r="F11" s="1318"/>
      <c r="G11" s="1319">
        <f t="shared" ref="G11:L11" si="0">SUM(G6:G10)</f>
        <v>0</v>
      </c>
      <c r="H11" s="1320">
        <f t="shared" si="0"/>
        <v>0</v>
      </c>
      <c r="I11" s="1321">
        <f t="shared" si="0"/>
        <v>0</v>
      </c>
      <c r="J11" s="1319">
        <f t="shared" si="0"/>
        <v>0</v>
      </c>
      <c r="K11" s="1320">
        <f t="shared" si="0"/>
        <v>0</v>
      </c>
      <c r="L11" s="1321">
        <f t="shared" si="0"/>
        <v>0</v>
      </c>
    </row>
    <row r="12" spans="1:12" ht="16.5">
      <c r="A12" s="1024">
        <f>A11+1</f>
        <v>7</v>
      </c>
      <c r="B12" s="2760" t="s">
        <v>1456</v>
      </c>
      <c r="C12" s="1162" t="s">
        <v>599</v>
      </c>
      <c r="D12" s="1322"/>
      <c r="E12" s="1306"/>
      <c r="F12" s="1307"/>
      <c r="G12" s="1308">
        <f>'表16-1-1'!N42</f>
        <v>0</v>
      </c>
      <c r="H12" s="918">
        <f>'表16-1-1'!O42</f>
        <v>0</v>
      </c>
      <c r="I12" s="1309">
        <f>'表16-1-1'!P42</f>
        <v>0</v>
      </c>
      <c r="J12" s="1308">
        <f>'表16-1-1'!N53</f>
        <v>0</v>
      </c>
      <c r="K12" s="918">
        <f>'表16-1-1'!O53</f>
        <v>0</v>
      </c>
      <c r="L12" s="1309">
        <f>'表16-1-1'!P53</f>
        <v>0</v>
      </c>
    </row>
    <row r="13" spans="1:12">
      <c r="A13" s="1026">
        <f t="shared" ref="A13:A39" si="1">A12+1</f>
        <v>8</v>
      </c>
      <c r="B13" s="2761"/>
      <c r="C13" s="1062" t="s">
        <v>600</v>
      </c>
      <c r="D13" s="1310"/>
      <c r="E13" s="1311"/>
      <c r="F13" s="1312"/>
      <c r="G13" s="1313">
        <f>'表16-1-2'!M38</f>
        <v>0</v>
      </c>
      <c r="H13" s="1314"/>
      <c r="I13" s="1315">
        <f>'表16-1-2'!N38</f>
        <v>0</v>
      </c>
      <c r="J13" s="1313">
        <f>'表16-1-2'!M49</f>
        <v>0</v>
      </c>
      <c r="K13" s="1314"/>
      <c r="L13" s="1315">
        <f>'表16-1-2'!N49</f>
        <v>0</v>
      </c>
    </row>
    <row r="14" spans="1:12">
      <c r="A14" s="1026">
        <f t="shared" si="1"/>
        <v>9</v>
      </c>
      <c r="B14" s="2761"/>
      <c r="C14" s="1062" t="s">
        <v>601</v>
      </c>
      <c r="D14" s="1310"/>
      <c r="E14" s="1311"/>
      <c r="F14" s="1312"/>
      <c r="G14" s="1313">
        <f>'表16-1-3'!N42</f>
        <v>0</v>
      </c>
      <c r="H14" s="923">
        <f>'表16-1-3'!O42</f>
        <v>0</v>
      </c>
      <c r="I14" s="1315">
        <f>'表16-1-3'!P42</f>
        <v>0</v>
      </c>
      <c r="J14" s="1313">
        <f>'表16-1-3'!N53</f>
        <v>0</v>
      </c>
      <c r="K14" s="923">
        <f>'表16-1-3'!O53</f>
        <v>0</v>
      </c>
      <c r="L14" s="1315">
        <f>'表16-1-3'!P53</f>
        <v>0</v>
      </c>
    </row>
    <row r="15" spans="1:12">
      <c r="A15" s="1026">
        <f t="shared" si="1"/>
        <v>10</v>
      </c>
      <c r="B15" s="2761"/>
      <c r="C15" s="1062" t="s">
        <v>602</v>
      </c>
      <c r="D15" s="1310"/>
      <c r="E15" s="1311"/>
      <c r="F15" s="1312"/>
      <c r="G15" s="1313">
        <f>'表16-1-4'!N42</f>
        <v>0</v>
      </c>
      <c r="H15" s="923">
        <f>'表16-1-4'!O42</f>
        <v>0</v>
      </c>
      <c r="I15" s="1315">
        <f>'表16-1-4'!P42</f>
        <v>0</v>
      </c>
      <c r="J15" s="1313">
        <f>'表16-1-4'!N53</f>
        <v>0</v>
      </c>
      <c r="K15" s="923">
        <f>'表16-1-4'!O53</f>
        <v>0</v>
      </c>
      <c r="L15" s="1315">
        <f>'表16-1-4'!P53</f>
        <v>0</v>
      </c>
    </row>
    <row r="16" spans="1:12">
      <c r="A16" s="1026">
        <f t="shared" si="1"/>
        <v>11</v>
      </c>
      <c r="B16" s="2761"/>
      <c r="C16" s="1062" t="s">
        <v>603</v>
      </c>
      <c r="D16" s="1310"/>
      <c r="E16" s="1311"/>
      <c r="F16" s="1312"/>
      <c r="G16" s="1313">
        <f>'表16-1-5'!N42</f>
        <v>0</v>
      </c>
      <c r="H16" s="923">
        <f>'表16-1-5'!O42</f>
        <v>0</v>
      </c>
      <c r="I16" s="1315">
        <f>'表16-1-5'!P42</f>
        <v>0</v>
      </c>
      <c r="J16" s="1313">
        <f>'表16-1-5'!N53</f>
        <v>0</v>
      </c>
      <c r="K16" s="923">
        <f>'表16-1-5'!O53</f>
        <v>0</v>
      </c>
      <c r="L16" s="1315">
        <f>'表16-1-5'!P53</f>
        <v>0</v>
      </c>
    </row>
    <row r="17" spans="1:12">
      <c r="A17" s="1026">
        <f t="shared" si="1"/>
        <v>12</v>
      </c>
      <c r="B17" s="2762"/>
      <c r="C17" s="1249" t="s">
        <v>605</v>
      </c>
      <c r="D17" s="1323"/>
      <c r="E17" s="1324"/>
      <c r="F17" s="1325"/>
      <c r="G17" s="1326">
        <f t="shared" ref="G17:L17" si="2">SUM(G12:G16)</f>
        <v>0</v>
      </c>
      <c r="H17" s="1327">
        <f t="shared" si="2"/>
        <v>0</v>
      </c>
      <c r="I17" s="1328">
        <f t="shared" si="2"/>
        <v>0</v>
      </c>
      <c r="J17" s="1326">
        <f t="shared" si="2"/>
        <v>0</v>
      </c>
      <c r="K17" s="1327">
        <f t="shared" si="2"/>
        <v>0</v>
      </c>
      <c r="L17" s="1328">
        <f t="shared" si="2"/>
        <v>0</v>
      </c>
    </row>
    <row r="18" spans="1:12" ht="16.5" customHeight="1" thickBot="1">
      <c r="A18" s="1030">
        <f t="shared" si="1"/>
        <v>13</v>
      </c>
      <c r="B18" s="2763" t="s">
        <v>606</v>
      </c>
      <c r="C18" s="2746"/>
      <c r="D18" s="1316"/>
      <c r="E18" s="1329"/>
      <c r="F18" s="1318"/>
      <c r="G18" s="1330">
        <f t="shared" ref="G18:L18" si="3">G17+G11</f>
        <v>0</v>
      </c>
      <c r="H18" s="1320">
        <f t="shared" si="3"/>
        <v>0</v>
      </c>
      <c r="I18" s="1321">
        <f t="shared" si="3"/>
        <v>0</v>
      </c>
      <c r="J18" s="1330">
        <f t="shared" si="3"/>
        <v>0</v>
      </c>
      <c r="K18" s="1320">
        <f t="shared" si="3"/>
        <v>0</v>
      </c>
      <c r="L18" s="1321">
        <f t="shared" si="3"/>
        <v>0</v>
      </c>
    </row>
    <row r="19" spans="1:12" ht="16.5" customHeight="1">
      <c r="A19" s="1366">
        <f t="shared" si="1"/>
        <v>14</v>
      </c>
      <c r="B19" s="2710" t="s">
        <v>1859</v>
      </c>
      <c r="C19" s="1367" t="s">
        <v>1860</v>
      </c>
      <c r="D19" s="1368">
        <f>'表16-1-1'!N64</f>
        <v>0</v>
      </c>
      <c r="E19" s="1369">
        <f>'表16-1-1'!O64</f>
        <v>0</v>
      </c>
      <c r="F19" s="1370">
        <f>'表16-1-1'!P64</f>
        <v>0</v>
      </c>
      <c r="G19" s="1322"/>
      <c r="H19" s="1306"/>
      <c r="I19" s="1307"/>
      <c r="J19" s="1371"/>
      <c r="K19" s="1306"/>
      <c r="L19" s="1372"/>
    </row>
    <row r="20" spans="1:12" ht="16.5" customHeight="1">
      <c r="A20" s="1373">
        <f t="shared" si="1"/>
        <v>15</v>
      </c>
      <c r="B20" s="2711"/>
      <c r="C20" s="1374" t="s">
        <v>1861</v>
      </c>
      <c r="D20" s="1375">
        <f>'表16-1-3'!N64</f>
        <v>0</v>
      </c>
      <c r="E20" s="1376">
        <f>'表16-1-3'!O64</f>
        <v>0</v>
      </c>
      <c r="F20" s="1377">
        <f>'表16-1-3'!P64</f>
        <v>0</v>
      </c>
      <c r="G20" s="1310"/>
      <c r="H20" s="1311"/>
      <c r="I20" s="1312"/>
      <c r="J20" s="1378"/>
      <c r="K20" s="1311"/>
      <c r="L20" s="1379"/>
    </row>
    <row r="21" spans="1:12" ht="16.5" customHeight="1">
      <c r="A21" s="1373">
        <f t="shared" si="1"/>
        <v>16</v>
      </c>
      <c r="B21" s="2711"/>
      <c r="C21" s="1374" t="s">
        <v>1862</v>
      </c>
      <c r="D21" s="1375">
        <f>D19+D20</f>
        <v>0</v>
      </c>
      <c r="E21" s="1376">
        <f>E19+E20</f>
        <v>0</v>
      </c>
      <c r="F21" s="1380">
        <f>F19+F20</f>
        <v>0</v>
      </c>
      <c r="G21" s="1310"/>
      <c r="H21" s="1311"/>
      <c r="I21" s="1312"/>
      <c r="J21" s="1378"/>
      <c r="K21" s="1311"/>
      <c r="L21" s="1379"/>
    </row>
    <row r="22" spans="1:12" ht="16.5" customHeight="1">
      <c r="A22" s="1373">
        <f t="shared" si="1"/>
        <v>17</v>
      </c>
      <c r="B22" s="2711"/>
      <c r="C22" s="1381" t="s">
        <v>1860</v>
      </c>
      <c r="D22" s="1375">
        <f>'表16-1-1'!N75</f>
        <v>0</v>
      </c>
      <c r="E22" s="1376">
        <f>'表16-1-1'!O75</f>
        <v>0</v>
      </c>
      <c r="F22" s="1377">
        <f>'表16-1-1'!P75</f>
        <v>0</v>
      </c>
      <c r="G22" s="1310"/>
      <c r="H22" s="1311"/>
      <c r="I22" s="1312"/>
      <c r="J22" s="1378"/>
      <c r="K22" s="1311"/>
      <c r="L22" s="1379"/>
    </row>
    <row r="23" spans="1:12" ht="16.5" customHeight="1">
      <c r="A23" s="1373">
        <f t="shared" si="1"/>
        <v>18</v>
      </c>
      <c r="B23" s="2711"/>
      <c r="C23" s="1374" t="s">
        <v>1861</v>
      </c>
      <c r="D23" s="1375">
        <f>'表16-1-3'!N75</f>
        <v>0</v>
      </c>
      <c r="E23" s="1376">
        <f>'表16-1-3'!O75</f>
        <v>0</v>
      </c>
      <c r="F23" s="1377">
        <f>'表16-1-3'!P75</f>
        <v>0</v>
      </c>
      <c r="G23" s="1310"/>
      <c r="H23" s="1311"/>
      <c r="I23" s="1312"/>
      <c r="J23" s="1378"/>
      <c r="K23" s="1311"/>
      <c r="L23" s="1379"/>
    </row>
    <row r="24" spans="1:12" ht="16.5" customHeight="1">
      <c r="A24" s="1373">
        <f t="shared" si="1"/>
        <v>19</v>
      </c>
      <c r="B24" s="2711"/>
      <c r="C24" s="1382" t="s">
        <v>1863</v>
      </c>
      <c r="D24" s="1383">
        <f>D22+D23</f>
        <v>0</v>
      </c>
      <c r="E24" s="1376">
        <f>E22+E23</f>
        <v>0</v>
      </c>
      <c r="F24" s="1377">
        <f>F22+F23</f>
        <v>0</v>
      </c>
      <c r="G24" s="1323"/>
      <c r="H24" s="1324"/>
      <c r="I24" s="1325"/>
      <c r="J24" s="1384"/>
      <c r="K24" s="1385"/>
      <c r="L24" s="1386"/>
    </row>
    <row r="25" spans="1:12" ht="16.5" customHeight="1" thickBot="1">
      <c r="A25" s="1373">
        <f t="shared" si="1"/>
        <v>20</v>
      </c>
      <c r="B25" s="2662"/>
      <c r="C25" s="1387" t="s">
        <v>1864</v>
      </c>
      <c r="D25" s="1388">
        <f>D21+D24</f>
        <v>0</v>
      </c>
      <c r="E25" s="1389">
        <f>E21+E24</f>
        <v>0</v>
      </c>
      <c r="F25" s="1390">
        <f>F21+F24</f>
        <v>0</v>
      </c>
      <c r="G25" s="1316"/>
      <c r="H25" s="1329"/>
      <c r="I25" s="1318"/>
      <c r="J25" s="1391"/>
      <c r="K25" s="1329"/>
      <c r="L25" s="1392"/>
    </row>
    <row r="26" spans="1:12" ht="16.5">
      <c r="A26" s="1373">
        <f t="shared" si="1"/>
        <v>21</v>
      </c>
      <c r="B26" s="2764" t="s">
        <v>1865</v>
      </c>
      <c r="C26" s="1162" t="s">
        <v>1813</v>
      </c>
      <c r="D26" s="1309">
        <f>'表16-1-1'!N86</f>
        <v>0</v>
      </c>
      <c r="E26" s="918">
        <f>'表16-1-1'!O86</f>
        <v>0</v>
      </c>
      <c r="F26" s="1309">
        <f>'表16-1-1'!P86</f>
        <v>0</v>
      </c>
      <c r="G26" s="1308">
        <f>'表16-1-1'!N97</f>
        <v>0</v>
      </c>
      <c r="H26" s="918">
        <f>'表16-1-1'!O97</f>
        <v>0</v>
      </c>
      <c r="I26" s="1309">
        <f>'表16-1-1'!P97</f>
        <v>0</v>
      </c>
      <c r="J26" s="1308">
        <f>'表16-1-1'!N108</f>
        <v>0</v>
      </c>
      <c r="K26" s="918">
        <f>'表16-1-1'!O108</f>
        <v>0</v>
      </c>
      <c r="L26" s="1309">
        <f>'表16-1-1'!P108</f>
        <v>0</v>
      </c>
    </row>
    <row r="27" spans="1:12">
      <c r="A27" s="1373">
        <f t="shared" si="1"/>
        <v>22</v>
      </c>
      <c r="B27" s="2765"/>
      <c r="C27" s="1062" t="s">
        <v>1814</v>
      </c>
      <c r="D27" s="1315">
        <f>'表16-1-2'!M60</f>
        <v>0</v>
      </c>
      <c r="E27" s="1314"/>
      <c r="F27" s="1315">
        <f>'表16-1-2'!N60</f>
        <v>0</v>
      </c>
      <c r="G27" s="1313">
        <f>'表16-1-2'!M71</f>
        <v>0</v>
      </c>
      <c r="H27" s="1314"/>
      <c r="I27" s="1315">
        <f>'表16-1-2'!N71</f>
        <v>0</v>
      </c>
      <c r="J27" s="1313">
        <f>'表16-1-2'!M82</f>
        <v>0</v>
      </c>
      <c r="K27" s="1314"/>
      <c r="L27" s="1315">
        <f>'表16-1-2'!N82</f>
        <v>0</v>
      </c>
    </row>
    <row r="28" spans="1:12">
      <c r="A28" s="1373">
        <f t="shared" si="1"/>
        <v>23</v>
      </c>
      <c r="B28" s="2765"/>
      <c r="C28" s="1062" t="s">
        <v>1815</v>
      </c>
      <c r="D28" s="1315">
        <f>'表16-1-3'!N86</f>
        <v>0</v>
      </c>
      <c r="E28" s="923">
        <f>'表16-1-3'!O86</f>
        <v>0</v>
      </c>
      <c r="F28" s="1315">
        <f>'表16-1-3'!P86</f>
        <v>0</v>
      </c>
      <c r="G28" s="1313">
        <f>'表16-1-3'!N97</f>
        <v>0</v>
      </c>
      <c r="H28" s="923">
        <f>'表16-1-3'!O97</f>
        <v>0</v>
      </c>
      <c r="I28" s="1315">
        <f>'表16-1-3'!P97</f>
        <v>0</v>
      </c>
      <c r="J28" s="1313">
        <f>'表16-1-3'!N108</f>
        <v>0</v>
      </c>
      <c r="K28" s="923">
        <f>'表16-1-3'!O108</f>
        <v>0</v>
      </c>
      <c r="L28" s="1315">
        <f>'表16-1-3'!P108</f>
        <v>0</v>
      </c>
    </row>
    <row r="29" spans="1:12">
      <c r="A29" s="1373">
        <f t="shared" si="1"/>
        <v>24</v>
      </c>
      <c r="B29" s="2765"/>
      <c r="C29" s="1062" t="s">
        <v>1816</v>
      </c>
      <c r="D29" s="1315">
        <f>'表16-1-4'!N64</f>
        <v>0</v>
      </c>
      <c r="E29" s="923">
        <f>'表16-1-4'!O64</f>
        <v>0</v>
      </c>
      <c r="F29" s="1315">
        <f>'表16-1-4'!P64</f>
        <v>0</v>
      </c>
      <c r="G29" s="1313">
        <f>'表16-1-4'!N75</f>
        <v>0</v>
      </c>
      <c r="H29" s="923">
        <f>'表16-1-4'!O75</f>
        <v>0</v>
      </c>
      <c r="I29" s="1315">
        <f>'表16-1-4'!P75</f>
        <v>0</v>
      </c>
      <c r="J29" s="1313">
        <f>'表16-1-4'!N86</f>
        <v>0</v>
      </c>
      <c r="K29" s="923">
        <f>'表16-1-4'!O86</f>
        <v>0</v>
      </c>
      <c r="L29" s="1315">
        <f>'表16-1-4'!P86</f>
        <v>0</v>
      </c>
    </row>
    <row r="30" spans="1:12">
      <c r="A30" s="1373">
        <f t="shared" si="1"/>
        <v>25</v>
      </c>
      <c r="B30" s="2765"/>
      <c r="C30" s="1062" t="s">
        <v>1817</v>
      </c>
      <c r="D30" s="1315">
        <f>'表16-1-5'!N64</f>
        <v>0</v>
      </c>
      <c r="E30" s="923">
        <f>'表16-1-5'!O64</f>
        <v>0</v>
      </c>
      <c r="F30" s="1315">
        <f>'表16-1-5'!P64</f>
        <v>0</v>
      </c>
      <c r="G30" s="1313">
        <f>'表16-1-5'!N75</f>
        <v>0</v>
      </c>
      <c r="H30" s="923">
        <f>'表16-1-5'!O75</f>
        <v>0</v>
      </c>
      <c r="I30" s="1315">
        <f>'表16-1-5'!P75</f>
        <v>0</v>
      </c>
      <c r="J30" s="1313">
        <f>'表16-1-5'!N86</f>
        <v>0</v>
      </c>
      <c r="K30" s="923">
        <f>'表16-1-5'!O86</f>
        <v>0</v>
      </c>
      <c r="L30" s="1315">
        <f>'表16-1-5'!P86</f>
        <v>0</v>
      </c>
    </row>
    <row r="31" spans="1:12" ht="17.25" thickBot="1">
      <c r="A31" s="1373">
        <f t="shared" si="1"/>
        <v>26</v>
      </c>
      <c r="B31" s="2766"/>
      <c r="C31" s="2381" t="s">
        <v>1866</v>
      </c>
      <c r="D31" s="1321">
        <f>SUM(D26:D30)</f>
        <v>0</v>
      </c>
      <c r="E31" s="1320">
        <f t="shared" ref="E31:L31" si="4">SUM(E26:E30)</f>
        <v>0</v>
      </c>
      <c r="F31" s="1321">
        <f t="shared" si="4"/>
        <v>0</v>
      </c>
      <c r="G31" s="1330">
        <f t="shared" si="4"/>
        <v>0</v>
      </c>
      <c r="H31" s="1320">
        <f t="shared" si="4"/>
        <v>0</v>
      </c>
      <c r="I31" s="1321">
        <f t="shared" si="4"/>
        <v>0</v>
      </c>
      <c r="J31" s="1330">
        <f t="shared" si="4"/>
        <v>0</v>
      </c>
      <c r="K31" s="1320">
        <f t="shared" si="4"/>
        <v>0</v>
      </c>
      <c r="L31" s="1321">
        <f t="shared" si="4"/>
        <v>0</v>
      </c>
    </row>
    <row r="32" spans="1:12" ht="16.5" thickBot="1">
      <c r="A32" s="1393">
        <f t="shared" si="1"/>
        <v>27</v>
      </c>
      <c r="B32" s="2767" t="s">
        <v>1820</v>
      </c>
      <c r="C32" s="2768"/>
      <c r="D32" s="1394">
        <f>D25+D31</f>
        <v>0</v>
      </c>
      <c r="E32" s="1395">
        <f>E25+E31</f>
        <v>0</v>
      </c>
      <c r="F32" s="1396">
        <f>F25+F31</f>
        <v>0</v>
      </c>
      <c r="G32" s="1395">
        <f t="shared" ref="G32:L32" si="5">G31</f>
        <v>0</v>
      </c>
      <c r="H32" s="1397">
        <f t="shared" si="5"/>
        <v>0</v>
      </c>
      <c r="I32" s="1396">
        <f t="shared" si="5"/>
        <v>0</v>
      </c>
      <c r="J32" s="1398">
        <f t="shared" si="5"/>
        <v>0</v>
      </c>
      <c r="K32" s="1397">
        <f t="shared" si="5"/>
        <v>0</v>
      </c>
      <c r="L32" s="1399">
        <f t="shared" si="5"/>
        <v>0</v>
      </c>
    </row>
    <row r="33" spans="1:12">
      <c r="A33" s="1366">
        <f t="shared" si="1"/>
        <v>28</v>
      </c>
      <c r="B33" s="2760" t="s">
        <v>609</v>
      </c>
      <c r="C33" s="1025" t="s">
        <v>599</v>
      </c>
      <c r="D33" s="1331">
        <f>'表16-1-1'!N115</f>
        <v>0</v>
      </c>
      <c r="E33" s="1332">
        <f>'表16-1-1'!O115</f>
        <v>0</v>
      </c>
      <c r="F33" s="1331">
        <f>'表16-1-1'!P115</f>
        <v>0</v>
      </c>
      <c r="G33" s="1333">
        <f>'表16-1-1'!N122</f>
        <v>0</v>
      </c>
      <c r="H33" s="1334">
        <f>'表16-1-1'!O122</f>
        <v>0</v>
      </c>
      <c r="I33" s="1335">
        <f>'表16-1-1'!P122</f>
        <v>0</v>
      </c>
      <c r="J33" s="1336">
        <f>'表16-1-1'!N129</f>
        <v>0</v>
      </c>
      <c r="K33" s="1334">
        <f>'表16-1-1'!O129</f>
        <v>0</v>
      </c>
      <c r="L33" s="1335">
        <f>'表16-1-1'!P129</f>
        <v>0</v>
      </c>
    </row>
    <row r="34" spans="1:12">
      <c r="A34" s="1373">
        <f t="shared" si="1"/>
        <v>29</v>
      </c>
      <c r="B34" s="2761"/>
      <c r="C34" s="1062" t="s">
        <v>600</v>
      </c>
      <c r="D34" s="1337">
        <f>'表16-1-2'!M89</f>
        <v>0</v>
      </c>
      <c r="E34" s="1314"/>
      <c r="F34" s="1338">
        <f>'表16-1-2'!N89</f>
        <v>0</v>
      </c>
      <c r="G34" s="1313">
        <f>'表16-1-2'!M96</f>
        <v>0</v>
      </c>
      <c r="H34" s="1314"/>
      <c r="I34" s="1315">
        <f>'表16-1-2'!N96</f>
        <v>0</v>
      </c>
      <c r="J34" s="1313">
        <f>'表16-1-2'!M103</f>
        <v>0</v>
      </c>
      <c r="K34" s="1314"/>
      <c r="L34" s="1315">
        <f>'表16-1-2'!N103</f>
        <v>0</v>
      </c>
    </row>
    <row r="35" spans="1:12">
      <c r="A35" s="1373">
        <f t="shared" si="1"/>
        <v>30</v>
      </c>
      <c r="B35" s="2761"/>
      <c r="C35" s="1062" t="s">
        <v>601</v>
      </c>
      <c r="D35" s="1331">
        <f>'表16-1-3'!N115</f>
        <v>0</v>
      </c>
      <c r="E35" s="923">
        <f>'表16-1-3'!O115</f>
        <v>0</v>
      </c>
      <c r="F35" s="1315">
        <f>'表16-1-3'!P115</f>
        <v>0</v>
      </c>
      <c r="G35" s="1313">
        <f>'表16-1-3'!N122</f>
        <v>0</v>
      </c>
      <c r="H35" s="923">
        <f>'表16-1-3'!O122</f>
        <v>0</v>
      </c>
      <c r="I35" s="1315">
        <f>'表16-1-3'!P122</f>
        <v>0</v>
      </c>
      <c r="J35" s="1313">
        <f>'表16-1-3'!N129</f>
        <v>0</v>
      </c>
      <c r="K35" s="923">
        <f>'表16-1-3'!O129</f>
        <v>0</v>
      </c>
      <c r="L35" s="1315">
        <f>'表16-1-3'!P129</f>
        <v>0</v>
      </c>
    </row>
    <row r="36" spans="1:12">
      <c r="A36" s="1373">
        <f t="shared" si="1"/>
        <v>31</v>
      </c>
      <c r="B36" s="2761"/>
      <c r="C36" s="1062" t="s">
        <v>602</v>
      </c>
      <c r="D36" s="1339">
        <f>'表16-1-4'!N93</f>
        <v>0</v>
      </c>
      <c r="E36" s="923">
        <f>'表16-1-4'!O93</f>
        <v>0</v>
      </c>
      <c r="F36" s="1315">
        <f>'表16-1-4'!P93</f>
        <v>0</v>
      </c>
      <c r="G36" s="1313">
        <f>'表16-1-4'!N100</f>
        <v>0</v>
      </c>
      <c r="H36" s="923">
        <f>'表16-1-4'!O100</f>
        <v>0</v>
      </c>
      <c r="I36" s="1315">
        <f>'表16-1-4'!P100</f>
        <v>0</v>
      </c>
      <c r="J36" s="1313">
        <f>'表16-1-4'!N107</f>
        <v>0</v>
      </c>
      <c r="K36" s="923">
        <f>'表16-1-4'!O107</f>
        <v>0</v>
      </c>
      <c r="L36" s="1315">
        <f>'表16-1-4'!P107</f>
        <v>0</v>
      </c>
    </row>
    <row r="37" spans="1:12">
      <c r="A37" s="1373">
        <f t="shared" si="1"/>
        <v>32</v>
      </c>
      <c r="B37" s="2762"/>
      <c r="C37" s="1062" t="s">
        <v>603</v>
      </c>
      <c r="D37" s="1339">
        <f>'表16-1-5'!N93</f>
        <v>0</v>
      </c>
      <c r="E37" s="923">
        <f>'表16-1-5'!O93</f>
        <v>0</v>
      </c>
      <c r="F37" s="1315">
        <f>'表16-1-5'!P93</f>
        <v>0</v>
      </c>
      <c r="G37" s="1313">
        <f>'表16-1-5'!N100</f>
        <v>0</v>
      </c>
      <c r="H37" s="923">
        <f>'表16-1-5'!O100</f>
        <v>0</v>
      </c>
      <c r="I37" s="1315">
        <f>'表16-1-5'!P100</f>
        <v>0</v>
      </c>
      <c r="J37" s="1313">
        <f>'表16-1-5'!N107</f>
        <v>0</v>
      </c>
      <c r="K37" s="923">
        <f>'表16-1-5'!O107</f>
        <v>0</v>
      </c>
      <c r="L37" s="1315">
        <f>'表16-1-5'!P107</f>
        <v>0</v>
      </c>
    </row>
    <row r="38" spans="1:12" ht="17.25" thickBot="1">
      <c r="A38" s="1393">
        <f t="shared" si="1"/>
        <v>33</v>
      </c>
      <c r="B38" s="2763" t="s">
        <v>610</v>
      </c>
      <c r="C38" s="2759"/>
      <c r="D38" s="1340">
        <f t="shared" ref="D38:L38" si="6">SUM(D33:D37)</f>
        <v>0</v>
      </c>
      <c r="E38" s="1320">
        <f t="shared" si="6"/>
        <v>0</v>
      </c>
      <c r="F38" s="1321">
        <f t="shared" si="6"/>
        <v>0</v>
      </c>
      <c r="G38" s="1330">
        <f t="shared" si="6"/>
        <v>0</v>
      </c>
      <c r="H38" s="1320">
        <f t="shared" si="6"/>
        <v>0</v>
      </c>
      <c r="I38" s="1321">
        <f t="shared" si="6"/>
        <v>0</v>
      </c>
      <c r="J38" s="1330">
        <f t="shared" si="6"/>
        <v>0</v>
      </c>
      <c r="K38" s="1320">
        <f t="shared" si="6"/>
        <v>0</v>
      </c>
      <c r="L38" s="1321">
        <f t="shared" si="6"/>
        <v>0</v>
      </c>
    </row>
    <row r="39" spans="1:12" ht="17.25" thickBot="1">
      <c r="A39" s="1400">
        <f t="shared" si="1"/>
        <v>34</v>
      </c>
      <c r="B39" s="2758" t="s">
        <v>581</v>
      </c>
      <c r="C39" s="2759"/>
      <c r="D39" s="1350">
        <f t="shared" ref="D39:L39" si="7">D18+D32+D38</f>
        <v>0</v>
      </c>
      <c r="E39" s="1341">
        <f t="shared" si="7"/>
        <v>0</v>
      </c>
      <c r="F39" s="1342">
        <f t="shared" si="7"/>
        <v>0</v>
      </c>
      <c r="G39" s="1343">
        <f t="shared" si="7"/>
        <v>0</v>
      </c>
      <c r="H39" s="1341">
        <f t="shared" si="7"/>
        <v>0</v>
      </c>
      <c r="I39" s="1342">
        <f t="shared" si="7"/>
        <v>0</v>
      </c>
      <c r="J39" s="1343">
        <f t="shared" si="7"/>
        <v>0</v>
      </c>
      <c r="K39" s="1341">
        <f t="shared" si="7"/>
        <v>0</v>
      </c>
      <c r="L39" s="1342">
        <f t="shared" si="7"/>
        <v>0</v>
      </c>
    </row>
    <row r="40" spans="1:12" ht="6" customHeight="1">
      <c r="B40" s="750"/>
      <c r="C40" s="750"/>
      <c r="D40" s="1304"/>
      <c r="E40" s="750"/>
      <c r="F40" s="750"/>
      <c r="G40" s="750"/>
      <c r="H40" s="750"/>
      <c r="I40" s="750"/>
      <c r="J40" s="750"/>
      <c r="K40" s="750"/>
      <c r="L40" s="750"/>
    </row>
    <row r="41" spans="1:12" ht="16.5" customHeight="1">
      <c r="B41" s="750"/>
      <c r="C41" s="750"/>
      <c r="D41" s="750"/>
      <c r="E41" s="750"/>
      <c r="F41" s="750"/>
      <c r="G41" s="750"/>
      <c r="H41" s="750"/>
      <c r="I41" s="750"/>
      <c r="J41" s="750"/>
      <c r="K41" s="750"/>
      <c r="L41" s="750"/>
    </row>
    <row r="42" spans="1:12" ht="16.5" customHeight="1">
      <c r="A42" s="1401" t="s">
        <v>1830</v>
      </c>
      <c r="B42" s="1162"/>
      <c r="C42" s="1162"/>
      <c r="D42" s="1162"/>
      <c r="E42" s="1162"/>
      <c r="F42" s="1162"/>
      <c r="G42" s="1162"/>
      <c r="H42" s="750"/>
      <c r="I42" s="750"/>
      <c r="J42" s="750"/>
      <c r="K42" s="750"/>
      <c r="L42" s="750"/>
    </row>
    <row r="43" spans="1:12" ht="81" customHeight="1">
      <c r="A43" s="2742" t="s">
        <v>1867</v>
      </c>
      <c r="B43" s="1402" t="s">
        <v>1821</v>
      </c>
      <c r="C43" s="1402" t="s">
        <v>1822</v>
      </c>
      <c r="D43" s="1402" t="s">
        <v>1823</v>
      </c>
      <c r="E43" s="1403" t="s">
        <v>1824</v>
      </c>
      <c r="F43" s="1403" t="s">
        <v>1825</v>
      </c>
      <c r="G43" s="1403" t="s">
        <v>1826</v>
      </c>
      <c r="H43" s="750"/>
      <c r="I43" s="750"/>
      <c r="J43" s="750"/>
      <c r="K43" s="750"/>
      <c r="L43" s="750"/>
    </row>
    <row r="44" spans="1:12" ht="16.5" customHeight="1">
      <c r="A44" s="2742"/>
      <c r="B44" s="1404" t="s">
        <v>131</v>
      </c>
      <c r="C44" s="1227" t="s">
        <v>1827</v>
      </c>
      <c r="D44" s="1227" t="s">
        <v>1828</v>
      </c>
      <c r="E44" s="1227" t="s">
        <v>201</v>
      </c>
      <c r="F44" s="1227" t="s">
        <v>683</v>
      </c>
      <c r="G44" s="1405" t="s">
        <v>1829</v>
      </c>
      <c r="H44" s="750"/>
      <c r="I44" s="750"/>
      <c r="J44" s="750"/>
      <c r="K44" s="750"/>
      <c r="L44" s="750"/>
    </row>
    <row r="45" spans="1:12" ht="16.5" customHeight="1">
      <c r="A45" s="1406">
        <v>35</v>
      </c>
      <c r="B45" s="843">
        <f>ROUND(D21*50%,0)</f>
        <v>0</v>
      </c>
      <c r="C45" s="1407">
        <f>ROUND(D24*65%,0)</f>
        <v>0</v>
      </c>
      <c r="D45" s="1407">
        <f>B45+C45</f>
        <v>0</v>
      </c>
      <c r="E45" s="703">
        <f>ROUND(('表10-4'!G8+'表10-4'!G24)*15%,0)</f>
        <v>0</v>
      </c>
      <c r="F45" s="1408"/>
      <c r="G45" s="1409">
        <f>IF(D25&lt;=E45,D45,IF(F45="Y",D45,ROUND(E45*D21/D25*50%+E45*(1-D21/D25)*65%,0)))</f>
        <v>0</v>
      </c>
      <c r="H45" s="750"/>
      <c r="I45" s="750"/>
      <c r="J45" s="750"/>
      <c r="K45" s="750"/>
      <c r="L45" s="750"/>
    </row>
    <row r="46" spans="1:12" ht="16.5" customHeight="1">
      <c r="B46" s="750"/>
      <c r="C46" s="750"/>
      <c r="D46" s="750"/>
      <c r="E46" s="750"/>
      <c r="F46" s="750"/>
      <c r="G46" s="750"/>
      <c r="H46" s="750"/>
      <c r="I46" s="750"/>
      <c r="J46" s="750"/>
      <c r="K46" s="750"/>
      <c r="L46" s="750"/>
    </row>
    <row r="47" spans="1:12" ht="16.5">
      <c r="A47" s="1032" t="s">
        <v>1452</v>
      </c>
      <c r="B47" s="750"/>
      <c r="C47" s="750"/>
      <c r="D47" s="750"/>
      <c r="E47" s="750"/>
      <c r="F47" s="750"/>
      <c r="G47" s="750"/>
      <c r="H47" s="750"/>
      <c r="I47" s="750"/>
      <c r="J47" s="750"/>
      <c r="K47" s="750"/>
      <c r="L47" s="750"/>
    </row>
    <row r="48" spans="1:12">
      <c r="A48" s="1033">
        <v>1</v>
      </c>
      <c r="B48" s="750" t="s">
        <v>1457</v>
      </c>
      <c r="D48" s="750"/>
      <c r="E48" s="750"/>
      <c r="F48" s="750"/>
      <c r="G48" s="750"/>
      <c r="H48" s="750"/>
      <c r="I48" s="750"/>
      <c r="J48" s="750"/>
      <c r="K48" s="750"/>
      <c r="L48" s="750"/>
    </row>
    <row r="49" spans="1:12">
      <c r="A49" s="691">
        <v>2</v>
      </c>
      <c r="B49" s="750" t="s">
        <v>1692</v>
      </c>
      <c r="D49" s="691"/>
      <c r="E49" s="691"/>
      <c r="F49" s="691"/>
      <c r="G49" s="691"/>
      <c r="H49" s="691"/>
      <c r="I49" s="691"/>
      <c r="J49" s="691"/>
      <c r="K49" s="691"/>
      <c r="L49" s="691"/>
    </row>
    <row r="50" spans="1:12">
      <c r="A50" s="1017">
        <v>3</v>
      </c>
      <c r="B50" s="750" t="s">
        <v>6989</v>
      </c>
    </row>
    <row r="51" spans="1:12">
      <c r="A51" s="750">
        <v>4</v>
      </c>
      <c r="B51" s="750" t="s">
        <v>1868</v>
      </c>
    </row>
    <row r="52" spans="1:12">
      <c r="A52" s="750"/>
      <c r="B52" s="750" t="s">
        <v>1869</v>
      </c>
    </row>
    <row r="53" spans="1:12">
      <c r="A53" s="1410">
        <v>5</v>
      </c>
      <c r="B53" s="750" t="s">
        <v>1870</v>
      </c>
    </row>
    <row r="54" spans="1:12">
      <c r="A54" s="750">
        <v>6</v>
      </c>
      <c r="B54" s="750" t="s">
        <v>1871</v>
      </c>
    </row>
  </sheetData>
  <mergeCells count="16">
    <mergeCell ref="A43:A44"/>
    <mergeCell ref="J3:L3"/>
    <mergeCell ref="B5:C5"/>
    <mergeCell ref="B6:B11"/>
    <mergeCell ref="A3:A5"/>
    <mergeCell ref="B3:C4"/>
    <mergeCell ref="D3:F3"/>
    <mergeCell ref="G3:I3"/>
    <mergeCell ref="B39:C39"/>
    <mergeCell ref="B12:B17"/>
    <mergeCell ref="B18:C18"/>
    <mergeCell ref="B38:C38"/>
    <mergeCell ref="B33:B37"/>
    <mergeCell ref="B19:B25"/>
    <mergeCell ref="B26:B31"/>
    <mergeCell ref="B32:C32"/>
  </mergeCells>
  <phoneticPr fontId="26" type="noConversion"/>
  <printOptions horizontalCentered="1"/>
  <pageMargins left="0.39370078740157483" right="0.39370078740157483" top="0.39370078740157483" bottom="0.39370078740157483" header="0.19685039370078741" footer="0.19685039370078741"/>
  <pageSetup paperSize="9" scale="53" orientation="portrait" horizontalDpi="4294967295" verticalDpi="4294967295" r:id="rId1"/>
  <headerFooter alignWithMargins="0">
    <oddFooter>&amp;C&amp;"Times New Roman,標準"87&amp;R&amp;"Times New Roman,標準"&amp;A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fitToPage="1"/>
  </sheetPr>
  <dimension ref="A1:M26"/>
  <sheetViews>
    <sheetView zoomScale="85" zoomScaleNormal="85" workbookViewId="0"/>
  </sheetViews>
  <sheetFormatPr defaultRowHeight="15.75"/>
  <cols>
    <col min="1" max="1" width="5.125" style="1017" customWidth="1"/>
    <col min="2" max="2" width="9" style="1017"/>
    <col min="3" max="3" width="10.625" style="1017" bestFit="1" customWidth="1"/>
    <col min="4" max="4" width="14.5" style="1017" customWidth="1"/>
    <col min="5" max="5" width="13" style="1017" customWidth="1"/>
    <col min="6" max="6" width="11.125" style="1017" customWidth="1"/>
    <col min="7" max="7" width="15.375" style="1017" customWidth="1"/>
    <col min="8" max="8" width="13.125" style="1017" customWidth="1"/>
    <col min="9" max="9" width="10.5" style="1017" customWidth="1"/>
    <col min="10" max="10" width="14.25" style="1017" customWidth="1"/>
    <col min="11" max="11" width="13.625" style="1017" customWidth="1"/>
    <col min="12" max="12" width="10.125" style="1017" customWidth="1"/>
    <col min="13" max="16384" width="9" style="1017"/>
  </cols>
  <sheetData>
    <row r="1" spans="1:13">
      <c r="A1" s="105" t="str">
        <f>表03!A1</f>
        <v xml:space="preserve"> 保險股份有限公司    年度(月)報表</v>
      </c>
      <c r="B1" s="721"/>
      <c r="C1" s="721"/>
      <c r="D1" s="721"/>
      <c r="E1" s="721"/>
      <c r="F1" s="721"/>
      <c r="G1" s="721"/>
      <c r="H1" s="721"/>
      <c r="I1" s="721"/>
      <c r="J1" s="721"/>
      <c r="K1" s="721"/>
      <c r="L1" s="721"/>
      <c r="M1" s="721"/>
    </row>
    <row r="2" spans="1:13" ht="16.5" thickBot="1">
      <c r="A2" s="1018" t="s">
        <v>1463</v>
      </c>
      <c r="B2" s="1018"/>
      <c r="C2" s="721"/>
      <c r="D2" s="721"/>
      <c r="E2" s="721"/>
      <c r="F2" s="721"/>
      <c r="G2" s="721"/>
      <c r="H2" s="721"/>
      <c r="I2" s="721"/>
      <c r="J2" s="721" t="s">
        <v>1389</v>
      </c>
      <c r="K2" s="721"/>
      <c r="L2" s="721"/>
      <c r="M2" s="721"/>
    </row>
    <row r="3" spans="1:13" ht="16.5" customHeight="1">
      <c r="A3" s="2772" t="s">
        <v>677</v>
      </c>
      <c r="B3" s="2775" t="s">
        <v>1464</v>
      </c>
      <c r="C3" s="2776"/>
      <c r="D3" s="2775" t="s">
        <v>1458</v>
      </c>
      <c r="E3" s="2781"/>
      <c r="F3" s="2781"/>
      <c r="G3" s="2782" t="s">
        <v>2091</v>
      </c>
      <c r="H3" s="2783"/>
      <c r="I3" s="2784"/>
      <c r="J3" s="2777" t="s">
        <v>1693</v>
      </c>
      <c r="K3" s="2778"/>
      <c r="L3" s="2779"/>
    </row>
    <row r="4" spans="1:13" ht="28.5">
      <c r="A4" s="2773"/>
      <c r="B4" s="2629"/>
      <c r="C4" s="2616"/>
      <c r="D4" s="1034" t="s">
        <v>1450</v>
      </c>
      <c r="E4" s="2226" t="s">
        <v>1451</v>
      </c>
      <c r="F4" s="1034" t="s">
        <v>1387</v>
      </c>
      <c r="G4" s="1034" t="s">
        <v>1450</v>
      </c>
      <c r="H4" s="2226" t="s">
        <v>1451</v>
      </c>
      <c r="I4" s="1034" t="s">
        <v>1387</v>
      </c>
      <c r="J4" s="1035" t="s">
        <v>1450</v>
      </c>
      <c r="K4" s="2226" t="s">
        <v>1451</v>
      </c>
      <c r="L4" s="1036" t="s">
        <v>1387</v>
      </c>
    </row>
    <row r="5" spans="1:13" ht="16.5" thickBot="1">
      <c r="A5" s="2774"/>
      <c r="B5" s="2658" t="s">
        <v>66</v>
      </c>
      <c r="C5" s="2780"/>
      <c r="D5" s="1037" t="s">
        <v>67</v>
      </c>
      <c r="E5" s="2240" t="s">
        <v>2083</v>
      </c>
      <c r="F5" s="850" t="s">
        <v>2084</v>
      </c>
      <c r="G5" s="1422" t="s">
        <v>2085</v>
      </c>
      <c r="H5" s="2240" t="s">
        <v>2086</v>
      </c>
      <c r="I5" s="850" t="s">
        <v>2087</v>
      </c>
      <c r="J5" s="1038" t="s">
        <v>2088</v>
      </c>
      <c r="K5" s="2240" t="s">
        <v>2089</v>
      </c>
      <c r="L5" s="850" t="s">
        <v>2090</v>
      </c>
    </row>
    <row r="6" spans="1:13">
      <c r="A6" s="1024">
        <v>1</v>
      </c>
      <c r="B6" s="2747" t="s">
        <v>1459</v>
      </c>
      <c r="C6" s="1039" t="s">
        <v>599</v>
      </c>
      <c r="D6" s="1040"/>
      <c r="E6" s="1040"/>
      <c r="F6" s="1040"/>
      <c r="G6" s="1041">
        <f>'表16-1-1'!N137</f>
        <v>0</v>
      </c>
      <c r="H6" s="1041">
        <f>'表16-1-1'!O137</f>
        <v>0</v>
      </c>
      <c r="I6" s="1041">
        <f>'表16-1-1'!P137</f>
        <v>0</v>
      </c>
      <c r="J6" s="1042">
        <f>'表16-1-1'!N144</f>
        <v>0</v>
      </c>
      <c r="K6" s="1042">
        <f>'表16-1-1'!O144</f>
        <v>0</v>
      </c>
      <c r="L6" s="1043">
        <f>'表16-1-1'!P144</f>
        <v>0</v>
      </c>
    </row>
    <row r="7" spans="1:13">
      <c r="A7" s="1026">
        <v>2</v>
      </c>
      <c r="B7" s="2748"/>
      <c r="C7" s="1027" t="s">
        <v>600</v>
      </c>
      <c r="D7" s="1044"/>
      <c r="E7" s="1044"/>
      <c r="F7" s="1044"/>
      <c r="G7" s="1045">
        <f>'表16-1-2'!M111</f>
        <v>0</v>
      </c>
      <c r="H7" s="1046"/>
      <c r="I7" s="1047">
        <f>'表16-1-2'!N111</f>
        <v>0</v>
      </c>
      <c r="J7" s="1047">
        <f>'表16-1-2'!M118</f>
        <v>0</v>
      </c>
      <c r="K7" s="1046"/>
      <c r="L7" s="1048">
        <f>'表16-1-2'!N118</f>
        <v>0</v>
      </c>
    </row>
    <row r="8" spans="1:13" ht="23.25" customHeight="1">
      <c r="A8" s="1026">
        <v>3</v>
      </c>
      <c r="B8" s="2749"/>
      <c r="C8" s="1027" t="s">
        <v>601</v>
      </c>
      <c r="D8" s="1044"/>
      <c r="E8" s="1044"/>
      <c r="F8" s="1044"/>
      <c r="G8" s="1045">
        <f>'表16-1-3'!N137</f>
        <v>0</v>
      </c>
      <c r="H8" s="1045">
        <f>'表16-1-3'!O137</f>
        <v>0</v>
      </c>
      <c r="I8" s="1045">
        <f>'表16-1-3'!P137</f>
        <v>0</v>
      </c>
      <c r="J8" s="1045">
        <f>'表16-1-3'!N144</f>
        <v>0</v>
      </c>
      <c r="K8" s="1045">
        <f>'表16-1-3'!O144</f>
        <v>0</v>
      </c>
      <c r="L8" s="1048">
        <f>'表16-1-3'!P144</f>
        <v>0</v>
      </c>
    </row>
    <row r="9" spans="1:13">
      <c r="A9" s="1026">
        <v>4</v>
      </c>
      <c r="B9" s="2749"/>
      <c r="C9" s="1027" t="s">
        <v>1460</v>
      </c>
      <c r="D9" s="1044"/>
      <c r="E9" s="1044"/>
      <c r="F9" s="1044"/>
      <c r="G9" s="1045">
        <f>'表16-1-5'!N115</f>
        <v>0</v>
      </c>
      <c r="H9" s="1045">
        <f>'表16-1-5'!O115</f>
        <v>0</v>
      </c>
      <c r="I9" s="1045">
        <f>'表16-1-5'!P115</f>
        <v>0</v>
      </c>
      <c r="J9" s="1045">
        <f>'表16-1-5'!N122</f>
        <v>0</v>
      </c>
      <c r="K9" s="1045">
        <f>'表16-1-5'!O122</f>
        <v>0</v>
      </c>
      <c r="L9" s="1048">
        <f>'表16-1-5'!P122</f>
        <v>0</v>
      </c>
    </row>
    <row r="10" spans="1:13" ht="16.5" thickBot="1">
      <c r="A10" s="1028">
        <v>5</v>
      </c>
      <c r="B10" s="2750"/>
      <c r="C10" s="1029" t="s">
        <v>1461</v>
      </c>
      <c r="D10" s="1049"/>
      <c r="E10" s="1049"/>
      <c r="F10" s="1049"/>
      <c r="G10" s="1050">
        <f t="shared" ref="G10:L10" si="0">SUM(G6:G9)</f>
        <v>0</v>
      </c>
      <c r="H10" s="1050">
        <f t="shared" si="0"/>
        <v>0</v>
      </c>
      <c r="I10" s="1050">
        <f t="shared" si="0"/>
        <v>0</v>
      </c>
      <c r="J10" s="1050">
        <f t="shared" si="0"/>
        <v>0</v>
      </c>
      <c r="K10" s="1050">
        <f t="shared" si="0"/>
        <v>0</v>
      </c>
      <c r="L10" s="1051">
        <f t="shared" si="0"/>
        <v>0</v>
      </c>
    </row>
    <row r="11" spans="1:13">
      <c r="A11" s="1024">
        <v>6</v>
      </c>
      <c r="B11" s="2747" t="s">
        <v>607</v>
      </c>
      <c r="C11" s="1039" t="s">
        <v>599</v>
      </c>
      <c r="D11" s="1042">
        <f>'表16-1-1'!N151</f>
        <v>0</v>
      </c>
      <c r="E11" s="1042">
        <f>'表16-1-1'!O151</f>
        <v>0</v>
      </c>
      <c r="F11" s="1042">
        <f>'表16-1-1'!P151</f>
        <v>0</v>
      </c>
      <c r="G11" s="1042">
        <f>'表16-1-1'!N158</f>
        <v>0</v>
      </c>
      <c r="H11" s="1042">
        <f>'表16-1-1'!O158</f>
        <v>0</v>
      </c>
      <c r="I11" s="1042">
        <f>'表16-1-1'!P158</f>
        <v>0</v>
      </c>
      <c r="J11" s="1042">
        <f>'表16-1-1'!N165</f>
        <v>0</v>
      </c>
      <c r="K11" s="1042">
        <f>'表16-1-1'!O165</f>
        <v>0</v>
      </c>
      <c r="L11" s="1043">
        <f>'表16-1-1'!P165</f>
        <v>0</v>
      </c>
    </row>
    <row r="12" spans="1:13">
      <c r="A12" s="1026">
        <v>7</v>
      </c>
      <c r="B12" s="2748"/>
      <c r="C12" s="1027" t="s">
        <v>600</v>
      </c>
      <c r="D12" s="1045">
        <f>'表16-1-2'!M125</f>
        <v>0</v>
      </c>
      <c r="E12" s="1046"/>
      <c r="F12" s="1047">
        <f>'表16-1-2'!N125</f>
        <v>0</v>
      </c>
      <c r="G12" s="1047">
        <f>'表16-1-2'!M132</f>
        <v>0</v>
      </c>
      <c r="H12" s="1046"/>
      <c r="I12" s="1047">
        <f>'表16-1-2'!N132</f>
        <v>0</v>
      </c>
      <c r="J12" s="1047">
        <f>'表16-1-2'!M139</f>
        <v>0</v>
      </c>
      <c r="K12" s="1046"/>
      <c r="L12" s="1048">
        <f>'表16-1-2'!N139</f>
        <v>0</v>
      </c>
    </row>
    <row r="13" spans="1:13">
      <c r="A13" s="1026">
        <v>8</v>
      </c>
      <c r="B13" s="2748"/>
      <c r="C13" s="1027" t="s">
        <v>601</v>
      </c>
      <c r="D13" s="1045">
        <f>'表16-1-3'!N151</f>
        <v>0</v>
      </c>
      <c r="E13" s="1045">
        <f>'表16-1-3'!O151</f>
        <v>0</v>
      </c>
      <c r="F13" s="1045">
        <f>'表16-1-3'!P151</f>
        <v>0</v>
      </c>
      <c r="G13" s="1045">
        <f>'表16-1-3'!N158</f>
        <v>0</v>
      </c>
      <c r="H13" s="1045">
        <f>'表16-1-3'!O158</f>
        <v>0</v>
      </c>
      <c r="I13" s="1045">
        <f>'表16-1-3'!P158</f>
        <v>0</v>
      </c>
      <c r="J13" s="1045">
        <f>'表16-1-3'!N165</f>
        <v>0</v>
      </c>
      <c r="K13" s="1045">
        <f>'表16-1-3'!O165</f>
        <v>0</v>
      </c>
      <c r="L13" s="1048">
        <f>'表16-1-3'!P165</f>
        <v>0</v>
      </c>
    </row>
    <row r="14" spans="1:13">
      <c r="A14" s="1026">
        <v>9</v>
      </c>
      <c r="B14" s="2748"/>
      <c r="C14" s="1027" t="s">
        <v>1460</v>
      </c>
      <c r="D14" s="1045">
        <f>'表16-1-5'!N129</f>
        <v>0</v>
      </c>
      <c r="E14" s="1045">
        <f>'表16-1-5'!O129</f>
        <v>0</v>
      </c>
      <c r="F14" s="1045">
        <f>'表16-1-5'!P129</f>
        <v>0</v>
      </c>
      <c r="G14" s="1045">
        <f>'表16-1-5'!N136</f>
        <v>0</v>
      </c>
      <c r="H14" s="1045">
        <f>'表16-1-5'!O136</f>
        <v>0</v>
      </c>
      <c r="I14" s="1045">
        <f>'表16-1-5'!P136</f>
        <v>0</v>
      </c>
      <c r="J14" s="1045">
        <f>'表16-1-5'!N143</f>
        <v>0</v>
      </c>
      <c r="K14" s="1045">
        <f>'表16-1-5'!O143</f>
        <v>0</v>
      </c>
      <c r="L14" s="1048">
        <f>'表16-1-5'!P143</f>
        <v>0</v>
      </c>
    </row>
    <row r="15" spans="1:13" ht="16.5" thickBot="1">
      <c r="A15" s="1028">
        <v>10</v>
      </c>
      <c r="B15" s="2769"/>
      <c r="C15" s="1029" t="s">
        <v>608</v>
      </c>
      <c r="D15" s="1050">
        <f t="shared" ref="D15:L15" si="1">SUM(D11:D14)</f>
        <v>0</v>
      </c>
      <c r="E15" s="1050">
        <f t="shared" si="1"/>
        <v>0</v>
      </c>
      <c r="F15" s="1050">
        <f t="shared" si="1"/>
        <v>0</v>
      </c>
      <c r="G15" s="1050">
        <f t="shared" si="1"/>
        <v>0</v>
      </c>
      <c r="H15" s="1050">
        <f t="shared" si="1"/>
        <v>0</v>
      </c>
      <c r="I15" s="1050">
        <f t="shared" si="1"/>
        <v>0</v>
      </c>
      <c r="J15" s="1050">
        <f t="shared" si="1"/>
        <v>0</v>
      </c>
      <c r="K15" s="1050">
        <f t="shared" si="1"/>
        <v>0</v>
      </c>
      <c r="L15" s="1051">
        <f t="shared" si="1"/>
        <v>0</v>
      </c>
    </row>
    <row r="16" spans="1:13">
      <c r="A16" s="1024">
        <v>11</v>
      </c>
      <c r="B16" s="2747" t="s">
        <v>609</v>
      </c>
      <c r="C16" s="1039" t="s">
        <v>599</v>
      </c>
      <c r="D16" s="1041">
        <f xml:space="preserve"> '表16-1-1'!N172</f>
        <v>0</v>
      </c>
      <c r="E16" s="1041">
        <f xml:space="preserve"> '表16-1-1'!O172</f>
        <v>0</v>
      </c>
      <c r="F16" s="1041">
        <f xml:space="preserve"> '表16-1-1'!P172</f>
        <v>0</v>
      </c>
      <c r="G16" s="1042">
        <f>'表16-1-1'!N179</f>
        <v>0</v>
      </c>
      <c r="H16" s="1042">
        <f>'表16-1-1'!O179</f>
        <v>0</v>
      </c>
      <c r="I16" s="1042">
        <f>'表16-1-1'!P179</f>
        <v>0</v>
      </c>
      <c r="J16" s="1042">
        <f>'表16-1-1'!N186</f>
        <v>0</v>
      </c>
      <c r="K16" s="1042">
        <f>'表16-1-1'!O186</f>
        <v>0</v>
      </c>
      <c r="L16" s="1043">
        <f>'表16-1-1'!P186</f>
        <v>0</v>
      </c>
    </row>
    <row r="17" spans="1:13">
      <c r="A17" s="1026">
        <v>12</v>
      </c>
      <c r="B17" s="2748"/>
      <c r="C17" s="1027" t="s">
        <v>600</v>
      </c>
      <c r="D17" s="1052">
        <f>'表16-1-2'!M146</f>
        <v>0</v>
      </c>
      <c r="E17" s="1046"/>
      <c r="F17" s="1053">
        <f>'表16-1-2'!N146</f>
        <v>0</v>
      </c>
      <c r="G17" s="1047">
        <f>'表16-1-2'!M153</f>
        <v>0</v>
      </c>
      <c r="H17" s="1046"/>
      <c r="I17" s="1047">
        <f>'表16-1-2'!N153</f>
        <v>0</v>
      </c>
      <c r="J17" s="1047">
        <f>'表16-1-2'!M160</f>
        <v>0</v>
      </c>
      <c r="K17" s="1046"/>
      <c r="L17" s="1048">
        <f>'表16-1-2'!N160</f>
        <v>0</v>
      </c>
    </row>
    <row r="18" spans="1:13">
      <c r="A18" s="1026">
        <v>13</v>
      </c>
      <c r="B18" s="2748"/>
      <c r="C18" s="1027" t="s">
        <v>601</v>
      </c>
      <c r="D18" s="1045">
        <f>'表16-1-3'!N172</f>
        <v>0</v>
      </c>
      <c r="E18" s="1045">
        <f>'表16-1-3'!O172</f>
        <v>0</v>
      </c>
      <c r="F18" s="1045">
        <f>'表16-1-3'!P172</f>
        <v>0</v>
      </c>
      <c r="G18" s="1045">
        <f>'表16-1-3'!N179</f>
        <v>0</v>
      </c>
      <c r="H18" s="1045">
        <f>'表16-1-3'!O179</f>
        <v>0</v>
      </c>
      <c r="I18" s="1045">
        <f>'表16-1-3'!P179</f>
        <v>0</v>
      </c>
      <c r="J18" s="1045">
        <f>'表16-1-3'!N186</f>
        <v>0</v>
      </c>
      <c r="K18" s="1045">
        <f>'表16-1-3'!O186</f>
        <v>0</v>
      </c>
      <c r="L18" s="1048">
        <f>'表16-1-3'!P186</f>
        <v>0</v>
      </c>
    </row>
    <row r="19" spans="1:13">
      <c r="A19" s="1026">
        <v>14</v>
      </c>
      <c r="B19" s="2748"/>
      <c r="C19" s="1027" t="s">
        <v>1460</v>
      </c>
      <c r="D19" s="1045">
        <f>'表16-1-5'!N150</f>
        <v>0</v>
      </c>
      <c r="E19" s="1045">
        <f>'表16-1-5'!O150</f>
        <v>0</v>
      </c>
      <c r="F19" s="1045">
        <f>'表16-1-5'!P150</f>
        <v>0</v>
      </c>
      <c r="G19" s="1045">
        <f>'表16-1-5'!N157</f>
        <v>0</v>
      </c>
      <c r="H19" s="1045">
        <f>'表16-1-5'!O157</f>
        <v>0</v>
      </c>
      <c r="I19" s="1045">
        <f>'表16-1-5'!P157</f>
        <v>0</v>
      </c>
      <c r="J19" s="1045">
        <f>'表16-1-5'!N164</f>
        <v>0</v>
      </c>
      <c r="K19" s="1045">
        <f>'表16-1-5'!O164</f>
        <v>0</v>
      </c>
      <c r="L19" s="1048">
        <f>'表16-1-5'!P164</f>
        <v>0</v>
      </c>
    </row>
    <row r="20" spans="1:13" ht="16.5" thickBot="1">
      <c r="A20" s="1028">
        <v>15</v>
      </c>
      <c r="B20" s="2769"/>
      <c r="C20" s="1029" t="s">
        <v>1462</v>
      </c>
      <c r="D20" s="1050">
        <f t="shared" ref="D20:L20" si="2">SUM(D16:D19)</f>
        <v>0</v>
      </c>
      <c r="E20" s="1050">
        <f t="shared" si="2"/>
        <v>0</v>
      </c>
      <c r="F20" s="1050">
        <f t="shared" si="2"/>
        <v>0</v>
      </c>
      <c r="G20" s="1050">
        <f t="shared" si="2"/>
        <v>0</v>
      </c>
      <c r="H20" s="1050">
        <f t="shared" si="2"/>
        <v>0</v>
      </c>
      <c r="I20" s="1050">
        <f t="shared" si="2"/>
        <v>0</v>
      </c>
      <c r="J20" s="1050">
        <f t="shared" si="2"/>
        <v>0</v>
      </c>
      <c r="K20" s="1050">
        <f t="shared" si="2"/>
        <v>0</v>
      </c>
      <c r="L20" s="1051">
        <f t="shared" si="2"/>
        <v>0</v>
      </c>
    </row>
    <row r="21" spans="1:13" ht="16.5" thickBot="1">
      <c r="A21" s="1031">
        <v>16</v>
      </c>
      <c r="B21" s="2770" t="s">
        <v>581</v>
      </c>
      <c r="C21" s="2771"/>
      <c r="D21" s="1054">
        <f t="shared" ref="D21:L21" si="3">D20+D15+D10</f>
        <v>0</v>
      </c>
      <c r="E21" s="1055">
        <f t="shared" si="3"/>
        <v>0</v>
      </c>
      <c r="F21" s="1056">
        <f t="shared" si="3"/>
        <v>0</v>
      </c>
      <c r="G21" s="1054">
        <f t="shared" si="3"/>
        <v>0</v>
      </c>
      <c r="H21" s="1057">
        <f t="shared" si="3"/>
        <v>0</v>
      </c>
      <c r="I21" s="1057">
        <f t="shared" si="3"/>
        <v>0</v>
      </c>
      <c r="J21" s="1058">
        <f t="shared" si="3"/>
        <v>0</v>
      </c>
      <c r="K21" s="1057">
        <f t="shared" si="3"/>
        <v>0</v>
      </c>
      <c r="L21" s="1059">
        <f t="shared" si="3"/>
        <v>0</v>
      </c>
    </row>
    <row r="22" spans="1:13">
      <c r="B22" s="750"/>
      <c r="C22" s="750"/>
      <c r="D22" s="750"/>
      <c r="E22" s="750"/>
      <c r="F22" s="750"/>
      <c r="G22" s="750"/>
      <c r="H22" s="750"/>
      <c r="I22" s="750"/>
      <c r="J22" s="750"/>
      <c r="K22" s="750"/>
      <c r="L22" s="750"/>
      <c r="M22" s="750"/>
    </row>
    <row r="23" spans="1:13" ht="16.5">
      <c r="A23" s="1032" t="s">
        <v>1452</v>
      </c>
      <c r="B23" s="750" t="s">
        <v>1457</v>
      </c>
      <c r="D23" s="750"/>
      <c r="E23" s="750"/>
      <c r="F23" s="750"/>
      <c r="G23" s="750"/>
      <c r="H23" s="750"/>
      <c r="I23" s="750"/>
      <c r="J23" s="750"/>
      <c r="K23" s="750"/>
      <c r="L23" s="750"/>
      <c r="M23" s="750"/>
    </row>
    <row r="24" spans="1:13">
      <c r="A24" s="1033"/>
      <c r="D24" s="750"/>
      <c r="E24" s="750"/>
      <c r="F24" s="750"/>
      <c r="G24" s="750"/>
      <c r="H24" s="750"/>
      <c r="I24" s="750"/>
      <c r="J24" s="750"/>
      <c r="K24" s="750"/>
      <c r="L24" s="750"/>
    </row>
    <row r="25" spans="1:13">
      <c r="A25" s="750"/>
      <c r="B25" s="750"/>
      <c r="C25" s="750"/>
      <c r="D25" s="750"/>
      <c r="E25" s="750"/>
      <c r="F25" s="750"/>
      <c r="G25" s="750"/>
      <c r="H25" s="750"/>
      <c r="I25" s="750"/>
      <c r="J25" s="750"/>
      <c r="K25" s="750"/>
      <c r="L25" s="750"/>
      <c r="M25" s="750"/>
    </row>
    <row r="26" spans="1:13">
      <c r="A26" s="750"/>
      <c r="B26" s="691"/>
      <c r="C26" s="750"/>
      <c r="D26" s="750"/>
      <c r="E26" s="750"/>
      <c r="F26" s="750"/>
      <c r="G26" s="750"/>
      <c r="H26" s="750"/>
      <c r="I26" s="750"/>
      <c r="J26" s="750"/>
      <c r="K26" s="750"/>
      <c r="L26" s="750"/>
      <c r="M26" s="750"/>
    </row>
  </sheetData>
  <mergeCells count="10">
    <mergeCell ref="B16:B20"/>
    <mergeCell ref="B21:C21"/>
    <mergeCell ref="A3:A5"/>
    <mergeCell ref="B3:C4"/>
    <mergeCell ref="J3:L3"/>
    <mergeCell ref="B11:B15"/>
    <mergeCell ref="B5:C5"/>
    <mergeCell ref="B6:B10"/>
    <mergeCell ref="D3:F3"/>
    <mergeCell ref="G3:I3"/>
  </mergeCells>
  <phoneticPr fontId="26" type="noConversion"/>
  <printOptions horizontalCentered="1"/>
  <pageMargins left="0.39370078740157483" right="0.39370078740157483" top="0.39370078740157483" bottom="0.39370078740157483" header="0.19685039370078741" footer="0.19685039370078741"/>
  <pageSetup paperSize="9" scale="99" orientation="landscape" horizontalDpi="4294967295" verticalDpi="4294967295" r:id="rId1"/>
  <headerFooter alignWithMargins="0">
    <oddFooter>&amp;C&amp;"Times New Roman,標準"88&amp;R&amp;"Times New Roman,標準"&amp;A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M21"/>
  <sheetViews>
    <sheetView zoomScale="85" zoomScaleNormal="85" workbookViewId="0"/>
  </sheetViews>
  <sheetFormatPr defaultRowHeight="15.75"/>
  <cols>
    <col min="1" max="1" width="5.125" style="1017" customWidth="1"/>
    <col min="2" max="2" width="9" style="1017"/>
    <col min="3" max="3" width="10.625" style="1017" bestFit="1" customWidth="1"/>
    <col min="4" max="4" width="14.5" style="1017" customWidth="1"/>
    <col min="5" max="5" width="13" style="1017" customWidth="1"/>
    <col min="6" max="6" width="11.125" style="1017" customWidth="1"/>
    <col min="7" max="7" width="15.375" style="1017" customWidth="1"/>
    <col min="8" max="8" width="13.125" style="1017" customWidth="1"/>
    <col min="9" max="9" width="10.5" style="1017" customWidth="1"/>
    <col min="10" max="10" width="14.25" style="1017" customWidth="1"/>
    <col min="11" max="11" width="13.625" style="1017" customWidth="1"/>
    <col min="12" max="12" width="10.125" style="1017" customWidth="1"/>
    <col min="13" max="16384" width="9" style="1017"/>
  </cols>
  <sheetData>
    <row r="1" spans="1:13">
      <c r="A1" s="105" t="str">
        <f>表03!A1</f>
        <v xml:space="preserve"> 保險股份有限公司    年度(月)報表</v>
      </c>
      <c r="B1" s="721"/>
      <c r="C1" s="721"/>
      <c r="D1" s="721"/>
      <c r="E1" s="721"/>
      <c r="F1" s="721"/>
      <c r="G1" s="721"/>
      <c r="H1" s="721"/>
      <c r="I1" s="721"/>
      <c r="J1" s="721"/>
      <c r="K1" s="721"/>
      <c r="L1" s="721"/>
      <c r="M1" s="721"/>
    </row>
    <row r="2" spans="1:13" ht="16.5" thickBot="1">
      <c r="A2" s="1018" t="s">
        <v>1465</v>
      </c>
      <c r="B2" s="1018"/>
      <c r="C2" s="721"/>
      <c r="D2" s="721"/>
      <c r="E2" s="721"/>
      <c r="F2" s="721"/>
      <c r="G2" s="721"/>
      <c r="H2" s="721"/>
      <c r="I2" s="721"/>
      <c r="J2" s="721" t="s">
        <v>1389</v>
      </c>
      <c r="K2" s="721"/>
      <c r="L2" s="721"/>
      <c r="M2" s="721"/>
    </row>
    <row r="3" spans="1:13" ht="16.5" customHeight="1">
      <c r="A3" s="2772" t="s">
        <v>677</v>
      </c>
      <c r="B3" s="2775" t="s">
        <v>1464</v>
      </c>
      <c r="C3" s="2776"/>
      <c r="D3" s="2775" t="s">
        <v>1458</v>
      </c>
      <c r="E3" s="2781"/>
      <c r="F3" s="2781"/>
      <c r="G3" s="2777" t="s">
        <v>2091</v>
      </c>
      <c r="H3" s="2783"/>
      <c r="I3" s="2784"/>
      <c r="J3" s="2777" t="s">
        <v>1693</v>
      </c>
      <c r="K3" s="2778"/>
      <c r="L3" s="2779"/>
    </row>
    <row r="4" spans="1:13" ht="28.5">
      <c r="A4" s="2773"/>
      <c r="B4" s="2629"/>
      <c r="C4" s="2616"/>
      <c r="D4" s="1034" t="s">
        <v>1450</v>
      </c>
      <c r="E4" s="2226" t="s">
        <v>1451</v>
      </c>
      <c r="F4" s="1034" t="s">
        <v>1387</v>
      </c>
      <c r="G4" s="1034" t="s">
        <v>1450</v>
      </c>
      <c r="H4" s="2226" t="s">
        <v>1451</v>
      </c>
      <c r="I4" s="1034" t="s">
        <v>1387</v>
      </c>
      <c r="J4" s="1035" t="s">
        <v>1450</v>
      </c>
      <c r="K4" s="2226" t="s">
        <v>1451</v>
      </c>
      <c r="L4" s="1036" t="s">
        <v>1387</v>
      </c>
    </row>
    <row r="5" spans="1:13" ht="16.5" thickBot="1">
      <c r="A5" s="2774"/>
      <c r="B5" s="2658" t="s">
        <v>66</v>
      </c>
      <c r="C5" s="2780"/>
      <c r="D5" s="2240" t="s">
        <v>67</v>
      </c>
      <c r="E5" s="2240" t="s">
        <v>68</v>
      </c>
      <c r="F5" s="2240" t="s">
        <v>69</v>
      </c>
      <c r="G5" s="2240" t="s">
        <v>70</v>
      </c>
      <c r="H5" s="2240" t="s">
        <v>71</v>
      </c>
      <c r="I5" s="2240" t="s">
        <v>72</v>
      </c>
      <c r="J5" s="1038" t="s">
        <v>73</v>
      </c>
      <c r="K5" s="2240" t="s">
        <v>74</v>
      </c>
      <c r="L5" s="850" t="s">
        <v>75</v>
      </c>
    </row>
    <row r="6" spans="1:13">
      <c r="A6" s="1024">
        <v>1</v>
      </c>
      <c r="B6" s="2747" t="s">
        <v>1459</v>
      </c>
      <c r="C6" s="1060" t="s">
        <v>599</v>
      </c>
      <c r="D6" s="1040"/>
      <c r="E6" s="1040"/>
      <c r="F6" s="1040"/>
      <c r="G6" s="1041">
        <f>'表16-1-1'!N194</f>
        <v>0</v>
      </c>
      <c r="H6" s="1041">
        <f>'表16-1-1'!O194</f>
        <v>0</v>
      </c>
      <c r="I6" s="1041">
        <f>'表16-1-1'!P194</f>
        <v>0</v>
      </c>
      <c r="J6" s="1061">
        <f>'表16-1-1'!N201</f>
        <v>0</v>
      </c>
      <c r="K6" s="1042">
        <f>'表16-1-1'!O201</f>
        <v>0</v>
      </c>
      <c r="L6" s="1043">
        <f>'表16-1-1'!P201</f>
        <v>0</v>
      </c>
    </row>
    <row r="7" spans="1:13" ht="23.25" customHeight="1">
      <c r="A7" s="1026">
        <v>2</v>
      </c>
      <c r="B7" s="2749"/>
      <c r="C7" s="1062" t="s">
        <v>602</v>
      </c>
      <c r="D7" s="1044"/>
      <c r="E7" s="1044"/>
      <c r="F7" s="1044"/>
      <c r="G7" s="1045">
        <f>'表16-1-4'!N115</f>
        <v>0</v>
      </c>
      <c r="H7" s="1045">
        <f>'表16-1-4'!O115</f>
        <v>0</v>
      </c>
      <c r="I7" s="1045">
        <f>'表16-1-4'!P115</f>
        <v>0</v>
      </c>
      <c r="J7" s="1063">
        <f>'表16-1-4'!N122</f>
        <v>0</v>
      </c>
      <c r="K7" s="1045">
        <f>'表16-1-4'!O122</f>
        <v>0</v>
      </c>
      <c r="L7" s="1048">
        <f>'表16-1-4'!P122</f>
        <v>0</v>
      </c>
    </row>
    <row r="8" spans="1:13">
      <c r="A8" s="1026">
        <v>3</v>
      </c>
      <c r="B8" s="2749"/>
      <c r="C8" s="1062" t="s">
        <v>1460</v>
      </c>
      <c r="D8" s="1044"/>
      <c r="E8" s="1044"/>
      <c r="F8" s="1044"/>
      <c r="G8" s="1045">
        <f>'表16-1-5'!N172</f>
        <v>0</v>
      </c>
      <c r="H8" s="1045">
        <f>'表16-1-5'!O172</f>
        <v>0</v>
      </c>
      <c r="I8" s="1045">
        <f>'表16-1-5'!P172</f>
        <v>0</v>
      </c>
      <c r="J8" s="1063">
        <f>'表16-1-5'!N179</f>
        <v>0</v>
      </c>
      <c r="K8" s="1045">
        <f>'表16-1-5'!O179</f>
        <v>0</v>
      </c>
      <c r="L8" s="1048">
        <f>'表16-1-5'!P179</f>
        <v>0</v>
      </c>
    </row>
    <row r="9" spans="1:13" ht="16.5" thickBot="1">
      <c r="A9" s="1028">
        <v>4</v>
      </c>
      <c r="B9" s="2750"/>
      <c r="C9" s="2248" t="s">
        <v>1461</v>
      </c>
      <c r="D9" s="1049"/>
      <c r="E9" s="1049"/>
      <c r="F9" s="1049"/>
      <c r="G9" s="1050">
        <f t="shared" ref="G9:L9" si="0">SUM(G6:G8)</f>
        <v>0</v>
      </c>
      <c r="H9" s="1050">
        <f t="shared" si="0"/>
        <v>0</v>
      </c>
      <c r="I9" s="1050">
        <f t="shared" si="0"/>
        <v>0</v>
      </c>
      <c r="J9" s="1064">
        <f t="shared" si="0"/>
        <v>0</v>
      </c>
      <c r="K9" s="1050">
        <f t="shared" si="0"/>
        <v>0</v>
      </c>
      <c r="L9" s="1051">
        <f t="shared" si="0"/>
        <v>0</v>
      </c>
    </row>
    <row r="10" spans="1:13">
      <c r="A10" s="1024">
        <v>5</v>
      </c>
      <c r="B10" s="2747" t="s">
        <v>607</v>
      </c>
      <c r="C10" s="1060" t="s">
        <v>599</v>
      </c>
      <c r="D10" s="1042">
        <f>'表16-1-1'!N208</f>
        <v>0</v>
      </c>
      <c r="E10" s="1042">
        <f>'表16-1-1'!O208</f>
        <v>0</v>
      </c>
      <c r="F10" s="1042">
        <f>'表16-1-1'!P208</f>
        <v>0</v>
      </c>
      <c r="G10" s="1042">
        <f>'表16-1-1'!N215</f>
        <v>0</v>
      </c>
      <c r="H10" s="1042">
        <f>'表16-1-1'!O215</f>
        <v>0</v>
      </c>
      <c r="I10" s="1042">
        <f>'表16-1-1'!P215</f>
        <v>0</v>
      </c>
      <c r="J10" s="1061">
        <f>'表16-1-1'!N222</f>
        <v>0</v>
      </c>
      <c r="K10" s="1042">
        <f>'表16-1-1'!O222</f>
        <v>0</v>
      </c>
      <c r="L10" s="1043">
        <f>'表16-1-1'!P222</f>
        <v>0</v>
      </c>
    </row>
    <row r="11" spans="1:13">
      <c r="A11" s="1026">
        <v>6</v>
      </c>
      <c r="B11" s="2748"/>
      <c r="C11" s="1062" t="s">
        <v>602</v>
      </c>
      <c r="D11" s="1045">
        <f>'表16-1-4'!N129</f>
        <v>0</v>
      </c>
      <c r="E11" s="1045">
        <f>'表16-1-4'!O129</f>
        <v>0</v>
      </c>
      <c r="F11" s="1045">
        <f>'表16-1-4'!P129</f>
        <v>0</v>
      </c>
      <c r="G11" s="1045">
        <f>'表16-1-4'!N136</f>
        <v>0</v>
      </c>
      <c r="H11" s="1045">
        <f>'表16-1-4'!O136</f>
        <v>0</v>
      </c>
      <c r="I11" s="1045">
        <f>'表16-1-4'!P136</f>
        <v>0</v>
      </c>
      <c r="J11" s="1063">
        <f>'表16-1-4'!N143</f>
        <v>0</v>
      </c>
      <c r="K11" s="1045">
        <f>'表16-1-4'!O143</f>
        <v>0</v>
      </c>
      <c r="L11" s="1048">
        <f>'表16-1-4'!P143</f>
        <v>0</v>
      </c>
    </row>
    <row r="12" spans="1:13">
      <c r="A12" s="1026">
        <v>7</v>
      </c>
      <c r="B12" s="2748"/>
      <c r="C12" s="1062" t="s">
        <v>1460</v>
      </c>
      <c r="D12" s="1045">
        <f>'表16-1-5'!N186</f>
        <v>0</v>
      </c>
      <c r="E12" s="1045">
        <f>'表16-1-5'!O186</f>
        <v>0</v>
      </c>
      <c r="F12" s="1045">
        <f>'表16-1-5'!P186</f>
        <v>0</v>
      </c>
      <c r="G12" s="1045">
        <f>'表16-1-5'!N193</f>
        <v>0</v>
      </c>
      <c r="H12" s="1045">
        <f>'表16-1-5'!O193</f>
        <v>0</v>
      </c>
      <c r="I12" s="1045">
        <f>'表16-1-5'!P193</f>
        <v>0</v>
      </c>
      <c r="J12" s="1063">
        <f>'表16-1-5'!N200</f>
        <v>0</v>
      </c>
      <c r="K12" s="1045">
        <f>'表16-1-5'!O200</f>
        <v>0</v>
      </c>
      <c r="L12" s="1048">
        <f>'表16-1-5'!P200</f>
        <v>0</v>
      </c>
    </row>
    <row r="13" spans="1:13" ht="16.5" thickBot="1">
      <c r="A13" s="1028">
        <v>8</v>
      </c>
      <c r="B13" s="2769"/>
      <c r="C13" s="2248" t="s">
        <v>608</v>
      </c>
      <c r="D13" s="1050">
        <f t="shared" ref="D13:L13" si="1">SUM(D10:D12)</f>
        <v>0</v>
      </c>
      <c r="E13" s="1050">
        <f t="shared" si="1"/>
        <v>0</v>
      </c>
      <c r="F13" s="1050">
        <f t="shared" si="1"/>
        <v>0</v>
      </c>
      <c r="G13" s="1050">
        <f t="shared" si="1"/>
        <v>0</v>
      </c>
      <c r="H13" s="1050">
        <f t="shared" si="1"/>
        <v>0</v>
      </c>
      <c r="I13" s="1050">
        <f t="shared" si="1"/>
        <v>0</v>
      </c>
      <c r="J13" s="1064">
        <f t="shared" si="1"/>
        <v>0</v>
      </c>
      <c r="K13" s="1050">
        <f t="shared" si="1"/>
        <v>0</v>
      </c>
      <c r="L13" s="1051">
        <f t="shared" si="1"/>
        <v>0</v>
      </c>
    </row>
    <row r="14" spans="1:13">
      <c r="A14" s="1024">
        <v>9</v>
      </c>
      <c r="B14" s="2747" t="s">
        <v>609</v>
      </c>
      <c r="C14" s="1060" t="s">
        <v>599</v>
      </c>
      <c r="D14" s="1041">
        <f>'表16-1-1'!N229</f>
        <v>0</v>
      </c>
      <c r="E14" s="1041">
        <f>'表16-1-1'!O229</f>
        <v>0</v>
      </c>
      <c r="F14" s="1041">
        <f>'表16-1-1'!P229</f>
        <v>0</v>
      </c>
      <c r="G14" s="1042">
        <f>'表16-1-1'!N236</f>
        <v>0</v>
      </c>
      <c r="H14" s="1042">
        <f>'表16-1-1'!O236</f>
        <v>0</v>
      </c>
      <c r="I14" s="1042">
        <f>'表16-1-1'!P236</f>
        <v>0</v>
      </c>
      <c r="J14" s="1061">
        <f>'表16-1-1'!N243</f>
        <v>0</v>
      </c>
      <c r="K14" s="1042">
        <f>'表16-1-1'!O243</f>
        <v>0</v>
      </c>
      <c r="L14" s="1043">
        <f>'表16-1-1'!P243</f>
        <v>0</v>
      </c>
    </row>
    <row r="15" spans="1:13">
      <c r="A15" s="1026">
        <v>10</v>
      </c>
      <c r="B15" s="2748"/>
      <c r="C15" s="1062" t="s">
        <v>602</v>
      </c>
      <c r="D15" s="1045">
        <f>'表16-1-4'!N150</f>
        <v>0</v>
      </c>
      <c r="E15" s="1045">
        <f>'表16-1-4'!O150</f>
        <v>0</v>
      </c>
      <c r="F15" s="1045">
        <f>'表16-1-4'!P150</f>
        <v>0</v>
      </c>
      <c r="G15" s="1045">
        <f>'表16-1-4'!N157</f>
        <v>0</v>
      </c>
      <c r="H15" s="1045">
        <f>'表16-1-4'!O157</f>
        <v>0</v>
      </c>
      <c r="I15" s="1045">
        <f>'表16-1-4'!P157</f>
        <v>0</v>
      </c>
      <c r="J15" s="1063">
        <f>'表16-1-4'!N164</f>
        <v>0</v>
      </c>
      <c r="K15" s="1045">
        <f>'表16-1-4'!O164</f>
        <v>0</v>
      </c>
      <c r="L15" s="1048">
        <f>'表16-1-4'!P164</f>
        <v>0</v>
      </c>
    </row>
    <row r="16" spans="1:13">
      <c r="A16" s="1026">
        <v>11</v>
      </c>
      <c r="B16" s="2748"/>
      <c r="C16" s="1062" t="s">
        <v>1460</v>
      </c>
      <c r="D16" s="1045">
        <f>'表16-1-5'!N207</f>
        <v>0</v>
      </c>
      <c r="E16" s="1045">
        <f>'表16-1-5'!O207</f>
        <v>0</v>
      </c>
      <c r="F16" s="1045">
        <f>'表16-1-5'!P207</f>
        <v>0</v>
      </c>
      <c r="G16" s="1045">
        <f>'表16-1-5'!N214</f>
        <v>0</v>
      </c>
      <c r="H16" s="1045">
        <f>'表16-1-5'!O214</f>
        <v>0</v>
      </c>
      <c r="I16" s="1045">
        <f>'表16-1-5'!P214</f>
        <v>0</v>
      </c>
      <c r="J16" s="1063">
        <f>'表16-1-5'!N221</f>
        <v>0</v>
      </c>
      <c r="K16" s="1045">
        <f>'表16-1-5'!O221</f>
        <v>0</v>
      </c>
      <c r="L16" s="1048">
        <f>'表16-1-5'!P221</f>
        <v>0</v>
      </c>
    </row>
    <row r="17" spans="1:13" ht="16.5" thickBot="1">
      <c r="A17" s="1028">
        <v>12</v>
      </c>
      <c r="B17" s="2769"/>
      <c r="C17" s="2248" t="s">
        <v>1462</v>
      </c>
      <c r="D17" s="1050">
        <f t="shared" ref="D17:L17" si="2">SUM(D14:D16)</f>
        <v>0</v>
      </c>
      <c r="E17" s="1050">
        <f t="shared" si="2"/>
        <v>0</v>
      </c>
      <c r="F17" s="1050">
        <f t="shared" si="2"/>
        <v>0</v>
      </c>
      <c r="G17" s="1050">
        <f t="shared" si="2"/>
        <v>0</v>
      </c>
      <c r="H17" s="1050">
        <f t="shared" si="2"/>
        <v>0</v>
      </c>
      <c r="I17" s="1050">
        <f t="shared" si="2"/>
        <v>0</v>
      </c>
      <c r="J17" s="1064">
        <f t="shared" si="2"/>
        <v>0</v>
      </c>
      <c r="K17" s="1050">
        <f t="shared" si="2"/>
        <v>0</v>
      </c>
      <c r="L17" s="1051">
        <f t="shared" si="2"/>
        <v>0</v>
      </c>
    </row>
    <row r="18" spans="1:13" ht="16.5" thickBot="1">
      <c r="A18" s="1065">
        <v>13</v>
      </c>
      <c r="B18" s="2770" t="s">
        <v>581</v>
      </c>
      <c r="C18" s="2771"/>
      <c r="D18" s="1058">
        <f t="shared" ref="D18:L18" si="3">D17+D13+D9</f>
        <v>0</v>
      </c>
      <c r="E18" s="1057">
        <f t="shared" si="3"/>
        <v>0</v>
      </c>
      <c r="F18" s="1057">
        <f t="shared" si="3"/>
        <v>0</v>
      </c>
      <c r="G18" s="1058">
        <f t="shared" si="3"/>
        <v>0</v>
      </c>
      <c r="H18" s="1057">
        <f t="shared" si="3"/>
        <v>0</v>
      </c>
      <c r="I18" s="1057">
        <f t="shared" si="3"/>
        <v>0</v>
      </c>
      <c r="J18" s="1066">
        <f t="shared" si="3"/>
        <v>0</v>
      </c>
      <c r="K18" s="1057">
        <f t="shared" si="3"/>
        <v>0</v>
      </c>
      <c r="L18" s="1059">
        <f t="shared" si="3"/>
        <v>0</v>
      </c>
    </row>
    <row r="19" spans="1:13">
      <c r="B19" s="750"/>
      <c r="C19" s="750"/>
      <c r="D19" s="750"/>
      <c r="E19" s="750"/>
      <c r="F19" s="750"/>
      <c r="G19" s="750"/>
      <c r="H19" s="750"/>
      <c r="I19" s="750"/>
      <c r="J19" s="750"/>
      <c r="K19" s="750"/>
      <c r="L19" s="750"/>
      <c r="M19" s="750"/>
    </row>
    <row r="20" spans="1:13" ht="16.5">
      <c r="A20" s="1032" t="s">
        <v>1452</v>
      </c>
      <c r="B20" s="750" t="s">
        <v>1457</v>
      </c>
      <c r="D20" s="750"/>
      <c r="E20" s="750"/>
      <c r="F20" s="750"/>
      <c r="G20" s="750"/>
      <c r="H20" s="750"/>
      <c r="I20" s="750"/>
      <c r="J20" s="750"/>
      <c r="K20" s="750"/>
      <c r="L20" s="750"/>
      <c r="M20" s="750"/>
    </row>
    <row r="21" spans="1:13">
      <c r="A21" s="1033"/>
      <c r="D21" s="750"/>
      <c r="E21" s="750"/>
      <c r="F21" s="750"/>
      <c r="G21" s="750"/>
      <c r="H21" s="750"/>
      <c r="I21" s="750"/>
      <c r="J21" s="750"/>
      <c r="K21" s="750"/>
      <c r="L21" s="750"/>
    </row>
  </sheetData>
  <mergeCells count="10">
    <mergeCell ref="A3:A5"/>
    <mergeCell ref="B3:C4"/>
    <mergeCell ref="D3:F3"/>
    <mergeCell ref="G3:I3"/>
    <mergeCell ref="B18:C18"/>
    <mergeCell ref="J3:L3"/>
    <mergeCell ref="B5:C5"/>
    <mergeCell ref="B6:B9"/>
    <mergeCell ref="B10:B13"/>
    <mergeCell ref="B14:B17"/>
  </mergeCells>
  <phoneticPr fontId="26" type="noConversion"/>
  <printOptions horizontalCentered="1"/>
  <pageMargins left="0.39370078740157483" right="0.39370078740157483" top="0.39370078740157483" bottom="0.39370078740157483" header="0.19685039370078741" footer="0.19685039370078741"/>
  <pageSetup paperSize="9" scale="99" orientation="landscape" horizontalDpi="4294967295" verticalDpi="4294967295" r:id="rId1"/>
  <headerFooter alignWithMargins="0">
    <oddFooter>&amp;C&amp;"Times New Roman,標準"89&amp;R&amp;"Times New Roman,標準"&amp;A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AH42"/>
  <sheetViews>
    <sheetView zoomScale="85" zoomScaleNormal="85" workbookViewId="0"/>
  </sheetViews>
  <sheetFormatPr defaultRowHeight="14.25"/>
  <cols>
    <col min="1" max="1" width="5.125" style="54" customWidth="1"/>
    <col min="2" max="2" width="8.25" style="54" customWidth="1"/>
    <col min="3" max="3" width="15.5" style="54" customWidth="1"/>
    <col min="4" max="4" width="8.125" style="54" customWidth="1"/>
    <col min="5" max="5" width="5.625" style="54" customWidth="1"/>
    <col min="6" max="6" width="7.5" style="54" customWidth="1"/>
    <col min="7" max="7" width="8.625" style="54" customWidth="1"/>
    <col min="8" max="8" width="17.125" style="54" customWidth="1"/>
    <col min="9" max="9" width="5.625" style="54" customWidth="1"/>
    <col min="10" max="11" width="9.625" style="50" customWidth="1"/>
    <col min="12" max="12" width="12.625" style="50" customWidth="1"/>
    <col min="13" max="13" width="14.375" style="50" customWidth="1"/>
    <col min="14" max="14" width="12.625" style="50" customWidth="1"/>
    <col min="15" max="15" width="7.625" style="50" customWidth="1"/>
    <col min="16" max="16" width="13.625" style="50" customWidth="1"/>
    <col min="17" max="17" width="11" style="50" customWidth="1"/>
    <col min="18" max="18" width="11.875" style="50" customWidth="1"/>
    <col min="19" max="19" width="6.625" style="50" customWidth="1"/>
    <col min="20" max="20" width="9.5" style="50" customWidth="1"/>
    <col min="21" max="16384" width="9" style="50"/>
  </cols>
  <sheetData>
    <row r="1" spans="1:19">
      <c r="A1" s="105" t="str">
        <f>表03!A1</f>
        <v xml:space="preserve"> 保險股份有限公司    年度(月)報表</v>
      </c>
      <c r="B1" s="261"/>
      <c r="C1" s="261"/>
      <c r="D1" s="261"/>
      <c r="E1" s="261"/>
      <c r="F1" s="258"/>
      <c r="G1" s="258"/>
      <c r="H1" s="258"/>
      <c r="I1" s="258"/>
      <c r="J1" s="258"/>
      <c r="K1" s="258"/>
      <c r="L1" s="258"/>
      <c r="M1" s="258"/>
      <c r="N1" s="258"/>
      <c r="O1" s="258"/>
      <c r="P1" s="258"/>
    </row>
    <row r="2" spans="1:19">
      <c r="A2" s="50" t="s">
        <v>154</v>
      </c>
      <c r="B2" s="50"/>
      <c r="C2" s="50"/>
      <c r="D2" s="50"/>
      <c r="E2" s="50"/>
      <c r="R2" s="262" t="s">
        <v>155</v>
      </c>
    </row>
    <row r="3" spans="1:19" ht="14.25" customHeight="1">
      <c r="A3" s="2792" t="s">
        <v>183</v>
      </c>
      <c r="B3" s="2795" t="s">
        <v>152</v>
      </c>
      <c r="C3" s="2795"/>
      <c r="D3" s="2795"/>
      <c r="E3" s="2795"/>
      <c r="F3" s="2795"/>
      <c r="G3" s="2796" t="s">
        <v>156</v>
      </c>
      <c r="H3" s="2797"/>
      <c r="I3" s="2798"/>
      <c r="J3" s="2785" t="s">
        <v>452</v>
      </c>
      <c r="K3" s="2785" t="s">
        <v>458</v>
      </c>
      <c r="L3" s="2785" t="s">
        <v>817</v>
      </c>
      <c r="M3" s="2790" t="s">
        <v>818</v>
      </c>
      <c r="N3" s="2791" t="s">
        <v>819</v>
      </c>
      <c r="O3" s="2790" t="s">
        <v>158</v>
      </c>
      <c r="P3" s="2785" t="s">
        <v>159</v>
      </c>
      <c r="Q3" s="2785" t="s">
        <v>160</v>
      </c>
      <c r="R3" s="2785" t="s">
        <v>161</v>
      </c>
      <c r="S3" s="2785" t="s">
        <v>121</v>
      </c>
    </row>
    <row r="4" spans="1:19" s="53" customFormat="1" ht="28.5">
      <c r="A4" s="2793"/>
      <c r="B4" s="263" t="s">
        <v>162</v>
      </c>
      <c r="C4" s="263" t="s">
        <v>163</v>
      </c>
      <c r="D4" s="263" t="s">
        <v>164</v>
      </c>
      <c r="E4" s="263" t="s">
        <v>165</v>
      </c>
      <c r="F4" s="263" t="s">
        <v>166</v>
      </c>
      <c r="G4" s="264" t="s">
        <v>167</v>
      </c>
      <c r="H4" s="264" t="s">
        <v>168</v>
      </c>
      <c r="I4" s="264" t="s">
        <v>169</v>
      </c>
      <c r="J4" s="2786"/>
      <c r="K4" s="2786"/>
      <c r="L4" s="2789"/>
      <c r="M4" s="2786"/>
      <c r="N4" s="2789"/>
      <c r="O4" s="2786"/>
      <c r="P4" s="2786"/>
      <c r="Q4" s="2786"/>
      <c r="R4" s="2786"/>
      <c r="S4" s="2786"/>
    </row>
    <row r="5" spans="1:19" s="53" customFormat="1" ht="28.5">
      <c r="A5" s="2794"/>
      <c r="B5" s="298" t="s">
        <v>122</v>
      </c>
      <c r="C5" s="298" t="s">
        <v>67</v>
      </c>
      <c r="D5" s="298" t="s">
        <v>68</v>
      </c>
      <c r="E5" s="298" t="s">
        <v>69</v>
      </c>
      <c r="F5" s="298" t="s">
        <v>70</v>
      </c>
      <c r="G5" s="298" t="s">
        <v>71</v>
      </c>
      <c r="H5" s="298" t="s">
        <v>72</v>
      </c>
      <c r="I5" s="298" t="s">
        <v>73</v>
      </c>
      <c r="J5" s="298" t="s">
        <v>471</v>
      </c>
      <c r="K5" s="298" t="s">
        <v>75</v>
      </c>
      <c r="L5" s="298" t="s">
        <v>234</v>
      </c>
      <c r="M5" s="298" t="s">
        <v>235</v>
      </c>
      <c r="N5" s="298" t="s">
        <v>286</v>
      </c>
      <c r="O5" s="298" t="s">
        <v>287</v>
      </c>
      <c r="P5" s="299" t="s">
        <v>504</v>
      </c>
      <c r="Q5" s="298" t="s">
        <v>289</v>
      </c>
      <c r="R5" s="298" t="s">
        <v>290</v>
      </c>
      <c r="S5" s="298" t="s">
        <v>138</v>
      </c>
    </row>
    <row r="6" spans="1:19" s="53" customFormat="1">
      <c r="A6" s="2252">
        <v>1</v>
      </c>
      <c r="B6" s="328"/>
      <c r="C6" s="500"/>
      <c r="D6" s="2252"/>
      <c r="E6" s="2252"/>
      <c r="F6" s="2252"/>
      <c r="G6" s="313"/>
      <c r="H6" s="313"/>
      <c r="I6" s="313"/>
      <c r="J6" s="314"/>
      <c r="K6" s="314"/>
      <c r="L6" s="315"/>
      <c r="M6" s="315"/>
      <c r="N6" s="313"/>
      <c r="O6" s="313"/>
      <c r="P6" s="316"/>
      <c r="Q6" s="317"/>
      <c r="R6" s="317"/>
      <c r="S6" s="313"/>
    </row>
    <row r="7" spans="1:19">
      <c r="A7" s="2252">
        <f>A6+1</f>
        <v>2</v>
      </c>
      <c r="B7" s="2252"/>
      <c r="C7" s="319"/>
      <c r="D7" s="2252"/>
      <c r="E7" s="2252"/>
      <c r="F7" s="2252"/>
      <c r="G7" s="2252"/>
      <c r="H7" s="318"/>
      <c r="I7" s="2252"/>
      <c r="J7" s="314"/>
      <c r="K7" s="314"/>
      <c r="L7" s="315"/>
      <c r="M7" s="315"/>
      <c r="N7" s="317"/>
      <c r="O7" s="317"/>
      <c r="P7" s="316"/>
      <c r="Q7" s="317"/>
      <c r="R7" s="317"/>
      <c r="S7" s="320"/>
    </row>
    <row r="8" spans="1:19">
      <c r="A8" s="2252">
        <f t="shared" ref="A8:A30" si="0">A7+1</f>
        <v>3</v>
      </c>
      <c r="B8" s="2252"/>
      <c r="C8" s="319"/>
      <c r="D8" s="2252"/>
      <c r="E8" s="2252"/>
      <c r="F8" s="2252"/>
      <c r="G8" s="2252"/>
      <c r="H8" s="321"/>
      <c r="I8" s="2252"/>
      <c r="J8" s="314"/>
      <c r="K8" s="314"/>
      <c r="L8" s="315"/>
      <c r="M8" s="315"/>
      <c r="N8" s="317"/>
      <c r="O8" s="317"/>
      <c r="P8" s="316"/>
      <c r="Q8" s="317"/>
      <c r="R8" s="317"/>
      <c r="S8" s="320"/>
    </row>
    <row r="9" spans="1:19">
      <c r="A9" s="2252">
        <f t="shared" si="0"/>
        <v>4</v>
      </c>
      <c r="B9" s="2252"/>
      <c r="C9" s="319"/>
      <c r="D9" s="2252"/>
      <c r="E9" s="2252"/>
      <c r="F9" s="2252"/>
      <c r="G9" s="2252"/>
      <c r="H9" s="321"/>
      <c r="I9" s="2252"/>
      <c r="J9" s="314"/>
      <c r="K9" s="314"/>
      <c r="L9" s="315"/>
      <c r="M9" s="315"/>
      <c r="N9" s="317"/>
      <c r="O9" s="317"/>
      <c r="P9" s="316"/>
      <c r="Q9" s="317"/>
      <c r="R9" s="317"/>
      <c r="S9" s="320"/>
    </row>
    <row r="10" spans="1:19">
      <c r="A10" s="2252">
        <f t="shared" si="0"/>
        <v>5</v>
      </c>
      <c r="B10" s="2252"/>
      <c r="C10" s="319"/>
      <c r="D10" s="2252"/>
      <c r="E10" s="2252"/>
      <c r="F10" s="2252"/>
      <c r="G10" s="2252"/>
      <c r="H10" s="321"/>
      <c r="I10" s="2252"/>
      <c r="J10" s="314"/>
      <c r="K10" s="314"/>
      <c r="L10" s="315"/>
      <c r="M10" s="315"/>
      <c r="N10" s="317"/>
      <c r="O10" s="317"/>
      <c r="P10" s="316"/>
      <c r="Q10" s="317"/>
      <c r="R10" s="317"/>
      <c r="S10" s="320"/>
    </row>
    <row r="11" spans="1:19">
      <c r="A11" s="2252">
        <f t="shared" si="0"/>
        <v>6</v>
      </c>
      <c r="B11" s="2252"/>
      <c r="C11" s="319"/>
      <c r="D11" s="2252"/>
      <c r="E11" s="2252"/>
      <c r="F11" s="2252"/>
      <c r="G11" s="2252"/>
      <c r="H11" s="321"/>
      <c r="I11" s="2252"/>
      <c r="J11" s="314"/>
      <c r="K11" s="314"/>
      <c r="L11" s="315"/>
      <c r="M11" s="315"/>
      <c r="N11" s="317"/>
      <c r="O11" s="317"/>
      <c r="P11" s="316"/>
      <c r="Q11" s="317"/>
      <c r="R11" s="317"/>
      <c r="S11" s="320"/>
    </row>
    <row r="12" spans="1:19">
      <c r="A12" s="2252">
        <f t="shared" si="0"/>
        <v>7</v>
      </c>
      <c r="B12" s="2252"/>
      <c r="C12" s="319"/>
      <c r="D12" s="2252"/>
      <c r="E12" s="2252"/>
      <c r="F12" s="2252"/>
      <c r="G12" s="2252"/>
      <c r="H12" s="321"/>
      <c r="I12" s="2252"/>
      <c r="J12" s="314"/>
      <c r="K12" s="314"/>
      <c r="L12" s="315"/>
      <c r="M12" s="315"/>
      <c r="N12" s="317"/>
      <c r="O12" s="317"/>
      <c r="P12" s="316"/>
      <c r="Q12" s="317"/>
      <c r="R12" s="317"/>
      <c r="S12" s="320"/>
    </row>
    <row r="13" spans="1:19">
      <c r="A13" s="2252">
        <f t="shared" si="0"/>
        <v>8</v>
      </c>
      <c r="B13" s="2252"/>
      <c r="C13" s="319"/>
      <c r="D13" s="2252"/>
      <c r="E13" s="2252"/>
      <c r="F13" s="2252"/>
      <c r="G13" s="2252"/>
      <c r="H13" s="321"/>
      <c r="I13" s="2252"/>
      <c r="J13" s="314"/>
      <c r="K13" s="314"/>
      <c r="L13" s="315"/>
      <c r="M13" s="315"/>
      <c r="N13" s="317"/>
      <c r="O13" s="317"/>
      <c r="P13" s="316"/>
      <c r="Q13" s="317"/>
      <c r="R13" s="317"/>
      <c r="S13" s="320"/>
    </row>
    <row r="14" spans="1:19">
      <c r="A14" s="2252">
        <f t="shared" si="0"/>
        <v>9</v>
      </c>
      <c r="B14" s="2252"/>
      <c r="C14" s="319"/>
      <c r="D14" s="2252"/>
      <c r="E14" s="2252"/>
      <c r="F14" s="2252"/>
      <c r="G14" s="2252"/>
      <c r="H14" s="321"/>
      <c r="I14" s="2252"/>
      <c r="J14" s="314"/>
      <c r="K14" s="314"/>
      <c r="L14" s="315"/>
      <c r="M14" s="315"/>
      <c r="N14" s="317"/>
      <c r="O14" s="317"/>
      <c r="P14" s="316"/>
      <c r="Q14" s="317"/>
      <c r="R14" s="317"/>
      <c r="S14" s="320"/>
    </row>
    <row r="15" spans="1:19">
      <c r="A15" s="2252">
        <f t="shared" si="0"/>
        <v>10</v>
      </c>
      <c r="B15" s="2252"/>
      <c r="C15" s="319"/>
      <c r="D15" s="2252"/>
      <c r="E15" s="2252"/>
      <c r="F15" s="2252"/>
      <c r="G15" s="2252"/>
      <c r="H15" s="321"/>
      <c r="I15" s="2252"/>
      <c r="J15" s="314"/>
      <c r="K15" s="314"/>
      <c r="L15" s="315"/>
      <c r="M15" s="315"/>
      <c r="N15" s="317"/>
      <c r="O15" s="317"/>
      <c r="P15" s="316"/>
      <c r="Q15" s="317"/>
      <c r="R15" s="317"/>
      <c r="S15" s="320"/>
    </row>
    <row r="16" spans="1:19">
      <c r="A16" s="2252">
        <f t="shared" si="0"/>
        <v>11</v>
      </c>
      <c r="B16" s="2252"/>
      <c r="C16" s="319"/>
      <c r="D16" s="2252"/>
      <c r="E16" s="2252"/>
      <c r="F16" s="2252"/>
      <c r="G16" s="2252"/>
      <c r="H16" s="321"/>
      <c r="I16" s="2252"/>
      <c r="J16" s="314"/>
      <c r="K16" s="314"/>
      <c r="L16" s="315"/>
      <c r="M16" s="315"/>
      <c r="N16" s="317"/>
      <c r="O16" s="317"/>
      <c r="P16" s="316"/>
      <c r="Q16" s="317"/>
      <c r="R16" s="317"/>
      <c r="S16" s="320"/>
    </row>
    <row r="17" spans="1:34">
      <c r="A17" s="2252">
        <f t="shared" si="0"/>
        <v>12</v>
      </c>
      <c r="B17" s="329"/>
      <c r="C17" s="501"/>
      <c r="D17" s="2252"/>
      <c r="E17" s="2252"/>
      <c r="F17" s="2252"/>
      <c r="G17" s="323"/>
      <c r="H17" s="502"/>
      <c r="I17" s="2252"/>
      <c r="J17" s="324"/>
      <c r="K17" s="324"/>
      <c r="L17" s="317"/>
      <c r="M17" s="317"/>
      <c r="N17" s="317"/>
      <c r="O17" s="317"/>
      <c r="P17" s="316"/>
      <c r="Q17" s="317"/>
      <c r="R17" s="317"/>
      <c r="S17" s="320"/>
    </row>
    <row r="18" spans="1:34">
      <c r="A18" s="2252">
        <f t="shared" si="0"/>
        <v>13</v>
      </c>
      <c r="B18" s="329"/>
      <c r="C18" s="501"/>
      <c r="D18" s="2252"/>
      <c r="E18" s="2252"/>
      <c r="F18" s="2252"/>
      <c r="G18" s="323"/>
      <c r="H18" s="502"/>
      <c r="I18" s="2252"/>
      <c r="J18" s="324"/>
      <c r="K18" s="324"/>
      <c r="L18" s="317"/>
      <c r="M18" s="317"/>
      <c r="N18" s="317"/>
      <c r="O18" s="317"/>
      <c r="P18" s="316"/>
      <c r="Q18" s="317"/>
      <c r="R18" s="317"/>
      <c r="S18" s="320"/>
    </row>
    <row r="19" spans="1:34">
      <c r="A19" s="2252">
        <f t="shared" si="0"/>
        <v>14</v>
      </c>
      <c r="B19" s="2252"/>
      <c r="C19" s="319"/>
      <c r="D19" s="2252"/>
      <c r="E19" s="2252"/>
      <c r="F19" s="2252"/>
      <c r="G19" s="2252"/>
      <c r="H19" s="321"/>
      <c r="I19" s="2252"/>
      <c r="J19" s="314"/>
      <c r="K19" s="314"/>
      <c r="L19" s="315"/>
      <c r="M19" s="315"/>
      <c r="N19" s="317"/>
      <c r="O19" s="317"/>
      <c r="P19" s="316"/>
      <c r="Q19" s="317"/>
      <c r="R19" s="317"/>
      <c r="S19" s="320"/>
    </row>
    <row r="20" spans="1:34">
      <c r="A20" s="2252">
        <f t="shared" si="0"/>
        <v>15</v>
      </c>
      <c r="B20" s="2252"/>
      <c r="C20" s="319"/>
      <c r="D20" s="325"/>
      <c r="E20" s="325"/>
      <c r="F20" s="2252"/>
      <c r="G20" s="318"/>
      <c r="H20" s="319"/>
      <c r="I20" s="2252"/>
      <c r="J20" s="314"/>
      <c r="K20" s="314"/>
      <c r="L20" s="315"/>
      <c r="M20" s="315"/>
      <c r="N20" s="317"/>
      <c r="O20" s="317"/>
      <c r="P20" s="316"/>
      <c r="Q20" s="317"/>
      <c r="R20" s="317"/>
      <c r="S20" s="320"/>
    </row>
    <row r="21" spans="1:34">
      <c r="A21" s="2252">
        <f t="shared" si="0"/>
        <v>16</v>
      </c>
      <c r="B21" s="325"/>
      <c r="C21" s="319"/>
      <c r="D21" s="325"/>
      <c r="E21" s="325"/>
      <c r="F21" s="2252"/>
      <c r="G21" s="318"/>
      <c r="H21" s="319"/>
      <c r="I21" s="2252"/>
      <c r="J21" s="314"/>
      <c r="K21" s="314"/>
      <c r="L21" s="315"/>
      <c r="M21" s="315"/>
      <c r="N21" s="317"/>
      <c r="O21" s="317"/>
      <c r="P21" s="316"/>
      <c r="Q21" s="317"/>
      <c r="R21" s="317"/>
      <c r="S21" s="320"/>
    </row>
    <row r="22" spans="1:34">
      <c r="A22" s="2252">
        <f t="shared" si="0"/>
        <v>17</v>
      </c>
      <c r="B22" s="325"/>
      <c r="C22" s="322"/>
      <c r="D22" s="325"/>
      <c r="E22" s="325"/>
      <c r="F22" s="2252"/>
      <c r="G22" s="318"/>
      <c r="H22" s="319"/>
      <c r="I22" s="2252"/>
      <c r="J22" s="314"/>
      <c r="K22" s="314"/>
      <c r="L22" s="315"/>
      <c r="M22" s="315"/>
      <c r="N22" s="317"/>
      <c r="O22" s="317"/>
      <c r="P22" s="316"/>
      <c r="Q22" s="317"/>
      <c r="R22" s="317"/>
      <c r="S22" s="320"/>
    </row>
    <row r="23" spans="1:34">
      <c r="A23" s="2252">
        <f t="shared" si="0"/>
        <v>18</v>
      </c>
      <c r="B23" s="325"/>
      <c r="C23" s="322"/>
      <c r="D23" s="325"/>
      <c r="E23" s="325"/>
      <c r="F23" s="2252"/>
      <c r="G23" s="318"/>
      <c r="H23" s="319"/>
      <c r="I23" s="2252"/>
      <c r="J23" s="314"/>
      <c r="K23" s="314"/>
      <c r="L23" s="315"/>
      <c r="M23" s="315"/>
      <c r="N23" s="317"/>
      <c r="O23" s="317"/>
      <c r="P23" s="316"/>
      <c r="Q23" s="317"/>
      <c r="R23" s="317"/>
      <c r="S23" s="320"/>
    </row>
    <row r="24" spans="1:34">
      <c r="A24" s="2252">
        <f t="shared" si="0"/>
        <v>19</v>
      </c>
      <c r="B24" s="325"/>
      <c r="C24" s="322"/>
      <c r="D24" s="325"/>
      <c r="E24" s="325"/>
      <c r="F24" s="2252"/>
      <c r="G24" s="318"/>
      <c r="H24" s="319"/>
      <c r="I24" s="2252"/>
      <c r="J24" s="314"/>
      <c r="K24" s="314"/>
      <c r="L24" s="315"/>
      <c r="M24" s="315"/>
      <c r="N24" s="317"/>
      <c r="O24" s="317"/>
      <c r="P24" s="316"/>
      <c r="Q24" s="317"/>
      <c r="R24" s="317"/>
      <c r="S24" s="320"/>
    </row>
    <row r="25" spans="1:34">
      <c r="A25" s="2252">
        <f t="shared" si="0"/>
        <v>20</v>
      </c>
      <c r="B25" s="325"/>
      <c r="C25" s="322"/>
      <c r="D25" s="325"/>
      <c r="E25" s="325"/>
      <c r="F25" s="2252"/>
      <c r="G25" s="318"/>
      <c r="H25" s="318"/>
      <c r="I25" s="2252"/>
      <c r="J25" s="314"/>
      <c r="K25" s="314"/>
      <c r="L25" s="315"/>
      <c r="M25" s="315"/>
      <c r="N25" s="317"/>
      <c r="O25" s="317"/>
      <c r="P25" s="316"/>
      <c r="Q25" s="317"/>
      <c r="R25" s="317"/>
      <c r="S25" s="320"/>
    </row>
    <row r="26" spans="1:34">
      <c r="A26" s="2252">
        <f t="shared" si="0"/>
        <v>21</v>
      </c>
      <c r="B26" s="325"/>
      <c r="C26" s="322"/>
      <c r="D26" s="325"/>
      <c r="E26" s="325"/>
      <c r="F26" s="2252"/>
      <c r="G26" s="318"/>
      <c r="H26" s="319"/>
      <c r="I26" s="2252"/>
      <c r="J26" s="314"/>
      <c r="K26" s="314"/>
      <c r="L26" s="315"/>
      <c r="M26" s="315"/>
      <c r="N26" s="317"/>
      <c r="O26" s="317"/>
      <c r="P26" s="316"/>
      <c r="Q26" s="317"/>
      <c r="R26" s="317"/>
      <c r="S26" s="320"/>
    </row>
    <row r="27" spans="1:34">
      <c r="A27" s="2252">
        <f t="shared" si="0"/>
        <v>22</v>
      </c>
      <c r="B27" s="325"/>
      <c r="C27" s="322"/>
      <c r="D27" s="325"/>
      <c r="E27" s="325"/>
      <c r="F27" s="2252"/>
      <c r="G27" s="318"/>
      <c r="H27" s="318"/>
      <c r="I27" s="2252"/>
      <c r="J27" s="314"/>
      <c r="K27" s="314"/>
      <c r="L27" s="315"/>
      <c r="M27" s="315"/>
      <c r="N27" s="317"/>
      <c r="O27" s="317"/>
      <c r="P27" s="316"/>
      <c r="Q27" s="317"/>
      <c r="R27" s="317"/>
      <c r="S27" s="320"/>
    </row>
    <row r="28" spans="1:34">
      <c r="A28" s="2252">
        <f t="shared" si="0"/>
        <v>23</v>
      </c>
      <c r="B28" s="325"/>
      <c r="C28" s="322"/>
      <c r="D28" s="325"/>
      <c r="E28" s="325"/>
      <c r="F28" s="2252"/>
      <c r="G28" s="318"/>
      <c r="H28" s="318"/>
      <c r="I28" s="2252"/>
      <c r="J28" s="314"/>
      <c r="K28" s="314"/>
      <c r="L28" s="315"/>
      <c r="M28" s="315"/>
      <c r="N28" s="317"/>
      <c r="O28" s="317"/>
      <c r="P28" s="316"/>
      <c r="Q28" s="317"/>
      <c r="R28" s="317"/>
      <c r="S28" s="320"/>
    </row>
    <row r="29" spans="1:34">
      <c r="A29" s="2252">
        <f t="shared" si="0"/>
        <v>24</v>
      </c>
      <c r="B29" s="325"/>
      <c r="C29" s="322"/>
      <c r="D29" s="325"/>
      <c r="E29" s="325"/>
      <c r="F29" s="2252"/>
      <c r="G29" s="2252"/>
      <c r="H29" s="323"/>
      <c r="I29" s="2252"/>
      <c r="J29" s="324"/>
      <c r="K29" s="324"/>
      <c r="L29" s="326"/>
      <c r="M29" s="317"/>
      <c r="N29" s="317"/>
      <c r="O29" s="317"/>
      <c r="P29" s="316"/>
      <c r="Q29" s="317"/>
      <c r="R29" s="317"/>
      <c r="S29" s="320"/>
    </row>
    <row r="30" spans="1:34">
      <c r="A30" s="2252">
        <f t="shared" si="0"/>
        <v>25</v>
      </c>
      <c r="B30" s="2788" t="s">
        <v>598</v>
      </c>
      <c r="C30" s="2788"/>
      <c r="D30" s="2788"/>
      <c r="E30" s="2788"/>
      <c r="F30" s="2788"/>
      <c r="G30" s="2252"/>
      <c r="H30" s="2252"/>
      <c r="I30" s="2252"/>
      <c r="J30" s="327">
        <f t="shared" ref="J30:R30" si="1">SUM(J6:J29)</f>
        <v>0</v>
      </c>
      <c r="K30" s="327">
        <f t="shared" si="1"/>
        <v>0</v>
      </c>
      <c r="L30" s="327">
        <f t="shared" si="1"/>
        <v>0</v>
      </c>
      <c r="M30" s="327">
        <f t="shared" si="1"/>
        <v>0</v>
      </c>
      <c r="N30" s="327">
        <f t="shared" si="1"/>
        <v>0</v>
      </c>
      <c r="O30" s="327">
        <f t="shared" si="1"/>
        <v>0</v>
      </c>
      <c r="P30" s="327">
        <f t="shared" si="1"/>
        <v>0</v>
      </c>
      <c r="Q30" s="327">
        <f t="shared" si="1"/>
        <v>0</v>
      </c>
      <c r="R30" s="327">
        <f t="shared" si="1"/>
        <v>0</v>
      </c>
      <c r="S30" s="327"/>
    </row>
    <row r="31" spans="1:34" s="267" customFormat="1">
      <c r="A31" s="266" t="s">
        <v>493</v>
      </c>
      <c r="B31" s="2251"/>
      <c r="C31" s="2251"/>
      <c r="D31" s="2251"/>
      <c r="E31" s="2251"/>
      <c r="F31" s="2251"/>
      <c r="G31" s="2251"/>
      <c r="H31" s="2251"/>
      <c r="I31" s="2251"/>
      <c r="J31" s="2251"/>
      <c r="K31" s="2251"/>
      <c r="L31" s="2251"/>
      <c r="M31" s="2251"/>
      <c r="N31" s="2251"/>
      <c r="O31" s="2251"/>
      <c r="P31" s="308"/>
      <c r="Q31" s="2251"/>
      <c r="R31" s="2251"/>
      <c r="S31" s="2251"/>
      <c r="T31" s="2251"/>
      <c r="V31" s="268"/>
      <c r="W31" s="268"/>
      <c r="X31" s="268"/>
      <c r="Y31" s="268"/>
      <c r="Z31" s="268"/>
      <c r="AA31" s="268"/>
      <c r="AB31" s="268"/>
      <c r="AC31" s="268"/>
      <c r="AD31" s="268"/>
      <c r="AE31" s="268"/>
      <c r="AF31" s="268"/>
      <c r="AG31" s="268"/>
      <c r="AH31" s="268"/>
    </row>
    <row r="32" spans="1:34" s="267" customFormat="1">
      <c r="A32" s="269">
        <v>1</v>
      </c>
      <c r="B32" s="2787" t="s">
        <v>496</v>
      </c>
      <c r="C32" s="2787"/>
      <c r="D32" s="2787"/>
      <c r="E32" s="2787"/>
      <c r="F32" s="2787"/>
      <c r="G32" s="2787"/>
      <c r="H32" s="2787"/>
      <c r="I32" s="2787"/>
      <c r="J32" s="2787"/>
      <c r="K32" s="2787"/>
      <c r="L32" s="2787"/>
      <c r="M32" s="2787"/>
      <c r="N32" s="2787"/>
      <c r="O32" s="2787"/>
      <c r="P32" s="2787"/>
      <c r="Q32" s="2787"/>
      <c r="R32" s="2787"/>
      <c r="S32" s="2251"/>
      <c r="T32" s="2251"/>
      <c r="V32" s="268"/>
      <c r="W32" s="268"/>
      <c r="X32" s="268"/>
      <c r="Y32" s="268"/>
      <c r="Z32" s="268"/>
      <c r="AA32" s="268"/>
      <c r="AB32" s="268"/>
      <c r="AC32" s="268"/>
      <c r="AD32" s="268"/>
      <c r="AE32" s="268"/>
      <c r="AF32" s="268"/>
      <c r="AG32" s="268"/>
      <c r="AH32" s="268"/>
    </row>
    <row r="33" spans="1:34" s="267" customFormat="1">
      <c r="A33" s="269">
        <v>2</v>
      </c>
      <c r="B33" s="2787" t="s">
        <v>497</v>
      </c>
      <c r="C33" s="2787"/>
      <c r="D33" s="2787"/>
      <c r="E33" s="2787"/>
      <c r="F33" s="2787"/>
      <c r="G33" s="2787"/>
      <c r="H33" s="2787"/>
      <c r="I33" s="2787"/>
      <c r="J33" s="2787"/>
      <c r="K33" s="2251"/>
      <c r="L33" s="2251"/>
      <c r="M33" s="2251"/>
      <c r="N33" s="2251"/>
      <c r="O33" s="2251"/>
      <c r="P33" s="2251"/>
      <c r="Q33" s="2251"/>
      <c r="R33" s="2251"/>
      <c r="S33" s="2787"/>
      <c r="T33" s="2787"/>
      <c r="V33" s="268"/>
      <c r="W33" s="268"/>
      <c r="X33" s="268"/>
      <c r="Y33" s="268"/>
      <c r="Z33" s="268"/>
      <c r="AA33" s="268"/>
      <c r="AB33" s="268"/>
      <c r="AC33" s="268"/>
      <c r="AD33" s="268"/>
      <c r="AE33" s="268"/>
      <c r="AF33" s="268"/>
      <c r="AG33" s="268"/>
      <c r="AH33" s="268"/>
    </row>
    <row r="34" spans="1:34" s="267" customFormat="1">
      <c r="A34" s="269">
        <v>3</v>
      </c>
      <c r="B34" s="270" t="s">
        <v>505</v>
      </c>
      <c r="C34" s="2251"/>
      <c r="D34" s="2251"/>
      <c r="E34" s="2251"/>
      <c r="F34" s="2251"/>
      <c r="G34" s="2251"/>
      <c r="H34" s="2251"/>
      <c r="I34" s="2251"/>
      <c r="J34" s="2251"/>
      <c r="K34" s="2251"/>
      <c r="L34" s="2251"/>
      <c r="M34" s="2251"/>
      <c r="N34" s="2251"/>
      <c r="O34" s="2251"/>
      <c r="P34" s="2251"/>
      <c r="Q34" s="2251"/>
      <c r="R34" s="2251"/>
      <c r="S34" s="2251"/>
      <c r="T34" s="2251"/>
      <c r="V34" s="268"/>
      <c r="W34" s="268"/>
      <c r="X34" s="268"/>
      <c r="Y34" s="268"/>
      <c r="Z34" s="268"/>
      <c r="AA34" s="268"/>
      <c r="AB34" s="268"/>
      <c r="AC34" s="268"/>
      <c r="AD34" s="268"/>
      <c r="AE34" s="268"/>
      <c r="AF34" s="268"/>
      <c r="AG34" s="268"/>
      <c r="AH34" s="268"/>
    </row>
    <row r="35" spans="1:34" s="267" customFormat="1">
      <c r="A35" s="269">
        <v>4</v>
      </c>
      <c r="B35" s="271" t="s">
        <v>153</v>
      </c>
      <c r="C35" s="2251"/>
      <c r="D35" s="2251"/>
      <c r="E35" s="2251"/>
      <c r="F35" s="2251"/>
      <c r="G35" s="2251"/>
      <c r="H35" s="2251"/>
      <c r="I35" s="2251"/>
      <c r="J35" s="2251"/>
      <c r="K35" s="2251"/>
      <c r="L35" s="2251"/>
      <c r="M35" s="2251"/>
      <c r="N35" s="2251"/>
      <c r="O35" s="2251"/>
      <c r="P35" s="2251"/>
      <c r="Q35" s="2251"/>
      <c r="R35" s="2251"/>
      <c r="S35" s="2251"/>
      <c r="T35" s="2251"/>
      <c r="V35" s="268"/>
      <c r="W35" s="268"/>
      <c r="X35" s="268"/>
      <c r="Y35" s="268"/>
      <c r="Z35" s="268"/>
      <c r="AA35" s="268"/>
      <c r="AB35" s="268"/>
      <c r="AC35" s="268"/>
      <c r="AD35" s="268"/>
      <c r="AE35" s="268"/>
      <c r="AF35" s="268"/>
      <c r="AG35" s="268"/>
      <c r="AH35" s="268"/>
    </row>
    <row r="36" spans="1:34" s="267" customFormat="1">
      <c r="A36" s="269">
        <v>5</v>
      </c>
      <c r="B36" s="272" t="s">
        <v>1228</v>
      </c>
      <c r="C36" s="2251"/>
      <c r="D36" s="2251"/>
      <c r="E36" s="2251"/>
      <c r="F36" s="2251"/>
      <c r="G36" s="2251"/>
      <c r="H36" s="2251"/>
      <c r="I36" s="2251"/>
      <c r="J36" s="2251"/>
      <c r="K36" s="2251"/>
      <c r="L36" s="2251"/>
      <c r="M36" s="2251"/>
      <c r="N36" s="2251"/>
      <c r="O36" s="2251"/>
      <c r="P36" s="2251"/>
      <c r="Q36" s="2251"/>
      <c r="R36" s="2251"/>
      <c r="S36" s="2251"/>
      <c r="T36" s="2251"/>
      <c r="V36" s="268"/>
      <c r="W36" s="268"/>
      <c r="X36" s="268"/>
      <c r="Y36" s="268"/>
      <c r="Z36" s="268"/>
      <c r="AA36" s="268"/>
      <c r="AB36" s="268"/>
      <c r="AC36" s="268"/>
      <c r="AD36" s="268"/>
      <c r="AE36" s="268"/>
      <c r="AF36" s="268"/>
      <c r="AG36" s="268"/>
      <c r="AH36" s="268"/>
    </row>
    <row r="37" spans="1:34" s="267" customFormat="1">
      <c r="A37" s="269">
        <v>6</v>
      </c>
      <c r="B37" s="54" t="s">
        <v>500</v>
      </c>
      <c r="C37" s="2251"/>
      <c r="D37" s="2251"/>
      <c r="E37" s="2251"/>
      <c r="F37" s="2251"/>
      <c r="G37" s="2251"/>
      <c r="H37" s="2251"/>
      <c r="I37" s="2251"/>
      <c r="J37" s="2251"/>
      <c r="K37" s="2251"/>
      <c r="L37" s="2251"/>
      <c r="M37" s="2251"/>
      <c r="N37" s="2251"/>
      <c r="O37" s="2251"/>
      <c r="P37" s="2251"/>
      <c r="Q37" s="2251"/>
      <c r="R37" s="2251"/>
      <c r="S37" s="2251"/>
      <c r="T37" s="2251"/>
      <c r="V37" s="268"/>
      <c r="W37" s="268"/>
      <c r="X37" s="268"/>
      <c r="Y37" s="268"/>
      <c r="Z37" s="268"/>
      <c r="AA37" s="268"/>
      <c r="AB37" s="268"/>
      <c r="AC37" s="268"/>
      <c r="AD37" s="268"/>
      <c r="AE37" s="268"/>
      <c r="AF37" s="268"/>
      <c r="AG37" s="268"/>
      <c r="AH37" s="268"/>
    </row>
    <row r="38" spans="1:34" s="267" customFormat="1">
      <c r="A38" s="269">
        <v>7</v>
      </c>
      <c r="B38" s="54" t="s">
        <v>501</v>
      </c>
      <c r="C38" s="2251"/>
      <c r="D38" s="2251"/>
      <c r="E38" s="2251"/>
      <c r="F38" s="2251"/>
      <c r="G38" s="2251"/>
      <c r="H38" s="2251"/>
      <c r="I38" s="2251"/>
      <c r="J38" s="2251"/>
      <c r="K38" s="2251"/>
      <c r="L38" s="2251"/>
      <c r="M38" s="2251"/>
      <c r="N38" s="2251"/>
      <c r="O38" s="2251"/>
      <c r="P38" s="2251"/>
      <c r="Q38" s="2251"/>
      <c r="R38" s="2251"/>
      <c r="S38" s="2251"/>
      <c r="T38" s="2251"/>
      <c r="V38" s="268"/>
      <c r="W38" s="268"/>
      <c r="X38" s="268"/>
      <c r="Y38" s="268"/>
      <c r="Z38" s="268"/>
      <c r="AA38" s="268"/>
      <c r="AB38" s="268"/>
      <c r="AC38" s="268"/>
      <c r="AD38" s="268"/>
      <c r="AE38" s="268"/>
      <c r="AF38" s="268"/>
      <c r="AG38" s="268"/>
      <c r="AH38" s="268"/>
    </row>
    <row r="39" spans="1:34">
      <c r="A39" s="269">
        <v>8</v>
      </c>
      <c r="B39" s="2787" t="s">
        <v>2355</v>
      </c>
      <c r="C39" s="2787"/>
      <c r="D39" s="2787"/>
      <c r="E39" s="2787"/>
      <c r="F39" s="2787"/>
      <c r="G39" s="2787"/>
      <c r="H39" s="2787"/>
      <c r="I39" s="2787"/>
      <c r="J39" s="2787"/>
      <c r="K39" s="2787"/>
      <c r="L39" s="2787"/>
      <c r="M39" s="2787"/>
      <c r="N39" s="2787"/>
      <c r="O39" s="2787"/>
      <c r="P39" s="2787"/>
      <c r="Q39" s="2787"/>
      <c r="R39" s="2787"/>
    </row>
    <row r="40" spans="1:34">
      <c r="A40" s="269">
        <v>9</v>
      </c>
      <c r="B40" s="54" t="s">
        <v>506</v>
      </c>
    </row>
    <row r="41" spans="1:34">
      <c r="A41" s="269">
        <v>10</v>
      </c>
      <c r="B41" s="54" t="s">
        <v>503</v>
      </c>
    </row>
    <row r="42" spans="1:34">
      <c r="A42" s="269">
        <v>11</v>
      </c>
      <c r="B42" s="54" t="s">
        <v>507</v>
      </c>
    </row>
  </sheetData>
  <mergeCells count="18">
    <mergeCell ref="A3:A5"/>
    <mergeCell ref="B3:F3"/>
    <mergeCell ref="J3:J4"/>
    <mergeCell ref="K3:K4"/>
    <mergeCell ref="G3:I3"/>
    <mergeCell ref="Q3:Q4"/>
    <mergeCell ref="R3:R4"/>
    <mergeCell ref="B33:J33"/>
    <mergeCell ref="S33:T33"/>
    <mergeCell ref="B39:R39"/>
    <mergeCell ref="B32:R32"/>
    <mergeCell ref="B30:F30"/>
    <mergeCell ref="S3:S4"/>
    <mergeCell ref="L3:L4"/>
    <mergeCell ref="M3:M4"/>
    <mergeCell ref="N3:N4"/>
    <mergeCell ref="O3:O4"/>
    <mergeCell ref="P3:P4"/>
  </mergeCells>
  <phoneticPr fontId="26" type="noConversion"/>
  <printOptions horizontalCentered="1"/>
  <pageMargins left="0.39370078740157483" right="0.39370078740157483" top="0.39370078740157483" bottom="0.39370078740157483" header="0.19685039370078741" footer="0.19685039370078741"/>
  <pageSetup paperSize="9" scale="69" fitToHeight="2" orientation="landscape" cellComments="asDisplayed" horizontalDpi="4294967295" verticalDpi="4294967295" r:id="rId1"/>
  <headerFooter alignWithMargins="0">
    <oddFooter>&amp;C&amp;"Times New Roman,標準"98&amp;R&amp;"Times New Roman,標準"&amp;A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H43"/>
  <sheetViews>
    <sheetView zoomScale="115" zoomScaleNormal="115" workbookViewId="0"/>
  </sheetViews>
  <sheetFormatPr defaultRowHeight="14.25"/>
  <cols>
    <col min="1" max="1" width="5.125" style="54" customWidth="1"/>
    <col min="2" max="2" width="8.875" style="54" customWidth="1"/>
    <col min="3" max="3" width="20.75" style="54" customWidth="1"/>
    <col min="4" max="4" width="6.75" style="54" customWidth="1"/>
    <col min="5" max="5" width="5" style="54" customWidth="1"/>
    <col min="6" max="6" width="6.625" style="54" customWidth="1"/>
    <col min="7" max="7" width="17.125" style="54" customWidth="1"/>
    <col min="8" max="8" width="6.625" style="54" customWidth="1"/>
    <col min="9" max="9" width="5" style="54" customWidth="1"/>
    <col min="10" max="10" width="11.25" style="50" bestFit="1" customWidth="1"/>
    <col min="11" max="11" width="12.25" style="50" bestFit="1" customWidth="1"/>
    <col min="12" max="12" width="13.75" style="50" customWidth="1"/>
    <col min="13" max="13" width="16.625" style="50" customWidth="1"/>
    <col min="14" max="14" width="11.625" style="50" customWidth="1"/>
    <col min="15" max="15" width="10.5" style="50" customWidth="1"/>
    <col min="16" max="16" width="16.75" style="50" customWidth="1"/>
    <col min="17" max="18" width="16.25" style="50" customWidth="1"/>
    <col min="19" max="16384" width="9" style="50"/>
  </cols>
  <sheetData>
    <row r="1" spans="1:19">
      <c r="A1" s="105" t="str">
        <f>表03!A1</f>
        <v xml:space="preserve"> 保險股份有限公司    年度(月)報表</v>
      </c>
      <c r="B1" s="50"/>
      <c r="C1" s="50"/>
      <c r="D1" s="50"/>
      <c r="E1" s="50"/>
      <c r="F1" s="50"/>
      <c r="G1" s="50"/>
      <c r="H1" s="50"/>
      <c r="I1" s="50"/>
    </row>
    <row r="2" spans="1:19">
      <c r="A2" s="50" t="s">
        <v>1194</v>
      </c>
      <c r="B2" s="50"/>
      <c r="C2" s="50"/>
      <c r="D2" s="50"/>
      <c r="E2" s="50"/>
      <c r="R2" s="4" t="s">
        <v>172</v>
      </c>
    </row>
    <row r="3" spans="1:19" ht="16.5" customHeight="1">
      <c r="A3" s="2792" t="s">
        <v>236</v>
      </c>
      <c r="B3" s="2795" t="s">
        <v>152</v>
      </c>
      <c r="C3" s="2795"/>
      <c r="D3" s="2795"/>
      <c r="E3" s="2795"/>
      <c r="F3" s="2795"/>
      <c r="G3" s="2796" t="s">
        <v>156</v>
      </c>
      <c r="H3" s="2797"/>
      <c r="I3" s="2804" t="s">
        <v>169</v>
      </c>
      <c r="J3" s="2785" t="s">
        <v>452</v>
      </c>
      <c r="K3" s="2785" t="s">
        <v>170</v>
      </c>
      <c r="L3" s="2785" t="s">
        <v>817</v>
      </c>
      <c r="M3" s="2790" t="s">
        <v>157</v>
      </c>
      <c r="N3" s="2791" t="s">
        <v>680</v>
      </c>
      <c r="O3" s="2800" t="s">
        <v>171</v>
      </c>
      <c r="P3" s="2785" t="s">
        <v>173</v>
      </c>
      <c r="Q3" s="2785" t="s">
        <v>174</v>
      </c>
      <c r="R3" s="2785" t="s">
        <v>175</v>
      </c>
      <c r="S3" s="2785" t="s">
        <v>237</v>
      </c>
    </row>
    <row r="4" spans="1:19" s="53" customFormat="1" ht="48.75" customHeight="1">
      <c r="A4" s="2793"/>
      <c r="B4" s="263" t="s">
        <v>150</v>
      </c>
      <c r="C4" s="263" t="s">
        <v>231</v>
      </c>
      <c r="D4" s="263" t="s">
        <v>233</v>
      </c>
      <c r="E4" s="263" t="s">
        <v>232</v>
      </c>
      <c r="F4" s="263" t="s">
        <v>151</v>
      </c>
      <c r="G4" s="264" t="s">
        <v>167</v>
      </c>
      <c r="H4" s="297" t="s">
        <v>168</v>
      </c>
      <c r="I4" s="2805"/>
      <c r="J4" s="2799"/>
      <c r="K4" s="2799"/>
      <c r="L4" s="2789"/>
      <c r="M4" s="2786"/>
      <c r="N4" s="2789"/>
      <c r="O4" s="2799"/>
      <c r="P4" s="2799"/>
      <c r="Q4" s="2799"/>
      <c r="R4" s="2799"/>
      <c r="S4" s="2799"/>
    </row>
    <row r="5" spans="1:19" s="53" customFormat="1">
      <c r="A5" s="2794"/>
      <c r="B5" s="265" t="s">
        <v>66</v>
      </c>
      <c r="C5" s="265" t="s">
        <v>67</v>
      </c>
      <c r="D5" s="265" t="s">
        <v>68</v>
      </c>
      <c r="E5" s="265" t="s">
        <v>69</v>
      </c>
      <c r="F5" s="265" t="s">
        <v>70</v>
      </c>
      <c r="G5" s="265" t="s">
        <v>71</v>
      </c>
      <c r="H5" s="265" t="s">
        <v>72</v>
      </c>
      <c r="I5" s="265" t="s">
        <v>73</v>
      </c>
      <c r="J5" s="265" t="s">
        <v>74</v>
      </c>
      <c r="K5" s="265" t="s">
        <v>75</v>
      </c>
      <c r="L5" s="265" t="s">
        <v>234</v>
      </c>
      <c r="M5" s="265" t="s">
        <v>235</v>
      </c>
      <c r="N5" s="265" t="s">
        <v>286</v>
      </c>
      <c r="O5" s="265" t="s">
        <v>287</v>
      </c>
      <c r="P5" s="265" t="s">
        <v>288</v>
      </c>
      <c r="Q5" s="265" t="s">
        <v>289</v>
      </c>
      <c r="R5" s="265" t="s">
        <v>290</v>
      </c>
      <c r="S5" s="265" t="s">
        <v>138</v>
      </c>
    </row>
    <row r="6" spans="1:19">
      <c r="A6" s="2252">
        <v>1</v>
      </c>
      <c r="B6" s="330"/>
      <c r="C6" s="331"/>
      <c r="D6" s="325"/>
      <c r="E6" s="325"/>
      <c r="F6" s="2252"/>
      <c r="G6" s="323"/>
      <c r="H6" s="323"/>
      <c r="I6" s="323"/>
      <c r="J6" s="332"/>
      <c r="K6" s="332"/>
      <c r="L6" s="317"/>
      <c r="M6" s="317"/>
      <c r="N6" s="317"/>
      <c r="O6" s="317"/>
      <c r="P6" s="316"/>
      <c r="Q6" s="317"/>
      <c r="R6" s="317"/>
      <c r="S6" s="320"/>
    </row>
    <row r="7" spans="1:19">
      <c r="A7" s="2252">
        <v>2</v>
      </c>
      <c r="B7" s="325"/>
      <c r="C7" s="325"/>
      <c r="D7" s="325"/>
      <c r="E7" s="325"/>
      <c r="F7" s="323"/>
      <c r="G7" s="323"/>
      <c r="H7" s="323"/>
      <c r="I7" s="323"/>
      <c r="J7" s="315"/>
      <c r="K7" s="315"/>
      <c r="L7" s="317"/>
      <c r="M7" s="317"/>
      <c r="N7" s="317"/>
      <c r="O7" s="317"/>
      <c r="P7" s="316"/>
      <c r="Q7" s="317"/>
      <c r="R7" s="317"/>
      <c r="S7" s="320"/>
    </row>
    <row r="8" spans="1:19">
      <c r="A8" s="2252">
        <v>3</v>
      </c>
      <c r="B8" s="325"/>
      <c r="C8" s="325"/>
      <c r="D8" s="325"/>
      <c r="E8" s="325"/>
      <c r="F8" s="323"/>
      <c r="G8" s="323"/>
      <c r="H8" s="323"/>
      <c r="I8" s="323"/>
      <c r="J8" s="315"/>
      <c r="K8" s="315"/>
      <c r="L8" s="317"/>
      <c r="M8" s="317"/>
      <c r="N8" s="317"/>
      <c r="O8" s="317"/>
      <c r="P8" s="316"/>
      <c r="Q8" s="317"/>
      <c r="R8" s="317"/>
      <c r="S8" s="320"/>
    </row>
    <row r="9" spans="1:19" ht="15.75" customHeight="1">
      <c r="A9" s="2252">
        <v>4</v>
      </c>
      <c r="B9" s="325"/>
      <c r="C9" s="325"/>
      <c r="D9" s="325"/>
      <c r="E9" s="325"/>
      <c r="F9" s="323"/>
      <c r="G9" s="323"/>
      <c r="H9" s="323"/>
      <c r="I9" s="323"/>
      <c r="J9" s="315"/>
      <c r="K9" s="315"/>
      <c r="L9" s="317"/>
      <c r="M9" s="317"/>
      <c r="N9" s="317"/>
      <c r="O9" s="317"/>
      <c r="P9" s="316"/>
      <c r="Q9" s="317"/>
      <c r="R9" s="317"/>
      <c r="S9" s="320"/>
    </row>
    <row r="10" spans="1:19">
      <c r="A10" s="2252">
        <v>5</v>
      </c>
      <c r="B10" s="333"/>
      <c r="C10" s="325"/>
      <c r="D10" s="325"/>
      <c r="E10" s="325"/>
      <c r="F10" s="323"/>
      <c r="G10" s="323"/>
      <c r="H10" s="323"/>
      <c r="I10" s="323"/>
      <c r="J10" s="315"/>
      <c r="K10" s="315"/>
      <c r="L10" s="317"/>
      <c r="M10" s="317"/>
      <c r="N10" s="317"/>
      <c r="O10" s="317"/>
      <c r="P10" s="316"/>
      <c r="Q10" s="317"/>
      <c r="R10" s="317"/>
      <c r="S10" s="320"/>
    </row>
    <row r="11" spans="1:19">
      <c r="A11" s="2252">
        <v>6</v>
      </c>
      <c r="B11" s="325"/>
      <c r="C11" s="325"/>
      <c r="D11" s="325"/>
      <c r="E11" s="325"/>
      <c r="F11" s="323"/>
      <c r="G11" s="323"/>
      <c r="H11" s="323"/>
      <c r="I11" s="323"/>
      <c r="J11" s="315"/>
      <c r="K11" s="315"/>
      <c r="L11" s="317"/>
      <c r="M11" s="317"/>
      <c r="N11" s="317"/>
      <c r="O11" s="317"/>
      <c r="P11" s="316"/>
      <c r="Q11" s="317"/>
      <c r="R11" s="317"/>
      <c r="S11" s="320"/>
    </row>
    <row r="12" spans="1:19">
      <c r="A12" s="2252">
        <v>7</v>
      </c>
      <c r="B12" s="325"/>
      <c r="C12" s="325"/>
      <c r="D12" s="325"/>
      <c r="E12" s="325"/>
      <c r="F12" s="323"/>
      <c r="G12" s="323"/>
      <c r="H12" s="323"/>
      <c r="I12" s="323"/>
      <c r="J12" s="315"/>
      <c r="K12" s="315"/>
      <c r="L12" s="317"/>
      <c r="M12" s="317"/>
      <c r="N12" s="317"/>
      <c r="O12" s="317"/>
      <c r="P12" s="316"/>
      <c r="Q12" s="317"/>
      <c r="R12" s="317"/>
      <c r="S12" s="320"/>
    </row>
    <row r="13" spans="1:19">
      <c r="A13" s="2252">
        <v>8</v>
      </c>
      <c r="B13" s="325"/>
      <c r="C13" s="325"/>
      <c r="D13" s="325"/>
      <c r="E13" s="325"/>
      <c r="F13" s="323"/>
      <c r="G13" s="323"/>
      <c r="H13" s="323"/>
      <c r="I13" s="323"/>
      <c r="J13" s="315"/>
      <c r="K13" s="315"/>
      <c r="L13" s="317"/>
      <c r="M13" s="317"/>
      <c r="N13" s="317"/>
      <c r="O13" s="317"/>
      <c r="P13" s="316"/>
      <c r="Q13" s="317"/>
      <c r="R13" s="317"/>
      <c r="S13" s="320"/>
    </row>
    <row r="14" spans="1:19">
      <c r="A14" s="2252">
        <v>9</v>
      </c>
      <c r="B14" s="325"/>
      <c r="C14" s="325"/>
      <c r="D14" s="325"/>
      <c r="E14" s="325"/>
      <c r="F14" s="323"/>
      <c r="G14" s="323"/>
      <c r="H14" s="323"/>
      <c r="I14" s="323"/>
      <c r="J14" s="315"/>
      <c r="K14" s="315"/>
      <c r="L14" s="317"/>
      <c r="M14" s="317"/>
      <c r="N14" s="317"/>
      <c r="O14" s="317"/>
      <c r="P14" s="316"/>
      <c r="Q14" s="317"/>
      <c r="R14" s="317"/>
      <c r="S14" s="320"/>
    </row>
    <row r="15" spans="1:19">
      <c r="A15" s="2252">
        <v>10</v>
      </c>
      <c r="B15" s="325"/>
      <c r="C15" s="325"/>
      <c r="D15" s="325"/>
      <c r="E15" s="325"/>
      <c r="F15" s="323"/>
      <c r="G15" s="323"/>
      <c r="H15" s="323"/>
      <c r="I15" s="323"/>
      <c r="J15" s="315"/>
      <c r="K15" s="315"/>
      <c r="L15" s="317"/>
      <c r="M15" s="317"/>
      <c r="N15" s="317"/>
      <c r="O15" s="317"/>
      <c r="P15" s="316"/>
      <c r="Q15" s="317"/>
      <c r="R15" s="317"/>
      <c r="S15" s="320"/>
    </row>
    <row r="16" spans="1:19">
      <c r="A16" s="2252">
        <v>11</v>
      </c>
      <c r="B16" s="325"/>
      <c r="C16" s="325"/>
      <c r="D16" s="325"/>
      <c r="E16" s="325"/>
      <c r="F16" s="323"/>
      <c r="G16" s="323"/>
      <c r="H16" s="323"/>
      <c r="I16" s="323"/>
      <c r="J16" s="315"/>
      <c r="K16" s="315"/>
      <c r="L16" s="317"/>
      <c r="M16" s="317"/>
      <c r="N16" s="317"/>
      <c r="O16" s="317"/>
      <c r="P16" s="316"/>
      <c r="Q16" s="317"/>
      <c r="R16" s="317"/>
      <c r="S16" s="320"/>
    </row>
    <row r="17" spans="1:34">
      <c r="A17" s="2252">
        <v>12</v>
      </c>
      <c r="B17" s="325"/>
      <c r="C17" s="325"/>
      <c r="D17" s="325"/>
      <c r="E17" s="325"/>
      <c r="F17" s="323"/>
      <c r="G17" s="323"/>
      <c r="H17" s="323"/>
      <c r="I17" s="323"/>
      <c r="J17" s="315"/>
      <c r="K17" s="315"/>
      <c r="L17" s="317"/>
      <c r="M17" s="317"/>
      <c r="N17" s="317"/>
      <c r="O17" s="317"/>
      <c r="P17" s="316"/>
      <c r="Q17" s="317"/>
      <c r="R17" s="317"/>
      <c r="S17" s="320"/>
    </row>
    <row r="18" spans="1:34">
      <c r="A18" s="2252">
        <v>13</v>
      </c>
      <c r="B18" s="325"/>
      <c r="C18" s="325"/>
      <c r="D18" s="325"/>
      <c r="E18" s="325"/>
      <c r="F18" s="323"/>
      <c r="G18" s="323"/>
      <c r="H18" s="323"/>
      <c r="I18" s="323"/>
      <c r="J18" s="315"/>
      <c r="K18" s="315"/>
      <c r="L18" s="317"/>
      <c r="M18" s="317"/>
      <c r="N18" s="317"/>
      <c r="O18" s="317"/>
      <c r="P18" s="316"/>
      <c r="Q18" s="317"/>
      <c r="R18" s="317"/>
      <c r="S18" s="320"/>
    </row>
    <row r="19" spans="1:34">
      <c r="A19" s="2252">
        <v>14</v>
      </c>
      <c r="B19" s="325"/>
      <c r="C19" s="325"/>
      <c r="D19" s="325"/>
      <c r="E19" s="325"/>
      <c r="F19" s="323"/>
      <c r="G19" s="323"/>
      <c r="H19" s="323"/>
      <c r="I19" s="323"/>
      <c r="J19" s="315"/>
      <c r="K19" s="315"/>
      <c r="L19" s="317"/>
      <c r="M19" s="317"/>
      <c r="N19" s="317"/>
      <c r="O19" s="317"/>
      <c r="P19" s="316"/>
      <c r="Q19" s="317"/>
      <c r="R19" s="317"/>
      <c r="S19" s="320"/>
    </row>
    <row r="20" spans="1:34">
      <c r="A20" s="2252">
        <v>15</v>
      </c>
      <c r="B20" s="325"/>
      <c r="C20" s="325"/>
      <c r="D20" s="325"/>
      <c r="E20" s="325"/>
      <c r="F20" s="323"/>
      <c r="G20" s="323"/>
      <c r="H20" s="323"/>
      <c r="I20" s="323"/>
      <c r="J20" s="315"/>
      <c r="K20" s="315"/>
      <c r="L20" s="317"/>
      <c r="M20" s="317"/>
      <c r="N20" s="317"/>
      <c r="O20" s="317"/>
      <c r="P20" s="316"/>
      <c r="Q20" s="317"/>
      <c r="R20" s="317"/>
      <c r="S20" s="320"/>
    </row>
    <row r="21" spans="1:34">
      <c r="A21" s="2252">
        <v>16</v>
      </c>
      <c r="B21" s="325"/>
      <c r="C21" s="325"/>
      <c r="D21" s="325"/>
      <c r="E21" s="325"/>
      <c r="F21" s="323"/>
      <c r="G21" s="323"/>
      <c r="H21" s="323"/>
      <c r="I21" s="323"/>
      <c r="J21" s="315"/>
      <c r="K21" s="315"/>
      <c r="L21" s="317"/>
      <c r="M21" s="317"/>
      <c r="N21" s="317"/>
      <c r="O21" s="317"/>
      <c r="P21" s="316"/>
      <c r="Q21" s="317"/>
      <c r="R21" s="317"/>
      <c r="S21" s="320"/>
    </row>
    <row r="22" spans="1:34">
      <c r="A22" s="2252">
        <v>17</v>
      </c>
      <c r="B22" s="325"/>
      <c r="C22" s="325"/>
      <c r="D22" s="325"/>
      <c r="E22" s="325"/>
      <c r="F22" s="323"/>
      <c r="G22" s="323"/>
      <c r="H22" s="323"/>
      <c r="I22" s="323"/>
      <c r="J22" s="315"/>
      <c r="K22" s="315"/>
      <c r="L22" s="317"/>
      <c r="M22" s="317"/>
      <c r="N22" s="317"/>
      <c r="O22" s="317"/>
      <c r="P22" s="316"/>
      <c r="Q22" s="317"/>
      <c r="R22" s="317"/>
      <c r="S22" s="320"/>
    </row>
    <row r="23" spans="1:34">
      <c r="A23" s="2252">
        <v>18</v>
      </c>
      <c r="B23" s="325"/>
      <c r="C23" s="325"/>
      <c r="D23" s="325"/>
      <c r="E23" s="325"/>
      <c r="F23" s="323"/>
      <c r="G23" s="323"/>
      <c r="H23" s="323"/>
      <c r="I23" s="323"/>
      <c r="J23" s="315"/>
      <c r="K23" s="315"/>
      <c r="L23" s="317"/>
      <c r="M23" s="317"/>
      <c r="N23" s="317"/>
      <c r="O23" s="317"/>
      <c r="P23" s="316"/>
      <c r="Q23" s="317"/>
      <c r="R23" s="317"/>
      <c r="S23" s="320"/>
    </row>
    <row r="24" spans="1:34">
      <c r="A24" s="2252">
        <v>19</v>
      </c>
      <c r="B24" s="325"/>
      <c r="C24" s="325"/>
      <c r="D24" s="325"/>
      <c r="E24" s="325"/>
      <c r="F24" s="323"/>
      <c r="G24" s="323"/>
      <c r="H24" s="323"/>
      <c r="I24" s="323"/>
      <c r="J24" s="315"/>
      <c r="K24" s="315"/>
      <c r="L24" s="317"/>
      <c r="M24" s="317"/>
      <c r="N24" s="317"/>
      <c r="O24" s="317"/>
      <c r="P24" s="316"/>
      <c r="Q24" s="317"/>
      <c r="R24" s="317"/>
      <c r="S24" s="320"/>
    </row>
    <row r="25" spans="1:34">
      <c r="A25" s="2252">
        <v>20</v>
      </c>
      <c r="B25" s="325"/>
      <c r="C25" s="325"/>
      <c r="D25" s="325"/>
      <c r="E25" s="325"/>
      <c r="F25" s="323"/>
      <c r="G25" s="323"/>
      <c r="H25" s="323"/>
      <c r="I25" s="323"/>
      <c r="J25" s="315"/>
      <c r="K25" s="315"/>
      <c r="L25" s="326"/>
      <c r="M25" s="317"/>
      <c r="N25" s="317"/>
      <c r="O25" s="317"/>
      <c r="P25" s="316"/>
      <c r="Q25" s="317"/>
      <c r="R25" s="317"/>
      <c r="S25" s="320"/>
    </row>
    <row r="26" spans="1:34">
      <c r="A26" s="2252">
        <v>21</v>
      </c>
      <c r="B26" s="325"/>
      <c r="C26" s="325"/>
      <c r="D26" s="325"/>
      <c r="E26" s="325"/>
      <c r="F26" s="323"/>
      <c r="G26" s="323"/>
      <c r="H26" s="323"/>
      <c r="I26" s="323"/>
      <c r="J26" s="315"/>
      <c r="K26" s="315"/>
      <c r="L26" s="317"/>
      <c r="M26" s="317"/>
      <c r="N26" s="317"/>
      <c r="O26" s="317"/>
      <c r="P26" s="316"/>
      <c r="Q26" s="317"/>
      <c r="R26" s="317"/>
      <c r="S26" s="320"/>
    </row>
    <row r="27" spans="1:34">
      <c r="A27" s="2252">
        <v>22</v>
      </c>
      <c r="B27" s="325"/>
      <c r="C27" s="325"/>
      <c r="D27" s="325"/>
      <c r="E27" s="325"/>
      <c r="F27" s="323"/>
      <c r="G27" s="323"/>
      <c r="H27" s="323"/>
      <c r="I27" s="323"/>
      <c r="J27" s="315"/>
      <c r="K27" s="315"/>
      <c r="L27" s="317"/>
      <c r="M27" s="317"/>
      <c r="N27" s="317"/>
      <c r="O27" s="317"/>
      <c r="P27" s="316"/>
      <c r="Q27" s="317"/>
      <c r="R27" s="317"/>
      <c r="S27" s="320"/>
    </row>
    <row r="28" spans="1:34">
      <c r="A28" s="2252">
        <v>23</v>
      </c>
      <c r="B28" s="325"/>
      <c r="C28" s="325"/>
      <c r="D28" s="325"/>
      <c r="E28" s="325"/>
      <c r="F28" s="323"/>
      <c r="G28" s="323"/>
      <c r="H28" s="323"/>
      <c r="I28" s="323"/>
      <c r="J28" s="315"/>
      <c r="K28" s="315"/>
      <c r="L28" s="317"/>
      <c r="M28" s="317"/>
      <c r="N28" s="317"/>
      <c r="O28" s="317"/>
      <c r="P28" s="316"/>
      <c r="Q28" s="317"/>
      <c r="R28" s="317"/>
      <c r="S28" s="320"/>
    </row>
    <row r="29" spans="1:34">
      <c r="A29" s="2252">
        <v>24</v>
      </c>
      <c r="B29" s="325"/>
      <c r="C29" s="325"/>
      <c r="D29" s="325"/>
      <c r="E29" s="325"/>
      <c r="F29" s="323"/>
      <c r="G29" s="323"/>
      <c r="H29" s="323"/>
      <c r="I29" s="323"/>
      <c r="J29" s="315"/>
      <c r="K29" s="315"/>
      <c r="L29" s="317"/>
      <c r="M29" s="317"/>
      <c r="N29" s="317"/>
      <c r="O29" s="317"/>
      <c r="P29" s="316"/>
      <c r="Q29" s="317"/>
      <c r="R29" s="317"/>
      <c r="S29" s="320"/>
    </row>
    <row r="30" spans="1:34">
      <c r="A30" s="2252">
        <v>25</v>
      </c>
      <c r="B30" s="2801" t="s">
        <v>581</v>
      </c>
      <c r="C30" s="2802"/>
      <c r="D30" s="2802"/>
      <c r="E30" s="2802"/>
      <c r="F30" s="2803"/>
      <c r="G30" s="2254"/>
      <c r="H30" s="2254"/>
      <c r="I30" s="2254"/>
      <c r="J30" s="315">
        <f>SUM(J6:J29)</f>
        <v>0</v>
      </c>
      <c r="K30" s="315">
        <f t="shared" ref="K30:R30" si="0">SUM(K6:K29)</f>
        <v>0</v>
      </c>
      <c r="L30" s="315">
        <f t="shared" si="0"/>
        <v>0</v>
      </c>
      <c r="M30" s="315">
        <f t="shared" si="0"/>
        <v>0</v>
      </c>
      <c r="N30" s="315">
        <f t="shared" si="0"/>
        <v>0</v>
      </c>
      <c r="O30" s="315">
        <f t="shared" si="0"/>
        <v>0</v>
      </c>
      <c r="P30" s="315">
        <f t="shared" si="0"/>
        <v>0</v>
      </c>
      <c r="Q30" s="315">
        <f t="shared" si="0"/>
        <v>0</v>
      </c>
      <c r="R30" s="315">
        <f t="shared" si="0"/>
        <v>0</v>
      </c>
      <c r="S30" s="320"/>
    </row>
    <row r="31" spans="1:34" s="267" customFormat="1">
      <c r="A31" s="266" t="s">
        <v>268</v>
      </c>
      <c r="B31" s="2787"/>
      <c r="C31" s="2787"/>
      <c r="D31" s="2787"/>
      <c r="E31" s="2787"/>
      <c r="F31" s="2787"/>
      <c r="G31" s="2787"/>
      <c r="H31" s="2787"/>
      <c r="I31" s="2787"/>
      <c r="J31" s="2787"/>
      <c r="K31" s="2787"/>
      <c r="L31" s="2787"/>
      <c r="M31" s="2787"/>
      <c r="N31" s="2787"/>
      <c r="O31" s="2787"/>
      <c r="P31" s="2787"/>
      <c r="Q31" s="2787"/>
      <c r="R31" s="2787"/>
      <c r="S31" s="2787"/>
      <c r="T31" s="2787"/>
      <c r="V31" s="268"/>
      <c r="W31" s="268"/>
      <c r="X31" s="268"/>
      <c r="Y31" s="268"/>
      <c r="Z31" s="268"/>
      <c r="AA31" s="268"/>
      <c r="AB31" s="268"/>
      <c r="AC31" s="268"/>
      <c r="AD31" s="268"/>
      <c r="AE31" s="268"/>
      <c r="AF31" s="268"/>
      <c r="AG31" s="268"/>
      <c r="AH31" s="268"/>
    </row>
    <row r="32" spans="1:34" s="267" customFormat="1">
      <c r="A32" s="269">
        <v>1</v>
      </c>
      <c r="B32" s="2787" t="s">
        <v>496</v>
      </c>
      <c r="C32" s="2787"/>
      <c r="D32" s="2787"/>
      <c r="E32" s="2787"/>
      <c r="F32" s="2787"/>
      <c r="G32" s="2787"/>
      <c r="H32" s="2787"/>
      <c r="I32" s="2787"/>
      <c r="J32" s="2787"/>
      <c r="K32" s="2787"/>
      <c r="L32" s="2787"/>
      <c r="M32" s="2787"/>
      <c r="N32" s="2787"/>
      <c r="O32" s="2787"/>
      <c r="P32" s="2787"/>
      <c r="Q32" s="2787"/>
      <c r="R32" s="2787"/>
      <c r="S32" s="2251"/>
      <c r="T32" s="2251"/>
      <c r="V32" s="268"/>
      <c r="W32" s="268"/>
      <c r="X32" s="268"/>
      <c r="Y32" s="268"/>
      <c r="Z32" s="268"/>
      <c r="AA32" s="268"/>
      <c r="AB32" s="268"/>
      <c r="AC32" s="268"/>
      <c r="AD32" s="268"/>
      <c r="AE32" s="268"/>
      <c r="AF32" s="268"/>
      <c r="AG32" s="268"/>
      <c r="AH32" s="268"/>
    </row>
    <row r="33" spans="1:34" s="267" customFormat="1">
      <c r="A33" s="269">
        <v>2</v>
      </c>
      <c r="B33" s="2787" t="s">
        <v>497</v>
      </c>
      <c r="C33" s="2787"/>
      <c r="D33" s="2787"/>
      <c r="E33" s="2787"/>
      <c r="F33" s="2787"/>
      <c r="G33" s="2787"/>
      <c r="H33" s="2787"/>
      <c r="I33" s="2787"/>
      <c r="J33" s="2787"/>
      <c r="K33" s="2251"/>
      <c r="L33" s="2251"/>
      <c r="M33" s="2251"/>
      <c r="N33" s="2251"/>
      <c r="O33" s="2251"/>
      <c r="P33" s="2251"/>
      <c r="Q33" s="2251"/>
      <c r="R33" s="2251"/>
      <c r="S33" s="2787"/>
      <c r="T33" s="2787"/>
      <c r="V33" s="268"/>
      <c r="W33" s="268"/>
      <c r="X33" s="268"/>
      <c r="Y33" s="268"/>
      <c r="Z33" s="268"/>
      <c r="AA33" s="268"/>
      <c r="AB33" s="268"/>
      <c r="AC33" s="268"/>
      <c r="AD33" s="268"/>
      <c r="AE33" s="268"/>
      <c r="AF33" s="268"/>
      <c r="AG33" s="268"/>
      <c r="AH33" s="268"/>
    </row>
    <row r="34" spans="1:34" s="267" customFormat="1">
      <c r="A34" s="269">
        <v>3</v>
      </c>
      <c r="B34" s="270" t="s">
        <v>498</v>
      </c>
      <c r="C34" s="2251"/>
      <c r="D34" s="2251"/>
      <c r="E34" s="2251"/>
      <c r="F34" s="2251"/>
      <c r="G34" s="2251"/>
      <c r="H34" s="2251"/>
      <c r="I34" s="2251"/>
      <c r="J34" s="2251"/>
      <c r="K34" s="2251"/>
      <c r="L34" s="2251"/>
      <c r="M34" s="2251"/>
      <c r="N34" s="2251"/>
      <c r="O34" s="2251"/>
      <c r="P34" s="2251"/>
      <c r="Q34" s="2251"/>
      <c r="R34" s="2251"/>
      <c r="S34" s="2251"/>
      <c r="T34" s="2251"/>
      <c r="V34" s="268"/>
      <c r="W34" s="268"/>
      <c r="X34" s="268"/>
      <c r="Y34" s="268"/>
      <c r="Z34" s="268"/>
      <c r="AA34" s="268"/>
      <c r="AB34" s="268"/>
      <c r="AC34" s="268"/>
      <c r="AD34" s="268"/>
      <c r="AE34" s="268"/>
      <c r="AF34" s="268"/>
      <c r="AG34" s="268"/>
      <c r="AH34" s="268"/>
    </row>
    <row r="35" spans="1:34" s="267" customFormat="1">
      <c r="A35" s="269">
        <v>4</v>
      </c>
      <c r="B35" s="271" t="s">
        <v>499</v>
      </c>
      <c r="C35" s="2251"/>
      <c r="D35" s="2251"/>
      <c r="E35" s="2251"/>
      <c r="F35" s="2251"/>
      <c r="G35" s="2251"/>
      <c r="H35" s="2251"/>
      <c r="I35" s="2251"/>
      <c r="J35" s="2251"/>
      <c r="K35" s="2251"/>
      <c r="L35" s="2251"/>
      <c r="M35" s="2251"/>
      <c r="N35" s="2251"/>
      <c r="O35" s="2251"/>
      <c r="P35" s="2251"/>
      <c r="Q35" s="2251"/>
      <c r="R35" s="2251"/>
      <c r="S35" s="2251"/>
      <c r="T35" s="2251"/>
      <c r="V35" s="268"/>
      <c r="W35" s="268"/>
      <c r="X35" s="268"/>
      <c r="Y35" s="268"/>
      <c r="Z35" s="268"/>
      <c r="AA35" s="268"/>
      <c r="AB35" s="268"/>
      <c r="AC35" s="268"/>
      <c r="AD35" s="268"/>
      <c r="AE35" s="268"/>
      <c r="AF35" s="268"/>
      <c r="AG35" s="268"/>
      <c r="AH35" s="268"/>
    </row>
    <row r="36" spans="1:34" s="267" customFormat="1">
      <c r="A36" s="269">
        <v>5</v>
      </c>
      <c r="B36" s="284" t="s">
        <v>1229</v>
      </c>
      <c r="C36" s="2251"/>
      <c r="D36" s="2251"/>
      <c r="E36" s="2251"/>
      <c r="F36" s="2251"/>
      <c r="G36" s="2251"/>
      <c r="H36" s="2251"/>
      <c r="I36" s="2251"/>
      <c r="J36" s="2251"/>
      <c r="K36" s="2251"/>
      <c r="L36" s="2251"/>
      <c r="M36" s="2251"/>
      <c r="N36" s="2251"/>
      <c r="O36" s="2251"/>
      <c r="P36" s="2251"/>
      <c r="Q36" s="2251"/>
      <c r="R36" s="2251"/>
      <c r="S36" s="2251"/>
      <c r="T36" s="2251"/>
      <c r="V36" s="268"/>
      <c r="W36" s="268"/>
      <c r="X36" s="268"/>
      <c r="Y36" s="268"/>
      <c r="Z36" s="268"/>
      <c r="AA36" s="268"/>
      <c r="AB36" s="268"/>
      <c r="AC36" s="268"/>
      <c r="AD36" s="268"/>
      <c r="AE36" s="268"/>
      <c r="AF36" s="268"/>
      <c r="AG36" s="268"/>
      <c r="AH36" s="268"/>
    </row>
    <row r="37" spans="1:34" s="267" customFormat="1">
      <c r="A37" s="269">
        <v>6</v>
      </c>
      <c r="B37" s="54" t="s">
        <v>500</v>
      </c>
      <c r="C37" s="2251"/>
      <c r="D37" s="2251"/>
      <c r="E37" s="2251"/>
      <c r="F37" s="2251"/>
      <c r="G37" s="2251"/>
      <c r="H37" s="2251"/>
      <c r="I37" s="2251"/>
      <c r="J37" s="2251"/>
      <c r="K37" s="2251"/>
      <c r="L37" s="2251"/>
      <c r="M37" s="2251"/>
      <c r="N37" s="2251"/>
      <c r="O37" s="2251"/>
      <c r="P37" s="2251"/>
      <c r="Q37" s="2251"/>
      <c r="R37" s="2251"/>
      <c r="S37" s="2251"/>
      <c r="T37" s="2251"/>
      <c r="V37" s="268"/>
      <c r="W37" s="268"/>
      <c r="X37" s="268"/>
      <c r="Y37" s="268"/>
      <c r="Z37" s="268"/>
      <c r="AA37" s="268"/>
      <c r="AB37" s="268"/>
      <c r="AC37" s="268"/>
      <c r="AD37" s="268"/>
      <c r="AE37" s="268"/>
      <c r="AF37" s="268"/>
      <c r="AG37" s="268"/>
      <c r="AH37" s="268"/>
    </row>
    <row r="38" spans="1:34" s="267" customFormat="1">
      <c r="A38" s="269">
        <v>7</v>
      </c>
      <c r="B38" s="54" t="s">
        <v>501</v>
      </c>
      <c r="C38" s="2251"/>
      <c r="D38" s="2251"/>
      <c r="E38" s="2251"/>
      <c r="F38" s="2251"/>
      <c r="G38" s="2251"/>
      <c r="H38" s="2251"/>
      <c r="I38" s="2251"/>
      <c r="J38" s="2251"/>
      <c r="K38" s="2251"/>
      <c r="L38" s="2251"/>
      <c r="M38" s="2251"/>
      <c r="N38" s="2251"/>
      <c r="O38" s="2251"/>
      <c r="P38" s="2251"/>
      <c r="Q38" s="2251"/>
      <c r="R38" s="2251"/>
      <c r="S38" s="2251"/>
      <c r="T38" s="2251"/>
      <c r="V38" s="268"/>
      <c r="W38" s="268"/>
      <c r="X38" s="268"/>
      <c r="Y38" s="268"/>
      <c r="Z38" s="268"/>
      <c r="AA38" s="268"/>
      <c r="AB38" s="268"/>
      <c r="AC38" s="268"/>
      <c r="AD38" s="268"/>
      <c r="AE38" s="268"/>
      <c r="AF38" s="268"/>
      <c r="AG38" s="268"/>
      <c r="AH38" s="268"/>
    </row>
    <row r="39" spans="1:34" ht="13.9" customHeight="1">
      <c r="A39" s="269">
        <v>8</v>
      </c>
      <c r="B39" s="2787" t="s">
        <v>2356</v>
      </c>
      <c r="C39" s="2787"/>
      <c r="D39" s="2787"/>
      <c r="E39" s="2787"/>
      <c r="F39" s="2787"/>
      <c r="G39" s="2787"/>
      <c r="H39" s="2787"/>
      <c r="I39" s="2787"/>
      <c r="J39" s="2787"/>
      <c r="K39" s="2787"/>
      <c r="L39" s="2787"/>
      <c r="M39" s="2787"/>
      <c r="N39" s="2787"/>
      <c r="O39" s="2787"/>
      <c r="P39" s="2787"/>
      <c r="Q39" s="2787"/>
      <c r="R39" s="2787"/>
    </row>
    <row r="40" spans="1:34">
      <c r="A40" s="269">
        <v>9</v>
      </c>
      <c r="B40" s="54" t="s">
        <v>502</v>
      </c>
    </row>
    <row r="41" spans="1:34">
      <c r="A41" s="269">
        <v>10</v>
      </c>
      <c r="B41" s="54" t="s">
        <v>503</v>
      </c>
    </row>
    <row r="42" spans="1:34">
      <c r="A42" s="283"/>
      <c r="B42" s="50"/>
    </row>
    <row r="43" spans="1:34">
      <c r="B43" s="50"/>
    </row>
  </sheetData>
  <mergeCells count="20">
    <mergeCell ref="P3:P4"/>
    <mergeCell ref="Q3:Q4"/>
    <mergeCell ref="R3:R4"/>
    <mergeCell ref="S3:S4"/>
    <mergeCell ref="G3:H3"/>
    <mergeCell ref="I3:I4"/>
    <mergeCell ref="B39:R39"/>
    <mergeCell ref="B30:F30"/>
    <mergeCell ref="B31:T31"/>
    <mergeCell ref="B32:R32"/>
    <mergeCell ref="B33:J33"/>
    <mergeCell ref="S33:T33"/>
    <mergeCell ref="A3:A5"/>
    <mergeCell ref="B3:F3"/>
    <mergeCell ref="J3:J4"/>
    <mergeCell ref="O3:O4"/>
    <mergeCell ref="K3:K4"/>
    <mergeCell ref="L3:L4"/>
    <mergeCell ref="M3:M4"/>
    <mergeCell ref="N3:N4"/>
  </mergeCells>
  <phoneticPr fontId="26" type="noConversion"/>
  <printOptions horizontalCentered="1"/>
  <pageMargins left="0.39370078740157483" right="0.39370078740157483" top="0.39370078740157483" bottom="0.39370078740157483" header="0.19685039370078741" footer="0.19685039370078741"/>
  <pageSetup paperSize="9" scale="61" orientation="landscape" horizontalDpi="4294967295" verticalDpi="4294967295" r:id="rId1"/>
  <headerFooter alignWithMargins="0">
    <oddFooter>&amp;C&amp;"Times New Roman,標準"99&amp;R&amp;"Times New Roman,標準"&amp;A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57"/>
  <sheetViews>
    <sheetView view="pageBreakPreview" zoomScaleNormal="100" zoomScaleSheetLayoutView="100" workbookViewId="0">
      <pane xSplit="1" ySplit="7" topLeftCell="B17" activePane="bottomRight" state="frozen"/>
      <selection pane="topRight"/>
      <selection pane="bottomLeft"/>
      <selection pane="bottomRight"/>
    </sheetView>
  </sheetViews>
  <sheetFormatPr defaultRowHeight="15.75"/>
  <cols>
    <col min="1" max="1" width="4.25" style="614" customWidth="1"/>
    <col min="2" max="2" width="6.375" style="614" customWidth="1"/>
    <col min="3" max="5" width="5" style="614" customWidth="1"/>
    <col min="6" max="6" width="6" style="614" customWidth="1"/>
    <col min="7" max="7" width="5.625" style="614" customWidth="1"/>
    <col min="8" max="9" width="6.75" style="614" customWidth="1"/>
    <col min="10" max="10" width="6.625" style="614" customWidth="1"/>
    <col min="11" max="11" width="5.375" style="614" customWidth="1"/>
    <col min="12" max="12" width="4.75" style="614" customWidth="1"/>
    <col min="13" max="15" width="6.125" style="614" customWidth="1"/>
    <col min="16" max="16" width="5" style="614" customWidth="1"/>
    <col min="17" max="17" width="5" style="614" bestFit="1" customWidth="1"/>
    <col min="18" max="18" width="7.125" style="614" customWidth="1"/>
    <col min="19" max="19" width="5" style="614" bestFit="1" customWidth="1"/>
    <col min="20" max="20" width="6.875" style="614" customWidth="1"/>
    <col min="21" max="21" width="5.75" style="614" customWidth="1"/>
    <col min="22" max="22" width="4.5" style="614" customWidth="1"/>
    <col min="23" max="24" width="5" style="614" bestFit="1" customWidth="1"/>
    <col min="25" max="25" width="5.375" style="614" bestFit="1" customWidth="1"/>
    <col min="26" max="27" width="5" style="614" bestFit="1" customWidth="1"/>
    <col min="28" max="28" width="5.375" style="614" bestFit="1" customWidth="1"/>
    <col min="29" max="30" width="5" style="614" bestFit="1" customWidth="1"/>
    <col min="31" max="31" width="6.125" style="614" bestFit="1" customWidth="1"/>
    <col min="32" max="32" width="6.75" style="614" bestFit="1" customWidth="1"/>
    <col min="33" max="33" width="7.125" style="614" customWidth="1"/>
    <col min="34" max="34" width="4.75" style="614" customWidth="1"/>
    <col min="35" max="16384" width="9" style="614"/>
  </cols>
  <sheetData>
    <row r="1" spans="1:35">
      <c r="A1" s="528" t="s">
        <v>694</v>
      </c>
      <c r="B1" s="611"/>
      <c r="C1" s="611"/>
      <c r="D1" s="611"/>
      <c r="E1" s="611"/>
      <c r="F1" s="612"/>
      <c r="G1" s="612"/>
      <c r="H1" s="612"/>
      <c r="I1" s="612"/>
      <c r="J1" s="612"/>
      <c r="K1" s="612"/>
      <c r="L1" s="612"/>
      <c r="M1" s="612"/>
      <c r="N1" s="612"/>
      <c r="O1" s="612"/>
      <c r="P1" s="612"/>
      <c r="Q1" s="612"/>
      <c r="R1" s="612"/>
      <c r="S1" s="612"/>
      <c r="T1" s="612"/>
      <c r="U1" s="612"/>
      <c r="V1" s="612"/>
      <c r="W1" s="612"/>
      <c r="X1" s="612"/>
      <c r="Y1" s="612"/>
      <c r="Z1" s="612"/>
      <c r="AA1" s="612"/>
      <c r="AB1" s="612"/>
      <c r="AC1" s="612"/>
      <c r="AD1" s="612"/>
      <c r="AE1" s="612"/>
      <c r="AF1" s="612"/>
      <c r="AG1" s="612"/>
      <c r="AH1" s="613"/>
    </row>
    <row r="2" spans="1:35">
      <c r="A2" s="613" t="s">
        <v>977</v>
      </c>
      <c r="B2" s="613"/>
      <c r="C2" s="613"/>
      <c r="D2" s="613"/>
      <c r="E2" s="613"/>
      <c r="F2" s="613"/>
      <c r="G2" s="613"/>
      <c r="H2" s="613"/>
      <c r="I2" s="613"/>
      <c r="J2" s="613"/>
      <c r="K2" s="613"/>
      <c r="L2" s="613"/>
      <c r="M2" s="613"/>
      <c r="N2" s="613"/>
      <c r="O2" s="613"/>
      <c r="P2" s="613"/>
      <c r="Q2" s="613"/>
      <c r="R2" s="613"/>
      <c r="S2" s="613"/>
      <c r="T2" s="613"/>
      <c r="U2" s="613"/>
      <c r="V2" s="613"/>
      <c r="W2" s="613"/>
      <c r="X2" s="613"/>
      <c r="Y2" s="613"/>
      <c r="Z2" s="613"/>
      <c r="AA2" s="613"/>
      <c r="AB2" s="613"/>
      <c r="AC2" s="613"/>
      <c r="AD2" s="613"/>
      <c r="AE2" s="613"/>
      <c r="AF2" s="613"/>
      <c r="AG2" s="615"/>
      <c r="AH2" s="615" t="s">
        <v>978</v>
      </c>
    </row>
    <row r="3" spans="1:35" ht="16.5" customHeight="1">
      <c r="A3" s="2835" t="s">
        <v>979</v>
      </c>
      <c r="B3" s="2838" t="s">
        <v>980</v>
      </c>
      <c r="C3" s="2838"/>
      <c r="D3" s="2255"/>
      <c r="E3" s="2255"/>
      <c r="F3" s="531" t="s">
        <v>1240</v>
      </c>
      <c r="G3" s="531"/>
      <c r="H3" s="531"/>
      <c r="I3" s="531"/>
      <c r="J3" s="531"/>
      <c r="K3" s="531"/>
      <c r="L3" s="531"/>
      <c r="M3" s="531"/>
      <c r="N3" s="531"/>
      <c r="O3" s="531"/>
      <c r="P3" s="531"/>
      <c r="Q3" s="531"/>
      <c r="R3" s="531"/>
      <c r="S3" s="531"/>
      <c r="T3" s="531"/>
      <c r="U3" s="531"/>
      <c r="V3" s="531"/>
      <c r="W3" s="531"/>
      <c r="X3" s="531"/>
      <c r="Y3" s="531"/>
      <c r="Z3" s="531"/>
      <c r="AA3" s="531"/>
      <c r="AB3" s="531"/>
      <c r="AC3" s="531"/>
      <c r="AD3" s="531"/>
      <c r="AE3" s="531"/>
      <c r="AF3" s="531"/>
      <c r="AG3" s="2785" t="s">
        <v>990</v>
      </c>
      <c r="AH3" s="2785" t="s">
        <v>991</v>
      </c>
    </row>
    <row r="4" spans="1:35" ht="29.25" customHeight="1">
      <c r="A4" s="2836"/>
      <c r="B4" s="2807" t="s">
        <v>981</v>
      </c>
      <c r="C4" s="2807" t="s">
        <v>982</v>
      </c>
      <c r="D4" s="2804" t="s">
        <v>988</v>
      </c>
      <c r="E4" s="2804" t="s">
        <v>989</v>
      </c>
      <c r="F4" s="2810" t="s">
        <v>1241</v>
      </c>
      <c r="G4" s="2811"/>
      <c r="H4" s="2811"/>
      <c r="I4" s="2811"/>
      <c r="J4" s="2812"/>
      <c r="K4" s="2810" t="s">
        <v>1242</v>
      </c>
      <c r="L4" s="2811"/>
      <c r="M4" s="2811"/>
      <c r="N4" s="2811"/>
      <c r="O4" s="2812"/>
      <c r="P4" s="2839" t="s">
        <v>992</v>
      </c>
      <c r="Q4" s="2839"/>
      <c r="R4" s="2839"/>
      <c r="S4" s="2839"/>
      <c r="T4" s="2839"/>
      <c r="U4" s="2839"/>
      <c r="V4" s="2839"/>
      <c r="W4" s="2839"/>
      <c r="X4" s="2839"/>
      <c r="Y4" s="2839"/>
      <c r="Z4" s="2839"/>
      <c r="AA4" s="2839"/>
      <c r="AB4" s="2839"/>
      <c r="AC4" s="2839"/>
      <c r="AD4" s="2839"/>
      <c r="AE4" s="2839"/>
      <c r="AF4" s="2840"/>
      <c r="AG4" s="2806"/>
      <c r="AH4" s="2806"/>
    </row>
    <row r="5" spans="1:35" ht="35.25" customHeight="1">
      <c r="A5" s="2836"/>
      <c r="B5" s="2808"/>
      <c r="C5" s="2808"/>
      <c r="D5" s="2805"/>
      <c r="E5" s="2805"/>
      <c r="F5" s="2816" t="s">
        <v>993</v>
      </c>
      <c r="G5" s="2816" t="s">
        <v>994</v>
      </c>
      <c r="H5" s="2816" t="s">
        <v>2269</v>
      </c>
      <c r="I5" s="2816" t="s">
        <v>2270</v>
      </c>
      <c r="J5" s="2816" t="s">
        <v>483</v>
      </c>
      <c r="K5" s="2816" t="s">
        <v>993</v>
      </c>
      <c r="L5" s="2816" t="s">
        <v>994</v>
      </c>
      <c r="M5" s="2816" t="s">
        <v>2271</v>
      </c>
      <c r="N5" s="2816" t="s">
        <v>2272</v>
      </c>
      <c r="O5" s="2816" t="s">
        <v>995</v>
      </c>
      <c r="P5" s="2813" t="s">
        <v>996</v>
      </c>
      <c r="Q5" s="2814"/>
      <c r="R5" s="2815"/>
      <c r="S5" s="2813" t="s">
        <v>997</v>
      </c>
      <c r="T5" s="2814"/>
      <c r="U5" s="2814"/>
      <c r="V5" s="2815"/>
      <c r="W5" s="2813" t="s">
        <v>998</v>
      </c>
      <c r="X5" s="2814"/>
      <c r="Y5" s="2815"/>
      <c r="Z5" s="2813" t="s">
        <v>1243</v>
      </c>
      <c r="AA5" s="2814"/>
      <c r="AB5" s="2815"/>
      <c r="AC5" s="2813" t="s">
        <v>1244</v>
      </c>
      <c r="AD5" s="2814"/>
      <c r="AE5" s="2815"/>
      <c r="AF5" s="2816" t="s">
        <v>995</v>
      </c>
      <c r="AG5" s="2256"/>
      <c r="AH5" s="2256"/>
    </row>
    <row r="6" spans="1:35" ht="33.75" customHeight="1">
      <c r="A6" s="2836"/>
      <c r="B6" s="2809"/>
      <c r="C6" s="2809"/>
      <c r="D6" s="2818"/>
      <c r="E6" s="2818"/>
      <c r="F6" s="2817" t="s">
        <v>999</v>
      </c>
      <c r="G6" s="2817" t="s">
        <v>1000</v>
      </c>
      <c r="H6" s="2817" t="s">
        <v>1001</v>
      </c>
      <c r="I6" s="2817" t="s">
        <v>1001</v>
      </c>
      <c r="J6" s="2817" t="s">
        <v>483</v>
      </c>
      <c r="K6" s="2817" t="s">
        <v>999</v>
      </c>
      <c r="L6" s="2817" t="s">
        <v>1000</v>
      </c>
      <c r="M6" s="2817" t="s">
        <v>1001</v>
      </c>
      <c r="N6" s="2817" t="s">
        <v>1001</v>
      </c>
      <c r="O6" s="2817" t="s">
        <v>995</v>
      </c>
      <c r="P6" s="2257" t="s">
        <v>1002</v>
      </c>
      <c r="Q6" s="2257" t="s">
        <v>1003</v>
      </c>
      <c r="R6" s="2257" t="s">
        <v>995</v>
      </c>
      <c r="S6" s="2257" t="s">
        <v>1004</v>
      </c>
      <c r="T6" s="2257" t="s">
        <v>1005</v>
      </c>
      <c r="U6" s="2257" t="s">
        <v>1003</v>
      </c>
      <c r="V6" s="2257" t="s">
        <v>995</v>
      </c>
      <c r="W6" s="2257" t="s">
        <v>1002</v>
      </c>
      <c r="X6" s="2257" t="s">
        <v>1003</v>
      </c>
      <c r="Y6" s="2257" t="s">
        <v>995</v>
      </c>
      <c r="Z6" s="2257" t="s">
        <v>1002</v>
      </c>
      <c r="AA6" s="2257" t="s">
        <v>1003</v>
      </c>
      <c r="AB6" s="2257" t="s">
        <v>995</v>
      </c>
      <c r="AC6" s="2257" t="s">
        <v>1002</v>
      </c>
      <c r="AD6" s="2257" t="s">
        <v>1003</v>
      </c>
      <c r="AE6" s="2257" t="s">
        <v>995</v>
      </c>
      <c r="AF6" s="2817"/>
      <c r="AG6" s="532"/>
      <c r="AH6" s="532"/>
    </row>
    <row r="7" spans="1:35" ht="58.5" customHeight="1">
      <c r="A7" s="2837"/>
      <c r="B7" s="616" t="s">
        <v>695</v>
      </c>
      <c r="C7" s="616" t="s">
        <v>67</v>
      </c>
      <c r="D7" s="533" t="s">
        <v>68</v>
      </c>
      <c r="E7" s="533" t="s">
        <v>69</v>
      </c>
      <c r="F7" s="533" t="s">
        <v>1006</v>
      </c>
      <c r="G7" s="533" t="s">
        <v>1007</v>
      </c>
      <c r="H7" s="533" t="s">
        <v>1008</v>
      </c>
      <c r="I7" s="533" t="s">
        <v>1009</v>
      </c>
      <c r="J7" s="534" t="s">
        <v>1010</v>
      </c>
      <c r="K7" s="533" t="s">
        <v>1011</v>
      </c>
      <c r="L7" s="533" t="s">
        <v>1012</v>
      </c>
      <c r="M7" s="533" t="s">
        <v>1013</v>
      </c>
      <c r="N7" s="533" t="s">
        <v>1014</v>
      </c>
      <c r="O7" s="534" t="s">
        <v>1015</v>
      </c>
      <c r="P7" s="533" t="s">
        <v>1016</v>
      </c>
      <c r="Q7" s="533" t="s">
        <v>1017</v>
      </c>
      <c r="R7" s="534" t="s">
        <v>1018</v>
      </c>
      <c r="S7" s="533" t="s">
        <v>1019</v>
      </c>
      <c r="T7" s="533" t="s">
        <v>1020</v>
      </c>
      <c r="U7" s="533" t="s">
        <v>1021</v>
      </c>
      <c r="V7" s="534" t="s">
        <v>1022</v>
      </c>
      <c r="W7" s="533" t="s">
        <v>1023</v>
      </c>
      <c r="X7" s="533" t="s">
        <v>1024</v>
      </c>
      <c r="Y7" s="534" t="s">
        <v>1025</v>
      </c>
      <c r="Z7" s="533" t="s">
        <v>1026</v>
      </c>
      <c r="AA7" s="533" t="s">
        <v>1027</v>
      </c>
      <c r="AB7" s="534" t="s">
        <v>1028</v>
      </c>
      <c r="AC7" s="533" t="s">
        <v>1029</v>
      </c>
      <c r="AD7" s="533" t="s">
        <v>1030</v>
      </c>
      <c r="AE7" s="534" t="s">
        <v>1031</v>
      </c>
      <c r="AF7" s="534" t="s">
        <v>1032</v>
      </c>
      <c r="AG7" s="534" t="s">
        <v>1033</v>
      </c>
      <c r="AH7" s="533" t="s">
        <v>1034</v>
      </c>
    </row>
    <row r="8" spans="1:35">
      <c r="A8" s="617">
        <v>1</v>
      </c>
      <c r="B8" s="618"/>
      <c r="C8" s="618"/>
      <c r="D8" s="618"/>
      <c r="E8" s="618"/>
      <c r="F8" s="619"/>
      <c r="G8" s="619"/>
      <c r="H8" s="619"/>
      <c r="I8" s="619"/>
      <c r="J8" s="619"/>
      <c r="K8" s="619"/>
      <c r="L8" s="619"/>
      <c r="M8" s="619"/>
      <c r="N8" s="619"/>
      <c r="O8" s="619"/>
      <c r="P8" s="619"/>
      <c r="Q8" s="619"/>
      <c r="R8" s="619"/>
      <c r="S8" s="619"/>
      <c r="T8" s="619"/>
      <c r="U8" s="619"/>
      <c r="V8" s="619"/>
      <c r="W8" s="619"/>
      <c r="X8" s="619"/>
      <c r="Y8" s="619"/>
      <c r="Z8" s="2821"/>
      <c r="AA8" s="2822"/>
      <c r="AB8" s="2822"/>
      <c r="AC8" s="2822"/>
      <c r="AD8" s="2822"/>
      <c r="AE8" s="2823"/>
      <c r="AF8" s="619"/>
      <c r="AG8" s="620"/>
      <c r="AH8" s="621"/>
    </row>
    <row r="9" spans="1:35">
      <c r="A9" s="617">
        <v>2</v>
      </c>
      <c r="B9" s="618"/>
      <c r="C9" s="618"/>
      <c r="D9" s="618"/>
      <c r="E9" s="618"/>
      <c r="F9" s="619"/>
      <c r="G9" s="619"/>
      <c r="H9" s="619"/>
      <c r="I9" s="619"/>
      <c r="J9" s="619"/>
      <c r="K9" s="619"/>
      <c r="L9" s="619"/>
      <c r="M9" s="619"/>
      <c r="N9" s="619"/>
      <c r="O9" s="619"/>
      <c r="P9" s="619"/>
      <c r="Q9" s="619"/>
      <c r="R9" s="619"/>
      <c r="S9" s="619"/>
      <c r="T9" s="619"/>
      <c r="U9" s="619"/>
      <c r="V9" s="619"/>
      <c r="W9" s="619"/>
      <c r="X9" s="619"/>
      <c r="Y9" s="619"/>
      <c r="Z9" s="2824"/>
      <c r="AA9" s="2825"/>
      <c r="AB9" s="2825"/>
      <c r="AC9" s="2825"/>
      <c r="AD9" s="2825"/>
      <c r="AE9" s="2826"/>
      <c r="AF9" s="619"/>
      <c r="AG9" s="620"/>
      <c r="AH9" s="621"/>
    </row>
    <row r="10" spans="1:35">
      <c r="A10" s="617">
        <v>3</v>
      </c>
      <c r="B10" s="618"/>
      <c r="C10" s="618"/>
      <c r="D10" s="618"/>
      <c r="E10" s="618"/>
      <c r="F10" s="619"/>
      <c r="G10" s="619"/>
      <c r="H10" s="619"/>
      <c r="I10" s="619"/>
      <c r="J10" s="619"/>
      <c r="K10" s="619"/>
      <c r="L10" s="619"/>
      <c r="M10" s="619"/>
      <c r="N10" s="619"/>
      <c r="O10" s="619"/>
      <c r="P10" s="619"/>
      <c r="Q10" s="619"/>
      <c r="R10" s="619"/>
      <c r="S10" s="619"/>
      <c r="T10" s="619"/>
      <c r="U10" s="619"/>
      <c r="V10" s="619"/>
      <c r="W10" s="619"/>
      <c r="X10" s="619"/>
      <c r="Y10" s="619"/>
      <c r="Z10" s="2824"/>
      <c r="AA10" s="2825"/>
      <c r="AB10" s="2825"/>
      <c r="AC10" s="2825"/>
      <c r="AD10" s="2825"/>
      <c r="AE10" s="2826"/>
      <c r="AF10" s="619"/>
      <c r="AG10" s="620"/>
      <c r="AH10" s="621"/>
    </row>
    <row r="11" spans="1:35">
      <c r="A11" s="617">
        <v>4</v>
      </c>
      <c r="B11" s="618"/>
      <c r="C11" s="618"/>
      <c r="D11" s="618"/>
      <c r="E11" s="618"/>
      <c r="F11" s="619"/>
      <c r="G11" s="619"/>
      <c r="H11" s="619"/>
      <c r="I11" s="619"/>
      <c r="J11" s="619"/>
      <c r="K11" s="619"/>
      <c r="L11" s="619"/>
      <c r="M11" s="619"/>
      <c r="N11" s="619"/>
      <c r="O11" s="619"/>
      <c r="P11" s="619"/>
      <c r="Q11" s="619"/>
      <c r="R11" s="619"/>
      <c r="S11" s="619"/>
      <c r="T11" s="619"/>
      <c r="U11" s="619"/>
      <c r="V11" s="619"/>
      <c r="W11" s="619"/>
      <c r="X11" s="619"/>
      <c r="Y11" s="619"/>
      <c r="Z11" s="2824"/>
      <c r="AA11" s="2825"/>
      <c r="AB11" s="2825"/>
      <c r="AC11" s="2825"/>
      <c r="AD11" s="2825"/>
      <c r="AE11" s="2826"/>
      <c r="AF11" s="619"/>
      <c r="AG11" s="620"/>
      <c r="AH11" s="621"/>
      <c r="AI11" s="622"/>
    </row>
    <row r="12" spans="1:35">
      <c r="A12" s="617">
        <v>5</v>
      </c>
      <c r="B12" s="618"/>
      <c r="C12" s="618"/>
      <c r="D12" s="618"/>
      <c r="E12" s="618"/>
      <c r="F12" s="619"/>
      <c r="G12" s="619"/>
      <c r="H12" s="619"/>
      <c r="I12" s="619"/>
      <c r="J12" s="619"/>
      <c r="K12" s="619"/>
      <c r="L12" s="619"/>
      <c r="M12" s="619"/>
      <c r="N12" s="619"/>
      <c r="O12" s="619"/>
      <c r="P12" s="619"/>
      <c r="Q12" s="619"/>
      <c r="R12" s="619"/>
      <c r="S12" s="619"/>
      <c r="T12" s="619"/>
      <c r="U12" s="619"/>
      <c r="V12" s="619"/>
      <c r="W12" s="619"/>
      <c r="X12" s="619"/>
      <c r="Y12" s="619"/>
      <c r="Z12" s="2824"/>
      <c r="AA12" s="2825"/>
      <c r="AB12" s="2825"/>
      <c r="AC12" s="2825"/>
      <c r="AD12" s="2825"/>
      <c r="AE12" s="2826"/>
      <c r="AF12" s="619"/>
      <c r="AG12" s="620"/>
      <c r="AH12" s="621"/>
    </row>
    <row r="13" spans="1:35">
      <c r="A13" s="617">
        <v>6</v>
      </c>
      <c r="B13" s="618"/>
      <c r="C13" s="618"/>
      <c r="D13" s="618"/>
      <c r="E13" s="618"/>
      <c r="F13" s="619"/>
      <c r="G13" s="619"/>
      <c r="H13" s="619"/>
      <c r="I13" s="619"/>
      <c r="J13" s="619"/>
      <c r="K13" s="619"/>
      <c r="L13" s="619"/>
      <c r="M13" s="619"/>
      <c r="N13" s="619"/>
      <c r="O13" s="619"/>
      <c r="P13" s="619"/>
      <c r="Q13" s="619"/>
      <c r="R13" s="619"/>
      <c r="S13" s="619"/>
      <c r="T13" s="619"/>
      <c r="U13" s="619"/>
      <c r="V13" s="619"/>
      <c r="W13" s="619"/>
      <c r="X13" s="619"/>
      <c r="Y13" s="619"/>
      <c r="Z13" s="2824"/>
      <c r="AA13" s="2825"/>
      <c r="AB13" s="2825"/>
      <c r="AC13" s="2825"/>
      <c r="AD13" s="2825"/>
      <c r="AE13" s="2826"/>
      <c r="AF13" s="619"/>
      <c r="AG13" s="620"/>
      <c r="AH13" s="621"/>
    </row>
    <row r="14" spans="1:35">
      <c r="A14" s="617">
        <v>7</v>
      </c>
      <c r="B14" s="618"/>
      <c r="C14" s="618"/>
      <c r="D14" s="618"/>
      <c r="E14" s="618"/>
      <c r="F14" s="619"/>
      <c r="G14" s="619"/>
      <c r="H14" s="619"/>
      <c r="I14" s="619"/>
      <c r="J14" s="619"/>
      <c r="K14" s="619"/>
      <c r="L14" s="619"/>
      <c r="M14" s="619"/>
      <c r="N14" s="619"/>
      <c r="O14" s="619"/>
      <c r="P14" s="619"/>
      <c r="Q14" s="619"/>
      <c r="R14" s="619"/>
      <c r="S14" s="619"/>
      <c r="T14" s="619"/>
      <c r="U14" s="619"/>
      <c r="V14" s="619"/>
      <c r="W14" s="619"/>
      <c r="X14" s="619"/>
      <c r="Y14" s="619"/>
      <c r="Z14" s="2824"/>
      <c r="AA14" s="2825"/>
      <c r="AB14" s="2825"/>
      <c r="AC14" s="2825"/>
      <c r="AD14" s="2825"/>
      <c r="AE14" s="2826"/>
      <c r="AF14" s="619"/>
      <c r="AG14" s="620"/>
      <c r="AH14" s="621"/>
    </row>
    <row r="15" spans="1:35">
      <c r="A15" s="617">
        <v>8</v>
      </c>
      <c r="B15" s="618"/>
      <c r="C15" s="618"/>
      <c r="D15" s="618"/>
      <c r="E15" s="618"/>
      <c r="F15" s="619"/>
      <c r="G15" s="619"/>
      <c r="H15" s="619"/>
      <c r="I15" s="619"/>
      <c r="J15" s="619"/>
      <c r="K15" s="619"/>
      <c r="L15" s="619"/>
      <c r="M15" s="619"/>
      <c r="N15" s="619"/>
      <c r="O15" s="619"/>
      <c r="P15" s="619"/>
      <c r="Q15" s="619"/>
      <c r="R15" s="619"/>
      <c r="S15" s="619"/>
      <c r="T15" s="619"/>
      <c r="U15" s="619"/>
      <c r="V15" s="619"/>
      <c r="W15" s="619"/>
      <c r="X15" s="619"/>
      <c r="Y15" s="619"/>
      <c r="Z15" s="2824"/>
      <c r="AA15" s="2825"/>
      <c r="AB15" s="2825"/>
      <c r="AC15" s="2825"/>
      <c r="AD15" s="2825"/>
      <c r="AE15" s="2826"/>
      <c r="AF15" s="619"/>
      <c r="AG15" s="620"/>
      <c r="AH15" s="621"/>
    </row>
    <row r="16" spans="1:35">
      <c r="A16" s="617">
        <v>9</v>
      </c>
      <c r="B16" s="618"/>
      <c r="C16" s="618"/>
      <c r="D16" s="618"/>
      <c r="E16" s="618"/>
      <c r="F16" s="619"/>
      <c r="G16" s="619"/>
      <c r="H16" s="619"/>
      <c r="I16" s="619"/>
      <c r="J16" s="619"/>
      <c r="K16" s="619"/>
      <c r="L16" s="619"/>
      <c r="M16" s="619"/>
      <c r="N16" s="619"/>
      <c r="O16" s="619"/>
      <c r="P16" s="619"/>
      <c r="Q16" s="619"/>
      <c r="R16" s="619"/>
      <c r="S16" s="619"/>
      <c r="T16" s="619"/>
      <c r="U16" s="619"/>
      <c r="V16" s="619"/>
      <c r="W16" s="619"/>
      <c r="X16" s="619"/>
      <c r="Y16" s="619"/>
      <c r="Z16" s="2824"/>
      <c r="AA16" s="2825"/>
      <c r="AB16" s="2825"/>
      <c r="AC16" s="2825"/>
      <c r="AD16" s="2825"/>
      <c r="AE16" s="2826"/>
      <c r="AF16" s="619"/>
      <c r="AG16" s="620"/>
      <c r="AH16" s="621"/>
    </row>
    <row r="17" spans="1:49">
      <c r="A17" s="617">
        <v>10</v>
      </c>
      <c r="B17" s="618"/>
      <c r="C17" s="618"/>
      <c r="D17" s="618"/>
      <c r="E17" s="618"/>
      <c r="F17" s="619"/>
      <c r="G17" s="619"/>
      <c r="H17" s="619"/>
      <c r="I17" s="619"/>
      <c r="J17" s="619"/>
      <c r="K17" s="619"/>
      <c r="L17" s="619"/>
      <c r="M17" s="619"/>
      <c r="N17" s="619"/>
      <c r="O17" s="619"/>
      <c r="P17" s="619"/>
      <c r="Q17" s="619"/>
      <c r="R17" s="619"/>
      <c r="S17" s="619"/>
      <c r="T17" s="619"/>
      <c r="U17" s="619"/>
      <c r="V17" s="619"/>
      <c r="W17" s="619"/>
      <c r="X17" s="619"/>
      <c r="Y17" s="619"/>
      <c r="Z17" s="2824"/>
      <c r="AA17" s="2825"/>
      <c r="AB17" s="2825"/>
      <c r="AC17" s="2825"/>
      <c r="AD17" s="2825"/>
      <c r="AE17" s="2826"/>
      <c r="AF17" s="619"/>
      <c r="AG17" s="620"/>
      <c r="AH17" s="621"/>
    </row>
    <row r="18" spans="1:49">
      <c r="A18" s="617">
        <v>11</v>
      </c>
      <c r="B18" s="618"/>
      <c r="C18" s="618"/>
      <c r="D18" s="618"/>
      <c r="E18" s="618"/>
      <c r="F18" s="619"/>
      <c r="G18" s="619"/>
      <c r="H18" s="619"/>
      <c r="I18" s="619"/>
      <c r="J18" s="619"/>
      <c r="K18" s="619"/>
      <c r="L18" s="619"/>
      <c r="M18" s="619"/>
      <c r="N18" s="619"/>
      <c r="O18" s="619"/>
      <c r="P18" s="619"/>
      <c r="Q18" s="619"/>
      <c r="R18" s="619"/>
      <c r="S18" s="619"/>
      <c r="T18" s="619"/>
      <c r="U18" s="619"/>
      <c r="V18" s="619"/>
      <c r="W18" s="619"/>
      <c r="X18" s="619"/>
      <c r="Y18" s="619"/>
      <c r="Z18" s="2824"/>
      <c r="AA18" s="2825"/>
      <c r="AB18" s="2825"/>
      <c r="AC18" s="2825"/>
      <c r="AD18" s="2825"/>
      <c r="AE18" s="2826"/>
      <c r="AF18" s="619"/>
      <c r="AG18" s="620"/>
      <c r="AH18" s="621"/>
    </row>
    <row r="19" spans="1:49">
      <c r="A19" s="617">
        <v>12</v>
      </c>
      <c r="B19" s="618"/>
      <c r="C19" s="618"/>
      <c r="D19" s="618"/>
      <c r="E19" s="618"/>
      <c r="F19" s="619"/>
      <c r="G19" s="619"/>
      <c r="H19" s="619"/>
      <c r="I19" s="619"/>
      <c r="J19" s="619"/>
      <c r="K19" s="619"/>
      <c r="L19" s="619"/>
      <c r="M19" s="619"/>
      <c r="N19" s="619"/>
      <c r="O19" s="619"/>
      <c r="P19" s="619"/>
      <c r="Q19" s="619"/>
      <c r="R19" s="619"/>
      <c r="S19" s="619"/>
      <c r="T19" s="619"/>
      <c r="U19" s="619"/>
      <c r="V19" s="619"/>
      <c r="W19" s="619"/>
      <c r="X19" s="619"/>
      <c r="Y19" s="619"/>
      <c r="Z19" s="2824"/>
      <c r="AA19" s="2825"/>
      <c r="AB19" s="2825"/>
      <c r="AC19" s="2825"/>
      <c r="AD19" s="2825"/>
      <c r="AE19" s="2826"/>
      <c r="AF19" s="619"/>
      <c r="AG19" s="620"/>
      <c r="AH19" s="621"/>
      <c r="AI19" s="613"/>
      <c r="AJ19" s="613"/>
      <c r="AK19" s="613"/>
      <c r="AL19" s="613"/>
      <c r="AM19" s="613"/>
      <c r="AN19" s="613"/>
      <c r="AO19" s="613"/>
      <c r="AP19" s="613"/>
      <c r="AQ19" s="613"/>
      <c r="AR19" s="613"/>
      <c r="AS19" s="613"/>
      <c r="AT19" s="613"/>
      <c r="AU19" s="613"/>
      <c r="AV19" s="613"/>
      <c r="AW19" s="613"/>
    </row>
    <row r="20" spans="1:49">
      <c r="A20" s="617">
        <v>13</v>
      </c>
      <c r="B20" s="618"/>
      <c r="C20" s="618"/>
      <c r="D20" s="618"/>
      <c r="E20" s="618"/>
      <c r="F20" s="619"/>
      <c r="G20" s="619"/>
      <c r="H20" s="619"/>
      <c r="I20" s="619"/>
      <c r="J20" s="619"/>
      <c r="K20" s="619"/>
      <c r="L20" s="619"/>
      <c r="M20" s="619"/>
      <c r="N20" s="619"/>
      <c r="O20" s="619"/>
      <c r="P20" s="619"/>
      <c r="Q20" s="619"/>
      <c r="R20" s="619"/>
      <c r="S20" s="619"/>
      <c r="T20" s="619"/>
      <c r="U20" s="619"/>
      <c r="V20" s="619"/>
      <c r="W20" s="619"/>
      <c r="X20" s="619"/>
      <c r="Y20" s="619"/>
      <c r="Z20" s="2824"/>
      <c r="AA20" s="2825"/>
      <c r="AB20" s="2825"/>
      <c r="AC20" s="2825"/>
      <c r="AD20" s="2825"/>
      <c r="AE20" s="2826"/>
      <c r="AF20" s="619"/>
      <c r="AG20" s="620"/>
      <c r="AH20" s="621"/>
      <c r="AI20" s="613"/>
      <c r="AJ20" s="613"/>
      <c r="AK20" s="613"/>
      <c r="AL20" s="613"/>
      <c r="AM20" s="613"/>
      <c r="AN20" s="613"/>
      <c r="AO20" s="613"/>
      <c r="AP20" s="613"/>
      <c r="AQ20" s="613"/>
      <c r="AR20" s="613"/>
      <c r="AS20" s="613"/>
      <c r="AT20" s="613"/>
      <c r="AU20" s="613"/>
      <c r="AV20" s="613"/>
      <c r="AW20" s="613"/>
    </row>
    <row r="21" spans="1:49">
      <c r="A21" s="617">
        <v>14</v>
      </c>
      <c r="B21" s="618"/>
      <c r="C21" s="618"/>
      <c r="D21" s="618"/>
      <c r="E21" s="618"/>
      <c r="F21" s="619"/>
      <c r="G21" s="619"/>
      <c r="H21" s="619"/>
      <c r="I21" s="619"/>
      <c r="J21" s="619"/>
      <c r="K21" s="619"/>
      <c r="L21" s="619"/>
      <c r="M21" s="619"/>
      <c r="N21" s="619"/>
      <c r="O21" s="619"/>
      <c r="P21" s="619"/>
      <c r="Q21" s="619"/>
      <c r="R21" s="619"/>
      <c r="S21" s="619"/>
      <c r="T21" s="619"/>
      <c r="U21" s="619"/>
      <c r="V21" s="619"/>
      <c r="W21" s="619"/>
      <c r="X21" s="619"/>
      <c r="Y21" s="619"/>
      <c r="Z21" s="2824"/>
      <c r="AA21" s="2825"/>
      <c r="AB21" s="2825"/>
      <c r="AC21" s="2825"/>
      <c r="AD21" s="2825"/>
      <c r="AE21" s="2826"/>
      <c r="AF21" s="619"/>
      <c r="AG21" s="620"/>
      <c r="AH21" s="621"/>
      <c r="AI21" s="613"/>
      <c r="AJ21" s="613"/>
      <c r="AK21" s="613"/>
      <c r="AL21" s="613"/>
      <c r="AM21" s="613"/>
      <c r="AN21" s="613"/>
      <c r="AO21" s="613"/>
      <c r="AP21" s="613"/>
      <c r="AQ21" s="613"/>
      <c r="AR21" s="613"/>
      <c r="AS21" s="613"/>
      <c r="AT21" s="613"/>
      <c r="AU21" s="613"/>
      <c r="AV21" s="613"/>
      <c r="AW21" s="613"/>
    </row>
    <row r="22" spans="1:49">
      <c r="A22" s="617">
        <v>15</v>
      </c>
      <c r="B22" s="618"/>
      <c r="C22" s="618"/>
      <c r="D22" s="618"/>
      <c r="E22" s="618"/>
      <c r="F22" s="619"/>
      <c r="G22" s="619"/>
      <c r="H22" s="619"/>
      <c r="I22" s="619"/>
      <c r="J22" s="619"/>
      <c r="K22" s="619"/>
      <c r="L22" s="619"/>
      <c r="M22" s="619"/>
      <c r="N22" s="619"/>
      <c r="O22" s="619"/>
      <c r="P22" s="619"/>
      <c r="Q22" s="619"/>
      <c r="R22" s="619"/>
      <c r="S22" s="619"/>
      <c r="T22" s="619"/>
      <c r="U22" s="619"/>
      <c r="V22" s="619"/>
      <c r="W22" s="619"/>
      <c r="X22" s="619"/>
      <c r="Y22" s="619"/>
      <c r="Z22" s="2824"/>
      <c r="AA22" s="2825"/>
      <c r="AB22" s="2825"/>
      <c r="AC22" s="2825"/>
      <c r="AD22" s="2825"/>
      <c r="AE22" s="2826"/>
      <c r="AF22" s="619"/>
      <c r="AG22" s="620"/>
      <c r="AH22" s="621"/>
      <c r="AI22" s="613"/>
      <c r="AJ22" s="613"/>
      <c r="AK22" s="613"/>
      <c r="AL22" s="613"/>
      <c r="AM22" s="613"/>
      <c r="AN22" s="613"/>
      <c r="AO22" s="613"/>
      <c r="AP22" s="613"/>
      <c r="AQ22" s="613"/>
      <c r="AR22" s="613"/>
      <c r="AS22" s="613"/>
      <c r="AT22" s="613"/>
      <c r="AU22" s="613"/>
      <c r="AV22" s="613"/>
      <c r="AW22" s="613"/>
    </row>
    <row r="23" spans="1:49">
      <c r="A23" s="617">
        <v>16</v>
      </c>
      <c r="B23" s="618"/>
      <c r="C23" s="618"/>
      <c r="D23" s="618"/>
      <c r="E23" s="618"/>
      <c r="F23" s="619"/>
      <c r="G23" s="619"/>
      <c r="H23" s="619"/>
      <c r="I23" s="619"/>
      <c r="J23" s="619"/>
      <c r="K23" s="619"/>
      <c r="L23" s="619"/>
      <c r="M23" s="619"/>
      <c r="N23" s="619"/>
      <c r="O23" s="619"/>
      <c r="P23" s="619"/>
      <c r="Q23" s="619"/>
      <c r="R23" s="619"/>
      <c r="S23" s="619"/>
      <c r="T23" s="619"/>
      <c r="U23" s="619"/>
      <c r="V23" s="619"/>
      <c r="W23" s="619"/>
      <c r="X23" s="619"/>
      <c r="Y23" s="619"/>
      <c r="Z23" s="2824"/>
      <c r="AA23" s="2825"/>
      <c r="AB23" s="2825"/>
      <c r="AC23" s="2825"/>
      <c r="AD23" s="2825"/>
      <c r="AE23" s="2826"/>
      <c r="AF23" s="619"/>
      <c r="AG23" s="620"/>
      <c r="AH23" s="621"/>
      <c r="AI23" s="613"/>
      <c r="AJ23" s="613"/>
      <c r="AK23" s="613"/>
      <c r="AL23" s="613"/>
      <c r="AM23" s="613"/>
      <c r="AN23" s="613"/>
      <c r="AO23" s="613"/>
      <c r="AP23" s="613"/>
      <c r="AQ23" s="613"/>
      <c r="AR23" s="613"/>
      <c r="AS23" s="613"/>
      <c r="AT23" s="613"/>
      <c r="AU23" s="613"/>
      <c r="AV23" s="613"/>
      <c r="AW23" s="613"/>
    </row>
    <row r="24" spans="1:49">
      <c r="A24" s="617">
        <v>17</v>
      </c>
      <c r="B24" s="618"/>
      <c r="C24" s="618"/>
      <c r="D24" s="618"/>
      <c r="E24" s="618"/>
      <c r="F24" s="619"/>
      <c r="G24" s="619"/>
      <c r="H24" s="619"/>
      <c r="I24" s="619"/>
      <c r="J24" s="619"/>
      <c r="K24" s="619"/>
      <c r="L24" s="619"/>
      <c r="M24" s="619"/>
      <c r="N24" s="619"/>
      <c r="O24" s="619"/>
      <c r="P24" s="619"/>
      <c r="Q24" s="619"/>
      <c r="R24" s="619"/>
      <c r="S24" s="619"/>
      <c r="T24" s="619"/>
      <c r="U24" s="619"/>
      <c r="V24" s="619"/>
      <c r="W24" s="619"/>
      <c r="X24" s="619"/>
      <c r="Y24" s="619"/>
      <c r="Z24" s="2824"/>
      <c r="AA24" s="2825"/>
      <c r="AB24" s="2825"/>
      <c r="AC24" s="2825"/>
      <c r="AD24" s="2825"/>
      <c r="AE24" s="2826"/>
      <c r="AF24" s="619"/>
      <c r="AG24" s="620"/>
      <c r="AH24" s="621"/>
      <c r="AI24" s="613"/>
      <c r="AJ24" s="613"/>
      <c r="AK24" s="613"/>
      <c r="AL24" s="613"/>
      <c r="AM24" s="613"/>
      <c r="AN24" s="613"/>
      <c r="AO24" s="613"/>
      <c r="AP24" s="613"/>
      <c r="AQ24" s="613"/>
      <c r="AR24" s="613"/>
      <c r="AS24" s="613"/>
      <c r="AT24" s="613"/>
      <c r="AU24" s="613"/>
      <c r="AV24" s="613"/>
      <c r="AW24" s="613"/>
    </row>
    <row r="25" spans="1:49">
      <c r="A25" s="617">
        <v>18</v>
      </c>
      <c r="B25" s="618"/>
      <c r="C25" s="618"/>
      <c r="D25" s="618"/>
      <c r="E25" s="618"/>
      <c r="F25" s="619"/>
      <c r="G25" s="619"/>
      <c r="H25" s="619"/>
      <c r="I25" s="619"/>
      <c r="J25" s="619"/>
      <c r="K25" s="619"/>
      <c r="L25" s="619"/>
      <c r="M25" s="619"/>
      <c r="N25" s="619"/>
      <c r="O25" s="619"/>
      <c r="P25" s="619"/>
      <c r="Q25" s="619"/>
      <c r="R25" s="619"/>
      <c r="S25" s="619"/>
      <c r="T25" s="619"/>
      <c r="U25" s="619"/>
      <c r="V25" s="619"/>
      <c r="W25" s="619"/>
      <c r="X25" s="619"/>
      <c r="Y25" s="619"/>
      <c r="Z25" s="2824"/>
      <c r="AA25" s="2825"/>
      <c r="AB25" s="2825"/>
      <c r="AC25" s="2825"/>
      <c r="AD25" s="2825"/>
      <c r="AE25" s="2826"/>
      <c r="AF25" s="619"/>
      <c r="AG25" s="620"/>
      <c r="AH25" s="621"/>
      <c r="AI25" s="613"/>
      <c r="AJ25" s="613"/>
      <c r="AK25" s="613"/>
      <c r="AL25" s="613"/>
      <c r="AM25" s="613"/>
      <c r="AN25" s="613"/>
      <c r="AO25" s="613"/>
      <c r="AP25" s="613"/>
      <c r="AQ25" s="613"/>
      <c r="AR25" s="613"/>
      <c r="AS25" s="613"/>
      <c r="AT25" s="613"/>
      <c r="AU25" s="613"/>
      <c r="AV25" s="613"/>
      <c r="AW25" s="613"/>
    </row>
    <row r="26" spans="1:49">
      <c r="A26" s="617">
        <v>19</v>
      </c>
      <c r="B26" s="618"/>
      <c r="C26" s="618"/>
      <c r="D26" s="618"/>
      <c r="E26" s="618"/>
      <c r="F26" s="619"/>
      <c r="G26" s="619"/>
      <c r="H26" s="619"/>
      <c r="I26" s="619"/>
      <c r="J26" s="619"/>
      <c r="K26" s="619"/>
      <c r="L26" s="619"/>
      <c r="M26" s="619"/>
      <c r="N26" s="619"/>
      <c r="O26" s="619"/>
      <c r="P26" s="619"/>
      <c r="Q26" s="619"/>
      <c r="R26" s="619"/>
      <c r="S26" s="619"/>
      <c r="T26" s="619"/>
      <c r="U26" s="619"/>
      <c r="V26" s="619"/>
      <c r="W26" s="619"/>
      <c r="X26" s="619"/>
      <c r="Y26" s="619"/>
      <c r="Z26" s="2827"/>
      <c r="AA26" s="2828"/>
      <c r="AB26" s="2828"/>
      <c r="AC26" s="2828"/>
      <c r="AD26" s="2828"/>
      <c r="AE26" s="2829"/>
      <c r="AF26" s="619"/>
      <c r="AG26" s="620"/>
      <c r="AH26" s="621"/>
      <c r="AI26" s="613"/>
      <c r="AJ26" s="613"/>
      <c r="AK26" s="613"/>
      <c r="AL26" s="613"/>
      <c r="AM26" s="613"/>
      <c r="AN26" s="613"/>
      <c r="AO26" s="613"/>
      <c r="AP26" s="613"/>
      <c r="AQ26" s="613"/>
      <c r="AR26" s="613"/>
      <c r="AS26" s="613"/>
      <c r="AT26" s="613"/>
      <c r="AU26" s="613"/>
      <c r="AV26" s="613"/>
      <c r="AW26" s="613"/>
    </row>
    <row r="27" spans="1:49">
      <c r="A27" s="617">
        <v>20</v>
      </c>
      <c r="B27" s="2830" t="s">
        <v>598</v>
      </c>
      <c r="C27" s="2831"/>
      <c r="D27" s="2259"/>
      <c r="E27" s="2259"/>
      <c r="F27" s="619"/>
      <c r="G27" s="619"/>
      <c r="H27" s="619"/>
      <c r="I27" s="619"/>
      <c r="J27" s="619"/>
      <c r="K27" s="619"/>
      <c r="L27" s="619"/>
      <c r="M27" s="619"/>
      <c r="N27" s="619"/>
      <c r="O27" s="619"/>
      <c r="P27" s="619"/>
      <c r="Q27" s="619"/>
      <c r="R27" s="619"/>
      <c r="S27" s="619"/>
      <c r="T27" s="619"/>
      <c r="U27" s="619"/>
      <c r="V27" s="619"/>
      <c r="W27" s="619"/>
      <c r="X27" s="619"/>
      <c r="Y27" s="619"/>
      <c r="Z27" s="619"/>
      <c r="AA27" s="619"/>
      <c r="AB27" s="619"/>
      <c r="AC27" s="619"/>
      <c r="AD27" s="619"/>
      <c r="AE27" s="619"/>
      <c r="AF27" s="619"/>
      <c r="AG27" s="619"/>
      <c r="AH27" s="623"/>
      <c r="AI27" s="613"/>
      <c r="AJ27" s="613"/>
      <c r="AK27" s="613"/>
      <c r="AL27" s="613"/>
      <c r="AM27" s="613"/>
      <c r="AN27" s="613"/>
      <c r="AO27" s="613"/>
      <c r="AP27" s="613"/>
      <c r="AQ27" s="613"/>
      <c r="AR27" s="613"/>
      <c r="AS27" s="613"/>
      <c r="AT27" s="613"/>
      <c r="AU27" s="613"/>
      <c r="AV27" s="613"/>
      <c r="AW27" s="613"/>
    </row>
    <row r="28" spans="1:49">
      <c r="A28" s="624" t="s">
        <v>983</v>
      </c>
      <c r="B28" s="2258"/>
      <c r="C28" s="2258"/>
      <c r="D28" s="2258"/>
      <c r="E28" s="2258"/>
      <c r="F28" s="2258"/>
      <c r="G28" s="2258"/>
      <c r="H28" s="2258"/>
      <c r="I28" s="2258"/>
      <c r="J28" s="2258"/>
      <c r="K28" s="2258"/>
      <c r="L28" s="2258"/>
      <c r="M28" s="2258"/>
      <c r="N28" s="2258"/>
      <c r="O28" s="2258"/>
      <c r="P28" s="2258"/>
      <c r="Q28" s="2258"/>
      <c r="R28" s="2258"/>
      <c r="S28" s="2258"/>
      <c r="T28" s="2258"/>
      <c r="U28" s="2258"/>
      <c r="V28" s="2258"/>
      <c r="W28" s="2258"/>
      <c r="X28" s="2258"/>
      <c r="Y28" s="2258"/>
      <c r="Z28" s="2258"/>
      <c r="AA28" s="2258"/>
      <c r="AB28" s="2258"/>
      <c r="AC28" s="2258"/>
      <c r="AD28" s="2258"/>
      <c r="AE28" s="2258"/>
      <c r="AF28" s="2258"/>
      <c r="AG28" s="2258"/>
      <c r="AH28" s="2258"/>
      <c r="AI28" s="2258"/>
      <c r="AJ28" s="625"/>
      <c r="AK28" s="626"/>
      <c r="AL28" s="626"/>
      <c r="AM28" s="626"/>
      <c r="AN28" s="626"/>
      <c r="AO28" s="626"/>
      <c r="AP28" s="626"/>
      <c r="AQ28" s="626"/>
      <c r="AR28" s="626"/>
      <c r="AS28" s="626"/>
      <c r="AT28" s="626"/>
      <c r="AU28" s="626"/>
      <c r="AV28" s="626"/>
      <c r="AW28" s="626"/>
    </row>
    <row r="29" spans="1:49">
      <c r="A29" s="269">
        <v>1</v>
      </c>
      <c r="B29" s="2832" t="s">
        <v>1245</v>
      </c>
      <c r="C29" s="2833"/>
      <c r="D29" s="2833"/>
      <c r="E29" s="2833"/>
      <c r="F29" s="2833"/>
      <c r="G29" s="2833"/>
      <c r="H29" s="2833"/>
      <c r="I29" s="2833"/>
      <c r="J29" s="2833"/>
      <c r="K29" s="2833"/>
      <c r="L29" s="2833"/>
      <c r="M29" s="2833"/>
      <c r="N29" s="2833"/>
      <c r="O29" s="2833"/>
      <c r="P29" s="2833"/>
      <c r="Q29" s="2833"/>
      <c r="R29" s="2833"/>
      <c r="S29" s="2833"/>
      <c r="T29" s="2833"/>
      <c r="U29" s="2833"/>
      <c r="V29" s="2833"/>
      <c r="W29" s="2833"/>
      <c r="X29" s="2833"/>
      <c r="Y29" s="2833"/>
      <c r="Z29" s="2833"/>
      <c r="AA29" s="2833"/>
      <c r="AB29" s="2833"/>
      <c r="AC29" s="2833"/>
      <c r="AD29" s="2833"/>
      <c r="AE29" s="2833"/>
      <c r="AF29" s="2833"/>
      <c r="AG29" s="2833"/>
      <c r="AH29" s="2258"/>
      <c r="AI29" s="2258"/>
      <c r="AJ29" s="625"/>
      <c r="AK29" s="626"/>
      <c r="AL29" s="626"/>
      <c r="AM29" s="626"/>
      <c r="AN29" s="626"/>
      <c r="AO29" s="626"/>
      <c r="AP29" s="626"/>
      <c r="AQ29" s="626"/>
      <c r="AR29" s="626"/>
      <c r="AS29" s="626"/>
      <c r="AT29" s="626"/>
      <c r="AU29" s="626"/>
      <c r="AV29" s="626"/>
      <c r="AW29" s="626"/>
    </row>
    <row r="30" spans="1:49" ht="16.5">
      <c r="A30" s="269">
        <v>2</v>
      </c>
      <c r="B30" s="2787" t="s">
        <v>1035</v>
      </c>
      <c r="C30" s="2834"/>
      <c r="D30" s="2834"/>
      <c r="E30" s="2834"/>
      <c r="F30" s="2834"/>
      <c r="G30" s="2834"/>
      <c r="H30" s="2834"/>
      <c r="I30" s="2834"/>
      <c r="J30" s="2834"/>
      <c r="K30" s="2834"/>
      <c r="L30" s="2834"/>
      <c r="M30" s="2834"/>
      <c r="N30" s="2834"/>
      <c r="O30" s="2834"/>
      <c r="P30" s="2834"/>
      <c r="Q30" s="2834"/>
      <c r="R30" s="2834"/>
      <c r="S30" s="2834"/>
      <c r="T30" s="2834"/>
      <c r="U30" s="2834"/>
      <c r="V30" s="2834"/>
      <c r="W30" s="2834"/>
      <c r="X30" s="2834"/>
      <c r="Y30" s="2834"/>
      <c r="Z30" s="2834"/>
      <c r="AA30" s="2834"/>
      <c r="AB30" s="2834"/>
      <c r="AC30" s="2834"/>
      <c r="AD30" s="2834"/>
      <c r="AE30" s="2834"/>
      <c r="AF30" s="2834"/>
      <c r="AG30" s="2834"/>
      <c r="AH30" s="2258"/>
      <c r="AI30" s="2258"/>
      <c r="AJ30" s="625"/>
      <c r="AK30" s="626"/>
      <c r="AL30" s="626"/>
      <c r="AM30" s="626"/>
      <c r="AN30" s="626"/>
      <c r="AO30" s="626"/>
      <c r="AP30" s="626"/>
      <c r="AQ30" s="626"/>
      <c r="AR30" s="626"/>
      <c r="AS30" s="626"/>
      <c r="AT30" s="626"/>
      <c r="AU30" s="626"/>
      <c r="AV30" s="626"/>
      <c r="AW30" s="626"/>
    </row>
    <row r="31" spans="1:49" ht="35.25" customHeight="1">
      <c r="A31" s="753">
        <v>3</v>
      </c>
      <c r="B31" s="2820" t="s">
        <v>984</v>
      </c>
      <c r="C31" s="2820"/>
      <c r="D31" s="2820"/>
      <c r="E31" s="2820"/>
      <c r="F31" s="2820"/>
      <c r="G31" s="2820"/>
      <c r="H31" s="2820"/>
      <c r="I31" s="2820"/>
      <c r="J31" s="2820"/>
      <c r="K31" s="2820"/>
      <c r="L31" s="2820"/>
      <c r="M31" s="2820"/>
      <c r="N31" s="2820"/>
      <c r="O31" s="2820"/>
      <c r="P31" s="2820"/>
      <c r="Q31" s="2820"/>
      <c r="R31" s="2820"/>
      <c r="S31" s="2820"/>
      <c r="T31" s="2820"/>
      <c r="U31" s="2820"/>
      <c r="V31" s="2820"/>
      <c r="W31" s="2820"/>
      <c r="X31" s="2820"/>
      <c r="Y31" s="2820"/>
      <c r="Z31" s="2820"/>
      <c r="AA31" s="2820"/>
      <c r="AB31" s="2820"/>
      <c r="AC31" s="2820"/>
      <c r="AD31" s="2820"/>
      <c r="AE31" s="2820"/>
      <c r="AF31" s="2820"/>
      <c r="AG31" s="2820"/>
    </row>
    <row r="32" spans="1:49">
      <c r="A32" s="269">
        <v>4</v>
      </c>
      <c r="B32" s="2820" t="s">
        <v>985</v>
      </c>
      <c r="C32" s="2820"/>
      <c r="D32" s="2820"/>
      <c r="E32" s="2820"/>
      <c r="F32" s="2820"/>
      <c r="G32" s="2820"/>
      <c r="H32" s="2820"/>
      <c r="I32" s="2820"/>
      <c r="J32" s="2820"/>
      <c r="K32" s="2820"/>
      <c r="L32" s="2820"/>
      <c r="M32" s="2820"/>
      <c r="N32" s="2820"/>
      <c r="O32" s="2820"/>
      <c r="P32" s="2820"/>
      <c r="Q32" s="2820"/>
      <c r="R32" s="2820"/>
      <c r="S32" s="2820"/>
      <c r="T32" s="2820"/>
      <c r="U32" s="2820"/>
      <c r="V32" s="2820"/>
      <c r="W32" s="2820"/>
      <c r="X32" s="2820"/>
      <c r="Y32" s="2820"/>
      <c r="Z32" s="2820"/>
      <c r="AA32" s="2820"/>
      <c r="AB32" s="2820"/>
      <c r="AC32" s="2820"/>
      <c r="AD32" s="2820"/>
      <c r="AE32" s="2820"/>
      <c r="AF32" s="2820"/>
      <c r="AG32" s="2820"/>
    </row>
    <row r="33" spans="1:33">
      <c r="A33" s="269">
        <v>5</v>
      </c>
      <c r="B33" s="2820" t="s">
        <v>986</v>
      </c>
      <c r="C33" s="2820"/>
      <c r="D33" s="2820"/>
      <c r="E33" s="2820"/>
      <c r="F33" s="2820"/>
      <c r="G33" s="2820"/>
      <c r="H33" s="2820"/>
      <c r="I33" s="2820"/>
      <c r="J33" s="2820"/>
      <c r="K33" s="2820"/>
      <c r="L33" s="2820"/>
      <c r="M33" s="2820"/>
      <c r="N33" s="2820"/>
      <c r="O33" s="2820"/>
      <c r="P33" s="2820"/>
      <c r="Q33" s="2820"/>
      <c r="R33" s="2820"/>
      <c r="S33" s="2820"/>
      <c r="T33" s="2820"/>
      <c r="U33" s="2820"/>
      <c r="V33" s="2820"/>
      <c r="W33" s="2820"/>
      <c r="X33" s="2820"/>
      <c r="Y33" s="2820"/>
      <c r="Z33" s="2820"/>
      <c r="AA33" s="2820"/>
      <c r="AB33" s="2820"/>
      <c r="AC33" s="2820"/>
      <c r="AD33" s="2820"/>
      <c r="AE33" s="2820"/>
      <c r="AF33" s="2820"/>
      <c r="AG33" s="2820"/>
    </row>
    <row r="34" spans="1:33" s="627" customFormat="1">
      <c r="A34" s="269">
        <v>6</v>
      </c>
      <c r="B34" s="2820" t="s">
        <v>987</v>
      </c>
      <c r="C34" s="2819"/>
      <c r="D34" s="2819"/>
      <c r="E34" s="2819"/>
      <c r="F34" s="2819"/>
      <c r="G34" s="2819"/>
      <c r="H34" s="2819"/>
      <c r="I34" s="2819"/>
      <c r="J34" s="2819"/>
      <c r="K34" s="2819"/>
      <c r="L34" s="2819"/>
      <c r="M34" s="2819"/>
      <c r="N34" s="2819"/>
      <c r="O34" s="2819"/>
      <c r="P34" s="2819"/>
      <c r="Q34" s="2819"/>
      <c r="R34" s="2819"/>
      <c r="S34" s="2819"/>
      <c r="T34" s="2819"/>
      <c r="U34" s="2819"/>
      <c r="V34" s="2819"/>
      <c r="W34" s="2819"/>
      <c r="X34" s="2819"/>
      <c r="Y34" s="2819"/>
      <c r="Z34" s="2819"/>
      <c r="AA34" s="2819"/>
      <c r="AB34" s="2819"/>
      <c r="AC34" s="2819"/>
      <c r="AD34" s="2819"/>
      <c r="AE34" s="2819"/>
      <c r="AF34" s="2819"/>
      <c r="AG34" s="2819"/>
    </row>
    <row r="35" spans="1:33" s="627" customFormat="1">
      <c r="A35" s="269">
        <v>7</v>
      </c>
      <c r="B35" s="2787" t="s">
        <v>1788</v>
      </c>
      <c r="C35" s="2819"/>
      <c r="D35" s="2819"/>
      <c r="E35" s="2819"/>
      <c r="F35" s="2819"/>
      <c r="G35" s="2819"/>
      <c r="H35" s="2819"/>
      <c r="I35" s="2819"/>
      <c r="J35" s="2819"/>
      <c r="K35" s="2819"/>
      <c r="L35" s="2819"/>
      <c r="M35" s="2819"/>
      <c r="N35" s="2819"/>
      <c r="O35" s="2819"/>
      <c r="P35" s="2819"/>
      <c r="Q35" s="2819"/>
      <c r="R35" s="2819"/>
      <c r="S35" s="2819"/>
      <c r="T35" s="2819"/>
      <c r="U35" s="2819"/>
      <c r="V35" s="2819"/>
      <c r="W35" s="2819"/>
      <c r="X35" s="2819"/>
      <c r="Y35" s="2819"/>
      <c r="Z35" s="2819"/>
      <c r="AA35" s="2819"/>
      <c r="AB35" s="2819"/>
      <c r="AC35" s="2819"/>
      <c r="AD35" s="2819"/>
      <c r="AE35" s="2819"/>
      <c r="AF35" s="2819"/>
      <c r="AG35" s="2819"/>
    </row>
    <row r="36" spans="1:33" s="627" customFormat="1">
      <c r="B36" s="2258"/>
      <c r="C36" s="2258"/>
      <c r="D36" s="2258"/>
      <c r="E36" s="2258"/>
      <c r="F36" s="2258"/>
      <c r="G36" s="2258"/>
      <c r="H36" s="2258"/>
      <c r="I36" s="2258"/>
      <c r="J36" s="2258"/>
      <c r="K36" s="2258"/>
      <c r="L36" s="2258"/>
      <c r="M36" s="2258"/>
      <c r="N36" s="2258"/>
      <c r="O36" s="2258"/>
      <c r="P36" s="628"/>
      <c r="Q36" s="628"/>
      <c r="R36" s="628"/>
      <c r="S36" s="628"/>
      <c r="T36" s="628"/>
      <c r="U36" s="628"/>
      <c r="V36" s="628"/>
      <c r="W36" s="628"/>
      <c r="X36" s="628"/>
      <c r="Y36" s="628"/>
      <c r="Z36" s="2258"/>
      <c r="AA36" s="2258"/>
      <c r="AB36" s="2258"/>
      <c r="AC36" s="2258"/>
      <c r="AD36" s="2258"/>
      <c r="AE36" s="2258"/>
      <c r="AF36" s="2258"/>
      <c r="AG36" s="2258"/>
    </row>
    <row r="37" spans="1:33" s="627" customFormat="1">
      <c r="B37" s="2258"/>
      <c r="C37" s="2258"/>
      <c r="D37" s="2258"/>
      <c r="E37" s="2258"/>
      <c r="F37" s="2258"/>
      <c r="G37" s="2258"/>
      <c r="H37" s="2258"/>
      <c r="I37" s="2258"/>
      <c r="J37" s="2258"/>
      <c r="K37" s="2258"/>
      <c r="L37" s="2258"/>
      <c r="M37" s="2258"/>
      <c r="N37" s="2258"/>
      <c r="O37" s="2258"/>
      <c r="P37" s="628"/>
      <c r="Q37" s="628"/>
      <c r="R37" s="628"/>
      <c r="S37" s="628"/>
      <c r="T37" s="628"/>
      <c r="U37" s="628"/>
      <c r="V37" s="628"/>
      <c r="W37" s="628"/>
      <c r="X37" s="628"/>
      <c r="Y37" s="628"/>
      <c r="Z37" s="2258"/>
      <c r="AA37" s="2258"/>
      <c r="AB37" s="2258"/>
      <c r="AC37" s="2258"/>
      <c r="AD37" s="2258"/>
      <c r="AE37" s="2258"/>
      <c r="AF37" s="2258"/>
      <c r="AG37" s="2258"/>
    </row>
    <row r="38" spans="1:33" s="627" customFormat="1"/>
    <row r="39" spans="1:33" s="627" customFormat="1">
      <c r="B39" s="629"/>
      <c r="C39" s="629"/>
      <c r="D39" s="629"/>
      <c r="E39" s="629"/>
      <c r="F39" s="629"/>
      <c r="G39" s="629"/>
      <c r="H39" s="629"/>
      <c r="I39" s="629"/>
      <c r="J39" s="629"/>
      <c r="K39" s="629"/>
      <c r="L39" s="629"/>
      <c r="M39" s="629"/>
      <c r="N39" s="629"/>
      <c r="O39" s="629"/>
    </row>
    <row r="40" spans="1:33" s="627" customFormat="1">
      <c r="B40" s="630"/>
      <c r="C40" s="630"/>
      <c r="D40" s="630"/>
      <c r="E40" s="630"/>
      <c r="F40" s="630"/>
      <c r="G40" s="630"/>
      <c r="H40" s="630"/>
      <c r="I40" s="630"/>
      <c r="J40" s="630"/>
      <c r="K40" s="630"/>
      <c r="L40" s="630"/>
      <c r="M40" s="630"/>
      <c r="N40" s="630"/>
      <c r="O40" s="630"/>
    </row>
    <row r="41" spans="1:33" s="627" customFormat="1">
      <c r="B41" s="630"/>
      <c r="C41" s="630"/>
      <c r="D41" s="630"/>
      <c r="E41" s="630"/>
      <c r="F41" s="630"/>
      <c r="G41" s="630"/>
      <c r="H41" s="630"/>
      <c r="I41" s="630"/>
      <c r="J41" s="630"/>
      <c r="K41" s="630"/>
      <c r="L41" s="630"/>
      <c r="M41" s="630"/>
      <c r="N41" s="630"/>
      <c r="O41" s="630"/>
    </row>
    <row r="42" spans="1:33" s="627" customFormat="1">
      <c r="B42" s="630"/>
      <c r="C42" s="630"/>
      <c r="D42" s="630"/>
      <c r="E42" s="630"/>
      <c r="F42" s="630"/>
      <c r="G42" s="630"/>
      <c r="H42" s="630"/>
      <c r="I42" s="630"/>
      <c r="J42" s="630"/>
      <c r="K42" s="630"/>
      <c r="L42" s="630"/>
      <c r="M42" s="630"/>
      <c r="N42" s="630"/>
      <c r="O42" s="630"/>
    </row>
    <row r="43" spans="1:33" s="627" customFormat="1"/>
    <row r="44" spans="1:33" s="627" customFormat="1"/>
    <row r="45" spans="1:33" s="627" customFormat="1"/>
    <row r="46" spans="1:33" s="627" customFormat="1"/>
    <row r="47" spans="1:33" s="627" customFormat="1"/>
    <row r="48" spans="1:33" s="627" customFormat="1"/>
    <row r="49" s="627" customFormat="1"/>
    <row r="50" s="627" customFormat="1"/>
    <row r="51" s="627" customFormat="1"/>
    <row r="52" s="627" customFormat="1"/>
    <row r="53" s="627" customFormat="1"/>
    <row r="54" s="627" customFormat="1"/>
    <row r="55" s="627" customFormat="1"/>
    <row r="56" s="627" customFormat="1"/>
    <row r="57" s="627" customFormat="1"/>
  </sheetData>
  <mergeCells count="36">
    <mergeCell ref="A3:A7"/>
    <mergeCell ref="B3:C3"/>
    <mergeCell ref="AG3:AG4"/>
    <mergeCell ref="H5:H6"/>
    <mergeCell ref="I5:I6"/>
    <mergeCell ref="J5:J6"/>
    <mergeCell ref="K5:K6"/>
    <mergeCell ref="P4:AF4"/>
    <mergeCell ref="N5:N6"/>
    <mergeCell ref="O5:O6"/>
    <mergeCell ref="P5:R5"/>
    <mergeCell ref="S5:V5"/>
    <mergeCell ref="B35:AG35"/>
    <mergeCell ref="B33:AG33"/>
    <mergeCell ref="B34:AG34"/>
    <mergeCell ref="Z8:AE26"/>
    <mergeCell ref="B27:C27"/>
    <mergeCell ref="B31:AG31"/>
    <mergeCell ref="B32:AG32"/>
    <mergeCell ref="B29:AG29"/>
    <mergeCell ref="B30:AG30"/>
    <mergeCell ref="AH3:AH4"/>
    <mergeCell ref="B4:B6"/>
    <mergeCell ref="C4:C6"/>
    <mergeCell ref="F4:J4"/>
    <mergeCell ref="K4:O4"/>
    <mergeCell ref="W5:Y5"/>
    <mergeCell ref="F5:F6"/>
    <mergeCell ref="L5:L6"/>
    <mergeCell ref="D4:D6"/>
    <mergeCell ref="G5:G6"/>
    <mergeCell ref="Z5:AB5"/>
    <mergeCell ref="AC5:AE5"/>
    <mergeCell ref="AF5:AF6"/>
    <mergeCell ref="M5:M6"/>
    <mergeCell ref="E4:E6"/>
  </mergeCells>
  <phoneticPr fontId="26" type="noConversion"/>
  <pageMargins left="0.19685039370078741" right="0.19685039370078741" top="0.39370078740157483" bottom="0.19685039370078741" header="0.31496062992125984" footer="0.51181102362204722"/>
  <pageSetup paperSize="9" scale="75" orientation="landscape" horizontalDpi="4294967295" verticalDpi="4294967295"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24"/>
  <sheetViews>
    <sheetView view="pageBreakPreview" zoomScaleNormal="85" zoomScaleSheetLayoutView="100" workbookViewId="0">
      <pane xSplit="2" ySplit="5" topLeftCell="C63" activePane="bottomRight" state="frozen"/>
      <selection pane="topRight"/>
      <selection pane="bottomLeft"/>
      <selection pane="bottomRight"/>
    </sheetView>
  </sheetViews>
  <sheetFormatPr defaultColWidth="8.125" defaultRowHeight="14.25"/>
  <cols>
    <col min="1" max="1" width="5.125" style="257" customWidth="1"/>
    <col min="2" max="2" width="83.125" style="240" customWidth="1"/>
    <col min="3" max="3" width="12.125" style="240" customWidth="1"/>
    <col min="4" max="4" width="13.875" style="240" customWidth="1"/>
    <col min="5" max="5" width="12.875" style="240" customWidth="1"/>
    <col min="6" max="6" width="12.625" style="240" customWidth="1"/>
    <col min="7" max="7" width="13.375" style="240" customWidth="1"/>
    <col min="8" max="9" width="14.125" style="240" customWidth="1"/>
    <col min="10" max="10" width="9.375" style="240" customWidth="1"/>
    <col min="11" max="11" width="11.375" style="240" customWidth="1"/>
    <col min="12" max="12" width="10.25" style="240" customWidth="1"/>
    <col min="13" max="13" width="13.75" style="240" customWidth="1"/>
    <col min="14" max="14" width="33.875" style="240" customWidth="1"/>
    <col min="15" max="15" width="15.75" style="240" customWidth="1"/>
    <col min="16" max="16" width="15" style="240" customWidth="1"/>
    <col min="17" max="17" width="13.125" style="240" customWidth="1"/>
    <col min="18" max="18" width="8.75" style="240" customWidth="1"/>
    <col min="19" max="16384" width="8.125" style="240"/>
  </cols>
  <sheetData>
    <row r="1" spans="1:21" ht="16.5">
      <c r="A1" s="105" t="s">
        <v>679</v>
      </c>
      <c r="B1" s="238"/>
      <c r="C1" s="239"/>
      <c r="D1" s="239"/>
      <c r="E1" s="239"/>
      <c r="F1" s="239"/>
      <c r="G1" s="239"/>
      <c r="H1" s="239"/>
      <c r="I1" s="239"/>
      <c r="J1" s="239"/>
      <c r="K1" s="239"/>
      <c r="L1" s="239"/>
      <c r="M1" s="239"/>
      <c r="N1" s="239"/>
      <c r="Q1" s="239"/>
      <c r="R1" s="239"/>
    </row>
    <row r="2" spans="1:21">
      <c r="A2" s="241" t="s">
        <v>294</v>
      </c>
      <c r="C2" s="11"/>
      <c r="D2" s="11"/>
      <c r="N2" s="242"/>
      <c r="P2" s="2511" t="s">
        <v>295</v>
      </c>
      <c r="Q2" s="2511"/>
      <c r="R2" s="2511"/>
    </row>
    <row r="3" spans="1:21">
      <c r="A3" s="2507" t="s">
        <v>2101</v>
      </c>
      <c r="B3" s="2513" t="s">
        <v>285</v>
      </c>
      <c r="C3" s="2514" t="s">
        <v>296</v>
      </c>
      <c r="D3" s="2515"/>
      <c r="E3" s="2515"/>
      <c r="F3" s="2515"/>
      <c r="G3" s="2515"/>
      <c r="H3" s="2516"/>
      <c r="I3" s="2514" t="s">
        <v>297</v>
      </c>
      <c r="J3" s="2515"/>
      <c r="K3" s="2517"/>
      <c r="L3" s="2509" t="s">
        <v>298</v>
      </c>
      <c r="M3" s="2510"/>
      <c r="N3" s="2507" t="s">
        <v>285</v>
      </c>
      <c r="O3" s="2205" t="s">
        <v>299</v>
      </c>
      <c r="P3" s="2205" t="s">
        <v>297</v>
      </c>
      <c r="Q3" s="2509" t="s">
        <v>300</v>
      </c>
      <c r="R3" s="2510"/>
    </row>
    <row r="4" spans="1:21" s="245" customFormat="1" ht="24.6" customHeight="1">
      <c r="A4" s="2508"/>
      <c r="B4" s="2507"/>
      <c r="C4" s="243" t="s">
        <v>2102</v>
      </c>
      <c r="D4" s="243" t="s">
        <v>2258</v>
      </c>
      <c r="E4" s="243" t="s">
        <v>2103</v>
      </c>
      <c r="F4" s="243" t="s">
        <v>2104</v>
      </c>
      <c r="G4" s="243" t="s">
        <v>301</v>
      </c>
      <c r="H4" s="243" t="s">
        <v>302</v>
      </c>
      <c r="I4" s="244" t="s">
        <v>303</v>
      </c>
      <c r="J4" s="244" t="s">
        <v>304</v>
      </c>
      <c r="K4" s="245" t="s">
        <v>2105</v>
      </c>
      <c r="L4" s="243" t="s">
        <v>305</v>
      </c>
      <c r="M4" s="243" t="s">
        <v>306</v>
      </c>
      <c r="N4" s="2508"/>
      <c r="O4" s="243" t="s">
        <v>2106</v>
      </c>
      <c r="P4" s="243" t="s">
        <v>303</v>
      </c>
      <c r="Q4" s="243" t="s">
        <v>305</v>
      </c>
      <c r="R4" s="243" t="s">
        <v>306</v>
      </c>
    </row>
    <row r="5" spans="1:21" s="245" customFormat="1">
      <c r="A5" s="2512"/>
      <c r="B5" s="246" t="s">
        <v>307</v>
      </c>
      <c r="C5" s="247" t="s">
        <v>187</v>
      </c>
      <c r="D5" s="247" t="s">
        <v>68</v>
      </c>
      <c r="E5" s="247" t="s">
        <v>69</v>
      </c>
      <c r="F5" s="247" t="s">
        <v>70</v>
      </c>
      <c r="G5" s="247" t="s">
        <v>71</v>
      </c>
      <c r="H5" s="247" t="s">
        <v>72</v>
      </c>
      <c r="I5" s="247" t="s">
        <v>73</v>
      </c>
      <c r="J5" s="247" t="s">
        <v>74</v>
      </c>
      <c r="K5" s="247" t="s">
        <v>75</v>
      </c>
      <c r="L5" s="247" t="s">
        <v>234</v>
      </c>
      <c r="M5" s="247" t="s">
        <v>235</v>
      </c>
      <c r="N5" s="247" t="s">
        <v>286</v>
      </c>
      <c r="O5" s="247" t="s">
        <v>287</v>
      </c>
      <c r="P5" s="247" t="s">
        <v>288</v>
      </c>
      <c r="Q5" s="247" t="s">
        <v>289</v>
      </c>
      <c r="R5" s="247" t="s">
        <v>290</v>
      </c>
    </row>
    <row r="6" spans="1:21" s="245" customFormat="1">
      <c r="A6" s="248">
        <v>1</v>
      </c>
      <c r="B6" s="249" t="s">
        <v>1097</v>
      </c>
      <c r="C6" s="1429"/>
      <c r="D6" s="1429"/>
      <c r="E6" s="1430">
        <f>SUM(C6:D6)</f>
        <v>0</v>
      </c>
      <c r="F6" s="1431" t="str">
        <f t="shared" ref="F6:F47" si="0">IF(C6=0,"",IFERROR(+E6/$E$104,""))</f>
        <v/>
      </c>
      <c r="G6" s="1429"/>
      <c r="H6" s="1430">
        <f>+E6-G6</f>
        <v>0</v>
      </c>
      <c r="I6" s="1429"/>
      <c r="J6" s="1432"/>
      <c r="K6" s="1429"/>
      <c r="L6" s="1430">
        <f>+E6-I6</f>
        <v>0</v>
      </c>
      <c r="M6" s="1431" t="str">
        <f t="shared" ref="M6:M47" si="1">IF(AND(I6=0,OR(E6&gt;0,E6&lt;0)),+L6/L6,IFERROR(+L6/I6,""))</f>
        <v/>
      </c>
      <c r="N6" s="249" t="s">
        <v>1133</v>
      </c>
      <c r="O6" s="1429"/>
      <c r="P6" s="1429"/>
      <c r="Q6" s="1430">
        <f>+O6-P6</f>
        <v>0</v>
      </c>
      <c r="R6" s="1431" t="str">
        <f t="shared" ref="R6:R16" si="2">IF(AND(P6=0,OR(O6&gt;0,O6&lt;0)),+Q6/Q6,IFERROR(+Q6/P6,""))</f>
        <v/>
      </c>
      <c r="S6" s="240"/>
    </row>
    <row r="7" spans="1:21">
      <c r="A7" s="248">
        <f>A6+1</f>
        <v>2</v>
      </c>
      <c r="B7" s="249" t="s">
        <v>1098</v>
      </c>
      <c r="C7" s="1430">
        <f>SUM(C8:C18)-C10-C11</f>
        <v>0</v>
      </c>
      <c r="D7" s="1430">
        <f>SUM(D8:D18)-D10-D11</f>
        <v>0</v>
      </c>
      <c r="E7" s="1430">
        <f>SUM(C7:D7)</f>
        <v>0</v>
      </c>
      <c r="F7" s="1431" t="str">
        <f t="shared" si="0"/>
        <v/>
      </c>
      <c r="G7" s="1430">
        <f>SUM(G8:G18)-G10-G11</f>
        <v>0</v>
      </c>
      <c r="H7" s="1430">
        <f t="shared" ref="H7:H72" si="3">+E7-G7</f>
        <v>0</v>
      </c>
      <c r="I7" s="1429">
        <v>0</v>
      </c>
      <c r="J7" s="1432"/>
      <c r="K7" s="1429"/>
      <c r="L7" s="1430">
        <f t="shared" ref="L7:L72" si="4">+E7-I7</f>
        <v>0</v>
      </c>
      <c r="M7" s="1431" t="str">
        <f t="shared" si="1"/>
        <v/>
      </c>
      <c r="N7" s="249" t="s">
        <v>1134</v>
      </c>
      <c r="O7" s="1430">
        <f>SUM(O8:O14)</f>
        <v>0</v>
      </c>
      <c r="P7" s="1430">
        <f>SUM(P8:P14)</f>
        <v>0</v>
      </c>
      <c r="Q7" s="1430">
        <f t="shared" ref="Q7:Q55" si="5">+O7-P7</f>
        <v>0</v>
      </c>
      <c r="R7" s="1431" t="str">
        <f t="shared" si="2"/>
        <v/>
      </c>
      <c r="T7" s="245"/>
      <c r="U7" s="245"/>
    </row>
    <row r="8" spans="1:21">
      <c r="A8" s="248">
        <f t="shared" ref="A8:A72" si="6">A7+1</f>
        <v>3</v>
      </c>
      <c r="B8" s="250" t="s">
        <v>2107</v>
      </c>
      <c r="C8" s="1429"/>
      <c r="D8" s="1429"/>
      <c r="E8" s="1430">
        <f t="shared" ref="E8:E73" si="7">SUM(C8:D8)</f>
        <v>0</v>
      </c>
      <c r="F8" s="1431" t="str">
        <f t="shared" si="0"/>
        <v/>
      </c>
      <c r="G8" s="1429"/>
      <c r="H8" s="1430">
        <f t="shared" si="3"/>
        <v>0</v>
      </c>
      <c r="I8" s="1429"/>
      <c r="J8" s="1432"/>
      <c r="K8" s="1429"/>
      <c r="L8" s="1430">
        <f t="shared" si="4"/>
        <v>0</v>
      </c>
      <c r="M8" s="1431" t="str">
        <f t="shared" si="1"/>
        <v/>
      </c>
      <c r="N8" s="250" t="s">
        <v>1135</v>
      </c>
      <c r="O8" s="1429"/>
      <c r="P8" s="1429"/>
      <c r="Q8" s="1430">
        <f t="shared" si="5"/>
        <v>0</v>
      </c>
      <c r="R8" s="1431" t="str">
        <f t="shared" si="2"/>
        <v/>
      </c>
      <c r="T8" s="245"/>
      <c r="U8" s="245"/>
    </row>
    <row r="9" spans="1:21">
      <c r="A9" s="248">
        <f t="shared" si="6"/>
        <v>4</v>
      </c>
      <c r="B9" s="250" t="s">
        <v>1099</v>
      </c>
      <c r="C9" s="1430">
        <f>+C10+C11</f>
        <v>0</v>
      </c>
      <c r="D9" s="1430">
        <f>+D10+D11</f>
        <v>0</v>
      </c>
      <c r="E9" s="1430">
        <f t="shared" si="7"/>
        <v>0</v>
      </c>
      <c r="F9" s="1431" t="str">
        <f t="shared" si="0"/>
        <v/>
      </c>
      <c r="G9" s="1430">
        <f>+G10+G11</f>
        <v>0</v>
      </c>
      <c r="H9" s="1430">
        <f t="shared" si="3"/>
        <v>0</v>
      </c>
      <c r="I9" s="1429"/>
      <c r="J9" s="1432"/>
      <c r="K9" s="1429"/>
      <c r="L9" s="1430">
        <f t="shared" si="4"/>
        <v>0</v>
      </c>
      <c r="M9" s="1431" t="str">
        <f t="shared" si="1"/>
        <v/>
      </c>
      <c r="N9" s="250" t="s">
        <v>2108</v>
      </c>
      <c r="O9" s="1429"/>
      <c r="P9" s="1429"/>
      <c r="Q9" s="1430">
        <f t="shared" si="5"/>
        <v>0</v>
      </c>
      <c r="R9" s="1431" t="str">
        <f t="shared" si="2"/>
        <v/>
      </c>
      <c r="T9" s="245"/>
      <c r="U9" s="245"/>
    </row>
    <row r="10" spans="1:21">
      <c r="A10" s="248">
        <f t="shared" si="6"/>
        <v>5</v>
      </c>
      <c r="B10" s="250" t="s">
        <v>2109</v>
      </c>
      <c r="C10" s="1429"/>
      <c r="D10" s="1429"/>
      <c r="E10" s="1430">
        <f t="shared" si="7"/>
        <v>0</v>
      </c>
      <c r="F10" s="1431" t="str">
        <f t="shared" si="0"/>
        <v/>
      </c>
      <c r="G10" s="1429"/>
      <c r="H10" s="1430">
        <f t="shared" si="3"/>
        <v>0</v>
      </c>
      <c r="I10" s="1429"/>
      <c r="J10" s="1432"/>
      <c r="K10" s="1429"/>
      <c r="L10" s="1430">
        <f t="shared" si="4"/>
        <v>0</v>
      </c>
      <c r="M10" s="1431" t="str">
        <f t="shared" si="1"/>
        <v/>
      </c>
      <c r="N10" s="250" t="s">
        <v>2110</v>
      </c>
      <c r="O10" s="1429"/>
      <c r="P10" s="1429"/>
      <c r="Q10" s="1430">
        <f t="shared" si="5"/>
        <v>0</v>
      </c>
      <c r="R10" s="1431" t="str">
        <f t="shared" si="2"/>
        <v/>
      </c>
      <c r="T10" s="245"/>
      <c r="U10" s="245"/>
    </row>
    <row r="11" spans="1:21">
      <c r="A11" s="248">
        <f t="shared" si="6"/>
        <v>6</v>
      </c>
      <c r="B11" s="250" t="s">
        <v>1100</v>
      </c>
      <c r="C11" s="1429"/>
      <c r="D11" s="1429"/>
      <c r="E11" s="1430">
        <f t="shared" si="7"/>
        <v>0</v>
      </c>
      <c r="F11" s="1431" t="str">
        <f t="shared" si="0"/>
        <v/>
      </c>
      <c r="G11" s="1429"/>
      <c r="H11" s="1430">
        <f t="shared" si="3"/>
        <v>0</v>
      </c>
      <c r="I11" s="1429"/>
      <c r="J11" s="1432"/>
      <c r="K11" s="1429"/>
      <c r="L11" s="1430">
        <f t="shared" si="4"/>
        <v>0</v>
      </c>
      <c r="M11" s="1431" t="str">
        <f t="shared" si="1"/>
        <v/>
      </c>
      <c r="N11" s="250" t="s">
        <v>1136</v>
      </c>
      <c r="O11" s="1429"/>
      <c r="P11" s="1429"/>
      <c r="Q11" s="1430">
        <f t="shared" si="5"/>
        <v>0</v>
      </c>
      <c r="R11" s="1431" t="str">
        <f t="shared" si="2"/>
        <v/>
      </c>
      <c r="T11" s="245"/>
      <c r="U11" s="245"/>
    </row>
    <row r="12" spans="1:21">
      <c r="A12" s="248">
        <f t="shared" si="6"/>
        <v>7</v>
      </c>
      <c r="B12" s="250" t="s">
        <v>2111</v>
      </c>
      <c r="C12" s="1429"/>
      <c r="D12" s="1429"/>
      <c r="E12" s="1430">
        <f>SUM(C12:D12)</f>
        <v>0</v>
      </c>
      <c r="F12" s="1431" t="str">
        <f t="shared" si="0"/>
        <v/>
      </c>
      <c r="G12" s="1429"/>
      <c r="H12" s="1430">
        <f t="shared" si="3"/>
        <v>0</v>
      </c>
      <c r="I12" s="1429"/>
      <c r="J12" s="1432"/>
      <c r="K12" s="1429"/>
      <c r="L12" s="1430">
        <f t="shared" si="4"/>
        <v>0</v>
      </c>
      <c r="M12" s="1431" t="str">
        <f t="shared" si="1"/>
        <v/>
      </c>
      <c r="N12" s="250" t="s">
        <v>1137</v>
      </c>
      <c r="O12" s="1429"/>
      <c r="P12" s="1429"/>
      <c r="Q12" s="1430">
        <f t="shared" si="5"/>
        <v>0</v>
      </c>
      <c r="R12" s="1431" t="str">
        <f t="shared" si="2"/>
        <v/>
      </c>
      <c r="T12" s="245"/>
      <c r="U12" s="245"/>
    </row>
    <row r="13" spans="1:21">
      <c r="A13" s="248">
        <f t="shared" si="6"/>
        <v>8</v>
      </c>
      <c r="B13" s="250" t="s">
        <v>1101</v>
      </c>
      <c r="C13" s="1429"/>
      <c r="D13" s="1429"/>
      <c r="E13" s="1430">
        <f t="shared" si="7"/>
        <v>0</v>
      </c>
      <c r="F13" s="1431" t="str">
        <f t="shared" si="0"/>
        <v/>
      </c>
      <c r="G13" s="1429"/>
      <c r="H13" s="1430">
        <f t="shared" si="3"/>
        <v>0</v>
      </c>
      <c r="I13" s="1429"/>
      <c r="J13" s="1432"/>
      <c r="K13" s="1429"/>
      <c r="L13" s="1430">
        <f t="shared" si="4"/>
        <v>0</v>
      </c>
      <c r="M13" s="1431" t="str">
        <f t="shared" si="1"/>
        <v/>
      </c>
      <c r="N13" s="250" t="s">
        <v>1138</v>
      </c>
      <c r="O13" s="1429"/>
      <c r="P13" s="1429"/>
      <c r="Q13" s="1430">
        <f t="shared" si="5"/>
        <v>0</v>
      </c>
      <c r="R13" s="1431" t="str">
        <f t="shared" si="2"/>
        <v/>
      </c>
      <c r="T13" s="245"/>
      <c r="U13" s="245"/>
    </row>
    <row r="14" spans="1:21">
      <c r="A14" s="248">
        <f t="shared" si="6"/>
        <v>9</v>
      </c>
      <c r="B14" s="250" t="s">
        <v>2112</v>
      </c>
      <c r="C14" s="1429"/>
      <c r="D14" s="1429"/>
      <c r="E14" s="1430">
        <f t="shared" si="7"/>
        <v>0</v>
      </c>
      <c r="F14" s="1431" t="str">
        <f t="shared" si="0"/>
        <v/>
      </c>
      <c r="G14" s="1429"/>
      <c r="H14" s="1430">
        <f t="shared" si="3"/>
        <v>0</v>
      </c>
      <c r="I14" s="1429"/>
      <c r="J14" s="1432"/>
      <c r="K14" s="1429"/>
      <c r="L14" s="1430">
        <f t="shared" si="4"/>
        <v>0</v>
      </c>
      <c r="M14" s="1431" t="str">
        <f t="shared" si="1"/>
        <v/>
      </c>
      <c r="N14" s="250" t="s">
        <v>1139</v>
      </c>
      <c r="O14" s="1429"/>
      <c r="P14" s="1429"/>
      <c r="Q14" s="1430">
        <f t="shared" si="5"/>
        <v>0</v>
      </c>
      <c r="R14" s="1431" t="str">
        <f t="shared" si="2"/>
        <v/>
      </c>
      <c r="T14" s="245"/>
      <c r="U14" s="245"/>
    </row>
    <row r="15" spans="1:21">
      <c r="A15" s="248">
        <v>10</v>
      </c>
      <c r="B15" s="249" t="s">
        <v>1102</v>
      </c>
      <c r="C15" s="1429"/>
      <c r="D15" s="1429"/>
      <c r="E15" s="1430">
        <f t="shared" si="7"/>
        <v>0</v>
      </c>
      <c r="F15" s="1431" t="str">
        <f t="shared" si="0"/>
        <v/>
      </c>
      <c r="G15" s="1429"/>
      <c r="H15" s="1430">
        <f t="shared" si="3"/>
        <v>0</v>
      </c>
      <c r="I15" s="1429"/>
      <c r="J15" s="1432"/>
      <c r="K15" s="1429"/>
      <c r="L15" s="1430">
        <f t="shared" si="4"/>
        <v>0</v>
      </c>
      <c r="M15" s="1431" t="str">
        <f t="shared" si="1"/>
        <v/>
      </c>
      <c r="N15" s="249" t="s">
        <v>2113</v>
      </c>
      <c r="O15" s="1429"/>
      <c r="P15" s="1429"/>
      <c r="Q15" s="1430">
        <f t="shared" si="5"/>
        <v>0</v>
      </c>
      <c r="R15" s="1431" t="str">
        <f t="shared" si="2"/>
        <v/>
      </c>
      <c r="T15" s="245"/>
      <c r="U15" s="245"/>
    </row>
    <row r="16" spans="1:21">
      <c r="A16" s="248">
        <f t="shared" si="6"/>
        <v>11</v>
      </c>
      <c r="B16" s="249" t="s">
        <v>2114</v>
      </c>
      <c r="C16" s="1429"/>
      <c r="D16" s="1429"/>
      <c r="E16" s="1430">
        <f t="shared" si="7"/>
        <v>0</v>
      </c>
      <c r="F16" s="1431" t="str">
        <f t="shared" si="0"/>
        <v/>
      </c>
      <c r="G16" s="1429"/>
      <c r="H16" s="1430">
        <f t="shared" si="3"/>
        <v>0</v>
      </c>
      <c r="I16" s="1429"/>
      <c r="J16" s="1432"/>
      <c r="K16" s="1429"/>
      <c r="L16" s="1430">
        <f t="shared" si="4"/>
        <v>0</v>
      </c>
      <c r="M16" s="1431" t="str">
        <f t="shared" si="1"/>
        <v/>
      </c>
      <c r="N16" s="249" t="s">
        <v>2115</v>
      </c>
      <c r="O16" s="1429"/>
      <c r="P16" s="1429"/>
      <c r="Q16" s="1430">
        <f t="shared" si="5"/>
        <v>0</v>
      </c>
      <c r="R16" s="1431" t="str">
        <f t="shared" si="2"/>
        <v/>
      </c>
      <c r="T16" s="245"/>
      <c r="U16" s="245"/>
    </row>
    <row r="17" spans="1:21">
      <c r="A17" s="248">
        <f t="shared" si="6"/>
        <v>12</v>
      </c>
      <c r="B17" s="249" t="s">
        <v>1103</v>
      </c>
      <c r="C17" s="1429"/>
      <c r="D17" s="1429"/>
      <c r="E17" s="1430">
        <f>SUM(C17:D17)</f>
        <v>0</v>
      </c>
      <c r="F17" s="1431" t="str">
        <f t="shared" si="0"/>
        <v/>
      </c>
      <c r="G17" s="1429"/>
      <c r="H17" s="1430">
        <f t="shared" si="3"/>
        <v>0</v>
      </c>
      <c r="I17" s="1429"/>
      <c r="J17" s="1432"/>
      <c r="K17" s="1429"/>
      <c r="L17" s="1430">
        <f t="shared" si="4"/>
        <v>0</v>
      </c>
      <c r="M17" s="1431" t="str">
        <f t="shared" si="1"/>
        <v/>
      </c>
      <c r="N17" s="250"/>
      <c r="O17" s="1429"/>
      <c r="P17" s="1429"/>
      <c r="Q17" s="1429"/>
      <c r="R17" s="1432"/>
      <c r="T17" s="245"/>
      <c r="U17" s="245"/>
    </row>
    <row r="18" spans="1:21">
      <c r="A18" s="248">
        <f t="shared" si="6"/>
        <v>13</v>
      </c>
      <c r="B18" s="250" t="s">
        <v>2116</v>
      </c>
      <c r="C18" s="1429"/>
      <c r="D18" s="1429"/>
      <c r="E18" s="1430">
        <f t="shared" si="7"/>
        <v>0</v>
      </c>
      <c r="F18" s="1431" t="str">
        <f t="shared" si="0"/>
        <v/>
      </c>
      <c r="G18" s="1429"/>
      <c r="H18" s="1430">
        <f t="shared" si="3"/>
        <v>0</v>
      </c>
      <c r="I18" s="1429"/>
      <c r="J18" s="1432"/>
      <c r="K18" s="1429"/>
      <c r="L18" s="1430">
        <f t="shared" si="4"/>
        <v>0</v>
      </c>
      <c r="M18" s="1431" t="str">
        <f t="shared" si="1"/>
        <v/>
      </c>
      <c r="N18" s="734" t="s">
        <v>2117</v>
      </c>
      <c r="O18" s="1429"/>
      <c r="P18" s="1429"/>
      <c r="Q18" s="1430">
        <f t="shared" si="5"/>
        <v>0</v>
      </c>
      <c r="R18" s="1431" t="str">
        <f>IF(AND(P18=0,OR(O18&gt;0,O18&lt;0)),+Q18/Q18,IFERROR(+Q18/P18,""))</f>
        <v/>
      </c>
      <c r="T18" s="245"/>
      <c r="U18" s="245"/>
    </row>
    <row r="19" spans="1:21">
      <c r="A19" s="248">
        <f t="shared" si="6"/>
        <v>14</v>
      </c>
      <c r="B19" s="250" t="s">
        <v>2118</v>
      </c>
      <c r="C19" s="1429"/>
      <c r="D19" s="1429"/>
      <c r="E19" s="1430">
        <f t="shared" si="7"/>
        <v>0</v>
      </c>
      <c r="F19" s="1431" t="str">
        <f t="shared" si="0"/>
        <v/>
      </c>
      <c r="G19" s="1429"/>
      <c r="H19" s="1430">
        <f t="shared" si="3"/>
        <v>0</v>
      </c>
      <c r="I19" s="1429"/>
      <c r="J19" s="1432"/>
      <c r="K19" s="1429"/>
      <c r="L19" s="1430">
        <f t="shared" si="4"/>
        <v>0</v>
      </c>
      <c r="M19" s="1431" t="str">
        <f t="shared" si="1"/>
        <v/>
      </c>
      <c r="N19" s="250" t="s">
        <v>2119</v>
      </c>
      <c r="O19" s="1429"/>
      <c r="P19" s="1429"/>
      <c r="Q19" s="1430">
        <f t="shared" si="5"/>
        <v>0</v>
      </c>
      <c r="R19" s="1431" t="str">
        <f>IF(AND(P19=0,OR(O19&gt;0,O19&lt;0)),+Q19/Q19,IFERROR(+Q19/P19,""))</f>
        <v/>
      </c>
      <c r="T19" s="245"/>
      <c r="U19" s="245"/>
    </row>
    <row r="20" spans="1:21">
      <c r="A20" s="248">
        <f t="shared" si="6"/>
        <v>15</v>
      </c>
      <c r="B20" s="249" t="s">
        <v>1104</v>
      </c>
      <c r="C20" s="1429"/>
      <c r="D20" s="1429"/>
      <c r="E20" s="1430">
        <f t="shared" si="7"/>
        <v>0</v>
      </c>
      <c r="F20" s="1431" t="str">
        <f t="shared" si="0"/>
        <v/>
      </c>
      <c r="G20" s="1429"/>
      <c r="H20" s="1430">
        <f t="shared" si="3"/>
        <v>0</v>
      </c>
      <c r="I20" s="1429"/>
      <c r="J20" s="1432"/>
      <c r="K20" s="1429"/>
      <c r="L20" s="1430">
        <f t="shared" si="4"/>
        <v>0</v>
      </c>
      <c r="M20" s="1431" t="str">
        <f t="shared" si="1"/>
        <v/>
      </c>
      <c r="N20" s="249" t="s">
        <v>1140</v>
      </c>
      <c r="O20" s="1429"/>
      <c r="P20" s="1429"/>
      <c r="Q20" s="1430">
        <f t="shared" si="5"/>
        <v>0</v>
      </c>
      <c r="R20" s="1431" t="str">
        <f>IF(AND(P20=0,OR(O20&gt;0,O20&lt;0)),+Q20/Q20,IFERROR(+Q20/P20,""))</f>
        <v/>
      </c>
      <c r="T20" s="245"/>
      <c r="U20" s="245"/>
    </row>
    <row r="21" spans="1:21">
      <c r="A21" s="248">
        <f t="shared" si="6"/>
        <v>16</v>
      </c>
      <c r="B21" s="249" t="s">
        <v>2070</v>
      </c>
      <c r="C21" s="1429"/>
      <c r="D21" s="1429"/>
      <c r="E21" s="1430">
        <f t="shared" si="7"/>
        <v>0</v>
      </c>
      <c r="F21" s="1431" t="str">
        <f t="shared" si="0"/>
        <v/>
      </c>
      <c r="G21" s="1429"/>
      <c r="H21" s="1430">
        <f t="shared" si="3"/>
        <v>0</v>
      </c>
      <c r="I21" s="1429"/>
      <c r="J21" s="1432"/>
      <c r="K21" s="1429"/>
      <c r="L21" s="1430">
        <f t="shared" si="4"/>
        <v>0</v>
      </c>
      <c r="M21" s="1431" t="str">
        <f t="shared" si="1"/>
        <v/>
      </c>
      <c r="N21" s="249" t="s">
        <v>1141</v>
      </c>
      <c r="O21" s="1429"/>
      <c r="P21" s="1429"/>
      <c r="Q21" s="1430">
        <f t="shared" si="5"/>
        <v>0</v>
      </c>
      <c r="R21" s="1431" t="str">
        <f>IF(AND(P21=0,OR(O21&gt;0,O21&lt;0)),+Q21/Q21,IFERROR(+Q21/P21,""))</f>
        <v/>
      </c>
      <c r="T21" s="245"/>
      <c r="U21" s="245"/>
    </row>
    <row r="22" spans="1:21">
      <c r="A22" s="248">
        <f t="shared" si="6"/>
        <v>17</v>
      </c>
      <c r="B22" s="632" t="s">
        <v>1105</v>
      </c>
      <c r="C22" s="1430">
        <f>SUM(C23:C32)</f>
        <v>0</v>
      </c>
      <c r="D22" s="1430">
        <f>SUM(D23:D32)</f>
        <v>0</v>
      </c>
      <c r="E22" s="1430">
        <f t="shared" si="7"/>
        <v>0</v>
      </c>
      <c r="F22" s="1431" t="str">
        <f t="shared" si="0"/>
        <v/>
      </c>
      <c r="G22" s="1430">
        <f>SUM(G23:G32)</f>
        <v>0</v>
      </c>
      <c r="H22" s="1430">
        <f t="shared" si="3"/>
        <v>0</v>
      </c>
      <c r="I22" s="1429"/>
      <c r="J22" s="1432"/>
      <c r="K22" s="1429"/>
      <c r="L22" s="1430">
        <f t="shared" si="4"/>
        <v>0</v>
      </c>
      <c r="M22" s="1431" t="str">
        <f t="shared" si="1"/>
        <v/>
      </c>
      <c r="N22" s="249" t="s">
        <v>1142</v>
      </c>
      <c r="O22" s="1429"/>
      <c r="P22" s="1429"/>
      <c r="Q22" s="1430">
        <f t="shared" si="5"/>
        <v>0</v>
      </c>
      <c r="R22" s="1431" t="str">
        <f>IF(AND(P22=0,OR(O22&gt;0,O22&lt;0)),+Q22/Q22,IFERROR(+Q22/P22,""))</f>
        <v/>
      </c>
      <c r="T22" s="245"/>
      <c r="U22" s="245"/>
    </row>
    <row r="23" spans="1:21">
      <c r="A23" s="248">
        <f t="shared" si="6"/>
        <v>18</v>
      </c>
      <c r="B23" s="251" t="s">
        <v>1106</v>
      </c>
      <c r="C23" s="1429"/>
      <c r="D23" s="1429"/>
      <c r="E23" s="1430">
        <f t="shared" si="7"/>
        <v>0</v>
      </c>
      <c r="F23" s="1431" t="str">
        <f t="shared" si="0"/>
        <v/>
      </c>
      <c r="G23" s="1429"/>
      <c r="H23" s="1430">
        <f t="shared" si="3"/>
        <v>0</v>
      </c>
      <c r="I23" s="1429"/>
      <c r="J23" s="1432"/>
      <c r="K23" s="1429"/>
      <c r="L23" s="1430">
        <f t="shared" si="4"/>
        <v>0</v>
      </c>
      <c r="M23" s="1431" t="str">
        <f t="shared" si="1"/>
        <v/>
      </c>
      <c r="N23" s="249" t="s">
        <v>1143</v>
      </c>
      <c r="O23" s="1429"/>
      <c r="P23" s="1429"/>
      <c r="Q23" s="1429"/>
      <c r="R23" s="1432"/>
      <c r="T23" s="245"/>
      <c r="U23" s="245"/>
    </row>
    <row r="24" spans="1:21">
      <c r="A24" s="248">
        <f t="shared" si="6"/>
        <v>19</v>
      </c>
      <c r="B24" s="251" t="s">
        <v>1107</v>
      </c>
      <c r="C24" s="1429"/>
      <c r="D24" s="1429"/>
      <c r="E24" s="1430">
        <f t="shared" si="7"/>
        <v>0</v>
      </c>
      <c r="F24" s="1431" t="str">
        <f t="shared" si="0"/>
        <v/>
      </c>
      <c r="G24" s="1429"/>
      <c r="H24" s="1430">
        <f t="shared" si="3"/>
        <v>0</v>
      </c>
      <c r="I24" s="1429"/>
      <c r="J24" s="1432"/>
      <c r="K24" s="1429"/>
      <c r="L24" s="1430">
        <f t="shared" si="4"/>
        <v>0</v>
      </c>
      <c r="M24" s="1431" t="str">
        <f t="shared" si="1"/>
        <v/>
      </c>
      <c r="N24" s="249" t="s">
        <v>1144</v>
      </c>
      <c r="O24" s="1430">
        <f>SUM(O26:O32)</f>
        <v>0</v>
      </c>
      <c r="P24" s="1430">
        <f>SUM(P26:P32)</f>
        <v>0</v>
      </c>
      <c r="Q24" s="1430">
        <f t="shared" si="5"/>
        <v>0</v>
      </c>
      <c r="R24" s="1431" t="str">
        <f t="shared" ref="R24:R33" si="8">IF(AND(P24=0,OR(O24&gt;0,O24&lt;0)),+Q24/Q24,IFERROR(+Q24/P24,""))</f>
        <v/>
      </c>
      <c r="T24" s="245"/>
      <c r="U24" s="245"/>
    </row>
    <row r="25" spans="1:21">
      <c r="A25" s="248">
        <f t="shared" si="6"/>
        <v>20</v>
      </c>
      <c r="B25" s="251" t="s">
        <v>2120</v>
      </c>
      <c r="C25" s="1429"/>
      <c r="D25" s="1429"/>
      <c r="E25" s="1430">
        <f t="shared" si="7"/>
        <v>0</v>
      </c>
      <c r="F25" s="1431" t="str">
        <f t="shared" si="0"/>
        <v/>
      </c>
      <c r="G25" s="1429"/>
      <c r="H25" s="1430">
        <f t="shared" si="3"/>
        <v>0</v>
      </c>
      <c r="I25" s="1429"/>
      <c r="J25" s="1432"/>
      <c r="K25" s="1429"/>
      <c r="L25" s="1430">
        <f t="shared" si="4"/>
        <v>0</v>
      </c>
      <c r="M25" s="1431" t="str">
        <f t="shared" si="1"/>
        <v/>
      </c>
      <c r="N25" s="250" t="s">
        <v>1145</v>
      </c>
      <c r="O25" s="1430">
        <f>SUM(O26:O33)</f>
        <v>0</v>
      </c>
      <c r="P25" s="1430">
        <f>SUM(P26:P33)</f>
        <v>0</v>
      </c>
      <c r="Q25" s="1430">
        <f t="shared" si="5"/>
        <v>0</v>
      </c>
      <c r="R25" s="1431" t="str">
        <f t="shared" si="8"/>
        <v/>
      </c>
      <c r="T25" s="245"/>
      <c r="U25" s="245"/>
    </row>
    <row r="26" spans="1:21">
      <c r="A26" s="248">
        <f t="shared" si="6"/>
        <v>21</v>
      </c>
      <c r="B26" s="251" t="s">
        <v>1109</v>
      </c>
      <c r="C26" s="1429"/>
      <c r="D26" s="1429"/>
      <c r="E26" s="1430">
        <f t="shared" si="7"/>
        <v>0</v>
      </c>
      <c r="F26" s="1431" t="str">
        <f t="shared" si="0"/>
        <v/>
      </c>
      <c r="G26" s="1429"/>
      <c r="H26" s="1430">
        <f t="shared" si="3"/>
        <v>0</v>
      </c>
      <c r="I26" s="1429"/>
      <c r="J26" s="1432"/>
      <c r="K26" s="1429"/>
      <c r="L26" s="1430">
        <f t="shared" si="4"/>
        <v>0</v>
      </c>
      <c r="M26" s="1431" t="str">
        <f t="shared" si="1"/>
        <v/>
      </c>
      <c r="N26" s="250" t="s">
        <v>1146</v>
      </c>
      <c r="O26" s="1429"/>
      <c r="P26" s="1429"/>
      <c r="Q26" s="1430">
        <f t="shared" si="5"/>
        <v>0</v>
      </c>
      <c r="R26" s="1431" t="str">
        <f t="shared" si="8"/>
        <v/>
      </c>
      <c r="T26" s="245"/>
      <c r="U26" s="245"/>
    </row>
    <row r="27" spans="1:21">
      <c r="A27" s="248">
        <f t="shared" si="6"/>
        <v>22</v>
      </c>
      <c r="B27" s="251" t="s">
        <v>2121</v>
      </c>
      <c r="C27" s="1429"/>
      <c r="D27" s="1429"/>
      <c r="E27" s="1430">
        <f t="shared" si="7"/>
        <v>0</v>
      </c>
      <c r="F27" s="1431" t="str">
        <f t="shared" si="0"/>
        <v/>
      </c>
      <c r="G27" s="1429"/>
      <c r="H27" s="1430">
        <f t="shared" si="3"/>
        <v>0</v>
      </c>
      <c r="I27" s="1429"/>
      <c r="J27" s="1432"/>
      <c r="K27" s="1429"/>
      <c r="L27" s="1430">
        <f t="shared" si="4"/>
        <v>0</v>
      </c>
      <c r="M27" s="1431" t="str">
        <f t="shared" si="1"/>
        <v/>
      </c>
      <c r="N27" s="250" t="s">
        <v>2122</v>
      </c>
      <c r="O27" s="1429"/>
      <c r="P27" s="1429"/>
      <c r="Q27" s="1430">
        <f t="shared" si="5"/>
        <v>0</v>
      </c>
      <c r="R27" s="1431" t="str">
        <f t="shared" si="8"/>
        <v/>
      </c>
      <c r="T27" s="245"/>
      <c r="U27" s="245"/>
    </row>
    <row r="28" spans="1:21">
      <c r="A28" s="248">
        <f t="shared" si="6"/>
        <v>23</v>
      </c>
      <c r="B28" s="251" t="s">
        <v>2123</v>
      </c>
      <c r="C28" s="1429"/>
      <c r="D28" s="1429"/>
      <c r="E28" s="1430">
        <f t="shared" si="7"/>
        <v>0</v>
      </c>
      <c r="F28" s="1431" t="str">
        <f t="shared" si="0"/>
        <v/>
      </c>
      <c r="G28" s="1429"/>
      <c r="H28" s="1430">
        <f t="shared" si="3"/>
        <v>0</v>
      </c>
      <c r="I28" s="1429"/>
      <c r="J28" s="1432"/>
      <c r="K28" s="1429"/>
      <c r="L28" s="1430">
        <f t="shared" si="4"/>
        <v>0</v>
      </c>
      <c r="M28" s="1431" t="str">
        <f t="shared" si="1"/>
        <v/>
      </c>
      <c r="N28" s="250" t="s">
        <v>1226</v>
      </c>
      <c r="O28" s="1429"/>
      <c r="P28" s="1429"/>
      <c r="Q28" s="1430">
        <f t="shared" si="5"/>
        <v>0</v>
      </c>
      <c r="R28" s="1431" t="str">
        <f t="shared" si="8"/>
        <v/>
      </c>
      <c r="T28" s="245"/>
      <c r="U28" s="245"/>
    </row>
    <row r="29" spans="1:21">
      <c r="A29" s="248">
        <f t="shared" si="6"/>
        <v>24</v>
      </c>
      <c r="B29" s="251" t="s">
        <v>2124</v>
      </c>
      <c r="C29" s="1429"/>
      <c r="D29" s="1429"/>
      <c r="E29" s="1430">
        <f t="shared" si="7"/>
        <v>0</v>
      </c>
      <c r="F29" s="1431" t="str">
        <f t="shared" si="0"/>
        <v/>
      </c>
      <c r="G29" s="1429"/>
      <c r="H29" s="1430">
        <f t="shared" si="3"/>
        <v>0</v>
      </c>
      <c r="I29" s="1429"/>
      <c r="J29" s="1432"/>
      <c r="K29" s="1429"/>
      <c r="L29" s="1430">
        <f t="shared" si="4"/>
        <v>0</v>
      </c>
      <c r="M29" s="1431" t="str">
        <f t="shared" si="1"/>
        <v/>
      </c>
      <c r="N29" s="250" t="s">
        <v>1147</v>
      </c>
      <c r="O29" s="1429"/>
      <c r="P29" s="1429"/>
      <c r="Q29" s="1430">
        <f t="shared" si="5"/>
        <v>0</v>
      </c>
      <c r="R29" s="1431" t="str">
        <f t="shared" si="8"/>
        <v/>
      </c>
      <c r="T29" s="245"/>
      <c r="U29" s="245"/>
    </row>
    <row r="30" spans="1:21">
      <c r="A30" s="248">
        <f t="shared" si="6"/>
        <v>25</v>
      </c>
      <c r="B30" s="249" t="s">
        <v>1110</v>
      </c>
      <c r="C30" s="1429"/>
      <c r="D30" s="1429"/>
      <c r="E30" s="1430">
        <f t="shared" si="7"/>
        <v>0</v>
      </c>
      <c r="F30" s="1431" t="str">
        <f t="shared" si="0"/>
        <v/>
      </c>
      <c r="G30" s="1429"/>
      <c r="H30" s="1430">
        <f t="shared" si="3"/>
        <v>0</v>
      </c>
      <c r="I30" s="1429"/>
      <c r="J30" s="1432"/>
      <c r="K30" s="1429"/>
      <c r="L30" s="1430">
        <f t="shared" si="4"/>
        <v>0</v>
      </c>
      <c r="M30" s="1431" t="str">
        <f t="shared" si="1"/>
        <v/>
      </c>
      <c r="N30" s="252" t="s">
        <v>2259</v>
      </c>
      <c r="O30" s="1429"/>
      <c r="P30" s="1429"/>
      <c r="Q30" s="1430">
        <f t="shared" si="5"/>
        <v>0</v>
      </c>
      <c r="R30" s="1431" t="str">
        <f t="shared" si="8"/>
        <v/>
      </c>
      <c r="T30" s="245"/>
      <c r="U30" s="245"/>
    </row>
    <row r="31" spans="1:21">
      <c r="A31" s="248">
        <f t="shared" si="6"/>
        <v>26</v>
      </c>
      <c r="B31" s="251" t="s">
        <v>2125</v>
      </c>
      <c r="C31" s="1429"/>
      <c r="D31" s="1429"/>
      <c r="E31" s="1430">
        <f t="shared" si="7"/>
        <v>0</v>
      </c>
      <c r="F31" s="1431" t="str">
        <f t="shared" si="0"/>
        <v/>
      </c>
      <c r="G31" s="1429"/>
      <c r="H31" s="1430">
        <f t="shared" si="3"/>
        <v>0</v>
      </c>
      <c r="I31" s="1429"/>
      <c r="J31" s="1432"/>
      <c r="K31" s="1429"/>
      <c r="L31" s="1430">
        <f t="shared" si="4"/>
        <v>0</v>
      </c>
      <c r="M31" s="1431" t="str">
        <f t="shared" si="1"/>
        <v/>
      </c>
      <c r="N31" s="252" t="s">
        <v>2260</v>
      </c>
      <c r="O31" s="1429"/>
      <c r="P31" s="1429"/>
      <c r="Q31" s="1430">
        <f t="shared" si="5"/>
        <v>0</v>
      </c>
      <c r="R31" s="1431" t="str">
        <f t="shared" si="8"/>
        <v/>
      </c>
      <c r="T31" s="245"/>
      <c r="U31" s="245"/>
    </row>
    <row r="32" spans="1:21">
      <c r="A32" s="248">
        <f t="shared" si="6"/>
        <v>27</v>
      </c>
      <c r="B32" s="251" t="s">
        <v>2126</v>
      </c>
      <c r="C32" s="1429"/>
      <c r="D32" s="1429"/>
      <c r="E32" s="1430">
        <f t="shared" si="7"/>
        <v>0</v>
      </c>
      <c r="F32" s="1431" t="str">
        <f t="shared" si="0"/>
        <v/>
      </c>
      <c r="G32" s="1429"/>
      <c r="H32" s="1430">
        <f t="shared" si="3"/>
        <v>0</v>
      </c>
      <c r="I32" s="1429"/>
      <c r="J32" s="1432"/>
      <c r="K32" s="1429"/>
      <c r="L32" s="1430">
        <f t="shared" si="4"/>
        <v>0</v>
      </c>
      <c r="M32" s="1431" t="str">
        <f t="shared" si="1"/>
        <v/>
      </c>
      <c r="N32" s="252" t="s">
        <v>2261</v>
      </c>
      <c r="O32" s="1429"/>
      <c r="P32" s="1429"/>
      <c r="Q32" s="1430">
        <f t="shared" si="5"/>
        <v>0</v>
      </c>
      <c r="R32" s="1431" t="str">
        <f t="shared" si="8"/>
        <v/>
      </c>
      <c r="T32" s="245"/>
      <c r="U32" s="245"/>
    </row>
    <row r="33" spans="1:21">
      <c r="A33" s="248">
        <f t="shared" si="6"/>
        <v>28</v>
      </c>
      <c r="B33" s="251" t="s">
        <v>2127</v>
      </c>
      <c r="C33" s="1430">
        <f>SUM(C34:C42)</f>
        <v>0</v>
      </c>
      <c r="D33" s="1430">
        <f>SUM(D34:D42)</f>
        <v>0</v>
      </c>
      <c r="E33" s="1430">
        <f t="shared" si="7"/>
        <v>0</v>
      </c>
      <c r="F33" s="1431" t="str">
        <f t="shared" si="0"/>
        <v/>
      </c>
      <c r="G33" s="1430">
        <f>SUM(G34:G42)</f>
        <v>0</v>
      </c>
      <c r="H33" s="1430">
        <f t="shared" si="3"/>
        <v>0</v>
      </c>
      <c r="I33" s="1429"/>
      <c r="J33" s="1432"/>
      <c r="K33" s="1429"/>
      <c r="L33" s="1430">
        <f t="shared" si="4"/>
        <v>0</v>
      </c>
      <c r="M33" s="1431" t="str">
        <f t="shared" si="1"/>
        <v/>
      </c>
      <c r="N33" s="250" t="s">
        <v>1148</v>
      </c>
      <c r="O33" s="1429"/>
      <c r="P33" s="1429"/>
      <c r="Q33" s="1430">
        <f t="shared" si="5"/>
        <v>0</v>
      </c>
      <c r="R33" s="1431" t="str">
        <f t="shared" si="8"/>
        <v/>
      </c>
      <c r="T33" s="245"/>
      <c r="U33" s="245"/>
    </row>
    <row r="34" spans="1:21">
      <c r="A34" s="248">
        <f t="shared" si="6"/>
        <v>29</v>
      </c>
      <c r="B34" s="251" t="s">
        <v>2128</v>
      </c>
      <c r="C34" s="1429"/>
      <c r="D34" s="1429"/>
      <c r="E34" s="1430">
        <f t="shared" si="7"/>
        <v>0</v>
      </c>
      <c r="F34" s="1431" t="str">
        <f t="shared" si="0"/>
        <v/>
      </c>
      <c r="G34" s="1429"/>
      <c r="H34" s="1430">
        <f t="shared" si="3"/>
        <v>0</v>
      </c>
      <c r="I34" s="1429"/>
      <c r="J34" s="1432"/>
      <c r="K34" s="1429"/>
      <c r="L34" s="1430">
        <f t="shared" si="4"/>
        <v>0</v>
      </c>
      <c r="M34" s="1431" t="str">
        <f t="shared" si="1"/>
        <v/>
      </c>
      <c r="N34" s="250"/>
      <c r="O34" s="1429"/>
      <c r="P34" s="1429"/>
      <c r="Q34" s="1429"/>
      <c r="R34" s="1432"/>
      <c r="T34" s="245"/>
      <c r="U34" s="245"/>
    </row>
    <row r="35" spans="1:21">
      <c r="A35" s="248">
        <f t="shared" si="6"/>
        <v>30</v>
      </c>
      <c r="B35" s="251" t="s">
        <v>1107</v>
      </c>
      <c r="C35" s="1429"/>
      <c r="D35" s="1429"/>
      <c r="E35" s="1430">
        <f t="shared" si="7"/>
        <v>0</v>
      </c>
      <c r="F35" s="1431" t="str">
        <f t="shared" si="0"/>
        <v/>
      </c>
      <c r="G35" s="1429"/>
      <c r="H35" s="1430">
        <f t="shared" si="3"/>
        <v>0</v>
      </c>
      <c r="I35" s="1429"/>
      <c r="J35" s="1432"/>
      <c r="K35" s="1429"/>
      <c r="L35" s="1430">
        <f t="shared" si="4"/>
        <v>0</v>
      </c>
      <c r="M35" s="1431" t="str">
        <f t="shared" si="1"/>
        <v/>
      </c>
      <c r="N35" s="250" t="s">
        <v>2129</v>
      </c>
      <c r="O35" s="1429"/>
      <c r="P35" s="1429"/>
      <c r="Q35" s="1430">
        <f t="shared" si="5"/>
        <v>0</v>
      </c>
      <c r="R35" s="1431" t="str">
        <f t="shared" ref="R35:R40" si="9">IF(AND(P35=0,OR(O35&gt;0,O35&lt;0)),+Q35/Q35,IFERROR(+Q35/P35,""))</f>
        <v/>
      </c>
      <c r="T35" s="245"/>
      <c r="U35" s="245"/>
    </row>
    <row r="36" spans="1:21">
      <c r="A36" s="248">
        <f t="shared" si="6"/>
        <v>31</v>
      </c>
      <c r="B36" s="251" t="s">
        <v>1108</v>
      </c>
      <c r="C36" s="1429"/>
      <c r="D36" s="1429"/>
      <c r="E36" s="1430">
        <f t="shared" si="7"/>
        <v>0</v>
      </c>
      <c r="F36" s="1431" t="str">
        <f t="shared" si="0"/>
        <v/>
      </c>
      <c r="G36" s="1429"/>
      <c r="H36" s="1430">
        <f t="shared" si="3"/>
        <v>0</v>
      </c>
      <c r="I36" s="1429"/>
      <c r="J36" s="1432"/>
      <c r="K36" s="1429"/>
      <c r="L36" s="1430">
        <f t="shared" si="4"/>
        <v>0</v>
      </c>
      <c r="M36" s="1431" t="str">
        <f t="shared" si="1"/>
        <v/>
      </c>
      <c r="N36" s="250" t="s">
        <v>1149</v>
      </c>
      <c r="O36" s="1429"/>
      <c r="P36" s="1429"/>
      <c r="Q36" s="1430">
        <f t="shared" si="5"/>
        <v>0</v>
      </c>
      <c r="R36" s="1431" t="str">
        <f t="shared" si="9"/>
        <v/>
      </c>
      <c r="T36" s="245"/>
      <c r="U36" s="245"/>
    </row>
    <row r="37" spans="1:21">
      <c r="A37" s="248">
        <f t="shared" si="6"/>
        <v>32</v>
      </c>
      <c r="B37" s="251" t="s">
        <v>1109</v>
      </c>
      <c r="C37" s="1429"/>
      <c r="D37" s="1429"/>
      <c r="E37" s="1430">
        <f t="shared" si="7"/>
        <v>0</v>
      </c>
      <c r="F37" s="1431" t="str">
        <f t="shared" si="0"/>
        <v/>
      </c>
      <c r="G37" s="1429"/>
      <c r="H37" s="1430">
        <f t="shared" si="3"/>
        <v>0</v>
      </c>
      <c r="I37" s="1429"/>
      <c r="J37" s="1432"/>
      <c r="K37" s="1429"/>
      <c r="L37" s="1430">
        <f t="shared" si="4"/>
        <v>0</v>
      </c>
      <c r="M37" s="1431" t="str">
        <f t="shared" si="1"/>
        <v/>
      </c>
      <c r="N37" s="250" t="s">
        <v>2130</v>
      </c>
      <c r="O37" s="1430">
        <f>SUM(O38:O39)</f>
        <v>0</v>
      </c>
      <c r="P37" s="1430">
        <f>SUM(P38:P39)</f>
        <v>0</v>
      </c>
      <c r="Q37" s="1430">
        <f>+O37-P37</f>
        <v>0</v>
      </c>
      <c r="R37" s="1431" t="str">
        <f t="shared" si="9"/>
        <v/>
      </c>
      <c r="T37" s="245"/>
      <c r="U37" s="245"/>
    </row>
    <row r="38" spans="1:21">
      <c r="A38" s="248">
        <f t="shared" si="6"/>
        <v>33</v>
      </c>
      <c r="B38" s="251" t="s">
        <v>2121</v>
      </c>
      <c r="C38" s="1429"/>
      <c r="D38" s="1429"/>
      <c r="E38" s="1430">
        <f t="shared" si="7"/>
        <v>0</v>
      </c>
      <c r="F38" s="1431" t="str">
        <f t="shared" si="0"/>
        <v/>
      </c>
      <c r="G38" s="1429"/>
      <c r="H38" s="1430">
        <f t="shared" si="3"/>
        <v>0</v>
      </c>
      <c r="I38" s="1429"/>
      <c r="J38" s="1432"/>
      <c r="K38" s="1429"/>
      <c r="L38" s="1430">
        <f t="shared" si="4"/>
        <v>0</v>
      </c>
      <c r="M38" s="1431" t="str">
        <f t="shared" si="1"/>
        <v/>
      </c>
      <c r="N38" s="250" t="s">
        <v>1150</v>
      </c>
      <c r="O38" s="1429"/>
      <c r="P38" s="1429"/>
      <c r="Q38" s="1430">
        <f t="shared" si="5"/>
        <v>0</v>
      </c>
      <c r="R38" s="1431" t="str">
        <f t="shared" si="9"/>
        <v/>
      </c>
      <c r="T38" s="245"/>
      <c r="U38" s="245"/>
    </row>
    <row r="39" spans="1:21">
      <c r="A39" s="248">
        <f t="shared" si="6"/>
        <v>34</v>
      </c>
      <c r="B39" s="251" t="s">
        <v>2123</v>
      </c>
      <c r="C39" s="1429"/>
      <c r="D39" s="1429"/>
      <c r="E39" s="1430">
        <f t="shared" si="7"/>
        <v>0</v>
      </c>
      <c r="F39" s="1431" t="str">
        <f t="shared" si="0"/>
        <v/>
      </c>
      <c r="G39" s="1429"/>
      <c r="H39" s="1430">
        <f t="shared" si="3"/>
        <v>0</v>
      </c>
      <c r="I39" s="1429"/>
      <c r="J39" s="1432"/>
      <c r="K39" s="1429"/>
      <c r="L39" s="1430">
        <f t="shared" si="4"/>
        <v>0</v>
      </c>
      <c r="M39" s="1431" t="str">
        <f t="shared" si="1"/>
        <v/>
      </c>
      <c r="N39" s="250" t="s">
        <v>2131</v>
      </c>
      <c r="O39" s="1429"/>
      <c r="P39" s="1429"/>
      <c r="Q39" s="1430">
        <f t="shared" si="5"/>
        <v>0</v>
      </c>
      <c r="R39" s="1431" t="str">
        <f t="shared" si="9"/>
        <v/>
      </c>
      <c r="T39" s="245"/>
      <c r="U39" s="245"/>
    </row>
    <row r="40" spans="1:21">
      <c r="A40" s="248">
        <f t="shared" si="6"/>
        <v>35</v>
      </c>
      <c r="B40" s="251" t="s">
        <v>2124</v>
      </c>
      <c r="C40" s="1429"/>
      <c r="D40" s="1429"/>
      <c r="E40" s="1430">
        <f t="shared" si="7"/>
        <v>0</v>
      </c>
      <c r="F40" s="1431" t="str">
        <f t="shared" si="0"/>
        <v/>
      </c>
      <c r="G40" s="1429"/>
      <c r="H40" s="1430">
        <f t="shared" si="3"/>
        <v>0</v>
      </c>
      <c r="I40" s="1429"/>
      <c r="J40" s="1432"/>
      <c r="K40" s="1429"/>
      <c r="L40" s="1430">
        <f t="shared" si="4"/>
        <v>0</v>
      </c>
      <c r="M40" s="1431" t="str">
        <f t="shared" si="1"/>
        <v/>
      </c>
      <c r="N40" s="250" t="s">
        <v>2289</v>
      </c>
      <c r="O40" s="1429"/>
      <c r="P40" s="1429"/>
      <c r="Q40" s="1430">
        <f>+O40-P40</f>
        <v>0</v>
      </c>
      <c r="R40" s="1431" t="str">
        <f t="shared" si="9"/>
        <v/>
      </c>
      <c r="T40" s="245"/>
      <c r="U40" s="245"/>
    </row>
    <row r="41" spans="1:21">
      <c r="A41" s="248">
        <f t="shared" si="6"/>
        <v>36</v>
      </c>
      <c r="B41" s="251" t="s">
        <v>2132</v>
      </c>
      <c r="C41" s="1429"/>
      <c r="D41" s="1429"/>
      <c r="E41" s="1430">
        <f t="shared" si="7"/>
        <v>0</v>
      </c>
      <c r="F41" s="1431" t="str">
        <f t="shared" si="0"/>
        <v/>
      </c>
      <c r="G41" s="1429"/>
      <c r="H41" s="1430">
        <f t="shared" si="3"/>
        <v>0</v>
      </c>
      <c r="I41" s="1429"/>
      <c r="J41" s="1432"/>
      <c r="K41" s="1429"/>
      <c r="L41" s="1430">
        <f t="shared" si="4"/>
        <v>0</v>
      </c>
      <c r="M41" s="1431" t="str">
        <f t="shared" si="1"/>
        <v/>
      </c>
      <c r="N41" s="249"/>
      <c r="O41" s="1429"/>
      <c r="P41" s="1429"/>
      <c r="Q41" s="1429"/>
      <c r="R41" s="1432"/>
      <c r="T41" s="245"/>
      <c r="U41" s="245"/>
    </row>
    <row r="42" spans="1:21">
      <c r="A42" s="248">
        <f t="shared" si="6"/>
        <v>37</v>
      </c>
      <c r="B42" s="251" t="s">
        <v>2126</v>
      </c>
      <c r="C42" s="1429"/>
      <c r="D42" s="1429"/>
      <c r="E42" s="1430">
        <f t="shared" si="7"/>
        <v>0</v>
      </c>
      <c r="F42" s="1431" t="str">
        <f t="shared" si="0"/>
        <v/>
      </c>
      <c r="G42" s="1429"/>
      <c r="H42" s="1430">
        <f t="shared" si="3"/>
        <v>0</v>
      </c>
      <c r="I42" s="1429"/>
      <c r="J42" s="1432"/>
      <c r="K42" s="1429"/>
      <c r="L42" s="1430">
        <f t="shared" si="4"/>
        <v>0</v>
      </c>
      <c r="M42" s="1431" t="str">
        <f t="shared" si="1"/>
        <v/>
      </c>
      <c r="N42" s="249" t="s">
        <v>1151</v>
      </c>
      <c r="O42" s="1430">
        <f>SUM(O45:O47)</f>
        <v>0</v>
      </c>
      <c r="P42" s="1430">
        <f>SUM(P45:P47)</f>
        <v>0</v>
      </c>
      <c r="Q42" s="1430">
        <f>+O42-P42</f>
        <v>0</v>
      </c>
      <c r="R42" s="1431" t="str">
        <f t="shared" ref="R42:R47" si="10">IF(AND(P42=0,OR(O42&gt;0,O42&lt;0)),+Q42/Q42,IFERROR(+Q42/P42,""))</f>
        <v/>
      </c>
      <c r="T42" s="245"/>
      <c r="U42" s="245"/>
    </row>
    <row r="43" spans="1:21">
      <c r="A43" s="248">
        <f t="shared" si="6"/>
        <v>38</v>
      </c>
      <c r="B43" s="251" t="s">
        <v>2133</v>
      </c>
      <c r="C43" s="1430">
        <f>SUM(C44:C52)</f>
        <v>0</v>
      </c>
      <c r="D43" s="1430">
        <f>SUM(D44:D52)</f>
        <v>0</v>
      </c>
      <c r="E43" s="1430">
        <f t="shared" si="7"/>
        <v>0</v>
      </c>
      <c r="F43" s="1431" t="str">
        <f t="shared" si="0"/>
        <v/>
      </c>
      <c r="G43" s="1430">
        <f>SUM(G44:G52)</f>
        <v>0</v>
      </c>
      <c r="H43" s="1430">
        <f t="shared" si="3"/>
        <v>0</v>
      </c>
      <c r="I43" s="1429"/>
      <c r="J43" s="1432"/>
      <c r="K43" s="1429"/>
      <c r="L43" s="1430">
        <f t="shared" si="4"/>
        <v>0</v>
      </c>
      <c r="M43" s="1431" t="str">
        <f t="shared" si="1"/>
        <v/>
      </c>
      <c r="N43" s="250" t="s">
        <v>2134</v>
      </c>
      <c r="O43" s="1429"/>
      <c r="P43" s="1429"/>
      <c r="Q43" s="1430">
        <f t="shared" si="5"/>
        <v>0</v>
      </c>
      <c r="R43" s="1431" t="str">
        <f t="shared" si="10"/>
        <v/>
      </c>
      <c r="T43" s="245"/>
      <c r="U43" s="245"/>
    </row>
    <row r="44" spans="1:21">
      <c r="A44" s="248">
        <f t="shared" si="6"/>
        <v>39</v>
      </c>
      <c r="B44" s="251" t="s">
        <v>1106</v>
      </c>
      <c r="C44" s="1429"/>
      <c r="D44" s="1429"/>
      <c r="E44" s="1430">
        <f t="shared" si="7"/>
        <v>0</v>
      </c>
      <c r="F44" s="1431" t="str">
        <f t="shared" si="0"/>
        <v/>
      </c>
      <c r="G44" s="1429"/>
      <c r="H44" s="1430">
        <f t="shared" si="3"/>
        <v>0</v>
      </c>
      <c r="I44" s="1429"/>
      <c r="J44" s="1432"/>
      <c r="K44" s="1429"/>
      <c r="L44" s="1430">
        <f t="shared" si="4"/>
        <v>0</v>
      </c>
      <c r="M44" s="1431" t="str">
        <f t="shared" si="1"/>
        <v/>
      </c>
      <c r="N44" s="250" t="s">
        <v>1152</v>
      </c>
      <c r="O44" s="1430">
        <f>SUM(O45:O46)</f>
        <v>0</v>
      </c>
      <c r="P44" s="1430">
        <f>SUM(P45:P46)</f>
        <v>0</v>
      </c>
      <c r="Q44" s="1430">
        <f t="shared" si="5"/>
        <v>0</v>
      </c>
      <c r="R44" s="1431" t="str">
        <f t="shared" si="10"/>
        <v/>
      </c>
      <c r="T44" s="245"/>
      <c r="U44" s="245"/>
    </row>
    <row r="45" spans="1:21">
      <c r="A45" s="248">
        <f t="shared" si="6"/>
        <v>40</v>
      </c>
      <c r="B45" s="251" t="s">
        <v>1107</v>
      </c>
      <c r="C45" s="1429"/>
      <c r="D45" s="1429"/>
      <c r="E45" s="1430">
        <f t="shared" si="7"/>
        <v>0</v>
      </c>
      <c r="F45" s="1431" t="str">
        <f t="shared" si="0"/>
        <v/>
      </c>
      <c r="G45" s="1429"/>
      <c r="H45" s="1430">
        <f t="shared" si="3"/>
        <v>0</v>
      </c>
      <c r="I45" s="1429"/>
      <c r="J45" s="1432"/>
      <c r="K45" s="1429"/>
      <c r="L45" s="1430">
        <f t="shared" si="4"/>
        <v>0</v>
      </c>
      <c r="M45" s="1431" t="str">
        <f t="shared" si="1"/>
        <v/>
      </c>
      <c r="N45" s="250" t="s">
        <v>1153</v>
      </c>
      <c r="O45" s="1429"/>
      <c r="P45" s="1429"/>
      <c r="Q45" s="1430">
        <f t="shared" si="5"/>
        <v>0</v>
      </c>
      <c r="R45" s="1431" t="str">
        <f t="shared" si="10"/>
        <v/>
      </c>
      <c r="T45" s="245"/>
      <c r="U45" s="245"/>
    </row>
    <row r="46" spans="1:21">
      <c r="A46" s="248">
        <f t="shared" si="6"/>
        <v>41</v>
      </c>
      <c r="B46" s="251" t="s">
        <v>2135</v>
      </c>
      <c r="C46" s="1429"/>
      <c r="D46" s="1429"/>
      <c r="E46" s="1430">
        <f t="shared" si="7"/>
        <v>0</v>
      </c>
      <c r="F46" s="1431" t="str">
        <f t="shared" si="0"/>
        <v/>
      </c>
      <c r="G46" s="1429"/>
      <c r="H46" s="1430">
        <f t="shared" si="3"/>
        <v>0</v>
      </c>
      <c r="I46" s="1429"/>
      <c r="J46" s="1432"/>
      <c r="K46" s="1429"/>
      <c r="L46" s="1430">
        <f t="shared" si="4"/>
        <v>0</v>
      </c>
      <c r="M46" s="1431" t="str">
        <f t="shared" si="1"/>
        <v/>
      </c>
      <c r="N46" s="250" t="s">
        <v>2136</v>
      </c>
      <c r="O46" s="1429"/>
      <c r="P46" s="1429"/>
      <c r="Q46" s="1430">
        <f t="shared" si="5"/>
        <v>0</v>
      </c>
      <c r="R46" s="1431" t="str">
        <f t="shared" si="10"/>
        <v/>
      </c>
      <c r="T46" s="245"/>
      <c r="U46" s="245"/>
    </row>
    <row r="47" spans="1:21">
      <c r="A47" s="248">
        <f t="shared" si="6"/>
        <v>42</v>
      </c>
      <c r="B47" s="251" t="s">
        <v>2137</v>
      </c>
      <c r="C47" s="1429"/>
      <c r="D47" s="1429"/>
      <c r="E47" s="1430">
        <f t="shared" si="7"/>
        <v>0</v>
      </c>
      <c r="F47" s="1431" t="str">
        <f t="shared" si="0"/>
        <v/>
      </c>
      <c r="G47" s="1429"/>
      <c r="H47" s="1430">
        <f t="shared" si="3"/>
        <v>0</v>
      </c>
      <c r="I47" s="1429"/>
      <c r="J47" s="1432"/>
      <c r="K47" s="1429"/>
      <c r="L47" s="1430">
        <f t="shared" si="4"/>
        <v>0</v>
      </c>
      <c r="M47" s="1431" t="str">
        <f t="shared" si="1"/>
        <v/>
      </c>
      <c r="N47" s="250" t="s">
        <v>1154</v>
      </c>
      <c r="O47" s="1429"/>
      <c r="P47" s="1429"/>
      <c r="Q47" s="1430">
        <f t="shared" si="5"/>
        <v>0</v>
      </c>
      <c r="R47" s="1431" t="str">
        <f t="shared" si="10"/>
        <v/>
      </c>
      <c r="T47" s="245"/>
      <c r="U47" s="245"/>
    </row>
    <row r="48" spans="1:21">
      <c r="A48" s="248">
        <f t="shared" si="6"/>
        <v>43</v>
      </c>
      <c r="B48" s="251" t="s">
        <v>2121</v>
      </c>
      <c r="C48" s="1429"/>
      <c r="D48" s="1429"/>
      <c r="E48" s="1430"/>
      <c r="F48" s="1431"/>
      <c r="G48" s="1429"/>
      <c r="H48" s="1430"/>
      <c r="I48" s="1429"/>
      <c r="J48" s="1432"/>
      <c r="K48" s="1429"/>
      <c r="L48" s="1430"/>
      <c r="M48" s="1431"/>
      <c r="N48" s="250"/>
      <c r="O48" s="1429"/>
      <c r="P48" s="1429"/>
      <c r="Q48" s="1429"/>
      <c r="R48" s="1432"/>
      <c r="T48" s="245"/>
      <c r="U48" s="245"/>
    </row>
    <row r="49" spans="1:21">
      <c r="A49" s="248">
        <f t="shared" si="6"/>
        <v>44</v>
      </c>
      <c r="B49" s="251" t="s">
        <v>2123</v>
      </c>
      <c r="C49" s="1429"/>
      <c r="D49" s="1429"/>
      <c r="E49" s="1430">
        <f t="shared" si="7"/>
        <v>0</v>
      </c>
      <c r="F49" s="1431" t="str">
        <f t="shared" ref="F49:F80" si="11">IF(C49=0,"",IFERROR(+E49/$E$104,""))</f>
        <v/>
      </c>
      <c r="G49" s="1429"/>
      <c r="H49" s="1430">
        <f t="shared" si="3"/>
        <v>0</v>
      </c>
      <c r="I49" s="1429"/>
      <c r="J49" s="1432"/>
      <c r="K49" s="1429"/>
      <c r="L49" s="1430">
        <f t="shared" si="4"/>
        <v>0</v>
      </c>
      <c r="M49" s="1431" t="str">
        <f t="shared" ref="M49:M100" si="12">IF(AND(I49=0,OR(E49&gt;0,E49&lt;0)),+L49/L49,IFERROR(+L49/I49,""))</f>
        <v/>
      </c>
      <c r="N49" s="250" t="s">
        <v>1155</v>
      </c>
      <c r="O49" s="1430">
        <f>SUM(O50:O57)</f>
        <v>0</v>
      </c>
      <c r="P49" s="1430">
        <f>SUM(P50:P57)</f>
        <v>0</v>
      </c>
      <c r="Q49" s="1430">
        <f t="shared" si="5"/>
        <v>0</v>
      </c>
      <c r="R49" s="1431" t="str">
        <f t="shared" ref="R49:R55" si="13">IF(AND(P49=0,OR(O49&gt;0,O49&lt;0)),+Q49/Q49,IFERROR(+Q49/P49,""))</f>
        <v/>
      </c>
      <c r="T49" s="245"/>
      <c r="U49" s="245"/>
    </row>
    <row r="50" spans="1:21">
      <c r="A50" s="248">
        <f t="shared" si="6"/>
        <v>45</v>
      </c>
      <c r="B50" s="251" t="s">
        <v>1111</v>
      </c>
      <c r="C50" s="1429"/>
      <c r="D50" s="1429"/>
      <c r="E50" s="1430">
        <f t="shared" si="7"/>
        <v>0</v>
      </c>
      <c r="F50" s="1431" t="str">
        <f t="shared" si="11"/>
        <v/>
      </c>
      <c r="G50" s="1429"/>
      <c r="H50" s="1430">
        <f t="shared" si="3"/>
        <v>0</v>
      </c>
      <c r="I50" s="1429"/>
      <c r="J50" s="1432"/>
      <c r="K50" s="1429"/>
      <c r="L50" s="1430">
        <f t="shared" si="4"/>
        <v>0</v>
      </c>
      <c r="M50" s="1431" t="str">
        <f t="shared" si="12"/>
        <v/>
      </c>
      <c r="N50" s="250" t="s">
        <v>1156</v>
      </c>
      <c r="O50" s="1429"/>
      <c r="P50" s="1429"/>
      <c r="Q50" s="1430">
        <f t="shared" si="5"/>
        <v>0</v>
      </c>
      <c r="R50" s="1431" t="str">
        <f t="shared" si="13"/>
        <v/>
      </c>
      <c r="T50" s="245"/>
      <c r="U50" s="245"/>
    </row>
    <row r="51" spans="1:21">
      <c r="A51" s="248">
        <f t="shared" si="6"/>
        <v>46</v>
      </c>
      <c r="B51" s="251" t="s">
        <v>2132</v>
      </c>
      <c r="C51" s="1429"/>
      <c r="D51" s="1429"/>
      <c r="E51" s="1430">
        <f t="shared" si="7"/>
        <v>0</v>
      </c>
      <c r="F51" s="1431" t="str">
        <f t="shared" si="11"/>
        <v/>
      </c>
      <c r="G51" s="1429"/>
      <c r="H51" s="1430">
        <f t="shared" si="3"/>
        <v>0</v>
      </c>
      <c r="I51" s="1429"/>
      <c r="J51" s="1432"/>
      <c r="K51" s="1429"/>
      <c r="L51" s="1430">
        <f t="shared" si="4"/>
        <v>0</v>
      </c>
      <c r="M51" s="1431" t="str">
        <f t="shared" si="12"/>
        <v/>
      </c>
      <c r="N51" s="252" t="s">
        <v>2262</v>
      </c>
      <c r="O51" s="1429"/>
      <c r="P51" s="1429"/>
      <c r="Q51" s="1430">
        <f t="shared" si="5"/>
        <v>0</v>
      </c>
      <c r="R51" s="1431" t="str">
        <f t="shared" si="13"/>
        <v/>
      </c>
      <c r="T51" s="245"/>
      <c r="U51" s="245"/>
    </row>
    <row r="52" spans="1:21">
      <c r="A52" s="248">
        <f t="shared" si="6"/>
        <v>47</v>
      </c>
      <c r="B52" s="251" t="s">
        <v>2126</v>
      </c>
      <c r="C52" s="1429"/>
      <c r="D52" s="1429"/>
      <c r="E52" s="1430">
        <f t="shared" si="7"/>
        <v>0</v>
      </c>
      <c r="F52" s="1431" t="str">
        <f t="shared" si="11"/>
        <v/>
      </c>
      <c r="G52" s="1429"/>
      <c r="H52" s="1430">
        <f t="shared" si="3"/>
        <v>0</v>
      </c>
      <c r="I52" s="1429"/>
      <c r="J52" s="1432"/>
      <c r="K52" s="1429"/>
      <c r="L52" s="1430">
        <f t="shared" si="4"/>
        <v>0</v>
      </c>
      <c r="M52" s="1431" t="str">
        <f t="shared" si="12"/>
        <v/>
      </c>
      <c r="N52" s="249" t="s">
        <v>2138</v>
      </c>
      <c r="O52" s="1429"/>
      <c r="P52" s="1429"/>
      <c r="Q52" s="1430">
        <f t="shared" si="5"/>
        <v>0</v>
      </c>
      <c r="R52" s="1431" t="str">
        <f t="shared" si="13"/>
        <v/>
      </c>
      <c r="T52" s="245"/>
      <c r="U52" s="245"/>
    </row>
    <row r="53" spans="1:21">
      <c r="A53" s="248">
        <f t="shared" si="6"/>
        <v>48</v>
      </c>
      <c r="B53" s="249" t="s">
        <v>2139</v>
      </c>
      <c r="C53" s="1429"/>
      <c r="D53" s="1429"/>
      <c r="E53" s="1430">
        <f t="shared" si="7"/>
        <v>0</v>
      </c>
      <c r="F53" s="1431" t="str">
        <f t="shared" si="11"/>
        <v/>
      </c>
      <c r="G53" s="1429"/>
      <c r="H53" s="1430">
        <f t="shared" si="3"/>
        <v>0</v>
      </c>
      <c r="I53" s="1429"/>
      <c r="J53" s="1432"/>
      <c r="K53" s="1429"/>
      <c r="L53" s="1430">
        <f t="shared" si="4"/>
        <v>0</v>
      </c>
      <c r="M53" s="1431" t="str">
        <f t="shared" si="12"/>
        <v/>
      </c>
      <c r="N53" s="250" t="s">
        <v>1157</v>
      </c>
      <c r="O53" s="1429"/>
      <c r="P53" s="1429"/>
      <c r="Q53" s="1430">
        <f t="shared" si="5"/>
        <v>0</v>
      </c>
      <c r="R53" s="1431" t="str">
        <f t="shared" si="13"/>
        <v/>
      </c>
      <c r="T53" s="245"/>
      <c r="U53" s="245"/>
    </row>
    <row r="54" spans="1:21">
      <c r="A54" s="248">
        <f t="shared" si="6"/>
        <v>49</v>
      </c>
      <c r="B54" s="249" t="s">
        <v>2140</v>
      </c>
      <c r="C54" s="1429"/>
      <c r="D54" s="1429"/>
      <c r="E54" s="1430">
        <f t="shared" si="7"/>
        <v>0</v>
      </c>
      <c r="F54" s="1431" t="str">
        <f t="shared" si="11"/>
        <v/>
      </c>
      <c r="G54" s="1429"/>
      <c r="H54" s="1430">
        <f t="shared" si="3"/>
        <v>0</v>
      </c>
      <c r="I54" s="1429"/>
      <c r="J54" s="1432"/>
      <c r="K54" s="1429"/>
      <c r="L54" s="1430">
        <f t="shared" si="4"/>
        <v>0</v>
      </c>
      <c r="M54" s="1431" t="str">
        <f t="shared" si="12"/>
        <v/>
      </c>
      <c r="N54" s="250" t="s">
        <v>2141</v>
      </c>
      <c r="O54" s="1429"/>
      <c r="P54" s="1429"/>
      <c r="Q54" s="1430">
        <f t="shared" si="5"/>
        <v>0</v>
      </c>
      <c r="R54" s="1431" t="str">
        <f t="shared" si="13"/>
        <v/>
      </c>
      <c r="T54" s="245"/>
      <c r="U54" s="245"/>
    </row>
    <row r="55" spans="1:21">
      <c r="A55" s="248">
        <f t="shared" si="6"/>
        <v>50</v>
      </c>
      <c r="B55" s="249" t="s">
        <v>1112</v>
      </c>
      <c r="C55" s="1429"/>
      <c r="D55" s="1429"/>
      <c r="E55" s="1430">
        <f t="shared" si="7"/>
        <v>0</v>
      </c>
      <c r="F55" s="1431" t="str">
        <f t="shared" si="11"/>
        <v/>
      </c>
      <c r="G55" s="1429"/>
      <c r="H55" s="1430">
        <f t="shared" si="3"/>
        <v>0</v>
      </c>
      <c r="I55" s="1429"/>
      <c r="J55" s="1432"/>
      <c r="K55" s="1429"/>
      <c r="L55" s="1430">
        <f t="shared" si="4"/>
        <v>0</v>
      </c>
      <c r="M55" s="1431" t="str">
        <f t="shared" si="12"/>
        <v/>
      </c>
      <c r="N55" s="250" t="s">
        <v>1158</v>
      </c>
      <c r="O55" s="1429"/>
      <c r="P55" s="1429"/>
      <c r="Q55" s="1430">
        <f t="shared" si="5"/>
        <v>0</v>
      </c>
      <c r="R55" s="1431" t="str">
        <f t="shared" si="13"/>
        <v/>
      </c>
      <c r="T55" s="245"/>
      <c r="U55" s="245"/>
    </row>
    <row r="56" spans="1:21">
      <c r="A56" s="248">
        <f t="shared" si="6"/>
        <v>51</v>
      </c>
      <c r="B56" s="249" t="s">
        <v>2287</v>
      </c>
      <c r="C56" s="1429"/>
      <c r="D56" s="1429"/>
      <c r="E56" s="1430">
        <f>SUM(C56:D56)</f>
        <v>0</v>
      </c>
      <c r="F56" s="1431" t="str">
        <f t="shared" si="11"/>
        <v/>
      </c>
      <c r="G56" s="1429"/>
      <c r="H56" s="1430">
        <f>+E56-G56</f>
        <v>0</v>
      </c>
      <c r="I56" s="1429"/>
      <c r="J56" s="1432"/>
      <c r="K56" s="1429"/>
      <c r="L56" s="1430">
        <f>+E56-I56</f>
        <v>0</v>
      </c>
      <c r="M56" s="1431" t="str">
        <f>IF(AND(I56=0,OR(E56&gt;0,E56&lt;0)),+L56/L56,IFERROR(+L56/I56,""))</f>
        <v/>
      </c>
      <c r="N56" s="250" t="s">
        <v>1159</v>
      </c>
      <c r="O56" s="1429"/>
      <c r="P56" s="1429"/>
      <c r="Q56" s="1430">
        <f>+O56-P56</f>
        <v>0</v>
      </c>
      <c r="R56" s="1431" t="str">
        <f>IF(AND(P56=0,OR(O56&gt;0,O56&lt;0)),+Q56/Q56,IFERROR(+Q56/P56,""))</f>
        <v/>
      </c>
      <c r="T56" s="245"/>
      <c r="U56" s="245"/>
    </row>
    <row r="57" spans="1:21">
      <c r="A57" s="248">
        <f>A56+1</f>
        <v>52</v>
      </c>
      <c r="B57" s="249" t="s">
        <v>1113</v>
      </c>
      <c r="C57" s="1429"/>
      <c r="D57" s="1429"/>
      <c r="E57" s="1430">
        <f t="shared" si="7"/>
        <v>0</v>
      </c>
      <c r="F57" s="1431" t="str">
        <f t="shared" si="11"/>
        <v/>
      </c>
      <c r="G57" s="1429"/>
      <c r="H57" s="1430">
        <f t="shared" si="3"/>
        <v>0</v>
      </c>
      <c r="I57" s="1429"/>
      <c r="J57" s="1432"/>
      <c r="K57" s="1429"/>
      <c r="L57" s="1430">
        <f t="shared" si="4"/>
        <v>0</v>
      </c>
      <c r="M57" s="1431" t="str">
        <f t="shared" si="12"/>
        <v/>
      </c>
      <c r="N57" s="249" t="s">
        <v>2142</v>
      </c>
      <c r="O57" s="1429"/>
      <c r="P57" s="1429"/>
      <c r="Q57" s="1430">
        <f>+O57-P57</f>
        <v>0</v>
      </c>
      <c r="R57" s="1431" t="str">
        <f>IF(AND(P57=0,OR(O57&gt;0,O57&lt;0)),+Q57/Q57,IFERROR(+Q57/P57,""))</f>
        <v/>
      </c>
      <c r="T57" s="245"/>
      <c r="U57" s="245"/>
    </row>
    <row r="58" spans="1:21">
      <c r="A58" s="248">
        <f>A57+1</f>
        <v>53</v>
      </c>
      <c r="B58" s="249" t="s">
        <v>1114</v>
      </c>
      <c r="C58" s="1430">
        <f>SUM(C59:C62)</f>
        <v>0</v>
      </c>
      <c r="D58" s="1430">
        <f>SUM(D59:D62)</f>
        <v>0</v>
      </c>
      <c r="E58" s="1430">
        <f t="shared" si="7"/>
        <v>0</v>
      </c>
      <c r="F58" s="1431" t="str">
        <f t="shared" si="11"/>
        <v/>
      </c>
      <c r="G58" s="1430">
        <f>SUM(G59:G62)</f>
        <v>0</v>
      </c>
      <c r="H58" s="1430">
        <f t="shared" si="3"/>
        <v>0</v>
      </c>
      <c r="I58" s="1429"/>
      <c r="J58" s="1432"/>
      <c r="K58" s="1429"/>
      <c r="L58" s="1430">
        <f t="shared" si="4"/>
        <v>0</v>
      </c>
      <c r="M58" s="1431" t="str">
        <f t="shared" si="12"/>
        <v/>
      </c>
      <c r="N58" s="249"/>
      <c r="O58" s="1429"/>
      <c r="P58" s="1429"/>
      <c r="Q58" s="1429"/>
      <c r="R58" s="1432"/>
      <c r="T58" s="245"/>
      <c r="U58" s="245"/>
    </row>
    <row r="59" spans="1:21">
      <c r="A59" s="248">
        <f t="shared" si="6"/>
        <v>54</v>
      </c>
      <c r="B59" s="249" t="s">
        <v>1115</v>
      </c>
      <c r="C59" s="1429"/>
      <c r="D59" s="1429"/>
      <c r="E59" s="1430">
        <f t="shared" si="7"/>
        <v>0</v>
      </c>
      <c r="F59" s="1431" t="str">
        <f t="shared" si="11"/>
        <v/>
      </c>
      <c r="G59" s="1429"/>
      <c r="H59" s="1430">
        <f t="shared" si="3"/>
        <v>0</v>
      </c>
      <c r="I59" s="1429"/>
      <c r="J59" s="1432"/>
      <c r="K59" s="1429"/>
      <c r="L59" s="1430">
        <f t="shared" si="4"/>
        <v>0</v>
      </c>
      <c r="M59" s="1431" t="str">
        <f t="shared" si="12"/>
        <v/>
      </c>
      <c r="N59" s="249" t="s">
        <v>1160</v>
      </c>
      <c r="O59" s="1430">
        <f>SUM(O60:O61)</f>
        <v>0</v>
      </c>
      <c r="P59" s="1430">
        <f>SUM(P60:P61)</f>
        <v>0</v>
      </c>
      <c r="Q59" s="1430">
        <f>+O59-P59</f>
        <v>0</v>
      </c>
      <c r="R59" s="1431" t="str">
        <f>IF(AND(P59=0,OR(O59&gt;0,O59&lt;0)),+Q59/Q59,IFERROR(+Q59/P59,""))</f>
        <v/>
      </c>
      <c r="T59" s="245"/>
      <c r="U59" s="245"/>
    </row>
    <row r="60" spans="1:21">
      <c r="A60" s="248">
        <f t="shared" si="6"/>
        <v>55</v>
      </c>
      <c r="B60" s="249" t="s">
        <v>2143</v>
      </c>
      <c r="C60" s="1429"/>
      <c r="D60" s="1429"/>
      <c r="E60" s="1430">
        <f t="shared" si="7"/>
        <v>0</v>
      </c>
      <c r="F60" s="1431" t="str">
        <f t="shared" si="11"/>
        <v/>
      </c>
      <c r="G60" s="1429"/>
      <c r="H60" s="1430">
        <f t="shared" si="3"/>
        <v>0</v>
      </c>
      <c r="I60" s="1429"/>
      <c r="J60" s="1432"/>
      <c r="K60" s="1429"/>
      <c r="L60" s="1430">
        <f t="shared" si="4"/>
        <v>0</v>
      </c>
      <c r="M60" s="1431" t="str">
        <f t="shared" si="12"/>
        <v/>
      </c>
      <c r="N60" s="249" t="s">
        <v>2145</v>
      </c>
      <c r="O60" s="1429"/>
      <c r="P60" s="1429"/>
      <c r="Q60" s="1430">
        <f>+O60-P60</f>
        <v>0</v>
      </c>
      <c r="R60" s="1431" t="str">
        <f>IF(AND(P60=0,OR(O60&gt;0,O60&lt;0)),+Q60/Q60,IFERROR(+Q60/P60,""))</f>
        <v/>
      </c>
      <c r="T60" s="245"/>
      <c r="U60" s="245"/>
    </row>
    <row r="61" spans="1:21">
      <c r="A61" s="248">
        <f t="shared" si="6"/>
        <v>56</v>
      </c>
      <c r="B61" s="249" t="s">
        <v>2144</v>
      </c>
      <c r="C61" s="1429"/>
      <c r="D61" s="1429"/>
      <c r="E61" s="1430">
        <f t="shared" si="7"/>
        <v>0</v>
      </c>
      <c r="F61" s="1431" t="str">
        <f t="shared" si="11"/>
        <v/>
      </c>
      <c r="G61" s="1429"/>
      <c r="H61" s="1430">
        <f t="shared" si="3"/>
        <v>0</v>
      </c>
      <c r="I61" s="1429"/>
      <c r="J61" s="1432"/>
      <c r="K61" s="1429"/>
      <c r="L61" s="1430">
        <f t="shared" si="4"/>
        <v>0</v>
      </c>
      <c r="M61" s="1431" t="str">
        <f t="shared" si="12"/>
        <v/>
      </c>
      <c r="N61" s="249" t="s">
        <v>2147</v>
      </c>
      <c r="O61" s="1429"/>
      <c r="P61" s="1429"/>
      <c r="Q61" s="1430">
        <f>+O61-P61</f>
        <v>0</v>
      </c>
      <c r="R61" s="1431" t="str">
        <f>IF(AND(P61=0,OR(O61&gt;0,O61&lt;0)),+Q61/Q61,IFERROR(+Q61/P61,""))</f>
        <v/>
      </c>
      <c r="T61" s="245"/>
      <c r="U61" s="245"/>
    </row>
    <row r="62" spans="1:21">
      <c r="A62" s="248">
        <f t="shared" si="6"/>
        <v>57</v>
      </c>
      <c r="B62" s="249" t="s">
        <v>2146</v>
      </c>
      <c r="C62" s="1429"/>
      <c r="D62" s="1429"/>
      <c r="E62" s="1430">
        <f t="shared" si="7"/>
        <v>0</v>
      </c>
      <c r="F62" s="1431" t="str">
        <f t="shared" si="11"/>
        <v/>
      </c>
      <c r="G62" s="1429"/>
      <c r="H62" s="1430">
        <f t="shared" si="3"/>
        <v>0</v>
      </c>
      <c r="I62" s="1429"/>
      <c r="J62" s="1432"/>
      <c r="K62" s="1429"/>
      <c r="L62" s="1430">
        <f t="shared" si="4"/>
        <v>0</v>
      </c>
      <c r="M62" s="1431" t="str">
        <f t="shared" si="12"/>
        <v/>
      </c>
      <c r="N62" s="249"/>
      <c r="O62" s="1429"/>
      <c r="P62" s="1429"/>
      <c r="Q62" s="1429"/>
      <c r="R62" s="1432"/>
      <c r="T62" s="245"/>
      <c r="U62" s="245"/>
    </row>
    <row r="63" spans="1:21">
      <c r="A63" s="248">
        <f t="shared" si="6"/>
        <v>58</v>
      </c>
      <c r="B63" s="249" t="s">
        <v>2148</v>
      </c>
      <c r="C63" s="1430">
        <f>SUM(C64:C72)</f>
        <v>0</v>
      </c>
      <c r="D63" s="1430">
        <f>SUM(D64:D72)</f>
        <v>0</v>
      </c>
      <c r="E63" s="1430">
        <f t="shared" si="7"/>
        <v>0</v>
      </c>
      <c r="F63" s="1431" t="str">
        <f t="shared" si="11"/>
        <v/>
      </c>
      <c r="G63" s="1430">
        <f>SUM(G64:G72)</f>
        <v>0</v>
      </c>
      <c r="H63" s="1430">
        <f t="shared" si="3"/>
        <v>0</v>
      </c>
      <c r="I63" s="1429"/>
      <c r="J63" s="1432"/>
      <c r="K63" s="1429"/>
      <c r="L63" s="1430">
        <f t="shared" si="4"/>
        <v>0</v>
      </c>
      <c r="M63" s="1431" t="str">
        <f t="shared" si="12"/>
        <v/>
      </c>
      <c r="N63" s="250" t="s">
        <v>1161</v>
      </c>
      <c r="O63" s="1430">
        <f>+O59+O49+O42+O40+O37+O36+O35+O24+O22+O21+O20+O19+O18+O16+O15+O7+O6</f>
        <v>0</v>
      </c>
      <c r="P63" s="1430">
        <f>+P59+P49+P42+P40+P37+P36+P35+P24+P22+P21+P20+P19+P18+P16+P15+P7+P6</f>
        <v>0</v>
      </c>
      <c r="Q63" s="1430">
        <f>+O63-P63</f>
        <v>0</v>
      </c>
      <c r="R63" s="1431" t="str">
        <f>IF(AND(P63=0,OR(O63&gt;0,O63&lt;0)),+Q63/Q63,IFERROR(+Q63/P63,""))</f>
        <v/>
      </c>
      <c r="T63" s="245"/>
      <c r="U63" s="245"/>
    </row>
    <row r="64" spans="1:21">
      <c r="A64" s="248">
        <f t="shared" si="6"/>
        <v>59</v>
      </c>
      <c r="B64" s="249" t="s">
        <v>1116</v>
      </c>
      <c r="C64" s="1429"/>
      <c r="D64" s="1429"/>
      <c r="E64" s="1430">
        <f t="shared" si="7"/>
        <v>0</v>
      </c>
      <c r="F64" s="1431" t="str">
        <f t="shared" si="11"/>
        <v/>
      </c>
      <c r="G64" s="1429"/>
      <c r="H64" s="1430">
        <f t="shared" si="3"/>
        <v>0</v>
      </c>
      <c r="I64" s="1429"/>
      <c r="J64" s="1432"/>
      <c r="K64" s="1429"/>
      <c r="L64" s="1430">
        <f t="shared" si="4"/>
        <v>0</v>
      </c>
      <c r="M64" s="1431" t="str">
        <f t="shared" si="12"/>
        <v/>
      </c>
      <c r="N64" s="250" t="s">
        <v>1162</v>
      </c>
      <c r="O64" s="1430">
        <f>+O63-O42+O43-O24+O25</f>
        <v>0</v>
      </c>
      <c r="P64" s="1430">
        <f>+P63-P42+P43-P24+P25</f>
        <v>0</v>
      </c>
      <c r="Q64" s="1430">
        <f>+O64-P64</f>
        <v>0</v>
      </c>
      <c r="R64" s="1431" t="str">
        <f>IF(AND(P64=0,OR(O64&gt;0,O64&lt;0)),+Q64/Q64,IFERROR(+Q64/P64,""))</f>
        <v/>
      </c>
      <c r="T64" s="245"/>
      <c r="U64" s="245"/>
    </row>
    <row r="65" spans="1:21">
      <c r="A65" s="248">
        <f t="shared" si="6"/>
        <v>60</v>
      </c>
      <c r="B65" s="250" t="s">
        <v>1117</v>
      </c>
      <c r="C65" s="1429"/>
      <c r="D65" s="1429"/>
      <c r="E65" s="1430">
        <f t="shared" si="7"/>
        <v>0</v>
      </c>
      <c r="F65" s="1431" t="str">
        <f t="shared" si="11"/>
        <v/>
      </c>
      <c r="G65" s="1429"/>
      <c r="H65" s="1430">
        <f t="shared" si="3"/>
        <v>0</v>
      </c>
      <c r="I65" s="1429"/>
      <c r="J65" s="1432"/>
      <c r="K65" s="1429"/>
      <c r="L65" s="1430">
        <f t="shared" si="4"/>
        <v>0</v>
      </c>
      <c r="M65" s="1431" t="str">
        <f t="shared" si="12"/>
        <v/>
      </c>
      <c r="N65" s="249"/>
      <c r="O65" s="1429"/>
      <c r="P65" s="1429"/>
      <c r="Q65" s="1429"/>
      <c r="R65" s="1432"/>
      <c r="T65" s="245"/>
      <c r="U65" s="245"/>
    </row>
    <row r="66" spans="1:21">
      <c r="A66" s="248">
        <f t="shared" si="6"/>
        <v>61</v>
      </c>
      <c r="B66" s="249" t="s">
        <v>2149</v>
      </c>
      <c r="C66" s="1429"/>
      <c r="D66" s="1429"/>
      <c r="E66" s="1430">
        <f t="shared" si="7"/>
        <v>0</v>
      </c>
      <c r="F66" s="1431" t="str">
        <f t="shared" si="11"/>
        <v/>
      </c>
      <c r="G66" s="1429"/>
      <c r="H66" s="1430">
        <f t="shared" si="3"/>
        <v>0</v>
      </c>
      <c r="I66" s="1429"/>
      <c r="J66" s="1432"/>
      <c r="K66" s="1429"/>
      <c r="L66" s="1430">
        <f t="shared" si="4"/>
        <v>0</v>
      </c>
      <c r="M66" s="1431" t="str">
        <f t="shared" si="12"/>
        <v/>
      </c>
      <c r="N66" s="250" t="s">
        <v>1163</v>
      </c>
      <c r="O66" s="1430">
        <f>SUM(O67:O70)</f>
        <v>0</v>
      </c>
      <c r="P66" s="1430">
        <f>SUM(P67:P70)</f>
        <v>0</v>
      </c>
      <c r="Q66" s="1430">
        <f>+O66-P66</f>
        <v>0</v>
      </c>
      <c r="R66" s="1431" t="str">
        <f>IF(AND(P66=0,OR(O66&gt;0,O66&lt;0)),+Q66/Q66,IFERROR(+Q66/P66,""))</f>
        <v/>
      </c>
      <c r="T66" s="245"/>
      <c r="U66" s="245"/>
    </row>
    <row r="67" spans="1:21">
      <c r="A67" s="248">
        <f t="shared" si="6"/>
        <v>62</v>
      </c>
      <c r="B67" s="250" t="s">
        <v>1118</v>
      </c>
      <c r="C67" s="1429"/>
      <c r="D67" s="1429"/>
      <c r="E67" s="1430">
        <f t="shared" si="7"/>
        <v>0</v>
      </c>
      <c r="F67" s="1431" t="str">
        <f t="shared" si="11"/>
        <v/>
      </c>
      <c r="G67" s="1429"/>
      <c r="H67" s="1430">
        <f t="shared" si="3"/>
        <v>0</v>
      </c>
      <c r="I67" s="1429"/>
      <c r="J67" s="1432"/>
      <c r="K67" s="1429"/>
      <c r="L67" s="1430">
        <f t="shared" si="4"/>
        <v>0</v>
      </c>
      <c r="M67" s="1431" t="str">
        <f t="shared" si="12"/>
        <v/>
      </c>
      <c r="N67" s="250" t="s">
        <v>1164</v>
      </c>
      <c r="O67" s="1429"/>
      <c r="P67" s="1429"/>
      <c r="Q67" s="1430">
        <f>+O67-P67</f>
        <v>0</v>
      </c>
      <c r="R67" s="1431" t="str">
        <f>IF(AND(P67=0,OR(O67&gt;0,O67&lt;0)),+Q67/Q67,IFERROR(+Q67/P67,""))</f>
        <v/>
      </c>
      <c r="T67" s="245"/>
      <c r="U67" s="245"/>
    </row>
    <row r="68" spans="1:21">
      <c r="A68" s="248">
        <f t="shared" si="6"/>
        <v>63</v>
      </c>
      <c r="B68" s="249" t="s">
        <v>2150</v>
      </c>
      <c r="C68" s="1429"/>
      <c r="D68" s="1429"/>
      <c r="E68" s="1430">
        <f t="shared" si="7"/>
        <v>0</v>
      </c>
      <c r="F68" s="1431" t="str">
        <f t="shared" si="11"/>
        <v/>
      </c>
      <c r="G68" s="1429"/>
      <c r="H68" s="1430">
        <f t="shared" si="3"/>
        <v>0</v>
      </c>
      <c r="I68" s="1429"/>
      <c r="J68" s="1432"/>
      <c r="K68" s="1429"/>
      <c r="L68" s="1430">
        <f t="shared" si="4"/>
        <v>0</v>
      </c>
      <c r="M68" s="1431" t="str">
        <f t="shared" si="12"/>
        <v/>
      </c>
      <c r="N68" s="250" t="s">
        <v>1165</v>
      </c>
      <c r="O68" s="1429"/>
      <c r="P68" s="1429"/>
      <c r="Q68" s="1430">
        <f>+O68-P68</f>
        <v>0</v>
      </c>
      <c r="R68" s="1431" t="str">
        <f>IF(AND(P68=0,OR(O68&gt;0,O68&lt;0)),+Q68/Q68,IFERROR(+Q68/P68,""))</f>
        <v/>
      </c>
      <c r="T68" s="245"/>
      <c r="U68" s="245"/>
    </row>
    <row r="69" spans="1:21">
      <c r="A69" s="248">
        <f t="shared" si="6"/>
        <v>64</v>
      </c>
      <c r="B69" s="249" t="s">
        <v>2151</v>
      </c>
      <c r="C69" s="1429"/>
      <c r="D69" s="1429"/>
      <c r="E69" s="1430">
        <f t="shared" si="7"/>
        <v>0</v>
      </c>
      <c r="F69" s="1431" t="str">
        <f t="shared" si="11"/>
        <v/>
      </c>
      <c r="G69" s="1429"/>
      <c r="H69" s="1430">
        <f t="shared" si="3"/>
        <v>0</v>
      </c>
      <c r="I69" s="1429"/>
      <c r="J69" s="1432"/>
      <c r="K69" s="1429"/>
      <c r="L69" s="1430">
        <f t="shared" si="4"/>
        <v>0</v>
      </c>
      <c r="M69" s="1431" t="str">
        <f t="shared" si="12"/>
        <v/>
      </c>
      <c r="N69" s="250" t="s">
        <v>2152</v>
      </c>
      <c r="O69" s="1429"/>
      <c r="P69" s="1429"/>
      <c r="Q69" s="1430">
        <f>+O69-P69</f>
        <v>0</v>
      </c>
      <c r="R69" s="1431" t="str">
        <f>IF(AND(P69=0,OR(O69&gt;0,O69&lt;0)),+Q69/Q69,IFERROR(+Q69/P69,""))</f>
        <v/>
      </c>
      <c r="T69" s="245"/>
      <c r="U69" s="245"/>
    </row>
    <row r="70" spans="1:21">
      <c r="A70" s="248">
        <f t="shared" si="6"/>
        <v>65</v>
      </c>
      <c r="B70" s="249" t="s">
        <v>1119</v>
      </c>
      <c r="C70" s="1429"/>
      <c r="D70" s="1429"/>
      <c r="E70" s="1430">
        <f t="shared" si="7"/>
        <v>0</v>
      </c>
      <c r="F70" s="1431" t="str">
        <f t="shared" si="11"/>
        <v/>
      </c>
      <c r="G70" s="1429"/>
      <c r="H70" s="1430">
        <f t="shared" si="3"/>
        <v>0</v>
      </c>
      <c r="I70" s="1429"/>
      <c r="J70" s="1432"/>
      <c r="K70" s="1429"/>
      <c r="L70" s="1430">
        <f t="shared" si="4"/>
        <v>0</v>
      </c>
      <c r="M70" s="1431" t="str">
        <f t="shared" si="12"/>
        <v/>
      </c>
      <c r="N70" s="250" t="s">
        <v>1166</v>
      </c>
      <c r="O70" s="1429"/>
      <c r="P70" s="1429"/>
      <c r="Q70" s="1430">
        <f>+O70-P70</f>
        <v>0</v>
      </c>
      <c r="R70" s="1431" t="str">
        <f>IF(AND(P70=0,OR(O70&gt;0,O70&lt;0)),+Q70/Q70,IFERROR(+Q70/P70,""))</f>
        <v/>
      </c>
      <c r="T70" s="245"/>
      <c r="U70" s="245"/>
    </row>
    <row r="71" spans="1:21">
      <c r="A71" s="248">
        <f t="shared" si="6"/>
        <v>66</v>
      </c>
      <c r="B71" s="249" t="s">
        <v>1120</v>
      </c>
      <c r="C71" s="1429"/>
      <c r="D71" s="1429"/>
      <c r="E71" s="1430">
        <f t="shared" si="7"/>
        <v>0</v>
      </c>
      <c r="F71" s="1431" t="str">
        <f t="shared" si="11"/>
        <v/>
      </c>
      <c r="G71" s="1429"/>
      <c r="H71" s="1430">
        <f t="shared" si="3"/>
        <v>0</v>
      </c>
      <c r="I71" s="1429"/>
      <c r="J71" s="1432"/>
      <c r="K71" s="1429"/>
      <c r="L71" s="1430">
        <f t="shared" si="4"/>
        <v>0</v>
      </c>
      <c r="M71" s="1431" t="str">
        <f t="shared" si="12"/>
        <v/>
      </c>
      <c r="N71" s="250"/>
      <c r="O71" s="1429"/>
      <c r="P71" s="1429"/>
      <c r="Q71" s="1429"/>
      <c r="R71" s="1432"/>
      <c r="T71" s="245"/>
      <c r="U71" s="245"/>
    </row>
    <row r="72" spans="1:21">
      <c r="A72" s="248">
        <f t="shared" si="6"/>
        <v>67</v>
      </c>
      <c r="B72" s="249" t="s">
        <v>1121</v>
      </c>
      <c r="C72" s="1429"/>
      <c r="D72" s="1429"/>
      <c r="E72" s="1430">
        <f t="shared" si="7"/>
        <v>0</v>
      </c>
      <c r="F72" s="1431" t="str">
        <f t="shared" si="11"/>
        <v/>
      </c>
      <c r="G72" s="1429"/>
      <c r="H72" s="1430">
        <f t="shared" si="3"/>
        <v>0</v>
      </c>
      <c r="I72" s="1429"/>
      <c r="J72" s="1432"/>
      <c r="K72" s="1429"/>
      <c r="L72" s="1430">
        <f t="shared" si="4"/>
        <v>0</v>
      </c>
      <c r="M72" s="1431" t="str">
        <f t="shared" si="12"/>
        <v/>
      </c>
      <c r="N72" s="250" t="s">
        <v>2153</v>
      </c>
      <c r="O72" s="1430">
        <f>SUM(O73:O78)</f>
        <v>0</v>
      </c>
      <c r="P72" s="1430">
        <f>SUM(P73:P78)</f>
        <v>0</v>
      </c>
      <c r="Q72" s="1430">
        <f t="shared" ref="Q72:Q78" si="14">+O72-P72</f>
        <v>0</v>
      </c>
      <c r="R72" s="1431" t="str">
        <f t="shared" ref="R72:R78" si="15">IF(AND(P72=0,OR(O72&gt;0,O72&lt;0)),+Q72/Q72,IFERROR(+Q72/P72,""))</f>
        <v/>
      </c>
      <c r="T72" s="245"/>
      <c r="U72" s="245"/>
    </row>
    <row r="73" spans="1:21">
      <c r="A73" s="248">
        <f t="shared" ref="A73:A104" si="16">A72+1</f>
        <v>68</v>
      </c>
      <c r="B73" s="249" t="s">
        <v>1122</v>
      </c>
      <c r="C73" s="1430">
        <f>SUM(C74:C80)</f>
        <v>0</v>
      </c>
      <c r="D73" s="1430">
        <f>SUM(D74:D80)</f>
        <v>0</v>
      </c>
      <c r="E73" s="1430">
        <f t="shared" si="7"/>
        <v>0</v>
      </c>
      <c r="F73" s="1431" t="str">
        <f t="shared" si="11"/>
        <v/>
      </c>
      <c r="G73" s="1430">
        <f>SUM(G74:G80)</f>
        <v>0</v>
      </c>
      <c r="H73" s="1430">
        <f t="shared" ref="H73:H100" si="17">+E73-G73</f>
        <v>0</v>
      </c>
      <c r="I73" s="1429"/>
      <c r="J73" s="1432"/>
      <c r="K73" s="1429"/>
      <c r="L73" s="1430">
        <f t="shared" ref="L73:L100" si="18">+E73-I73</f>
        <v>0</v>
      </c>
      <c r="M73" s="1431" t="str">
        <f t="shared" si="12"/>
        <v/>
      </c>
      <c r="N73" s="250" t="s">
        <v>2155</v>
      </c>
      <c r="O73" s="1429"/>
      <c r="P73" s="1429"/>
      <c r="Q73" s="1430">
        <f t="shared" si="14"/>
        <v>0</v>
      </c>
      <c r="R73" s="1431" t="str">
        <f t="shared" si="15"/>
        <v/>
      </c>
      <c r="T73" s="245"/>
      <c r="U73" s="245"/>
    </row>
    <row r="74" spans="1:21">
      <c r="A74" s="248">
        <f t="shared" si="16"/>
        <v>69</v>
      </c>
      <c r="B74" s="249" t="s">
        <v>2154</v>
      </c>
      <c r="C74" s="1429"/>
      <c r="D74" s="1429"/>
      <c r="E74" s="1430">
        <f t="shared" ref="E74:E100" si="19">SUM(C74:D74)</f>
        <v>0</v>
      </c>
      <c r="F74" s="1431" t="str">
        <f t="shared" si="11"/>
        <v/>
      </c>
      <c r="G74" s="1429"/>
      <c r="H74" s="1430">
        <f t="shared" si="17"/>
        <v>0</v>
      </c>
      <c r="I74" s="1429"/>
      <c r="J74" s="1432"/>
      <c r="K74" s="1429"/>
      <c r="L74" s="1430">
        <f t="shared" si="18"/>
        <v>0</v>
      </c>
      <c r="M74" s="1431" t="str">
        <f t="shared" si="12"/>
        <v/>
      </c>
      <c r="N74" s="250" t="s">
        <v>2157</v>
      </c>
      <c r="O74" s="1429"/>
      <c r="P74" s="1429"/>
      <c r="Q74" s="1430">
        <f t="shared" si="14"/>
        <v>0</v>
      </c>
      <c r="R74" s="1431" t="str">
        <f t="shared" si="15"/>
        <v/>
      </c>
      <c r="T74" s="245"/>
      <c r="U74" s="245"/>
    </row>
    <row r="75" spans="1:21">
      <c r="A75" s="248">
        <f t="shared" si="16"/>
        <v>70</v>
      </c>
      <c r="B75" s="249" t="s">
        <v>2156</v>
      </c>
      <c r="C75" s="1429"/>
      <c r="D75" s="1429"/>
      <c r="E75" s="1430">
        <f t="shared" si="19"/>
        <v>0</v>
      </c>
      <c r="F75" s="1431" t="str">
        <f t="shared" si="11"/>
        <v/>
      </c>
      <c r="G75" s="1429"/>
      <c r="H75" s="1430">
        <f t="shared" si="17"/>
        <v>0</v>
      </c>
      <c r="I75" s="1429"/>
      <c r="J75" s="1432"/>
      <c r="K75" s="1429"/>
      <c r="L75" s="1430">
        <f t="shared" si="18"/>
        <v>0</v>
      </c>
      <c r="M75" s="1431" t="str">
        <f t="shared" si="12"/>
        <v/>
      </c>
      <c r="N75" s="250" t="s">
        <v>2159</v>
      </c>
      <c r="O75" s="1429"/>
      <c r="P75" s="1429"/>
      <c r="Q75" s="1430">
        <f t="shared" si="14"/>
        <v>0</v>
      </c>
      <c r="R75" s="1431" t="str">
        <f t="shared" si="15"/>
        <v/>
      </c>
      <c r="T75" s="245"/>
      <c r="U75" s="245"/>
    </row>
    <row r="76" spans="1:21">
      <c r="A76" s="1530" t="s">
        <v>2288</v>
      </c>
      <c r="B76" s="249" t="s">
        <v>2158</v>
      </c>
      <c r="C76" s="1429"/>
      <c r="D76" s="1429"/>
      <c r="E76" s="1430">
        <f t="shared" si="19"/>
        <v>0</v>
      </c>
      <c r="F76" s="1431" t="str">
        <f t="shared" si="11"/>
        <v/>
      </c>
      <c r="G76" s="1429"/>
      <c r="H76" s="1430">
        <f t="shared" si="17"/>
        <v>0</v>
      </c>
      <c r="I76" s="1429"/>
      <c r="J76" s="1432"/>
      <c r="K76" s="1429"/>
      <c r="L76" s="1430">
        <f t="shared" si="18"/>
        <v>0</v>
      </c>
      <c r="M76" s="1431" t="str">
        <f t="shared" si="12"/>
        <v/>
      </c>
      <c r="N76" s="250" t="s">
        <v>2161</v>
      </c>
      <c r="O76" s="1429"/>
      <c r="P76" s="1429"/>
      <c r="Q76" s="1430">
        <f t="shared" si="14"/>
        <v>0</v>
      </c>
      <c r="R76" s="1431" t="str">
        <f t="shared" si="15"/>
        <v/>
      </c>
      <c r="T76" s="245"/>
      <c r="U76" s="245"/>
    </row>
    <row r="77" spans="1:21">
      <c r="A77" s="248">
        <f>A75+1</f>
        <v>71</v>
      </c>
      <c r="B77" s="249" t="s">
        <v>2160</v>
      </c>
      <c r="C77" s="1429"/>
      <c r="D77" s="1429"/>
      <c r="E77" s="1430">
        <f t="shared" si="19"/>
        <v>0</v>
      </c>
      <c r="F77" s="1431" t="str">
        <f t="shared" si="11"/>
        <v/>
      </c>
      <c r="G77" s="1429"/>
      <c r="H77" s="1430">
        <f t="shared" si="17"/>
        <v>0</v>
      </c>
      <c r="I77" s="1429"/>
      <c r="J77" s="1432"/>
      <c r="K77" s="1429"/>
      <c r="L77" s="1430">
        <f t="shared" si="18"/>
        <v>0</v>
      </c>
      <c r="M77" s="1431" t="str">
        <f t="shared" si="12"/>
        <v/>
      </c>
      <c r="N77" s="250" t="s">
        <v>2163</v>
      </c>
      <c r="O77" s="1429"/>
      <c r="P77" s="1429"/>
      <c r="Q77" s="1430">
        <f t="shared" si="14"/>
        <v>0</v>
      </c>
      <c r="R77" s="1431" t="str">
        <f t="shared" si="15"/>
        <v/>
      </c>
      <c r="T77" s="245"/>
      <c r="U77" s="245"/>
    </row>
    <row r="78" spans="1:21">
      <c r="A78" s="248">
        <f t="shared" si="16"/>
        <v>72</v>
      </c>
      <c r="B78" s="249" t="s">
        <v>2162</v>
      </c>
      <c r="C78" s="1429"/>
      <c r="D78" s="1429"/>
      <c r="E78" s="1430">
        <f t="shared" si="19"/>
        <v>0</v>
      </c>
      <c r="F78" s="1431" t="str">
        <f t="shared" si="11"/>
        <v/>
      </c>
      <c r="G78" s="1429"/>
      <c r="H78" s="1430">
        <f t="shared" si="17"/>
        <v>0</v>
      </c>
      <c r="I78" s="1429"/>
      <c r="J78" s="1432"/>
      <c r="K78" s="1429"/>
      <c r="L78" s="1430">
        <f t="shared" si="18"/>
        <v>0</v>
      </c>
      <c r="M78" s="1431" t="str">
        <f t="shared" si="12"/>
        <v/>
      </c>
      <c r="N78" s="250" t="s">
        <v>2164</v>
      </c>
      <c r="O78" s="1429"/>
      <c r="P78" s="1429"/>
      <c r="Q78" s="1430">
        <f t="shared" si="14"/>
        <v>0</v>
      </c>
      <c r="R78" s="1431" t="str">
        <f t="shared" si="15"/>
        <v/>
      </c>
      <c r="T78" s="245"/>
      <c r="U78" s="245"/>
    </row>
    <row r="79" spans="1:21">
      <c r="A79" s="248">
        <f t="shared" si="16"/>
        <v>73</v>
      </c>
      <c r="B79" s="249" t="s">
        <v>1123</v>
      </c>
      <c r="C79" s="1429"/>
      <c r="D79" s="1429"/>
      <c r="E79" s="1430">
        <f t="shared" si="19"/>
        <v>0</v>
      </c>
      <c r="F79" s="1431" t="str">
        <f t="shared" si="11"/>
        <v/>
      </c>
      <c r="G79" s="1429"/>
      <c r="H79" s="1430">
        <f t="shared" si="17"/>
        <v>0</v>
      </c>
      <c r="I79" s="1429"/>
      <c r="J79" s="1432"/>
      <c r="K79" s="1429"/>
      <c r="L79" s="1430">
        <f t="shared" si="18"/>
        <v>0</v>
      </c>
      <c r="M79" s="1431" t="str">
        <f t="shared" si="12"/>
        <v/>
      </c>
      <c r="O79" s="1429"/>
      <c r="P79" s="1429"/>
      <c r="Q79" s="1429"/>
      <c r="R79" s="1432"/>
      <c r="T79" s="245"/>
      <c r="U79" s="245"/>
    </row>
    <row r="80" spans="1:21">
      <c r="A80" s="248">
        <f t="shared" si="16"/>
        <v>74</v>
      </c>
      <c r="B80" s="249" t="s">
        <v>1124</v>
      </c>
      <c r="C80" s="1429"/>
      <c r="D80" s="1429"/>
      <c r="E80" s="1430">
        <f t="shared" si="19"/>
        <v>0</v>
      </c>
      <c r="F80" s="1431" t="str">
        <f t="shared" si="11"/>
        <v/>
      </c>
      <c r="G80" s="1429"/>
      <c r="H80" s="1430">
        <f t="shared" si="17"/>
        <v>0</v>
      </c>
      <c r="I80" s="1429"/>
      <c r="J80" s="1432"/>
      <c r="K80" s="1429"/>
      <c r="L80" s="1430">
        <f t="shared" si="18"/>
        <v>0</v>
      </c>
      <c r="M80" s="1431" t="str">
        <f t="shared" si="12"/>
        <v/>
      </c>
      <c r="O80" s="1429"/>
      <c r="P80" s="1429"/>
      <c r="Q80" s="1429"/>
      <c r="R80" s="1432"/>
      <c r="T80" s="245"/>
      <c r="U80" s="245"/>
    </row>
    <row r="81" spans="1:21">
      <c r="A81" s="248">
        <f t="shared" si="16"/>
        <v>75</v>
      </c>
      <c r="B81" s="249" t="s">
        <v>2165</v>
      </c>
      <c r="C81" s="1430">
        <f>SUM(C82:C85)</f>
        <v>0</v>
      </c>
      <c r="D81" s="1430">
        <f>SUM(D82:D85)</f>
        <v>0</v>
      </c>
      <c r="E81" s="1430">
        <f t="shared" si="19"/>
        <v>0</v>
      </c>
      <c r="F81" s="1431" t="str">
        <f t="shared" ref="F81:F100" si="20">IF(C81=0,"",IFERROR(+E81/$E$104,""))</f>
        <v/>
      </c>
      <c r="G81" s="1430">
        <f>SUM(G82:G85)</f>
        <v>0</v>
      </c>
      <c r="H81" s="1430">
        <f t="shared" si="17"/>
        <v>0</v>
      </c>
      <c r="I81" s="1429"/>
      <c r="J81" s="1432"/>
      <c r="K81" s="1429"/>
      <c r="L81" s="1430">
        <f t="shared" si="18"/>
        <v>0</v>
      </c>
      <c r="M81" s="1431" t="str">
        <f t="shared" si="12"/>
        <v/>
      </c>
      <c r="N81" s="250" t="s">
        <v>291</v>
      </c>
      <c r="O81" s="1430">
        <f>SUM(O82:O84)</f>
        <v>0</v>
      </c>
      <c r="P81" s="1430">
        <f>SUM(P82:P84)</f>
        <v>0</v>
      </c>
      <c r="Q81" s="1430">
        <f t="shared" ref="Q81:Q104" si="21">+O81-P81</f>
        <v>0</v>
      </c>
      <c r="R81" s="1431" t="str">
        <f>IF(AND(P81=0,OR(O81&gt;0,O81&lt;0)),+Q81/Q81,IFERROR(+Q81/P81,""))</f>
        <v/>
      </c>
      <c r="T81" s="245"/>
      <c r="U81" s="245"/>
    </row>
    <row r="82" spans="1:21">
      <c r="A82" s="248">
        <f t="shared" si="16"/>
        <v>76</v>
      </c>
      <c r="B82" s="249" t="s">
        <v>1125</v>
      </c>
      <c r="C82" s="1429"/>
      <c r="D82" s="1429"/>
      <c r="E82" s="1430">
        <f t="shared" si="19"/>
        <v>0</v>
      </c>
      <c r="F82" s="1431" t="str">
        <f t="shared" si="20"/>
        <v/>
      </c>
      <c r="G82" s="1429"/>
      <c r="H82" s="1430">
        <f t="shared" si="17"/>
        <v>0</v>
      </c>
      <c r="I82" s="1429"/>
      <c r="J82" s="1432"/>
      <c r="K82" s="1429"/>
      <c r="L82" s="1430">
        <f t="shared" si="18"/>
        <v>0</v>
      </c>
      <c r="M82" s="1431" t="str">
        <f t="shared" si="12"/>
        <v/>
      </c>
      <c r="N82" s="250" t="s">
        <v>292</v>
      </c>
      <c r="O82" s="1429"/>
      <c r="P82" s="1429"/>
      <c r="Q82" s="1430">
        <f t="shared" si="21"/>
        <v>0</v>
      </c>
      <c r="R82" s="1431" t="str">
        <f>IF(AND(P82=0,OR(O82&gt;0,O82&lt;0)),+Q82/Q82,IFERROR(+Q82/P82,""))</f>
        <v/>
      </c>
      <c r="T82" s="245"/>
      <c r="U82" s="245"/>
    </row>
    <row r="83" spans="1:21">
      <c r="A83" s="248">
        <f t="shared" si="16"/>
        <v>77</v>
      </c>
      <c r="B83" s="249" t="s">
        <v>2166</v>
      </c>
      <c r="C83" s="1429"/>
      <c r="D83" s="1429"/>
      <c r="E83" s="1430">
        <f t="shared" si="19"/>
        <v>0</v>
      </c>
      <c r="F83" s="1431" t="str">
        <f t="shared" si="20"/>
        <v/>
      </c>
      <c r="G83" s="1429"/>
      <c r="H83" s="1430">
        <f t="shared" si="17"/>
        <v>0</v>
      </c>
      <c r="I83" s="1429"/>
      <c r="J83" s="1432"/>
      <c r="K83" s="1429"/>
      <c r="L83" s="1430">
        <f t="shared" si="18"/>
        <v>0</v>
      </c>
      <c r="M83" s="1431" t="str">
        <f t="shared" si="12"/>
        <v/>
      </c>
      <c r="N83" s="250" t="s">
        <v>293</v>
      </c>
      <c r="O83" s="1429"/>
      <c r="P83" s="1429"/>
      <c r="Q83" s="1430">
        <f t="shared" si="21"/>
        <v>0</v>
      </c>
      <c r="R83" s="1431" t="str">
        <f>IF(AND(P83=0,OR(O83&gt;0,O83&lt;0)),+Q83/Q83,IFERROR(+Q83/P83,""))</f>
        <v/>
      </c>
      <c r="T83" s="245"/>
      <c r="U83" s="245"/>
    </row>
    <row r="84" spans="1:21">
      <c r="A84" s="248">
        <f t="shared" si="16"/>
        <v>78</v>
      </c>
      <c r="B84" s="249" t="s">
        <v>2167</v>
      </c>
      <c r="C84" s="1429"/>
      <c r="D84" s="1429"/>
      <c r="E84" s="1430">
        <f t="shared" si="19"/>
        <v>0</v>
      </c>
      <c r="F84" s="1431" t="str">
        <f t="shared" si="20"/>
        <v/>
      </c>
      <c r="G84" s="1429"/>
      <c r="H84" s="1430">
        <f t="shared" si="17"/>
        <v>0</v>
      </c>
      <c r="I84" s="1429"/>
      <c r="J84" s="1432"/>
      <c r="K84" s="1429"/>
      <c r="L84" s="1430">
        <f t="shared" si="18"/>
        <v>0</v>
      </c>
      <c r="M84" s="1431" t="str">
        <f t="shared" si="12"/>
        <v/>
      </c>
      <c r="N84" s="250" t="s">
        <v>2168</v>
      </c>
      <c r="O84" s="1429"/>
      <c r="P84" s="1429"/>
      <c r="Q84" s="1430">
        <f t="shared" si="21"/>
        <v>0</v>
      </c>
      <c r="R84" s="1431" t="str">
        <f>IF(AND(P84=0,OR(O84&gt;0,O84&lt;0)),+Q84/Q84,IFERROR(+Q84/P84,""))</f>
        <v/>
      </c>
      <c r="T84" s="245"/>
      <c r="U84" s="245"/>
    </row>
    <row r="85" spans="1:21">
      <c r="A85" s="248">
        <f t="shared" si="16"/>
        <v>79</v>
      </c>
      <c r="B85" s="249" t="s">
        <v>2169</v>
      </c>
      <c r="C85" s="1429"/>
      <c r="D85" s="1429"/>
      <c r="E85" s="1430">
        <f t="shared" si="19"/>
        <v>0</v>
      </c>
      <c r="F85" s="1431" t="str">
        <f t="shared" si="20"/>
        <v/>
      </c>
      <c r="G85" s="1429"/>
      <c r="H85" s="1430">
        <f t="shared" si="17"/>
        <v>0</v>
      </c>
      <c r="I85" s="1429"/>
      <c r="J85" s="1432"/>
      <c r="K85" s="1429"/>
      <c r="L85" s="1430">
        <f t="shared" si="18"/>
        <v>0</v>
      </c>
      <c r="M85" s="1431" t="str">
        <f t="shared" si="12"/>
        <v/>
      </c>
      <c r="N85" s="249"/>
      <c r="O85" s="1429"/>
      <c r="P85" s="1429"/>
      <c r="Q85" s="1429"/>
      <c r="R85" s="1432"/>
      <c r="T85" s="245"/>
      <c r="U85" s="245"/>
    </row>
    <row r="86" spans="1:21">
      <c r="A86" s="248">
        <f t="shared" si="16"/>
        <v>80</v>
      </c>
      <c r="B86" s="249" t="s">
        <v>2170</v>
      </c>
      <c r="C86" s="1429"/>
      <c r="D86" s="1429"/>
      <c r="E86" s="1430">
        <f t="shared" si="19"/>
        <v>0</v>
      </c>
      <c r="F86" s="1431" t="str">
        <f t="shared" si="20"/>
        <v/>
      </c>
      <c r="G86" s="1429"/>
      <c r="H86" s="1430">
        <f t="shared" si="17"/>
        <v>0</v>
      </c>
      <c r="I86" s="1429"/>
      <c r="J86" s="1432"/>
      <c r="K86" s="1429"/>
      <c r="L86" s="1430">
        <f t="shared" si="18"/>
        <v>0</v>
      </c>
      <c r="M86" s="1431" t="str">
        <f t="shared" si="12"/>
        <v/>
      </c>
      <c r="N86" s="734" t="s">
        <v>2171</v>
      </c>
      <c r="O86" s="1430">
        <f>SUM(O87:O95)</f>
        <v>0</v>
      </c>
      <c r="P86" s="1430">
        <f>SUM(P87:P95)</f>
        <v>0</v>
      </c>
      <c r="Q86" s="1430">
        <f t="shared" si="21"/>
        <v>0</v>
      </c>
      <c r="R86" s="1431" t="str">
        <f t="shared" ref="R86:R101" si="22">IF(AND(P86=0,OR(O86&gt;0,O86&lt;0)),+Q86/Q86,IFERROR(+Q86/P86,""))</f>
        <v/>
      </c>
      <c r="T86" s="245"/>
      <c r="U86" s="245"/>
    </row>
    <row r="87" spans="1:21">
      <c r="A87" s="248">
        <f t="shared" si="16"/>
        <v>81</v>
      </c>
      <c r="B87" s="249" t="s">
        <v>2172</v>
      </c>
      <c r="C87" s="1430">
        <f>SUM(C88:C97)</f>
        <v>0</v>
      </c>
      <c r="D87" s="1430">
        <f>SUM(D88:D97)</f>
        <v>0</v>
      </c>
      <c r="E87" s="1430">
        <f t="shared" si="19"/>
        <v>0</v>
      </c>
      <c r="F87" s="1431" t="str">
        <f t="shared" si="20"/>
        <v/>
      </c>
      <c r="G87" s="1430">
        <f>SUM(G88:G97)</f>
        <v>0</v>
      </c>
      <c r="H87" s="1430">
        <f t="shared" si="17"/>
        <v>0</v>
      </c>
      <c r="I87" s="1429"/>
      <c r="J87" s="1432"/>
      <c r="K87" s="1429"/>
      <c r="L87" s="1430">
        <f t="shared" si="18"/>
        <v>0</v>
      </c>
      <c r="M87" s="1431" t="str">
        <f t="shared" si="12"/>
        <v/>
      </c>
      <c r="N87" s="734" t="s">
        <v>2173</v>
      </c>
      <c r="O87" s="1429"/>
      <c r="P87" s="1429"/>
      <c r="Q87" s="1430">
        <f t="shared" si="21"/>
        <v>0</v>
      </c>
      <c r="R87" s="1431" t="str">
        <f t="shared" si="22"/>
        <v/>
      </c>
      <c r="T87" s="245"/>
      <c r="U87" s="245"/>
    </row>
    <row r="88" spans="1:21">
      <c r="A88" s="248">
        <f t="shared" si="16"/>
        <v>82</v>
      </c>
      <c r="B88" s="249" t="s">
        <v>1126</v>
      </c>
      <c r="C88" s="1429"/>
      <c r="D88" s="1429"/>
      <c r="E88" s="1430">
        <f t="shared" si="19"/>
        <v>0</v>
      </c>
      <c r="F88" s="1431" t="str">
        <f t="shared" si="20"/>
        <v/>
      </c>
      <c r="G88" s="1429"/>
      <c r="H88" s="1430">
        <f t="shared" si="17"/>
        <v>0</v>
      </c>
      <c r="I88" s="1429"/>
      <c r="J88" s="1432"/>
      <c r="K88" s="1429"/>
      <c r="L88" s="1430">
        <f t="shared" si="18"/>
        <v>0</v>
      </c>
      <c r="M88" s="1431" t="str">
        <f t="shared" si="12"/>
        <v/>
      </c>
      <c r="N88" s="250" t="s">
        <v>2174</v>
      </c>
      <c r="O88" s="1429"/>
      <c r="P88" s="1429"/>
      <c r="Q88" s="1430">
        <f t="shared" si="21"/>
        <v>0</v>
      </c>
      <c r="R88" s="1431" t="str">
        <f t="shared" si="22"/>
        <v/>
      </c>
      <c r="T88" s="245"/>
      <c r="U88" s="245"/>
    </row>
    <row r="89" spans="1:21">
      <c r="A89" s="248">
        <f t="shared" si="16"/>
        <v>83</v>
      </c>
      <c r="B89" s="249" t="s">
        <v>1127</v>
      </c>
      <c r="C89" s="1429"/>
      <c r="D89" s="1429"/>
      <c r="E89" s="1430">
        <f t="shared" si="19"/>
        <v>0</v>
      </c>
      <c r="F89" s="1431" t="str">
        <f t="shared" si="20"/>
        <v/>
      </c>
      <c r="G89" s="1429"/>
      <c r="H89" s="1430">
        <f t="shared" si="17"/>
        <v>0</v>
      </c>
      <c r="I89" s="1429"/>
      <c r="J89" s="1432"/>
      <c r="K89" s="1429"/>
      <c r="L89" s="1430">
        <f t="shared" si="18"/>
        <v>0</v>
      </c>
      <c r="M89" s="1431" t="str">
        <f t="shared" si="12"/>
        <v/>
      </c>
      <c r="N89" s="250" t="s">
        <v>2175</v>
      </c>
      <c r="O89" s="1429"/>
      <c r="P89" s="1429"/>
      <c r="Q89" s="1430">
        <f t="shared" si="21"/>
        <v>0</v>
      </c>
      <c r="R89" s="1431" t="str">
        <f t="shared" si="22"/>
        <v/>
      </c>
      <c r="T89" s="245"/>
      <c r="U89" s="245"/>
    </row>
    <row r="90" spans="1:21" ht="14.25" customHeight="1">
      <c r="A90" s="248">
        <f t="shared" si="16"/>
        <v>84</v>
      </c>
      <c r="B90" s="249" t="s">
        <v>1128</v>
      </c>
      <c r="C90" s="1429"/>
      <c r="D90" s="1429"/>
      <c r="E90" s="1430">
        <f t="shared" si="19"/>
        <v>0</v>
      </c>
      <c r="F90" s="1431" t="str">
        <f t="shared" si="20"/>
        <v/>
      </c>
      <c r="G90" s="1429"/>
      <c r="H90" s="1430">
        <f t="shared" si="17"/>
        <v>0</v>
      </c>
      <c r="I90" s="1429"/>
      <c r="J90" s="1432"/>
      <c r="K90" s="1429"/>
      <c r="L90" s="1430">
        <f t="shared" si="18"/>
        <v>0</v>
      </c>
      <c r="M90" s="1431" t="str">
        <f t="shared" si="12"/>
        <v/>
      </c>
      <c r="N90" s="657" t="s">
        <v>2176</v>
      </c>
      <c r="O90" s="1429"/>
      <c r="P90" s="1429"/>
      <c r="Q90" s="1430">
        <f t="shared" si="21"/>
        <v>0</v>
      </c>
      <c r="R90" s="1431" t="str">
        <f t="shared" si="22"/>
        <v/>
      </c>
      <c r="T90" s="245"/>
      <c r="U90" s="245"/>
    </row>
    <row r="91" spans="1:21">
      <c r="A91" s="248">
        <f t="shared" si="16"/>
        <v>85</v>
      </c>
      <c r="B91" s="249" t="s">
        <v>2177</v>
      </c>
      <c r="C91" s="1429"/>
      <c r="D91" s="1429"/>
      <c r="E91" s="1430">
        <f t="shared" si="19"/>
        <v>0</v>
      </c>
      <c r="F91" s="1431" t="str">
        <f t="shared" si="20"/>
        <v/>
      </c>
      <c r="G91" s="1429"/>
      <c r="H91" s="1430">
        <f t="shared" si="17"/>
        <v>0</v>
      </c>
      <c r="I91" s="1429"/>
      <c r="J91" s="1432"/>
      <c r="K91" s="1429"/>
      <c r="L91" s="1430">
        <f t="shared" si="18"/>
        <v>0</v>
      </c>
      <c r="M91" s="1431" t="str">
        <f t="shared" si="12"/>
        <v/>
      </c>
      <c r="N91" s="657" t="s">
        <v>2178</v>
      </c>
      <c r="O91" s="1429"/>
      <c r="P91" s="1429"/>
      <c r="Q91" s="1430">
        <f>+O91-P91</f>
        <v>0</v>
      </c>
      <c r="R91" s="1431" t="str">
        <f t="shared" si="22"/>
        <v/>
      </c>
      <c r="T91" s="245"/>
      <c r="U91" s="245"/>
    </row>
    <row r="92" spans="1:21">
      <c r="A92" s="248">
        <f t="shared" si="16"/>
        <v>86</v>
      </c>
      <c r="B92" s="249" t="s">
        <v>2179</v>
      </c>
      <c r="C92" s="1429"/>
      <c r="D92" s="1429"/>
      <c r="E92" s="1430">
        <f t="shared" si="19"/>
        <v>0</v>
      </c>
      <c r="F92" s="1431" t="str">
        <f t="shared" si="20"/>
        <v/>
      </c>
      <c r="G92" s="1429"/>
      <c r="H92" s="1430">
        <f t="shared" si="17"/>
        <v>0</v>
      </c>
      <c r="I92" s="1429"/>
      <c r="J92" s="1432"/>
      <c r="K92" s="1429"/>
      <c r="L92" s="1430">
        <f>+E92-I92</f>
        <v>0</v>
      </c>
      <c r="M92" s="1431" t="str">
        <f t="shared" si="12"/>
        <v/>
      </c>
      <c r="N92" s="657" t="s">
        <v>2180</v>
      </c>
      <c r="O92" s="1429"/>
      <c r="P92" s="1429"/>
      <c r="Q92" s="1430">
        <f>+O92-P92</f>
        <v>0</v>
      </c>
      <c r="R92" s="1431" t="str">
        <f t="shared" si="22"/>
        <v/>
      </c>
      <c r="T92" s="245"/>
      <c r="U92" s="245"/>
    </row>
    <row r="93" spans="1:21">
      <c r="A93" s="248">
        <f t="shared" si="16"/>
        <v>87</v>
      </c>
      <c r="B93" s="249" t="s">
        <v>2181</v>
      </c>
      <c r="C93" s="1429"/>
      <c r="D93" s="1429"/>
      <c r="E93" s="1430">
        <f t="shared" si="19"/>
        <v>0</v>
      </c>
      <c r="F93" s="1431" t="str">
        <f t="shared" si="20"/>
        <v/>
      </c>
      <c r="G93" s="1429"/>
      <c r="H93" s="1430">
        <f t="shared" si="17"/>
        <v>0</v>
      </c>
      <c r="I93" s="1429"/>
      <c r="J93" s="1432"/>
      <c r="K93" s="1429"/>
      <c r="L93" s="1430">
        <f t="shared" si="18"/>
        <v>0</v>
      </c>
      <c r="M93" s="1431" t="str">
        <f t="shared" si="12"/>
        <v/>
      </c>
      <c r="N93" s="249" t="s">
        <v>2182</v>
      </c>
      <c r="O93" s="1429"/>
      <c r="P93" s="1429"/>
      <c r="Q93" s="1430">
        <f t="shared" si="21"/>
        <v>0</v>
      </c>
      <c r="R93" s="1431" t="str">
        <f t="shared" si="22"/>
        <v/>
      </c>
      <c r="T93" s="245"/>
      <c r="U93" s="245"/>
    </row>
    <row r="94" spans="1:21">
      <c r="A94" s="248">
        <f t="shared" si="16"/>
        <v>88</v>
      </c>
      <c r="B94" s="249" t="s">
        <v>2183</v>
      </c>
      <c r="C94" s="1429"/>
      <c r="D94" s="1429"/>
      <c r="E94" s="1430">
        <f t="shared" si="19"/>
        <v>0</v>
      </c>
      <c r="F94" s="1431" t="str">
        <f t="shared" si="20"/>
        <v/>
      </c>
      <c r="G94" s="1429"/>
      <c r="H94" s="1430">
        <f t="shared" si="17"/>
        <v>0</v>
      </c>
      <c r="I94" s="1429"/>
      <c r="J94" s="1432"/>
      <c r="K94" s="1429"/>
      <c r="L94" s="1430">
        <f t="shared" si="18"/>
        <v>0</v>
      </c>
      <c r="M94" s="1431" t="str">
        <f t="shared" si="12"/>
        <v/>
      </c>
      <c r="N94" s="249" t="s">
        <v>2184</v>
      </c>
      <c r="O94" s="1429"/>
      <c r="P94" s="1429"/>
      <c r="Q94" s="1430">
        <f t="shared" si="21"/>
        <v>0</v>
      </c>
      <c r="R94" s="1431" t="str">
        <f t="shared" si="22"/>
        <v/>
      </c>
      <c r="T94" s="245"/>
      <c r="U94" s="245"/>
    </row>
    <row r="95" spans="1:21">
      <c r="A95" s="248">
        <f t="shared" si="16"/>
        <v>89</v>
      </c>
      <c r="B95" s="249" t="s">
        <v>2185</v>
      </c>
      <c r="C95" s="1429"/>
      <c r="D95" s="1429"/>
      <c r="E95" s="1430">
        <f t="shared" si="19"/>
        <v>0</v>
      </c>
      <c r="F95" s="1431" t="str">
        <f t="shared" si="20"/>
        <v/>
      </c>
      <c r="G95" s="1429"/>
      <c r="H95" s="1430">
        <f t="shared" si="17"/>
        <v>0</v>
      </c>
      <c r="I95" s="1429"/>
      <c r="J95" s="1432"/>
      <c r="K95" s="1429"/>
      <c r="L95" s="1430">
        <f t="shared" si="18"/>
        <v>0</v>
      </c>
      <c r="M95" s="1431" t="str">
        <f t="shared" si="12"/>
        <v/>
      </c>
      <c r="N95" s="657" t="s">
        <v>2186</v>
      </c>
      <c r="O95" s="1429"/>
      <c r="P95" s="1429"/>
      <c r="Q95" s="1430">
        <f t="shared" si="21"/>
        <v>0</v>
      </c>
      <c r="R95" s="1431" t="str">
        <f t="shared" si="22"/>
        <v/>
      </c>
      <c r="T95" s="245"/>
      <c r="U95" s="245"/>
    </row>
    <row r="96" spans="1:21">
      <c r="A96" s="248">
        <f t="shared" si="16"/>
        <v>90</v>
      </c>
      <c r="B96" s="249" t="s">
        <v>1129</v>
      </c>
      <c r="C96" s="1429"/>
      <c r="D96" s="1429"/>
      <c r="E96" s="1430">
        <f t="shared" si="19"/>
        <v>0</v>
      </c>
      <c r="F96" s="1431" t="str">
        <f t="shared" si="20"/>
        <v/>
      </c>
      <c r="G96" s="1429"/>
      <c r="H96" s="1430">
        <f t="shared" si="17"/>
        <v>0</v>
      </c>
      <c r="I96" s="1429"/>
      <c r="J96" s="1432"/>
      <c r="K96" s="1429"/>
      <c r="L96" s="1430">
        <f t="shared" si="18"/>
        <v>0</v>
      </c>
      <c r="M96" s="1431" t="str">
        <f t="shared" si="12"/>
        <v/>
      </c>
      <c r="N96" s="250" t="s">
        <v>2187</v>
      </c>
      <c r="O96" s="1430">
        <f>+O66+O72+O81+O86</f>
        <v>0</v>
      </c>
      <c r="P96" s="1430">
        <f>+P66+P72+P81+P86</f>
        <v>0</v>
      </c>
      <c r="Q96" s="1430">
        <f t="shared" si="21"/>
        <v>0</v>
      </c>
      <c r="R96" s="1431" t="str">
        <f t="shared" si="22"/>
        <v/>
      </c>
      <c r="T96" s="245"/>
      <c r="U96" s="245"/>
    </row>
    <row r="97" spans="1:21">
      <c r="A97" s="248">
        <f t="shared" si="16"/>
        <v>91</v>
      </c>
      <c r="B97" s="249" t="s">
        <v>1227</v>
      </c>
      <c r="C97" s="1429"/>
      <c r="D97" s="1429"/>
      <c r="E97" s="1430">
        <f t="shared" si="19"/>
        <v>0</v>
      </c>
      <c r="F97" s="1431" t="str">
        <f t="shared" si="20"/>
        <v/>
      </c>
      <c r="G97" s="1429"/>
      <c r="H97" s="1430">
        <f t="shared" si="17"/>
        <v>0</v>
      </c>
      <c r="I97" s="1429"/>
      <c r="J97" s="1432"/>
      <c r="K97" s="1429"/>
      <c r="L97" s="1430">
        <f t="shared" si="18"/>
        <v>0</v>
      </c>
      <c r="M97" s="1431" t="str">
        <f t="shared" si="12"/>
        <v/>
      </c>
      <c r="N97" s="250" t="s">
        <v>2075</v>
      </c>
      <c r="O97" s="1429"/>
      <c r="P97" s="1429"/>
      <c r="Q97" s="1430">
        <f t="shared" si="21"/>
        <v>0</v>
      </c>
      <c r="R97" s="1431" t="str">
        <f t="shared" si="22"/>
        <v/>
      </c>
      <c r="T97" s="245"/>
      <c r="U97" s="245"/>
    </row>
    <row r="98" spans="1:21">
      <c r="A98" s="248">
        <f t="shared" si="16"/>
        <v>92</v>
      </c>
      <c r="B98" s="249" t="s">
        <v>2188</v>
      </c>
      <c r="C98" s="1430">
        <f>SUM(C99:C100)</f>
        <v>0</v>
      </c>
      <c r="D98" s="1430">
        <f>SUM(D99:D100)</f>
        <v>0</v>
      </c>
      <c r="E98" s="1430">
        <f t="shared" si="19"/>
        <v>0</v>
      </c>
      <c r="F98" s="1431" t="str">
        <f t="shared" si="20"/>
        <v/>
      </c>
      <c r="G98" s="1430">
        <f>SUM(G99:G100)</f>
        <v>0</v>
      </c>
      <c r="H98" s="1430">
        <f t="shared" si="17"/>
        <v>0</v>
      </c>
      <c r="I98" s="1429"/>
      <c r="J98" s="1432"/>
      <c r="K98" s="1429"/>
      <c r="L98" s="1430">
        <f t="shared" si="18"/>
        <v>0</v>
      </c>
      <c r="M98" s="1431" t="str">
        <f t="shared" si="12"/>
        <v/>
      </c>
      <c r="N98" s="250" t="s">
        <v>2076</v>
      </c>
      <c r="O98" s="1430">
        <f>+G104</f>
        <v>0</v>
      </c>
      <c r="P98" s="1429"/>
      <c r="Q98" s="1430">
        <f t="shared" si="21"/>
        <v>0</v>
      </c>
      <c r="R98" s="1431" t="str">
        <f t="shared" si="22"/>
        <v/>
      </c>
      <c r="T98" s="245"/>
      <c r="U98" s="245"/>
    </row>
    <row r="99" spans="1:21">
      <c r="A99" s="248">
        <f t="shared" si="16"/>
        <v>93</v>
      </c>
      <c r="B99" s="249" t="s">
        <v>1130</v>
      </c>
      <c r="C99" s="1429"/>
      <c r="D99" s="1429"/>
      <c r="E99" s="1430">
        <f t="shared" si="19"/>
        <v>0</v>
      </c>
      <c r="F99" s="1431" t="str">
        <f t="shared" si="20"/>
        <v/>
      </c>
      <c r="G99" s="1429"/>
      <c r="H99" s="1430">
        <f t="shared" si="17"/>
        <v>0</v>
      </c>
      <c r="I99" s="1429"/>
      <c r="J99" s="1432"/>
      <c r="K99" s="1429"/>
      <c r="L99" s="1430">
        <f t="shared" si="18"/>
        <v>0</v>
      </c>
      <c r="M99" s="1431" t="str">
        <f t="shared" si="12"/>
        <v/>
      </c>
      <c r="N99" s="250" t="s">
        <v>2077</v>
      </c>
      <c r="O99" s="1429"/>
      <c r="P99" s="1429"/>
      <c r="Q99" s="1430">
        <f t="shared" si="21"/>
        <v>0</v>
      </c>
      <c r="R99" s="1431" t="str">
        <f t="shared" si="22"/>
        <v/>
      </c>
      <c r="T99" s="245"/>
      <c r="U99" s="245"/>
    </row>
    <row r="100" spans="1:21">
      <c r="A100" s="248">
        <f t="shared" si="16"/>
        <v>94</v>
      </c>
      <c r="B100" s="249" t="s">
        <v>1131</v>
      </c>
      <c r="C100" s="1429"/>
      <c r="D100" s="1429"/>
      <c r="E100" s="1430">
        <f t="shared" si="19"/>
        <v>0</v>
      </c>
      <c r="F100" s="1431" t="str">
        <f t="shared" si="20"/>
        <v/>
      </c>
      <c r="G100" s="1429"/>
      <c r="H100" s="1430">
        <f t="shared" si="17"/>
        <v>0</v>
      </c>
      <c r="I100" s="1429"/>
      <c r="J100" s="1432"/>
      <c r="K100" s="1429"/>
      <c r="L100" s="1430">
        <f t="shared" si="18"/>
        <v>0</v>
      </c>
      <c r="M100" s="1431" t="str">
        <f t="shared" si="12"/>
        <v/>
      </c>
      <c r="N100" s="250"/>
      <c r="O100" s="1429"/>
      <c r="P100" s="1429"/>
      <c r="Q100" s="1430">
        <f t="shared" si="21"/>
        <v>0</v>
      </c>
      <c r="R100" s="1431" t="str">
        <f t="shared" si="22"/>
        <v/>
      </c>
      <c r="T100" s="245"/>
      <c r="U100" s="245"/>
    </row>
    <row r="101" spans="1:21">
      <c r="A101" s="248">
        <f t="shared" si="16"/>
        <v>95</v>
      </c>
      <c r="B101" s="249"/>
      <c r="C101" s="1429"/>
      <c r="D101" s="1429"/>
      <c r="E101" s="1429"/>
      <c r="F101" s="1432"/>
      <c r="G101" s="1429"/>
      <c r="H101" s="1429"/>
      <c r="I101" s="1429"/>
      <c r="J101" s="1432"/>
      <c r="K101" s="1429"/>
      <c r="L101" s="1429"/>
      <c r="M101" s="1432"/>
      <c r="N101" s="250" t="s">
        <v>2078</v>
      </c>
      <c r="O101" s="1430">
        <f>+O96-O97-O98+O99</f>
        <v>0</v>
      </c>
      <c r="P101" s="1430">
        <f>+P96-P97-P98+P99</f>
        <v>0</v>
      </c>
      <c r="Q101" s="1430">
        <f t="shared" si="21"/>
        <v>0</v>
      </c>
      <c r="R101" s="1431" t="str">
        <f t="shared" si="22"/>
        <v/>
      </c>
      <c r="T101" s="245"/>
      <c r="U101" s="245"/>
    </row>
    <row r="102" spans="1:21">
      <c r="A102" s="248">
        <f t="shared" si="16"/>
        <v>96</v>
      </c>
      <c r="B102" s="249"/>
      <c r="C102" s="1429"/>
      <c r="D102" s="1429"/>
      <c r="E102" s="1429"/>
      <c r="F102" s="1432"/>
      <c r="G102" s="1429"/>
      <c r="H102" s="1429"/>
      <c r="I102" s="1429"/>
      <c r="J102" s="1432"/>
      <c r="K102" s="1429"/>
      <c r="L102" s="1429"/>
      <c r="M102" s="1432"/>
      <c r="N102" s="250"/>
      <c r="O102" s="1429"/>
      <c r="P102" s="1429"/>
      <c r="Q102" s="1429"/>
      <c r="R102" s="1432"/>
      <c r="T102" s="245"/>
      <c r="U102" s="245"/>
    </row>
    <row r="103" spans="1:21">
      <c r="A103" s="248">
        <f t="shared" si="16"/>
        <v>97</v>
      </c>
      <c r="B103" s="249"/>
      <c r="C103" s="1429"/>
      <c r="D103" s="1429"/>
      <c r="E103" s="1429"/>
      <c r="F103" s="1432"/>
      <c r="G103" s="1429"/>
      <c r="H103" s="1429"/>
      <c r="I103" s="1429"/>
      <c r="J103" s="1432"/>
      <c r="K103" s="1429"/>
      <c r="L103" s="1429"/>
      <c r="M103" s="1428"/>
      <c r="N103" s="250" t="s">
        <v>1167</v>
      </c>
      <c r="O103" s="1430">
        <f>+O96+O63</f>
        <v>0</v>
      </c>
      <c r="P103" s="1429"/>
      <c r="Q103" s="1430">
        <f t="shared" si="21"/>
        <v>0</v>
      </c>
      <c r="R103" s="1431" t="str">
        <f>IF(AND(P103=0,OR(O103&gt;0,O103&lt;0)),+Q103/Q103,IFERROR(+Q103/P103,""))</f>
        <v/>
      </c>
      <c r="T103" s="245"/>
      <c r="U103" s="245"/>
    </row>
    <row r="104" spans="1:21">
      <c r="A104" s="248">
        <f t="shared" si="16"/>
        <v>98</v>
      </c>
      <c r="B104" s="250" t="s">
        <v>1132</v>
      </c>
      <c r="C104" s="1430">
        <f>+C98+C87+C86+C81+C73+C63+C58+C57+C56+C55+C54+C53+C43+C33+C22+C21+C20+C19+C7+C6</f>
        <v>0</v>
      </c>
      <c r="D104" s="1430">
        <f>+D98+D87+D86+D81+D73+D63+D58+D57+D56+D55+D54+D53+D43+D33+D22+D21+D20+D19+D7+D6</f>
        <v>0</v>
      </c>
      <c r="E104" s="1430">
        <f>+E98+E87+E86+E81+E73+E63+E58+E57+E56+E55+E54+E53+E43+E33+E22+E21+E20+E19+E7+E6</f>
        <v>0</v>
      </c>
      <c r="F104" s="1431" t="str">
        <f>IF(C104=0,"",IFERROR(+E104/$E$104,""))</f>
        <v/>
      </c>
      <c r="G104" s="1430">
        <f>+G98+G87+G86+G81+G73+G63+G58+G57+G56+G55+G54+G53+G43+G33+G22+G21+G20+G19+G7+G6</f>
        <v>0</v>
      </c>
      <c r="H104" s="1430">
        <f>+H98+H87+H86+H81+H73+H63+H58+H57+H56+H55+H54+H53+H43+H33+H22+H21+H20+H19+H7+H6</f>
        <v>0</v>
      </c>
      <c r="I104" s="1429"/>
      <c r="J104" s="1432"/>
      <c r="K104" s="1429"/>
      <c r="L104" s="1430">
        <f>+E104-I104</f>
        <v>0</v>
      </c>
      <c r="M104" s="1431" t="str">
        <f>IF(AND(I104=0,OR(E104&gt;0,E104&lt;0)),+L104/L104,IFERROR(+L104/I104,""))</f>
        <v/>
      </c>
      <c r="N104" s="250" t="s">
        <v>1168</v>
      </c>
      <c r="O104" s="1430">
        <f>+O101+O64</f>
        <v>0</v>
      </c>
      <c r="P104" s="1430">
        <f>+P101+P64</f>
        <v>0</v>
      </c>
      <c r="Q104" s="1430">
        <f t="shared" si="21"/>
        <v>0</v>
      </c>
      <c r="R104" s="1431" t="str">
        <f>IF(AND(P104=0,OR(O104&gt;0,O104&lt;0)),+Q104/Q104,IFERROR(+Q104/P104,""))</f>
        <v/>
      </c>
      <c r="T104" s="245"/>
      <c r="U104" s="245"/>
    </row>
    <row r="105" spans="1:21">
      <c r="A105" s="253"/>
      <c r="B105" s="254"/>
      <c r="C105" s="254"/>
      <c r="D105" s="254"/>
      <c r="E105" s="254"/>
      <c r="F105" s="254"/>
      <c r="G105" s="11"/>
      <c r="H105" s="11"/>
      <c r="I105" s="11"/>
      <c r="J105" s="11"/>
      <c r="K105" s="11"/>
      <c r="L105" s="11"/>
      <c r="M105" s="11"/>
      <c r="N105" s="254"/>
      <c r="T105" s="245"/>
      <c r="U105" s="245"/>
    </row>
    <row r="106" spans="1:21" ht="16.5">
      <c r="A106" s="254" t="s">
        <v>820</v>
      </c>
      <c r="B106" s="241"/>
      <c r="C106" s="1421"/>
      <c r="D106" s="1421"/>
      <c r="E106" s="1421"/>
      <c r="F106" s="241"/>
      <c r="G106" s="241"/>
      <c r="H106" s="241"/>
      <c r="I106" s="241"/>
      <c r="J106" s="241"/>
      <c r="K106" s="241"/>
      <c r="L106" s="241"/>
      <c r="M106" s="241"/>
      <c r="N106" s="241"/>
      <c r="T106" s="245"/>
      <c r="U106" s="245"/>
    </row>
    <row r="107" spans="1:21" ht="16.5">
      <c r="A107" s="255">
        <v>1</v>
      </c>
      <c r="B107" s="241" t="s">
        <v>2257</v>
      </c>
      <c r="C107" s="1421"/>
      <c r="D107" s="1421"/>
      <c r="E107" s="1421"/>
      <c r="F107" s="1421"/>
      <c r="G107" s="1421"/>
      <c r="H107" s="1421"/>
      <c r="I107" s="241"/>
      <c r="J107" s="241"/>
      <c r="K107" s="241"/>
      <c r="L107" s="241"/>
      <c r="M107" s="241"/>
      <c r="N107" s="241"/>
      <c r="T107" s="245"/>
      <c r="U107" s="245"/>
    </row>
    <row r="108" spans="1:21" ht="16.5">
      <c r="A108" s="255">
        <v>2</v>
      </c>
      <c r="B108" s="241" t="s">
        <v>2263</v>
      </c>
      <c r="C108" s="1421"/>
      <c r="D108" s="1421"/>
      <c r="E108" s="1421"/>
      <c r="F108" s="241"/>
      <c r="G108" s="241"/>
      <c r="H108" s="241"/>
      <c r="I108" s="241"/>
      <c r="J108" s="241"/>
      <c r="K108" s="241"/>
      <c r="L108" s="241"/>
      <c r="M108" s="241"/>
      <c r="N108" s="241"/>
      <c r="T108" s="245"/>
      <c r="U108" s="245"/>
    </row>
    <row r="109" spans="1:21">
      <c r="A109" s="255">
        <v>3</v>
      </c>
      <c r="B109" s="256" t="s">
        <v>821</v>
      </c>
      <c r="C109" s="256"/>
      <c r="D109" s="256"/>
      <c r="E109" s="256"/>
      <c r="G109" s="241"/>
      <c r="H109" s="241"/>
      <c r="T109" s="245"/>
      <c r="U109" s="245"/>
    </row>
    <row r="110" spans="1:21">
      <c r="A110" s="255">
        <v>4</v>
      </c>
      <c r="B110" s="256" t="s">
        <v>822</v>
      </c>
      <c r="C110" s="256"/>
      <c r="D110" s="256"/>
      <c r="E110" s="256"/>
      <c r="G110" s="241"/>
      <c r="H110" s="241"/>
      <c r="T110" s="245"/>
      <c r="U110" s="245"/>
    </row>
    <row r="111" spans="1:21" ht="16.5">
      <c r="A111" s="257">
        <v>5</v>
      </c>
      <c r="B111" s="256" t="s">
        <v>2256</v>
      </c>
      <c r="C111" s="238"/>
      <c r="D111" s="238"/>
      <c r="E111" s="238"/>
      <c r="T111" s="245"/>
      <c r="U111" s="245"/>
    </row>
    <row r="112" spans="1:21">
      <c r="T112" s="245"/>
      <c r="U112" s="245"/>
    </row>
    <row r="113" spans="1:21">
      <c r="T113" s="245"/>
      <c r="U113" s="245"/>
    </row>
    <row r="114" spans="1:21">
      <c r="T114" s="245"/>
      <c r="U114" s="245"/>
    </row>
    <row r="122" spans="1:21" s="11" customFormat="1">
      <c r="A122" s="257"/>
      <c r="B122" s="240"/>
      <c r="C122" s="240"/>
      <c r="D122" s="240"/>
      <c r="E122" s="240"/>
      <c r="F122" s="240"/>
      <c r="G122" s="240"/>
      <c r="H122" s="240"/>
      <c r="I122" s="240"/>
      <c r="J122" s="240"/>
      <c r="K122" s="240"/>
      <c r="L122" s="240"/>
      <c r="M122" s="240"/>
      <c r="N122" s="240"/>
      <c r="O122" s="240"/>
      <c r="P122" s="240"/>
      <c r="Q122" s="240"/>
      <c r="R122" s="240"/>
      <c r="S122" s="240"/>
    </row>
    <row r="123" spans="1:21" s="11" customFormat="1">
      <c r="A123" s="257"/>
      <c r="B123" s="240"/>
      <c r="C123" s="240"/>
      <c r="D123" s="240"/>
      <c r="E123" s="240"/>
      <c r="F123" s="240"/>
      <c r="G123" s="240"/>
      <c r="H123" s="240"/>
      <c r="I123" s="240"/>
      <c r="J123" s="240"/>
      <c r="K123" s="240"/>
      <c r="L123" s="240"/>
      <c r="M123" s="240"/>
      <c r="N123" s="240"/>
      <c r="O123" s="240"/>
      <c r="P123" s="240"/>
      <c r="Q123" s="240"/>
      <c r="R123" s="240"/>
      <c r="S123" s="240"/>
    </row>
    <row r="124" spans="1:21" s="11" customFormat="1">
      <c r="A124" s="257"/>
      <c r="B124" s="240"/>
      <c r="C124" s="240"/>
      <c r="D124" s="240"/>
      <c r="E124" s="240"/>
      <c r="F124" s="240"/>
      <c r="G124" s="240"/>
      <c r="H124" s="240"/>
      <c r="I124" s="240"/>
      <c r="J124" s="240"/>
      <c r="K124" s="240"/>
      <c r="L124" s="240"/>
      <c r="M124" s="240"/>
      <c r="N124" s="240"/>
      <c r="O124" s="240"/>
      <c r="P124" s="240"/>
      <c r="Q124" s="240"/>
      <c r="R124" s="240"/>
      <c r="S124" s="240"/>
    </row>
  </sheetData>
  <mergeCells count="8">
    <mergeCell ref="N3:N4"/>
    <mergeCell ref="Q3:R3"/>
    <mergeCell ref="P2:R2"/>
    <mergeCell ref="A3:A5"/>
    <mergeCell ref="B3:B4"/>
    <mergeCell ref="C3:H3"/>
    <mergeCell ref="I3:K3"/>
    <mergeCell ref="L3:M3"/>
  </mergeCells>
  <phoneticPr fontId="26" type="noConversion"/>
  <printOptions horizontalCentered="1"/>
  <pageMargins left="0.19685039370078741" right="0.19685039370078741" top="0.39370078740157483" bottom="0.39370078740157483" header="0" footer="0"/>
  <pageSetup paperSize="9" scale="34" orientation="landscape" cellComments="asDisplayed" horizontalDpi="4294967295" verticalDpi="4294967295" r:id="rId1"/>
  <headerFooter alignWithMargins="0">
    <oddFooter>&amp;C&amp;P+14&amp;R&amp;"Times New Roman,標準"&amp;A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6"/>
  <sheetViews>
    <sheetView zoomScaleNormal="100" zoomScaleSheetLayoutView="100" workbookViewId="0">
      <pane xSplit="1" ySplit="5" topLeftCell="B6" activePane="bottomRight" state="frozen"/>
      <selection pane="topRight"/>
      <selection pane="bottomLeft"/>
      <selection pane="bottomRight"/>
    </sheetView>
  </sheetViews>
  <sheetFormatPr defaultRowHeight="16.5"/>
  <cols>
    <col min="1" max="1" width="5.125" style="530" customWidth="1"/>
    <col min="2" max="3" width="5" style="530" bestFit="1" customWidth="1"/>
    <col min="4" max="4" width="7.625" style="530" bestFit="1" customWidth="1"/>
    <col min="5" max="5" width="10.375" style="530" customWidth="1"/>
    <col min="6" max="6" width="12.375" style="530" customWidth="1"/>
    <col min="7" max="7" width="11.375" style="530" customWidth="1"/>
    <col min="8" max="9" width="12.25" style="530" bestFit="1" customWidth="1"/>
    <col min="10" max="10" width="8.5" style="530" bestFit="1" customWidth="1"/>
    <col min="11" max="11" width="12.875" style="530" customWidth="1"/>
    <col min="12" max="13" width="7.625" style="530" bestFit="1" customWidth="1"/>
    <col min="14" max="14" width="9.5" style="530" customWidth="1"/>
    <col min="15" max="15" width="9.125" style="530" customWidth="1"/>
    <col min="16" max="16" width="5.625" style="530" customWidth="1"/>
    <col min="17" max="16384" width="9" style="530"/>
  </cols>
  <sheetData>
    <row r="1" spans="1:16">
      <c r="A1" s="528" t="s">
        <v>694</v>
      </c>
      <c r="B1" s="261"/>
      <c r="C1" s="261"/>
      <c r="D1" s="529"/>
      <c r="E1" s="529"/>
      <c r="F1" s="529"/>
      <c r="G1" s="529"/>
      <c r="H1" s="529"/>
      <c r="I1" s="529"/>
      <c r="J1" s="529"/>
      <c r="K1" s="529"/>
      <c r="L1" s="529"/>
      <c r="M1" s="529"/>
      <c r="N1" s="529"/>
      <c r="O1" s="529"/>
      <c r="P1" s="50"/>
    </row>
    <row r="2" spans="1:16">
      <c r="A2" s="50" t="s">
        <v>947</v>
      </c>
      <c r="B2" s="50"/>
      <c r="C2" s="50"/>
      <c r="D2" s="50"/>
      <c r="E2" s="50"/>
      <c r="F2" s="50"/>
      <c r="G2" s="50"/>
      <c r="H2" s="50"/>
      <c r="I2" s="50"/>
      <c r="J2" s="50"/>
      <c r="K2" s="50"/>
      <c r="L2" s="50"/>
      <c r="M2" s="50"/>
      <c r="N2" s="262"/>
      <c r="O2" s="262"/>
      <c r="P2" s="262" t="s">
        <v>188</v>
      </c>
    </row>
    <row r="3" spans="1:16" ht="30" customHeight="1">
      <c r="A3" s="2844" t="s">
        <v>183</v>
      </c>
      <c r="B3" s="2795" t="s">
        <v>152</v>
      </c>
      <c r="C3" s="2795"/>
      <c r="D3" s="541" t="s">
        <v>696</v>
      </c>
      <c r="E3" s="541"/>
      <c r="F3" s="541"/>
      <c r="G3" s="541"/>
      <c r="H3" s="541"/>
      <c r="I3" s="541"/>
      <c r="J3" s="541"/>
      <c r="K3" s="541"/>
      <c r="L3" s="2810" t="s">
        <v>697</v>
      </c>
      <c r="M3" s="2847"/>
      <c r="N3" s="2785" t="s">
        <v>698</v>
      </c>
      <c r="O3" s="2785" t="s">
        <v>699</v>
      </c>
      <c r="P3" s="2250" t="s">
        <v>121</v>
      </c>
    </row>
    <row r="4" spans="1:16" ht="28.5" customHeight="1">
      <c r="A4" s="2845"/>
      <c r="B4" s="542" t="s">
        <v>162</v>
      </c>
      <c r="C4" s="542" t="s">
        <v>163</v>
      </c>
      <c r="D4" s="543" t="s">
        <v>700</v>
      </c>
      <c r="E4" s="543" t="s">
        <v>701</v>
      </c>
      <c r="F4" s="543" t="s">
        <v>702</v>
      </c>
      <c r="G4" s="544" t="s">
        <v>703</v>
      </c>
      <c r="H4" s="543" t="s">
        <v>704</v>
      </c>
      <c r="I4" s="544" t="s">
        <v>705</v>
      </c>
      <c r="J4" s="543" t="s">
        <v>706</v>
      </c>
      <c r="K4" s="544" t="s">
        <v>483</v>
      </c>
      <c r="L4" s="543" t="s">
        <v>707</v>
      </c>
      <c r="M4" s="543" t="s">
        <v>708</v>
      </c>
      <c r="N4" s="2848"/>
      <c r="O4" s="2848"/>
      <c r="P4" s="543"/>
    </row>
    <row r="5" spans="1:16" ht="45" customHeight="1">
      <c r="A5" s="2846"/>
      <c r="B5" s="533" t="s">
        <v>122</v>
      </c>
      <c r="C5" s="533" t="s">
        <v>67</v>
      </c>
      <c r="D5" s="533" t="s">
        <v>68</v>
      </c>
      <c r="E5" s="533" t="s">
        <v>69</v>
      </c>
      <c r="F5" s="533" t="s">
        <v>70</v>
      </c>
      <c r="G5" s="533" t="s">
        <v>71</v>
      </c>
      <c r="H5" s="533" t="s">
        <v>72</v>
      </c>
      <c r="I5" s="533" t="s">
        <v>73</v>
      </c>
      <c r="J5" s="533" t="s">
        <v>74</v>
      </c>
      <c r="K5" s="534" t="s">
        <v>709</v>
      </c>
      <c r="L5" s="534" t="s">
        <v>131</v>
      </c>
      <c r="M5" s="534" t="s">
        <v>465</v>
      </c>
      <c r="N5" s="534" t="s">
        <v>710</v>
      </c>
      <c r="O5" s="534" t="s">
        <v>711</v>
      </c>
      <c r="P5" s="533" t="s">
        <v>135</v>
      </c>
    </row>
    <row r="6" spans="1:16">
      <c r="A6" s="535">
        <v>1</v>
      </c>
      <c r="B6" s="536"/>
      <c r="C6" s="536"/>
      <c r="D6" s="545"/>
      <c r="E6" s="545"/>
      <c r="F6" s="546"/>
      <c r="G6" s="537"/>
      <c r="H6" s="537"/>
      <c r="I6" s="537"/>
      <c r="J6" s="545"/>
      <c r="K6" s="546"/>
      <c r="L6" s="537"/>
      <c r="M6" s="537"/>
      <c r="N6" s="538"/>
      <c r="O6" s="538"/>
      <c r="P6" s="539"/>
    </row>
    <row r="7" spans="1:16">
      <c r="A7" s="535">
        <v>2</v>
      </c>
      <c r="B7" s="536"/>
      <c r="C7" s="536"/>
      <c r="D7" s="537"/>
      <c r="E7" s="537"/>
      <c r="F7" s="537"/>
      <c r="G7" s="537"/>
      <c r="H7" s="537"/>
      <c r="I7" s="537"/>
      <c r="J7" s="537"/>
      <c r="K7" s="537"/>
      <c r="L7" s="537"/>
      <c r="M7" s="537"/>
      <c r="N7" s="538"/>
      <c r="O7" s="538"/>
      <c r="P7" s="539"/>
    </row>
    <row r="8" spans="1:16">
      <c r="A8" s="535">
        <v>3</v>
      </c>
      <c r="B8" s="536"/>
      <c r="C8" s="536"/>
      <c r="D8" s="537"/>
      <c r="E8" s="537"/>
      <c r="F8" s="537"/>
      <c r="G8" s="537"/>
      <c r="H8" s="537"/>
      <c r="I8" s="537"/>
      <c r="J8" s="537"/>
      <c r="K8" s="537"/>
      <c r="L8" s="537"/>
      <c r="M8" s="537"/>
      <c r="N8" s="538"/>
      <c r="O8" s="538"/>
      <c r="P8" s="539"/>
    </row>
    <row r="9" spans="1:16">
      <c r="A9" s="535">
        <v>4</v>
      </c>
      <c r="B9" s="536"/>
      <c r="C9" s="536"/>
      <c r="D9" s="537"/>
      <c r="E9" s="537"/>
      <c r="F9" s="537"/>
      <c r="G9" s="537"/>
      <c r="H9" s="537"/>
      <c r="I9" s="537"/>
      <c r="J9" s="537"/>
      <c r="K9" s="537"/>
      <c r="L9" s="537"/>
      <c r="M9" s="537"/>
      <c r="N9" s="538"/>
      <c r="O9" s="538"/>
      <c r="P9" s="539"/>
    </row>
    <row r="10" spans="1:16">
      <c r="A10" s="535">
        <v>5</v>
      </c>
      <c r="B10" s="536"/>
      <c r="C10" s="536"/>
      <c r="D10" s="537"/>
      <c r="E10" s="537"/>
      <c r="F10" s="537"/>
      <c r="G10" s="537"/>
      <c r="H10" s="537"/>
      <c r="I10" s="537"/>
      <c r="J10" s="537"/>
      <c r="K10" s="537"/>
      <c r="L10" s="537"/>
      <c r="M10" s="537"/>
      <c r="N10" s="538"/>
      <c r="O10" s="538"/>
      <c r="P10" s="539"/>
    </row>
    <row r="11" spans="1:16">
      <c r="A11" s="535">
        <v>6</v>
      </c>
      <c r="B11" s="536"/>
      <c r="C11" s="536"/>
      <c r="D11" s="537"/>
      <c r="E11" s="537"/>
      <c r="F11" s="537"/>
      <c r="G11" s="537"/>
      <c r="H11" s="537"/>
      <c r="I11" s="537"/>
      <c r="J11" s="537"/>
      <c r="K11" s="537"/>
      <c r="L11" s="537"/>
      <c r="M11" s="537"/>
      <c r="N11" s="538"/>
      <c r="O11" s="538"/>
      <c r="P11" s="539"/>
    </row>
    <row r="12" spans="1:16">
      <c r="A12" s="535">
        <v>7</v>
      </c>
      <c r="B12" s="536"/>
      <c r="C12" s="536"/>
      <c r="D12" s="537"/>
      <c r="E12" s="537"/>
      <c r="F12" s="537"/>
      <c r="G12" s="537"/>
      <c r="H12" s="537"/>
      <c r="I12" s="537"/>
      <c r="J12" s="537"/>
      <c r="K12" s="537"/>
      <c r="L12" s="537"/>
      <c r="M12" s="537"/>
      <c r="N12" s="538"/>
      <c r="O12" s="538"/>
      <c r="P12" s="539"/>
    </row>
    <row r="13" spans="1:16">
      <c r="A13" s="535">
        <v>8</v>
      </c>
      <c r="B13" s="536"/>
      <c r="C13" s="536"/>
      <c r="D13" s="537"/>
      <c r="E13" s="537"/>
      <c r="F13" s="537"/>
      <c r="G13" s="537"/>
      <c r="H13" s="537"/>
      <c r="I13" s="537"/>
      <c r="J13" s="537"/>
      <c r="K13" s="537"/>
      <c r="L13" s="537"/>
      <c r="M13" s="537"/>
      <c r="N13" s="538"/>
      <c r="O13" s="538"/>
      <c r="P13" s="539"/>
    </row>
    <row r="14" spans="1:16">
      <c r="A14" s="535">
        <v>9</v>
      </c>
      <c r="B14" s="536"/>
      <c r="C14" s="536"/>
      <c r="D14" s="537"/>
      <c r="E14" s="537"/>
      <c r="F14" s="537"/>
      <c r="G14" s="537"/>
      <c r="H14" s="537"/>
      <c r="I14" s="537"/>
      <c r="J14" s="537"/>
      <c r="K14" s="537"/>
      <c r="L14" s="537"/>
      <c r="M14" s="537"/>
      <c r="N14" s="538"/>
      <c r="O14" s="538"/>
      <c r="P14" s="539"/>
    </row>
    <row r="15" spans="1:16">
      <c r="A15" s="535">
        <v>10</v>
      </c>
      <c r="B15" s="536"/>
      <c r="C15" s="536"/>
      <c r="D15" s="537"/>
      <c r="E15" s="537"/>
      <c r="F15" s="537"/>
      <c r="G15" s="537"/>
      <c r="H15" s="537"/>
      <c r="I15" s="537"/>
      <c r="J15" s="537"/>
      <c r="K15" s="537"/>
      <c r="L15" s="537"/>
      <c r="M15" s="537"/>
      <c r="N15" s="538"/>
      <c r="O15" s="538"/>
      <c r="P15" s="539"/>
    </row>
    <row r="16" spans="1:16">
      <c r="A16" s="535">
        <v>11</v>
      </c>
      <c r="B16" s="536"/>
      <c r="C16" s="536"/>
      <c r="D16" s="537"/>
      <c r="E16" s="537"/>
      <c r="F16" s="537"/>
      <c r="G16" s="537"/>
      <c r="H16" s="537"/>
      <c r="I16" s="537"/>
      <c r="J16" s="537"/>
      <c r="K16" s="537"/>
      <c r="L16" s="537"/>
      <c r="M16" s="537"/>
      <c r="N16" s="538"/>
      <c r="O16" s="538"/>
      <c r="P16" s="539"/>
    </row>
    <row r="17" spans="1:31">
      <c r="A17" s="535">
        <v>12</v>
      </c>
      <c r="B17" s="536"/>
      <c r="C17" s="536"/>
      <c r="D17" s="537"/>
      <c r="E17" s="537"/>
      <c r="F17" s="537"/>
      <c r="G17" s="537"/>
      <c r="H17" s="537"/>
      <c r="I17" s="537"/>
      <c r="J17" s="537"/>
      <c r="K17" s="537"/>
      <c r="L17" s="537"/>
      <c r="M17" s="537"/>
      <c r="N17" s="538"/>
      <c r="O17" s="538"/>
      <c r="P17" s="539"/>
      <c r="Q17" s="50"/>
      <c r="R17" s="50"/>
      <c r="S17" s="50"/>
      <c r="T17" s="50"/>
      <c r="U17" s="50"/>
      <c r="V17" s="50"/>
      <c r="W17" s="50"/>
      <c r="X17" s="50"/>
      <c r="Y17" s="50"/>
      <c r="Z17" s="50"/>
      <c r="AA17" s="50"/>
      <c r="AB17" s="50"/>
      <c r="AC17" s="50"/>
      <c r="AD17" s="50"/>
      <c r="AE17" s="50"/>
    </row>
    <row r="18" spans="1:31">
      <c r="A18" s="535">
        <v>13</v>
      </c>
      <c r="B18" s="536"/>
      <c r="C18" s="536"/>
      <c r="D18" s="537"/>
      <c r="E18" s="537"/>
      <c r="F18" s="537"/>
      <c r="G18" s="537"/>
      <c r="H18" s="537"/>
      <c r="I18" s="537"/>
      <c r="J18" s="537"/>
      <c r="K18" s="537"/>
      <c r="L18" s="537"/>
      <c r="M18" s="537"/>
      <c r="N18" s="538"/>
      <c r="O18" s="538"/>
      <c r="P18" s="539"/>
      <c r="Q18" s="50"/>
      <c r="R18" s="50"/>
      <c r="S18" s="50"/>
      <c r="T18" s="50"/>
      <c r="U18" s="50"/>
      <c r="V18" s="50"/>
      <c r="W18" s="50"/>
      <c r="X18" s="50"/>
      <c r="Y18" s="50"/>
      <c r="Z18" s="50"/>
      <c r="AA18" s="50"/>
      <c r="AB18" s="50"/>
      <c r="AC18" s="50"/>
      <c r="AD18" s="50"/>
      <c r="AE18" s="50"/>
    </row>
    <row r="19" spans="1:31">
      <c r="A19" s="535">
        <v>14</v>
      </c>
      <c r="B19" s="536"/>
      <c r="C19" s="536"/>
      <c r="D19" s="537"/>
      <c r="E19" s="537"/>
      <c r="F19" s="537"/>
      <c r="G19" s="537"/>
      <c r="H19" s="537"/>
      <c r="I19" s="537"/>
      <c r="J19" s="537"/>
      <c r="K19" s="537"/>
      <c r="L19" s="537"/>
      <c r="M19" s="537"/>
      <c r="N19" s="538"/>
      <c r="O19" s="538"/>
      <c r="P19" s="539"/>
      <c r="Q19" s="50"/>
      <c r="R19" s="50"/>
      <c r="S19" s="50"/>
      <c r="T19" s="50"/>
      <c r="U19" s="50"/>
      <c r="V19" s="50"/>
      <c r="W19" s="50"/>
      <c r="X19" s="50"/>
      <c r="Y19" s="50"/>
      <c r="Z19" s="50"/>
      <c r="AA19" s="50"/>
      <c r="AB19" s="50"/>
      <c r="AC19" s="50"/>
      <c r="AD19" s="50"/>
      <c r="AE19" s="50"/>
    </row>
    <row r="20" spans="1:31">
      <c r="A20" s="535">
        <v>15</v>
      </c>
      <c r="B20" s="536"/>
      <c r="C20" s="536"/>
      <c r="D20" s="537"/>
      <c r="E20" s="537"/>
      <c r="F20" s="537"/>
      <c r="G20" s="537"/>
      <c r="H20" s="537"/>
      <c r="I20" s="537"/>
      <c r="J20" s="537"/>
      <c r="K20" s="537"/>
      <c r="L20" s="537"/>
      <c r="M20" s="537"/>
      <c r="N20" s="538"/>
      <c r="O20" s="538"/>
      <c r="P20" s="539"/>
      <c r="Q20" s="50"/>
      <c r="R20" s="50"/>
      <c r="S20" s="50"/>
      <c r="T20" s="50"/>
      <c r="U20" s="50"/>
      <c r="V20" s="50"/>
      <c r="W20" s="50"/>
      <c r="X20" s="50"/>
      <c r="Y20" s="50"/>
      <c r="Z20" s="50"/>
      <c r="AA20" s="50"/>
      <c r="AB20" s="50"/>
      <c r="AC20" s="50"/>
      <c r="AD20" s="50"/>
      <c r="AE20" s="50"/>
    </row>
    <row r="21" spans="1:31">
      <c r="A21" s="535">
        <v>16</v>
      </c>
      <c r="B21" s="536"/>
      <c r="C21" s="536"/>
      <c r="D21" s="537"/>
      <c r="E21" s="537"/>
      <c r="F21" s="537"/>
      <c r="G21" s="537"/>
      <c r="H21" s="537"/>
      <c r="I21" s="537"/>
      <c r="J21" s="537"/>
      <c r="K21" s="537"/>
      <c r="L21" s="537"/>
      <c r="M21" s="537"/>
      <c r="N21" s="538"/>
      <c r="O21" s="538"/>
      <c r="P21" s="539"/>
      <c r="Q21" s="50"/>
      <c r="R21" s="50"/>
      <c r="S21" s="50"/>
      <c r="T21" s="50"/>
      <c r="U21" s="50"/>
      <c r="V21" s="50"/>
      <c r="W21" s="50"/>
      <c r="X21" s="50"/>
      <c r="Y21" s="50"/>
      <c r="Z21" s="50"/>
      <c r="AA21" s="50"/>
      <c r="AB21" s="50"/>
      <c r="AC21" s="50"/>
      <c r="AD21" s="50"/>
      <c r="AE21" s="50"/>
    </row>
    <row r="22" spans="1:31">
      <c r="A22" s="535">
        <v>17</v>
      </c>
      <c r="B22" s="536"/>
      <c r="C22" s="536"/>
      <c r="D22" s="537"/>
      <c r="E22" s="537"/>
      <c r="F22" s="537"/>
      <c r="G22" s="537"/>
      <c r="H22" s="537"/>
      <c r="I22" s="537"/>
      <c r="J22" s="537"/>
      <c r="K22" s="537"/>
      <c r="L22" s="537"/>
      <c r="M22" s="537"/>
      <c r="N22" s="538"/>
      <c r="O22" s="538"/>
      <c r="P22" s="539"/>
      <c r="Q22" s="50"/>
      <c r="R22" s="50"/>
      <c r="S22" s="50"/>
      <c r="T22" s="50"/>
      <c r="U22" s="50"/>
      <c r="V22" s="50"/>
      <c r="W22" s="50"/>
      <c r="X22" s="50"/>
      <c r="Y22" s="50"/>
      <c r="Z22" s="50"/>
      <c r="AA22" s="50"/>
      <c r="AB22" s="50"/>
      <c r="AC22" s="50"/>
      <c r="AD22" s="50"/>
      <c r="AE22" s="50"/>
    </row>
    <row r="23" spans="1:31">
      <c r="A23" s="535">
        <v>18</v>
      </c>
      <c r="B23" s="536"/>
      <c r="C23" s="536"/>
      <c r="D23" s="537"/>
      <c r="E23" s="537"/>
      <c r="F23" s="537"/>
      <c r="G23" s="537"/>
      <c r="H23" s="537"/>
      <c r="I23" s="537"/>
      <c r="J23" s="537"/>
      <c r="K23" s="537"/>
      <c r="L23" s="537"/>
      <c r="M23" s="537"/>
      <c r="N23" s="538"/>
      <c r="O23" s="538"/>
      <c r="P23" s="539"/>
      <c r="Q23" s="50"/>
      <c r="R23" s="50"/>
      <c r="S23" s="50"/>
      <c r="T23" s="50"/>
      <c r="U23" s="50"/>
      <c r="V23" s="50"/>
      <c r="W23" s="50"/>
      <c r="X23" s="50"/>
      <c r="Y23" s="50"/>
      <c r="Z23" s="50"/>
      <c r="AA23" s="50"/>
      <c r="AB23" s="50"/>
      <c r="AC23" s="50"/>
      <c r="AD23" s="50"/>
      <c r="AE23" s="50"/>
    </row>
    <row r="24" spans="1:31">
      <c r="A24" s="535">
        <v>19</v>
      </c>
      <c r="B24" s="536"/>
      <c r="C24" s="536"/>
      <c r="D24" s="537"/>
      <c r="E24" s="537"/>
      <c r="F24" s="537"/>
      <c r="G24" s="537"/>
      <c r="H24" s="537"/>
      <c r="I24" s="537"/>
      <c r="J24" s="537"/>
      <c r="K24" s="537"/>
      <c r="L24" s="537"/>
      <c r="M24" s="537"/>
      <c r="N24" s="538"/>
      <c r="O24" s="538"/>
      <c r="P24" s="539"/>
      <c r="Q24" s="50"/>
      <c r="R24" s="50"/>
      <c r="S24" s="50"/>
      <c r="T24" s="50"/>
      <c r="U24" s="50"/>
      <c r="V24" s="50"/>
      <c r="W24" s="50"/>
      <c r="X24" s="50"/>
      <c r="Y24" s="50"/>
      <c r="Z24" s="50"/>
      <c r="AA24" s="50"/>
      <c r="AB24" s="50"/>
      <c r="AC24" s="50"/>
      <c r="AD24" s="50"/>
      <c r="AE24" s="50"/>
    </row>
    <row r="25" spans="1:31">
      <c r="A25" s="535">
        <v>20</v>
      </c>
      <c r="B25" s="2796" t="s">
        <v>85</v>
      </c>
      <c r="C25" s="2797"/>
      <c r="D25" s="537"/>
      <c r="E25" s="537"/>
      <c r="F25" s="537"/>
      <c r="G25" s="537"/>
      <c r="H25" s="537"/>
      <c r="I25" s="537"/>
      <c r="J25" s="537"/>
      <c r="K25" s="537"/>
      <c r="L25" s="537"/>
      <c r="M25" s="537"/>
      <c r="N25" s="537"/>
      <c r="O25" s="537"/>
      <c r="P25" s="540"/>
      <c r="Q25" s="50"/>
      <c r="R25" s="50"/>
      <c r="S25" s="50"/>
      <c r="T25" s="50"/>
      <c r="U25" s="50"/>
      <c r="V25" s="50"/>
      <c r="W25" s="50"/>
      <c r="X25" s="50"/>
      <c r="Y25" s="50"/>
      <c r="Z25" s="50"/>
      <c r="AA25" s="50"/>
      <c r="AB25" s="50"/>
      <c r="AC25" s="50"/>
      <c r="AD25" s="50"/>
      <c r="AE25" s="50"/>
    </row>
    <row r="26" spans="1:31">
      <c r="A26" s="266" t="s">
        <v>493</v>
      </c>
      <c r="B26" s="2251"/>
      <c r="C26" s="2251"/>
      <c r="D26" s="2251"/>
      <c r="E26" s="2251"/>
      <c r="F26" s="2251"/>
      <c r="G26" s="2251"/>
      <c r="H26" s="2251"/>
      <c r="I26" s="2251"/>
      <c r="J26" s="2251"/>
      <c r="K26" s="2251"/>
      <c r="L26" s="2251"/>
      <c r="M26" s="2251"/>
      <c r="N26" s="2251"/>
      <c r="O26" s="2251"/>
      <c r="P26" s="2251"/>
      <c r="Q26" s="2251"/>
      <c r="R26" s="267"/>
      <c r="S26" s="268"/>
      <c r="T26" s="268"/>
      <c r="U26" s="268"/>
      <c r="V26" s="268"/>
      <c r="W26" s="268"/>
      <c r="X26" s="268"/>
      <c r="Y26" s="268"/>
      <c r="Z26" s="268"/>
      <c r="AA26" s="268"/>
      <c r="AB26" s="268"/>
      <c r="AC26" s="268"/>
      <c r="AD26" s="268"/>
      <c r="AE26" s="268"/>
    </row>
    <row r="27" spans="1:31" ht="16.5" customHeight="1">
      <c r="A27" s="269">
        <v>1</v>
      </c>
      <c r="B27" s="2787" t="s">
        <v>712</v>
      </c>
      <c r="C27" s="2787"/>
      <c r="D27" s="2787"/>
      <c r="E27" s="2787"/>
      <c r="F27" s="2787"/>
      <c r="G27" s="2787"/>
      <c r="H27" s="2787"/>
      <c r="I27" s="2787"/>
      <c r="J27" s="2787"/>
      <c r="K27" s="2787"/>
      <c r="L27" s="2841"/>
      <c r="M27" s="2841"/>
      <c r="N27" s="2841"/>
      <c r="O27" s="2841"/>
      <c r="P27" s="2251"/>
      <c r="Q27" s="2251"/>
      <c r="R27" s="267"/>
      <c r="S27" s="268"/>
      <c r="T27" s="268"/>
      <c r="U27" s="268"/>
      <c r="V27" s="268"/>
      <c r="W27" s="268"/>
      <c r="X27" s="268"/>
      <c r="Y27" s="268"/>
      <c r="Z27" s="268"/>
      <c r="AA27" s="268"/>
      <c r="AB27" s="268"/>
      <c r="AC27" s="268"/>
      <c r="AD27" s="268"/>
      <c r="AE27" s="268"/>
    </row>
    <row r="28" spans="1:31">
      <c r="B28" s="2842"/>
      <c r="C28" s="2843"/>
      <c r="D28" s="2843"/>
      <c r="E28" s="2843"/>
      <c r="F28" s="2843"/>
      <c r="G28" s="2843"/>
      <c r="H28" s="2843"/>
      <c r="I28" s="2843"/>
      <c r="J28" s="2843"/>
      <c r="K28" s="2843"/>
      <c r="L28" s="2843"/>
      <c r="M28" s="2843"/>
      <c r="N28" s="2843"/>
      <c r="O28" s="2843"/>
      <c r="P28" s="2843"/>
      <c r="Q28" s="2843"/>
      <c r="R28" s="2843"/>
      <c r="S28" s="2843"/>
    </row>
    <row r="29" spans="1:31">
      <c r="B29" s="2842"/>
      <c r="C29" s="2843"/>
      <c r="D29" s="2843"/>
      <c r="E29" s="2843"/>
      <c r="F29" s="2843"/>
      <c r="G29" s="2843"/>
      <c r="H29" s="2843"/>
      <c r="I29" s="2843"/>
      <c r="J29" s="2843"/>
      <c r="K29" s="2843"/>
      <c r="L29" s="2843"/>
      <c r="M29" s="2843"/>
      <c r="N29" s="2843"/>
      <c r="O29" s="2843"/>
      <c r="P29" s="2843"/>
      <c r="Q29" s="2843"/>
      <c r="R29" s="2843"/>
      <c r="S29" s="2843"/>
    </row>
    <row r="30" spans="1:31">
      <c r="N30" s="2251"/>
      <c r="O30" s="2251"/>
    </row>
    <row r="31" spans="1:31">
      <c r="N31" s="2251"/>
      <c r="O31" s="2251"/>
    </row>
    <row r="32" spans="1:31">
      <c r="N32" s="2251"/>
      <c r="O32" s="2251"/>
    </row>
    <row r="33" spans="14:15">
      <c r="N33" s="2251"/>
      <c r="O33" s="2251"/>
    </row>
    <row r="35" spans="14:15">
      <c r="N35" s="2251"/>
      <c r="O35" s="2251"/>
    </row>
    <row r="36" spans="14:15">
      <c r="N36" s="2251"/>
      <c r="O36" s="2251"/>
    </row>
  </sheetData>
  <mergeCells count="9">
    <mergeCell ref="B27:O27"/>
    <mergeCell ref="B28:S28"/>
    <mergeCell ref="B29:S29"/>
    <mergeCell ref="A3:A5"/>
    <mergeCell ref="B3:C3"/>
    <mergeCell ref="L3:M3"/>
    <mergeCell ref="N3:N4"/>
    <mergeCell ref="O3:O4"/>
    <mergeCell ref="B25:C25"/>
  </mergeCells>
  <phoneticPr fontId="26" type="noConversion"/>
  <pageMargins left="0.19685039370078741" right="0.19685039370078741" top="0.39370078740157483" bottom="0.19685039370078741" header="0.31496062992125984" footer="0.51181102362204722"/>
  <pageSetup paperSize="9" orientation="landscape" horizontalDpi="4294967295" verticalDpi="4294967295" r:id="rId1"/>
  <headerFooter alignWithMargins="0">
    <oddHeader>&amp;R&amp;D</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36"/>
  <sheetViews>
    <sheetView zoomScaleNormal="100" workbookViewId="0">
      <pane xSplit="1" ySplit="5" topLeftCell="B6" activePane="bottomRight" state="frozen"/>
      <selection pane="topRight"/>
      <selection pane="bottomLeft"/>
      <selection pane="bottomRight"/>
    </sheetView>
  </sheetViews>
  <sheetFormatPr defaultRowHeight="16.5"/>
  <cols>
    <col min="1" max="1" width="5.125" style="530" customWidth="1"/>
    <col min="2" max="3" width="5" style="530" bestFit="1" customWidth="1"/>
    <col min="4" max="4" width="7.625" style="530" bestFit="1" customWidth="1"/>
    <col min="5" max="5" width="10.375" style="530" customWidth="1"/>
    <col min="6" max="6" width="12.375" style="530" customWidth="1"/>
    <col min="7" max="7" width="11.375" style="530" customWidth="1"/>
    <col min="8" max="9" width="12.25" style="530" bestFit="1" customWidth="1"/>
    <col min="10" max="10" width="8.5" style="530" bestFit="1" customWidth="1"/>
    <col min="11" max="11" width="12.875" style="530" customWidth="1"/>
    <col min="12" max="13" width="7.625" style="530" bestFit="1" customWidth="1"/>
    <col min="14" max="14" width="9.5" style="530" customWidth="1"/>
    <col min="15" max="15" width="9.125" style="530" customWidth="1"/>
    <col min="16" max="16" width="5.375" style="530" customWidth="1"/>
    <col min="17" max="16384" width="9" style="530"/>
  </cols>
  <sheetData>
    <row r="1" spans="1:16">
      <c r="A1" s="528" t="s">
        <v>694</v>
      </c>
      <c r="B1" s="261"/>
      <c r="C1" s="261"/>
      <c r="D1" s="529"/>
      <c r="E1" s="529"/>
      <c r="F1" s="529"/>
      <c r="G1" s="529"/>
      <c r="H1" s="529"/>
      <c r="I1" s="529"/>
      <c r="J1" s="529"/>
      <c r="K1" s="529"/>
      <c r="L1" s="529"/>
      <c r="M1" s="529"/>
      <c r="N1" s="529"/>
      <c r="O1" s="529"/>
      <c r="P1" s="50"/>
    </row>
    <row r="2" spans="1:16">
      <c r="A2" s="50" t="s">
        <v>948</v>
      </c>
      <c r="B2" s="50"/>
      <c r="C2" s="50"/>
      <c r="D2" s="50"/>
      <c r="E2" s="50"/>
      <c r="F2" s="50"/>
      <c r="G2" s="50"/>
      <c r="H2" s="50"/>
      <c r="I2" s="50"/>
      <c r="J2" s="50"/>
      <c r="K2" s="50"/>
      <c r="L2" s="50"/>
      <c r="M2" s="50"/>
      <c r="N2" s="262"/>
      <c r="O2" s="262"/>
      <c r="P2" s="262" t="s">
        <v>188</v>
      </c>
    </row>
    <row r="3" spans="1:16" ht="30" customHeight="1">
      <c r="A3" s="2844" t="s">
        <v>183</v>
      </c>
      <c r="B3" s="2795" t="s">
        <v>152</v>
      </c>
      <c r="C3" s="2795"/>
      <c r="D3" s="541" t="s">
        <v>696</v>
      </c>
      <c r="E3" s="541"/>
      <c r="F3" s="541"/>
      <c r="G3" s="541"/>
      <c r="H3" s="541"/>
      <c r="I3" s="541"/>
      <c r="J3" s="541"/>
      <c r="K3" s="541"/>
      <c r="L3" s="2810" t="s">
        <v>697</v>
      </c>
      <c r="M3" s="2847"/>
      <c r="N3" s="2785" t="s">
        <v>698</v>
      </c>
      <c r="O3" s="2785" t="s">
        <v>699</v>
      </c>
      <c r="P3" s="2250" t="s">
        <v>121</v>
      </c>
    </row>
    <row r="4" spans="1:16" ht="28.5" customHeight="1">
      <c r="A4" s="2845"/>
      <c r="B4" s="542" t="s">
        <v>162</v>
      </c>
      <c r="C4" s="542" t="s">
        <v>163</v>
      </c>
      <c r="D4" s="543" t="s">
        <v>700</v>
      </c>
      <c r="E4" s="543" t="s">
        <v>701</v>
      </c>
      <c r="F4" s="543" t="s">
        <v>702</v>
      </c>
      <c r="G4" s="544" t="s">
        <v>703</v>
      </c>
      <c r="H4" s="543" t="s">
        <v>704</v>
      </c>
      <c r="I4" s="544" t="s">
        <v>705</v>
      </c>
      <c r="J4" s="543" t="s">
        <v>706</v>
      </c>
      <c r="K4" s="544" t="s">
        <v>483</v>
      </c>
      <c r="L4" s="543" t="s">
        <v>707</v>
      </c>
      <c r="M4" s="543" t="s">
        <v>708</v>
      </c>
      <c r="N4" s="2848"/>
      <c r="O4" s="2848"/>
      <c r="P4" s="543"/>
    </row>
    <row r="5" spans="1:16" ht="45" customHeight="1">
      <c r="A5" s="2846"/>
      <c r="B5" s="533" t="s">
        <v>122</v>
      </c>
      <c r="C5" s="533" t="s">
        <v>67</v>
      </c>
      <c r="D5" s="533" t="s">
        <v>68</v>
      </c>
      <c r="E5" s="533" t="s">
        <v>69</v>
      </c>
      <c r="F5" s="533" t="s">
        <v>70</v>
      </c>
      <c r="G5" s="533" t="s">
        <v>71</v>
      </c>
      <c r="H5" s="533" t="s">
        <v>72</v>
      </c>
      <c r="I5" s="533" t="s">
        <v>73</v>
      </c>
      <c r="J5" s="533" t="s">
        <v>74</v>
      </c>
      <c r="K5" s="534" t="s">
        <v>713</v>
      </c>
      <c r="L5" s="534" t="s">
        <v>131</v>
      </c>
      <c r="M5" s="534" t="s">
        <v>465</v>
      </c>
      <c r="N5" s="534" t="s">
        <v>714</v>
      </c>
      <c r="O5" s="534" t="s">
        <v>711</v>
      </c>
      <c r="P5" s="533" t="s">
        <v>135</v>
      </c>
    </row>
    <row r="6" spans="1:16">
      <c r="A6" s="535">
        <v>1</v>
      </c>
      <c r="B6" s="536"/>
      <c r="C6" s="536"/>
      <c r="D6" s="545"/>
      <c r="E6" s="545"/>
      <c r="F6" s="546"/>
      <c r="G6" s="537"/>
      <c r="H6" s="537"/>
      <c r="I6" s="537"/>
      <c r="J6" s="545"/>
      <c r="K6" s="545"/>
      <c r="L6" s="537"/>
      <c r="M6" s="537"/>
      <c r="N6" s="538"/>
      <c r="O6" s="538"/>
      <c r="P6" s="539"/>
    </row>
    <row r="7" spans="1:16">
      <c r="A7" s="535">
        <v>2</v>
      </c>
      <c r="B7" s="536"/>
      <c r="C7" s="536"/>
      <c r="D7" s="537"/>
      <c r="E7" s="537"/>
      <c r="F7" s="537"/>
      <c r="G7" s="537"/>
      <c r="H7" s="537"/>
      <c r="I7" s="537"/>
      <c r="J7" s="537"/>
      <c r="K7" s="537"/>
      <c r="L7" s="537"/>
      <c r="M7" s="537"/>
      <c r="N7" s="538"/>
      <c r="O7" s="538"/>
      <c r="P7" s="539"/>
    </row>
    <row r="8" spans="1:16">
      <c r="A8" s="535">
        <v>3</v>
      </c>
      <c r="B8" s="536"/>
      <c r="C8" s="536"/>
      <c r="D8" s="537"/>
      <c r="E8" s="537"/>
      <c r="F8" s="537"/>
      <c r="G8" s="537"/>
      <c r="H8" s="537"/>
      <c r="I8" s="537"/>
      <c r="J8" s="537"/>
      <c r="K8" s="537"/>
      <c r="L8" s="537"/>
      <c r="M8" s="537"/>
      <c r="N8" s="538"/>
      <c r="O8" s="538"/>
      <c r="P8" s="539"/>
    </row>
    <row r="9" spans="1:16">
      <c r="A9" s="535">
        <v>4</v>
      </c>
      <c r="B9" s="536"/>
      <c r="C9" s="536"/>
      <c r="D9" s="537"/>
      <c r="E9" s="537"/>
      <c r="F9" s="537"/>
      <c r="G9" s="537"/>
      <c r="H9" s="537"/>
      <c r="I9" s="537"/>
      <c r="J9" s="537"/>
      <c r="K9" s="537"/>
      <c r="L9" s="537"/>
      <c r="M9" s="537"/>
      <c r="N9" s="538"/>
      <c r="O9" s="538"/>
      <c r="P9" s="539"/>
    </row>
    <row r="10" spans="1:16">
      <c r="A10" s="535">
        <v>5</v>
      </c>
      <c r="B10" s="536"/>
      <c r="C10" s="536"/>
      <c r="D10" s="537"/>
      <c r="E10" s="537"/>
      <c r="F10" s="537"/>
      <c r="G10" s="537"/>
      <c r="H10" s="537"/>
      <c r="I10" s="537"/>
      <c r="J10" s="537"/>
      <c r="K10" s="537"/>
      <c r="L10" s="537"/>
      <c r="M10" s="537"/>
      <c r="N10" s="538"/>
      <c r="O10" s="538"/>
      <c r="P10" s="539"/>
    </row>
    <row r="11" spans="1:16">
      <c r="A11" s="535">
        <v>6</v>
      </c>
      <c r="B11" s="536"/>
      <c r="C11" s="536"/>
      <c r="D11" s="537"/>
      <c r="E11" s="537"/>
      <c r="F11" s="537"/>
      <c r="G11" s="537"/>
      <c r="H11" s="537"/>
      <c r="I11" s="537"/>
      <c r="J11" s="537"/>
      <c r="K11" s="537"/>
      <c r="L11" s="537"/>
      <c r="M11" s="537"/>
      <c r="N11" s="538"/>
      <c r="O11" s="538"/>
      <c r="P11" s="539"/>
    </row>
    <row r="12" spans="1:16">
      <c r="A12" s="535">
        <v>7</v>
      </c>
      <c r="B12" s="536"/>
      <c r="C12" s="536"/>
      <c r="D12" s="537"/>
      <c r="E12" s="537"/>
      <c r="F12" s="537"/>
      <c r="G12" s="537"/>
      <c r="H12" s="537"/>
      <c r="I12" s="537"/>
      <c r="J12" s="537"/>
      <c r="K12" s="537"/>
      <c r="L12" s="537"/>
      <c r="M12" s="537"/>
      <c r="N12" s="538"/>
      <c r="O12" s="538"/>
      <c r="P12" s="539"/>
    </row>
    <row r="13" spans="1:16">
      <c r="A13" s="535">
        <v>8</v>
      </c>
      <c r="B13" s="536"/>
      <c r="C13" s="536"/>
      <c r="D13" s="537"/>
      <c r="E13" s="537"/>
      <c r="F13" s="537"/>
      <c r="G13" s="537"/>
      <c r="H13" s="537"/>
      <c r="I13" s="537"/>
      <c r="J13" s="537"/>
      <c r="K13" s="537"/>
      <c r="L13" s="537"/>
      <c r="M13" s="537"/>
      <c r="N13" s="538"/>
      <c r="O13" s="538"/>
      <c r="P13" s="539"/>
    </row>
    <row r="14" spans="1:16">
      <c r="A14" s="535">
        <v>9</v>
      </c>
      <c r="B14" s="536"/>
      <c r="C14" s="536"/>
      <c r="D14" s="537"/>
      <c r="E14" s="537"/>
      <c r="F14" s="537"/>
      <c r="G14" s="537"/>
      <c r="H14" s="537"/>
      <c r="I14" s="537"/>
      <c r="J14" s="537"/>
      <c r="K14" s="537"/>
      <c r="L14" s="537"/>
      <c r="M14" s="537"/>
      <c r="N14" s="538"/>
      <c r="O14" s="538"/>
      <c r="P14" s="539"/>
    </row>
    <row r="15" spans="1:16">
      <c r="A15" s="535">
        <v>10</v>
      </c>
      <c r="B15" s="536"/>
      <c r="C15" s="536"/>
      <c r="D15" s="537"/>
      <c r="E15" s="537"/>
      <c r="F15" s="537"/>
      <c r="G15" s="537"/>
      <c r="H15" s="537"/>
      <c r="I15" s="537"/>
      <c r="J15" s="537"/>
      <c r="K15" s="537"/>
      <c r="L15" s="537"/>
      <c r="M15" s="537"/>
      <c r="N15" s="538"/>
      <c r="O15" s="538"/>
      <c r="P15" s="539"/>
    </row>
    <row r="16" spans="1:16">
      <c r="A16" s="535">
        <v>11</v>
      </c>
      <c r="B16" s="536"/>
      <c r="C16" s="536"/>
      <c r="D16" s="537"/>
      <c r="E16" s="537"/>
      <c r="F16" s="537"/>
      <c r="G16" s="537"/>
      <c r="H16" s="537"/>
      <c r="I16" s="537"/>
      <c r="J16" s="537"/>
      <c r="K16" s="537"/>
      <c r="L16" s="537"/>
      <c r="M16" s="537"/>
      <c r="N16" s="538"/>
      <c r="O16" s="538"/>
      <c r="P16" s="539"/>
    </row>
    <row r="17" spans="1:31">
      <c r="A17" s="535">
        <v>12</v>
      </c>
      <c r="B17" s="536"/>
      <c r="C17" s="536"/>
      <c r="D17" s="537"/>
      <c r="E17" s="537"/>
      <c r="F17" s="537"/>
      <c r="G17" s="537"/>
      <c r="H17" s="537"/>
      <c r="I17" s="537"/>
      <c r="J17" s="537"/>
      <c r="K17" s="537"/>
      <c r="L17" s="537"/>
      <c r="M17" s="537"/>
      <c r="N17" s="538"/>
      <c r="O17" s="538"/>
      <c r="P17" s="539"/>
      <c r="Q17" s="50"/>
      <c r="R17" s="50"/>
      <c r="S17" s="50"/>
      <c r="T17" s="50"/>
      <c r="U17" s="50"/>
      <c r="V17" s="50"/>
      <c r="W17" s="50"/>
      <c r="X17" s="50"/>
      <c r="Y17" s="50"/>
      <c r="Z17" s="50"/>
      <c r="AA17" s="50"/>
      <c r="AB17" s="50"/>
      <c r="AC17" s="50"/>
      <c r="AD17" s="50"/>
      <c r="AE17" s="50"/>
    </row>
    <row r="18" spans="1:31">
      <c r="A18" s="535">
        <v>13</v>
      </c>
      <c r="B18" s="536"/>
      <c r="C18" s="536"/>
      <c r="D18" s="537"/>
      <c r="E18" s="537"/>
      <c r="F18" s="537"/>
      <c r="G18" s="537"/>
      <c r="H18" s="537"/>
      <c r="I18" s="537"/>
      <c r="J18" s="537"/>
      <c r="K18" s="537"/>
      <c r="L18" s="537"/>
      <c r="M18" s="537"/>
      <c r="N18" s="538"/>
      <c r="O18" s="538"/>
      <c r="P18" s="539"/>
      <c r="Q18" s="50"/>
      <c r="R18" s="50"/>
      <c r="S18" s="50"/>
      <c r="T18" s="50"/>
      <c r="U18" s="50"/>
      <c r="V18" s="50"/>
      <c r="W18" s="50"/>
      <c r="X18" s="50"/>
      <c r="Y18" s="50"/>
      <c r="Z18" s="50"/>
      <c r="AA18" s="50"/>
      <c r="AB18" s="50"/>
      <c r="AC18" s="50"/>
      <c r="AD18" s="50"/>
      <c r="AE18" s="50"/>
    </row>
    <row r="19" spans="1:31">
      <c r="A19" s="535">
        <v>14</v>
      </c>
      <c r="B19" s="536"/>
      <c r="C19" s="536"/>
      <c r="D19" s="537"/>
      <c r="E19" s="537"/>
      <c r="F19" s="537"/>
      <c r="G19" s="537"/>
      <c r="H19" s="537"/>
      <c r="I19" s="537"/>
      <c r="J19" s="537"/>
      <c r="K19" s="537"/>
      <c r="L19" s="537"/>
      <c r="M19" s="537"/>
      <c r="N19" s="538"/>
      <c r="O19" s="538"/>
      <c r="P19" s="539"/>
      <c r="Q19" s="50"/>
      <c r="R19" s="50"/>
      <c r="S19" s="50"/>
      <c r="T19" s="50"/>
      <c r="U19" s="50"/>
      <c r="V19" s="50"/>
      <c r="W19" s="50"/>
      <c r="X19" s="50"/>
      <c r="Y19" s="50"/>
      <c r="Z19" s="50"/>
      <c r="AA19" s="50"/>
      <c r="AB19" s="50"/>
      <c r="AC19" s="50"/>
      <c r="AD19" s="50"/>
      <c r="AE19" s="50"/>
    </row>
    <row r="20" spans="1:31">
      <c r="A20" s="535">
        <v>15</v>
      </c>
      <c r="B20" s="536"/>
      <c r="C20" s="536"/>
      <c r="D20" s="537"/>
      <c r="E20" s="537"/>
      <c r="F20" s="537"/>
      <c r="G20" s="537"/>
      <c r="H20" s="537"/>
      <c r="I20" s="537"/>
      <c r="J20" s="537"/>
      <c r="K20" s="537"/>
      <c r="L20" s="537"/>
      <c r="M20" s="537"/>
      <c r="N20" s="538"/>
      <c r="O20" s="538"/>
      <c r="P20" s="539"/>
      <c r="Q20" s="50"/>
      <c r="R20" s="50"/>
      <c r="S20" s="50"/>
      <c r="T20" s="50"/>
      <c r="U20" s="50"/>
      <c r="V20" s="50"/>
      <c r="W20" s="50"/>
      <c r="X20" s="50"/>
      <c r="Y20" s="50"/>
      <c r="Z20" s="50"/>
      <c r="AA20" s="50"/>
      <c r="AB20" s="50"/>
      <c r="AC20" s="50"/>
      <c r="AD20" s="50"/>
      <c r="AE20" s="50"/>
    </row>
    <row r="21" spans="1:31">
      <c r="A21" s="535">
        <v>16</v>
      </c>
      <c r="B21" s="536"/>
      <c r="C21" s="536"/>
      <c r="D21" s="537"/>
      <c r="E21" s="537"/>
      <c r="F21" s="537"/>
      <c r="G21" s="537"/>
      <c r="H21" s="537"/>
      <c r="I21" s="537"/>
      <c r="J21" s="537"/>
      <c r="K21" s="537"/>
      <c r="L21" s="537"/>
      <c r="M21" s="537"/>
      <c r="N21" s="538"/>
      <c r="O21" s="538"/>
      <c r="P21" s="539"/>
      <c r="Q21" s="50"/>
      <c r="R21" s="50"/>
      <c r="S21" s="50"/>
      <c r="T21" s="50"/>
      <c r="U21" s="50"/>
      <c r="V21" s="50"/>
      <c r="W21" s="50"/>
      <c r="X21" s="50"/>
      <c r="Y21" s="50"/>
      <c r="Z21" s="50"/>
      <c r="AA21" s="50"/>
      <c r="AB21" s="50"/>
      <c r="AC21" s="50"/>
      <c r="AD21" s="50"/>
      <c r="AE21" s="50"/>
    </row>
    <row r="22" spans="1:31">
      <c r="A22" s="535">
        <v>17</v>
      </c>
      <c r="B22" s="536"/>
      <c r="C22" s="536"/>
      <c r="D22" s="537"/>
      <c r="E22" s="537"/>
      <c r="F22" s="537"/>
      <c r="G22" s="537"/>
      <c r="H22" s="537"/>
      <c r="I22" s="537"/>
      <c r="J22" s="537"/>
      <c r="K22" s="537"/>
      <c r="L22" s="537"/>
      <c r="M22" s="537"/>
      <c r="N22" s="538"/>
      <c r="O22" s="538"/>
      <c r="P22" s="539"/>
      <c r="Q22" s="50"/>
      <c r="R22" s="50"/>
      <c r="S22" s="50"/>
      <c r="T22" s="50"/>
      <c r="U22" s="50"/>
      <c r="V22" s="50"/>
      <c r="W22" s="50"/>
      <c r="X22" s="50"/>
      <c r="Y22" s="50"/>
      <c r="Z22" s="50"/>
      <c r="AA22" s="50"/>
      <c r="AB22" s="50"/>
      <c r="AC22" s="50"/>
      <c r="AD22" s="50"/>
      <c r="AE22" s="50"/>
    </row>
    <row r="23" spans="1:31">
      <c r="A23" s="535">
        <v>18</v>
      </c>
      <c r="B23" s="536"/>
      <c r="C23" s="536"/>
      <c r="D23" s="537"/>
      <c r="E23" s="537"/>
      <c r="F23" s="537"/>
      <c r="G23" s="537"/>
      <c r="H23" s="537"/>
      <c r="I23" s="537"/>
      <c r="J23" s="537"/>
      <c r="K23" s="537"/>
      <c r="L23" s="537"/>
      <c r="M23" s="537"/>
      <c r="N23" s="538"/>
      <c r="O23" s="538"/>
      <c r="P23" s="539"/>
      <c r="Q23" s="50"/>
      <c r="R23" s="50"/>
      <c r="S23" s="50"/>
      <c r="T23" s="50"/>
      <c r="U23" s="50"/>
      <c r="V23" s="50"/>
      <c r="W23" s="50"/>
      <c r="X23" s="50"/>
      <c r="Y23" s="50"/>
      <c r="Z23" s="50"/>
      <c r="AA23" s="50"/>
      <c r="AB23" s="50"/>
      <c r="AC23" s="50"/>
      <c r="AD23" s="50"/>
      <c r="AE23" s="50"/>
    </row>
    <row r="24" spans="1:31">
      <c r="A24" s="535">
        <v>19</v>
      </c>
      <c r="B24" s="536"/>
      <c r="C24" s="536"/>
      <c r="D24" s="537"/>
      <c r="E24" s="537"/>
      <c r="F24" s="537"/>
      <c r="G24" s="537"/>
      <c r="H24" s="537"/>
      <c r="I24" s="537"/>
      <c r="J24" s="537"/>
      <c r="K24" s="537"/>
      <c r="L24" s="537"/>
      <c r="M24" s="537"/>
      <c r="N24" s="538"/>
      <c r="O24" s="538"/>
      <c r="P24" s="539"/>
      <c r="Q24" s="50"/>
      <c r="R24" s="50"/>
      <c r="S24" s="50"/>
      <c r="T24" s="50"/>
      <c r="U24" s="50"/>
      <c r="V24" s="50"/>
      <c r="W24" s="50"/>
      <c r="X24" s="50"/>
      <c r="Y24" s="50"/>
      <c r="Z24" s="50"/>
      <c r="AA24" s="50"/>
      <c r="AB24" s="50"/>
      <c r="AC24" s="50"/>
      <c r="AD24" s="50"/>
      <c r="AE24" s="50"/>
    </row>
    <row r="25" spans="1:31">
      <c r="A25" s="535">
        <v>20</v>
      </c>
      <c r="B25" s="2796" t="s">
        <v>85</v>
      </c>
      <c r="C25" s="2797"/>
      <c r="D25" s="537"/>
      <c r="E25" s="537"/>
      <c r="F25" s="537"/>
      <c r="G25" s="537"/>
      <c r="H25" s="537"/>
      <c r="I25" s="537"/>
      <c r="J25" s="537"/>
      <c r="K25" s="537"/>
      <c r="L25" s="537"/>
      <c r="M25" s="537"/>
      <c r="N25" s="537"/>
      <c r="O25" s="537"/>
      <c r="P25" s="540"/>
      <c r="Q25" s="50"/>
      <c r="R25" s="50"/>
      <c r="S25" s="50"/>
      <c r="T25" s="50"/>
      <c r="U25" s="50"/>
      <c r="V25" s="50"/>
      <c r="W25" s="50"/>
      <c r="X25" s="50"/>
      <c r="Y25" s="50"/>
      <c r="Z25" s="50"/>
      <c r="AA25" s="50"/>
      <c r="AB25" s="50"/>
      <c r="AC25" s="50"/>
      <c r="AD25" s="50"/>
      <c r="AE25" s="50"/>
    </row>
    <row r="26" spans="1:31">
      <c r="A26" s="266" t="s">
        <v>493</v>
      </c>
      <c r="B26" s="2251"/>
      <c r="C26" s="2251"/>
      <c r="D26" s="2251"/>
      <c r="E26" s="2251"/>
      <c r="F26" s="2251"/>
      <c r="G26" s="2251"/>
      <c r="H26" s="2251"/>
      <c r="I26" s="2251"/>
      <c r="J26" s="2251"/>
      <c r="K26" s="2251"/>
      <c r="L26" s="2251"/>
      <c r="M26" s="2251"/>
      <c r="N26" s="2251"/>
      <c r="O26" s="2251"/>
      <c r="P26" s="2251"/>
      <c r="Q26" s="2251"/>
      <c r="R26" s="267"/>
      <c r="S26" s="268"/>
      <c r="T26" s="268"/>
      <c r="U26" s="268"/>
      <c r="V26" s="268"/>
      <c r="W26" s="268"/>
      <c r="X26" s="268"/>
      <c r="Y26" s="268"/>
      <c r="Z26" s="268"/>
      <c r="AA26" s="268"/>
      <c r="AB26" s="268"/>
      <c r="AC26" s="268"/>
      <c r="AD26" s="268"/>
      <c r="AE26" s="268"/>
    </row>
    <row r="27" spans="1:31">
      <c r="A27" s="269">
        <v>1</v>
      </c>
      <c r="B27" s="2787" t="s">
        <v>715</v>
      </c>
      <c r="C27" s="2787"/>
      <c r="D27" s="2787"/>
      <c r="E27" s="2787"/>
      <c r="F27" s="2787"/>
      <c r="G27" s="2787"/>
      <c r="H27" s="2787"/>
      <c r="I27" s="2787"/>
      <c r="J27" s="2787"/>
      <c r="K27" s="2787"/>
      <c r="L27" s="2841"/>
      <c r="M27" s="2841"/>
      <c r="N27" s="2841"/>
      <c r="O27" s="2841"/>
      <c r="P27" s="2251"/>
      <c r="Q27" s="2251"/>
      <c r="R27" s="267"/>
      <c r="S27" s="268"/>
      <c r="T27" s="268"/>
      <c r="U27" s="268"/>
      <c r="V27" s="268"/>
      <c r="W27" s="268"/>
      <c r="X27" s="268"/>
      <c r="Y27" s="268"/>
      <c r="Z27" s="268"/>
      <c r="AA27" s="268"/>
      <c r="AB27" s="268"/>
      <c r="AC27" s="268"/>
      <c r="AD27" s="268"/>
      <c r="AE27" s="268"/>
    </row>
    <row r="28" spans="1:31">
      <c r="B28" s="2842"/>
      <c r="C28" s="2843"/>
      <c r="D28" s="2843"/>
      <c r="E28" s="2843"/>
      <c r="F28" s="2843"/>
      <c r="G28" s="2843"/>
      <c r="H28" s="2843"/>
      <c r="I28" s="2843"/>
      <c r="J28" s="2843"/>
      <c r="K28" s="2843"/>
      <c r="L28" s="2843"/>
      <c r="M28" s="2843"/>
      <c r="N28" s="2843"/>
      <c r="O28" s="2843"/>
      <c r="P28" s="2843"/>
      <c r="Q28" s="2843"/>
      <c r="R28" s="2843"/>
      <c r="S28" s="2843"/>
    </row>
    <row r="29" spans="1:31">
      <c r="B29" s="2842"/>
      <c r="C29" s="2843"/>
      <c r="D29" s="2843"/>
      <c r="E29" s="2843"/>
      <c r="F29" s="2843"/>
      <c r="G29" s="2843"/>
      <c r="H29" s="2843"/>
      <c r="I29" s="2843"/>
      <c r="J29" s="2843"/>
      <c r="K29" s="2843"/>
      <c r="L29" s="2843"/>
      <c r="M29" s="2843"/>
      <c r="N29" s="2843"/>
      <c r="O29" s="2843"/>
      <c r="P29" s="2843"/>
      <c r="Q29" s="2843"/>
      <c r="R29" s="2843"/>
      <c r="S29" s="2843"/>
    </row>
    <row r="30" spans="1:31">
      <c r="N30" s="2251"/>
      <c r="O30" s="2251"/>
    </row>
    <row r="31" spans="1:31">
      <c r="N31" s="2251"/>
      <c r="O31" s="2251"/>
    </row>
    <row r="32" spans="1:31">
      <c r="N32" s="2251"/>
      <c r="O32" s="2251"/>
    </row>
    <row r="33" spans="14:15">
      <c r="N33" s="2251"/>
      <c r="O33" s="2251"/>
    </row>
    <row r="35" spans="14:15">
      <c r="N35" s="2251"/>
      <c r="O35" s="2251"/>
    </row>
    <row r="36" spans="14:15">
      <c r="N36" s="2251"/>
      <c r="O36" s="2251"/>
    </row>
  </sheetData>
  <mergeCells count="9">
    <mergeCell ref="B27:O27"/>
    <mergeCell ref="B28:S28"/>
    <mergeCell ref="B29:S29"/>
    <mergeCell ref="A3:A5"/>
    <mergeCell ref="B3:C3"/>
    <mergeCell ref="L3:M3"/>
    <mergeCell ref="N3:N4"/>
    <mergeCell ref="O3:O4"/>
    <mergeCell ref="B25:C25"/>
  </mergeCells>
  <phoneticPr fontId="26" type="noConversion"/>
  <pageMargins left="0.19685039370078741" right="0.19685039370078741" top="0.39370078740157483" bottom="0.19685039370078741" header="0.31496062992125984" footer="0.51181102362204722"/>
  <pageSetup paperSize="9" orientation="landscape" horizontalDpi="4294967295" verticalDpi="4294967295" r:id="rId1"/>
  <headerFooter alignWithMargins="0">
    <oddHeader>&amp;R&amp;D</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AE52"/>
  <sheetViews>
    <sheetView showGridLines="0" zoomScaleNormal="100" workbookViewId="0">
      <pane xSplit="2" ySplit="5" topLeftCell="C27" activePane="bottomRight" state="frozen"/>
      <selection pane="topRight"/>
      <selection pane="bottomLeft"/>
      <selection pane="bottomRight"/>
    </sheetView>
  </sheetViews>
  <sheetFormatPr defaultRowHeight="14.25"/>
  <cols>
    <col min="1" max="1" width="5.125" style="2" customWidth="1"/>
    <col min="2" max="2" width="29.125" style="2" customWidth="1"/>
    <col min="3" max="5" width="14.375" style="15" customWidth="1"/>
    <col min="6" max="6" width="14.375" style="2" customWidth="1"/>
    <col min="7" max="9" width="14.375" style="15" customWidth="1"/>
    <col min="10" max="10" width="14.375" style="2" customWidth="1"/>
    <col min="11" max="31" width="9" style="9"/>
    <col min="32" max="16384" width="9" style="2"/>
  </cols>
  <sheetData>
    <row r="1" spans="1:31">
      <c r="A1" s="105" t="str">
        <f>表03!A1</f>
        <v xml:space="preserve"> 保險股份有限公司    年度(月)報表</v>
      </c>
      <c r="B1" s="1"/>
      <c r="C1" s="13"/>
      <c r="D1" s="13"/>
      <c r="E1" s="13"/>
      <c r="F1" s="1"/>
      <c r="G1" s="13"/>
      <c r="H1" s="13"/>
      <c r="I1" s="13"/>
      <c r="J1" s="1"/>
      <c r="AE1" s="2"/>
    </row>
    <row r="2" spans="1:31">
      <c r="A2" s="2270" t="s">
        <v>360</v>
      </c>
      <c r="B2" s="12"/>
      <c r="C2" s="14"/>
      <c r="J2" s="4" t="s">
        <v>361</v>
      </c>
      <c r="AE2" s="2"/>
    </row>
    <row r="3" spans="1:31" ht="13.9" customHeight="1">
      <c r="A3" s="2849" t="s">
        <v>362</v>
      </c>
      <c r="B3" s="2852" t="s">
        <v>86</v>
      </c>
      <c r="C3" s="2855" t="s">
        <v>751</v>
      </c>
      <c r="D3" s="2856"/>
      <c r="E3" s="2856"/>
      <c r="F3" s="2857"/>
      <c r="G3" s="2855" t="s">
        <v>752</v>
      </c>
      <c r="H3" s="2858"/>
      <c r="I3" s="2858"/>
      <c r="J3" s="2859"/>
    </row>
    <row r="4" spans="1:31">
      <c r="A4" s="2850"/>
      <c r="B4" s="2853"/>
      <c r="C4" s="16" t="s">
        <v>87</v>
      </c>
      <c r="D4" s="16" t="s">
        <v>88</v>
      </c>
      <c r="E4" s="16" t="s">
        <v>363</v>
      </c>
      <c r="F4" s="17" t="s">
        <v>364</v>
      </c>
      <c r="G4" s="16" t="s">
        <v>87</v>
      </c>
      <c r="H4" s="16" t="s">
        <v>88</v>
      </c>
      <c r="I4" s="16" t="s">
        <v>363</v>
      </c>
      <c r="J4" s="17" t="s">
        <v>364</v>
      </c>
    </row>
    <row r="5" spans="1:31" s="20" customFormat="1">
      <c r="A5" s="2851"/>
      <c r="B5" s="2854"/>
      <c r="C5" s="18" t="s">
        <v>66</v>
      </c>
      <c r="D5" s="19" t="s">
        <v>358</v>
      </c>
      <c r="E5" s="18" t="s">
        <v>365</v>
      </c>
      <c r="F5" s="2260" t="s">
        <v>366</v>
      </c>
      <c r="G5" s="18" t="s">
        <v>367</v>
      </c>
      <c r="H5" s="19" t="s">
        <v>368</v>
      </c>
      <c r="I5" s="18" t="s">
        <v>369</v>
      </c>
      <c r="J5" s="2260" t="s">
        <v>370</v>
      </c>
      <c r="K5" s="9"/>
      <c r="L5" s="9"/>
      <c r="M5" s="9"/>
      <c r="N5" s="9"/>
      <c r="O5" s="9"/>
      <c r="P5" s="9"/>
      <c r="Q5" s="9"/>
      <c r="R5" s="9"/>
      <c r="S5" s="9"/>
      <c r="T5" s="9"/>
      <c r="U5" s="9"/>
      <c r="V5" s="9"/>
      <c r="W5" s="9"/>
      <c r="X5" s="9"/>
      <c r="Y5" s="9"/>
      <c r="Z5" s="9"/>
      <c r="AA5" s="9"/>
      <c r="AB5" s="9"/>
      <c r="AC5" s="9"/>
      <c r="AD5" s="9"/>
      <c r="AE5" s="9"/>
    </row>
    <row r="6" spans="1:31" s="20" customFormat="1">
      <c r="A6" s="334">
        <v>1</v>
      </c>
      <c r="B6" s="337" t="s">
        <v>664</v>
      </c>
      <c r="C6" s="335">
        <f>SUM(C7:C36)</f>
        <v>0</v>
      </c>
      <c r="D6" s="335">
        <f>SUM(D7:D36)</f>
        <v>0</v>
      </c>
      <c r="E6" s="335">
        <f>SUM(E7:E36)</f>
        <v>0</v>
      </c>
      <c r="F6" s="336" t="str">
        <f>IF(C6=0,"",D6/C6)</f>
        <v/>
      </c>
      <c r="G6" s="335">
        <f>SUM(G7:G36)</f>
        <v>0</v>
      </c>
      <c r="H6" s="335">
        <f>SUM(H7:H36)</f>
        <v>0</v>
      </c>
      <c r="I6" s="335">
        <f>SUM(I7:I36)</f>
        <v>0</v>
      </c>
      <c r="J6" s="336" t="str">
        <f>IF(G6=0,"",H6/G6)</f>
        <v/>
      </c>
      <c r="K6" s="9"/>
      <c r="L6" s="485"/>
      <c r="M6" s="485"/>
      <c r="N6" s="485"/>
      <c r="O6" s="485"/>
      <c r="P6" s="9"/>
      <c r="Q6" s="9"/>
      <c r="R6" s="9"/>
      <c r="S6" s="9"/>
      <c r="T6" s="9"/>
      <c r="U6" s="9"/>
      <c r="V6" s="9"/>
      <c r="W6" s="9"/>
      <c r="X6" s="9"/>
      <c r="Y6" s="9"/>
      <c r="Z6" s="9"/>
      <c r="AA6" s="9"/>
      <c r="AB6" s="9"/>
      <c r="AC6" s="9"/>
      <c r="AD6" s="9"/>
      <c r="AE6" s="9"/>
    </row>
    <row r="7" spans="1:31" s="20" customFormat="1">
      <c r="A7" s="334">
        <f>A6+1</f>
        <v>2</v>
      </c>
      <c r="B7" s="337" t="s">
        <v>611</v>
      </c>
      <c r="C7" s="338"/>
      <c r="D7" s="339"/>
      <c r="E7" s="339"/>
      <c r="F7" s="336" t="str">
        <f t="shared" ref="F7:F46" si="0">IF(C7=0,"",D7/C7)</f>
        <v/>
      </c>
      <c r="G7" s="338"/>
      <c r="H7" s="339"/>
      <c r="I7" s="339"/>
      <c r="J7" s="336" t="str">
        <f t="shared" ref="J7:J46" si="1">IF(G7=0,"",H7/G7)</f>
        <v/>
      </c>
      <c r="K7" s="9"/>
      <c r="L7" s="485"/>
      <c r="M7" s="485"/>
      <c r="N7" s="485"/>
      <c r="O7" s="485"/>
      <c r="P7" s="9"/>
      <c r="Q7" s="9"/>
      <c r="R7" s="9"/>
      <c r="S7" s="9"/>
      <c r="T7" s="9"/>
      <c r="U7" s="9"/>
      <c r="V7" s="9"/>
      <c r="W7" s="9"/>
      <c r="X7" s="9"/>
      <c r="Y7" s="9"/>
      <c r="Z7" s="9"/>
      <c r="AA7" s="9"/>
      <c r="AB7" s="9"/>
      <c r="AC7" s="9"/>
      <c r="AD7" s="9"/>
      <c r="AE7" s="9"/>
    </row>
    <row r="8" spans="1:31" s="24" customFormat="1">
      <c r="A8" s="334">
        <f t="shared" ref="A8:A46" si="2">A7+1</f>
        <v>3</v>
      </c>
      <c r="B8" s="323" t="s">
        <v>612</v>
      </c>
      <c r="C8" s="340"/>
      <c r="D8" s="341"/>
      <c r="E8" s="341"/>
      <c r="F8" s="336" t="str">
        <f t="shared" si="0"/>
        <v/>
      </c>
      <c r="G8" s="340"/>
      <c r="H8" s="341"/>
      <c r="I8" s="341"/>
      <c r="J8" s="336" t="str">
        <f t="shared" si="1"/>
        <v/>
      </c>
      <c r="K8" s="9"/>
      <c r="L8" s="485"/>
      <c r="M8" s="485"/>
      <c r="N8" s="485"/>
      <c r="O8" s="485"/>
      <c r="P8" s="9"/>
      <c r="Q8" s="9"/>
      <c r="R8" s="9"/>
      <c r="S8" s="9"/>
      <c r="T8" s="9"/>
      <c r="U8" s="9"/>
      <c r="V8" s="9"/>
      <c r="W8" s="9"/>
      <c r="X8" s="9"/>
      <c r="Y8" s="9"/>
      <c r="Z8" s="9"/>
      <c r="AA8" s="9"/>
      <c r="AB8" s="9"/>
      <c r="AC8" s="9"/>
      <c r="AD8" s="9"/>
      <c r="AE8" s="9"/>
    </row>
    <row r="9" spans="1:31" s="24" customFormat="1">
      <c r="A9" s="334">
        <f t="shared" si="2"/>
        <v>4</v>
      </c>
      <c r="B9" s="323" t="s">
        <v>613</v>
      </c>
      <c r="C9" s="342"/>
      <c r="D9" s="343"/>
      <c r="E9" s="343"/>
      <c r="F9" s="336" t="str">
        <f t="shared" si="0"/>
        <v/>
      </c>
      <c r="G9" s="342"/>
      <c r="H9" s="343"/>
      <c r="I9" s="343"/>
      <c r="J9" s="336" t="str">
        <f t="shared" si="1"/>
        <v/>
      </c>
      <c r="K9" s="9"/>
      <c r="L9" s="485"/>
      <c r="M9" s="485"/>
      <c r="N9" s="485"/>
      <c r="O9" s="485"/>
      <c r="P9" s="9"/>
      <c r="Q9" s="9"/>
      <c r="R9" s="9"/>
      <c r="S9" s="9"/>
      <c r="T9" s="9"/>
      <c r="U9" s="9"/>
      <c r="V9" s="9"/>
      <c r="W9" s="9"/>
      <c r="X9" s="9"/>
      <c r="Y9" s="9"/>
      <c r="Z9" s="9"/>
      <c r="AA9" s="9"/>
      <c r="AB9" s="9"/>
      <c r="AC9" s="9"/>
      <c r="AD9" s="9"/>
      <c r="AE9" s="9"/>
    </row>
    <row r="10" spans="1:31" s="24" customFormat="1">
      <c r="A10" s="334">
        <f t="shared" si="2"/>
        <v>5</v>
      </c>
      <c r="B10" s="323" t="s">
        <v>614</v>
      </c>
      <c r="C10" s="342"/>
      <c r="D10" s="343"/>
      <c r="E10" s="343"/>
      <c r="F10" s="336" t="str">
        <f t="shared" si="0"/>
        <v/>
      </c>
      <c r="G10" s="342"/>
      <c r="H10" s="343"/>
      <c r="I10" s="343"/>
      <c r="J10" s="336" t="str">
        <f t="shared" si="1"/>
        <v/>
      </c>
      <c r="K10" s="9"/>
      <c r="L10" s="485"/>
      <c r="M10" s="485"/>
      <c r="N10" s="485"/>
      <c r="O10" s="485"/>
      <c r="P10" s="9"/>
      <c r="Q10" s="9"/>
      <c r="R10" s="9"/>
      <c r="S10" s="9"/>
      <c r="T10" s="9"/>
      <c r="U10" s="9"/>
      <c r="V10" s="9"/>
      <c r="W10" s="9"/>
      <c r="X10" s="9"/>
      <c r="Y10" s="9"/>
      <c r="Z10" s="9"/>
      <c r="AA10" s="9"/>
      <c r="AB10" s="9"/>
      <c r="AC10" s="9"/>
      <c r="AD10" s="9"/>
      <c r="AE10" s="9"/>
    </row>
    <row r="11" spans="1:31" s="24" customFormat="1">
      <c r="A11" s="334">
        <f t="shared" si="2"/>
        <v>6</v>
      </c>
      <c r="B11" s="323" t="s">
        <v>615</v>
      </c>
      <c r="C11" s="342"/>
      <c r="D11" s="343"/>
      <c r="E11" s="343"/>
      <c r="F11" s="336" t="str">
        <f t="shared" si="0"/>
        <v/>
      </c>
      <c r="G11" s="342"/>
      <c r="H11" s="343"/>
      <c r="I11" s="343"/>
      <c r="J11" s="336" t="str">
        <f t="shared" si="1"/>
        <v/>
      </c>
      <c r="K11" s="9"/>
      <c r="L11" s="485"/>
      <c r="M11" s="485"/>
      <c r="N11" s="485"/>
      <c r="O11" s="485"/>
      <c r="P11" s="9"/>
      <c r="Q11" s="9"/>
      <c r="R11" s="9"/>
      <c r="S11" s="9"/>
      <c r="T11" s="9"/>
      <c r="U11" s="9"/>
      <c r="V11" s="9"/>
      <c r="W11" s="9"/>
      <c r="X11" s="9"/>
      <c r="Y11" s="9"/>
      <c r="Z11" s="9"/>
      <c r="AA11" s="9"/>
      <c r="AB11" s="9"/>
      <c r="AC11" s="9"/>
      <c r="AD11" s="9"/>
      <c r="AE11" s="9"/>
    </row>
    <row r="12" spans="1:31" s="24" customFormat="1">
      <c r="A12" s="334">
        <f t="shared" si="2"/>
        <v>7</v>
      </c>
      <c r="B12" s="323" t="s">
        <v>616</v>
      </c>
      <c r="C12" s="342"/>
      <c r="D12" s="343"/>
      <c r="E12" s="343"/>
      <c r="F12" s="336" t="str">
        <f t="shared" si="0"/>
        <v/>
      </c>
      <c r="G12" s="342"/>
      <c r="H12" s="343"/>
      <c r="I12" s="343"/>
      <c r="J12" s="336" t="str">
        <f t="shared" si="1"/>
        <v/>
      </c>
      <c r="K12" s="9"/>
      <c r="L12" s="485"/>
      <c r="M12" s="485"/>
      <c r="N12" s="485"/>
      <c r="O12" s="485"/>
      <c r="P12" s="9"/>
      <c r="Q12" s="9"/>
      <c r="R12" s="9"/>
      <c r="S12" s="9"/>
      <c r="T12" s="9"/>
      <c r="U12" s="9"/>
      <c r="V12" s="9"/>
      <c r="W12" s="9"/>
      <c r="X12" s="9"/>
      <c r="Y12" s="9"/>
      <c r="Z12" s="9"/>
      <c r="AA12" s="9"/>
      <c r="AB12" s="9"/>
      <c r="AC12" s="9"/>
      <c r="AD12" s="9"/>
      <c r="AE12" s="9"/>
    </row>
    <row r="13" spans="1:31" s="24" customFormat="1">
      <c r="A13" s="334">
        <f t="shared" si="2"/>
        <v>8</v>
      </c>
      <c r="B13" s="323" t="s">
        <v>617</v>
      </c>
      <c r="C13" s="342"/>
      <c r="D13" s="343"/>
      <c r="E13" s="343"/>
      <c r="F13" s="336" t="str">
        <f t="shared" si="0"/>
        <v/>
      </c>
      <c r="G13" s="342"/>
      <c r="H13" s="343"/>
      <c r="I13" s="343"/>
      <c r="J13" s="336" t="str">
        <f t="shared" si="1"/>
        <v/>
      </c>
      <c r="K13" s="9"/>
      <c r="L13" s="485"/>
      <c r="M13" s="485"/>
      <c r="N13" s="485"/>
      <c r="O13" s="485"/>
      <c r="P13" s="9"/>
      <c r="Q13" s="9"/>
      <c r="R13" s="9"/>
      <c r="S13" s="9"/>
      <c r="T13" s="9"/>
      <c r="U13" s="9"/>
      <c r="V13" s="9"/>
      <c r="W13" s="9"/>
      <c r="X13" s="9"/>
      <c r="Y13" s="9"/>
      <c r="Z13" s="9"/>
      <c r="AA13" s="9"/>
      <c r="AB13" s="9"/>
      <c r="AC13" s="9"/>
      <c r="AD13" s="9"/>
      <c r="AE13" s="9"/>
    </row>
    <row r="14" spans="1:31" s="24" customFormat="1">
      <c r="A14" s="334">
        <f t="shared" si="2"/>
        <v>9</v>
      </c>
      <c r="B14" s="323" t="s">
        <v>618</v>
      </c>
      <c r="C14" s="342"/>
      <c r="D14" s="343"/>
      <c r="E14" s="343"/>
      <c r="F14" s="336" t="str">
        <f t="shared" si="0"/>
        <v/>
      </c>
      <c r="G14" s="342"/>
      <c r="H14" s="343"/>
      <c r="I14" s="343"/>
      <c r="J14" s="336" t="str">
        <f t="shared" si="1"/>
        <v/>
      </c>
      <c r="K14" s="9"/>
      <c r="L14" s="485"/>
      <c r="M14" s="485"/>
      <c r="N14" s="485"/>
      <c r="O14" s="485"/>
      <c r="P14" s="9"/>
      <c r="Q14" s="9"/>
      <c r="R14" s="9"/>
      <c r="S14" s="9"/>
      <c r="T14" s="9"/>
      <c r="U14" s="9"/>
      <c r="V14" s="9"/>
      <c r="W14" s="9"/>
      <c r="X14" s="9"/>
      <c r="Y14" s="9"/>
      <c r="Z14" s="9"/>
      <c r="AA14" s="9"/>
      <c r="AB14" s="9"/>
      <c r="AC14" s="9"/>
      <c r="AD14" s="9"/>
      <c r="AE14" s="9"/>
    </row>
    <row r="15" spans="1:31" s="24" customFormat="1">
      <c r="A15" s="334">
        <f t="shared" si="2"/>
        <v>10</v>
      </c>
      <c r="B15" s="323" t="s">
        <v>619</v>
      </c>
      <c r="C15" s="342"/>
      <c r="D15" s="343"/>
      <c r="E15" s="343"/>
      <c r="F15" s="336" t="str">
        <f t="shared" si="0"/>
        <v/>
      </c>
      <c r="G15" s="342"/>
      <c r="H15" s="343"/>
      <c r="I15" s="343"/>
      <c r="J15" s="336" t="str">
        <f t="shared" si="1"/>
        <v/>
      </c>
      <c r="K15" s="9"/>
      <c r="L15" s="485"/>
      <c r="M15" s="485"/>
      <c r="N15" s="485"/>
      <c r="O15" s="485"/>
      <c r="P15" s="9"/>
      <c r="Q15" s="9"/>
      <c r="R15" s="9"/>
      <c r="S15" s="9"/>
      <c r="T15" s="9"/>
      <c r="U15" s="9"/>
      <c r="V15" s="9"/>
      <c r="W15" s="9"/>
      <c r="X15" s="9"/>
      <c r="Y15" s="9"/>
      <c r="Z15" s="9"/>
      <c r="AA15" s="9"/>
      <c r="AB15" s="9"/>
      <c r="AC15" s="9"/>
      <c r="AD15" s="9"/>
      <c r="AE15" s="9"/>
    </row>
    <row r="16" spans="1:31">
      <c r="A16" s="334">
        <f t="shared" si="2"/>
        <v>11</v>
      </c>
      <c r="B16" s="323" t="s">
        <v>620</v>
      </c>
      <c r="C16" s="342"/>
      <c r="D16" s="343"/>
      <c r="E16" s="343"/>
      <c r="F16" s="336" t="str">
        <f t="shared" si="0"/>
        <v/>
      </c>
      <c r="G16" s="342"/>
      <c r="H16" s="343"/>
      <c r="I16" s="343"/>
      <c r="J16" s="336" t="str">
        <f t="shared" si="1"/>
        <v/>
      </c>
      <c r="L16" s="485"/>
      <c r="M16" s="485"/>
      <c r="N16" s="485"/>
      <c r="O16" s="485"/>
    </row>
    <row r="17" spans="1:31">
      <c r="A17" s="334">
        <f t="shared" si="2"/>
        <v>12</v>
      </c>
      <c r="B17" s="323" t="s">
        <v>621</v>
      </c>
      <c r="C17" s="342"/>
      <c r="D17" s="343"/>
      <c r="E17" s="343"/>
      <c r="F17" s="336" t="str">
        <f t="shared" si="0"/>
        <v/>
      </c>
      <c r="G17" s="342"/>
      <c r="H17" s="343"/>
      <c r="I17" s="343"/>
      <c r="J17" s="336" t="str">
        <f t="shared" si="1"/>
        <v/>
      </c>
      <c r="L17" s="485"/>
      <c r="M17" s="485"/>
      <c r="N17" s="485"/>
      <c r="O17" s="485"/>
    </row>
    <row r="18" spans="1:31" s="20" customFormat="1">
      <c r="A18" s="334">
        <f t="shared" si="2"/>
        <v>13</v>
      </c>
      <c r="B18" s="323" t="s">
        <v>622</v>
      </c>
      <c r="C18" s="344"/>
      <c r="D18" s="345"/>
      <c r="E18" s="345"/>
      <c r="F18" s="336" t="str">
        <f t="shared" si="0"/>
        <v/>
      </c>
      <c r="G18" s="346"/>
      <c r="H18" s="345"/>
      <c r="I18" s="345"/>
      <c r="J18" s="336" t="str">
        <f t="shared" si="1"/>
        <v/>
      </c>
      <c r="K18" s="9"/>
      <c r="L18" s="485"/>
      <c r="M18" s="485"/>
      <c r="N18" s="485"/>
      <c r="O18" s="485"/>
      <c r="P18" s="9"/>
      <c r="Q18" s="9"/>
      <c r="R18" s="9"/>
      <c r="S18" s="9"/>
      <c r="T18" s="9"/>
      <c r="U18" s="9"/>
      <c r="V18" s="9"/>
      <c r="W18" s="9"/>
      <c r="X18" s="9"/>
      <c r="Y18" s="9"/>
      <c r="Z18" s="9"/>
      <c r="AA18" s="9"/>
      <c r="AB18" s="9"/>
      <c r="AC18" s="9"/>
      <c r="AD18" s="9"/>
      <c r="AE18" s="9"/>
    </row>
    <row r="19" spans="1:31" s="24" customFormat="1">
      <c r="A19" s="334">
        <f t="shared" si="2"/>
        <v>14</v>
      </c>
      <c r="B19" s="323" t="s">
        <v>623</v>
      </c>
      <c r="C19" s="347"/>
      <c r="D19" s="343"/>
      <c r="E19" s="343"/>
      <c r="F19" s="336" t="str">
        <f t="shared" si="0"/>
        <v/>
      </c>
      <c r="G19" s="343"/>
      <c r="H19" s="343"/>
      <c r="I19" s="343"/>
      <c r="J19" s="336" t="str">
        <f t="shared" si="1"/>
        <v/>
      </c>
      <c r="K19" s="9"/>
      <c r="L19" s="485"/>
      <c r="M19" s="485"/>
      <c r="N19" s="485"/>
      <c r="O19" s="485"/>
      <c r="P19" s="9"/>
      <c r="Q19" s="9"/>
      <c r="R19" s="9"/>
      <c r="S19" s="9"/>
      <c r="T19" s="9"/>
      <c r="U19" s="9"/>
      <c r="V19" s="9"/>
      <c r="W19" s="9"/>
      <c r="X19" s="9"/>
      <c r="Y19" s="9"/>
      <c r="Z19" s="9"/>
      <c r="AA19" s="9"/>
      <c r="AB19" s="9"/>
      <c r="AC19" s="9"/>
      <c r="AD19" s="9"/>
      <c r="AE19" s="9"/>
    </row>
    <row r="20" spans="1:31" s="24" customFormat="1">
      <c r="A20" s="334">
        <f t="shared" si="2"/>
        <v>15</v>
      </c>
      <c r="B20" s="323" t="s">
        <v>624</v>
      </c>
      <c r="C20" s="335"/>
      <c r="D20" s="335"/>
      <c r="E20" s="335"/>
      <c r="F20" s="336" t="str">
        <f t="shared" si="0"/>
        <v/>
      </c>
      <c r="G20" s="335"/>
      <c r="H20" s="335"/>
      <c r="I20" s="335"/>
      <c r="J20" s="336" t="str">
        <f t="shared" si="1"/>
        <v/>
      </c>
      <c r="K20" s="9"/>
      <c r="L20" s="485"/>
      <c r="M20" s="485"/>
      <c r="N20" s="485"/>
      <c r="O20" s="485"/>
      <c r="P20" s="9"/>
      <c r="Q20" s="9"/>
      <c r="R20" s="9"/>
      <c r="S20" s="9"/>
      <c r="T20" s="9"/>
      <c r="U20" s="9"/>
      <c r="V20" s="9"/>
      <c r="W20" s="9"/>
      <c r="X20" s="9"/>
      <c r="Y20" s="9"/>
      <c r="Z20" s="9"/>
      <c r="AA20" s="9"/>
      <c r="AB20" s="9"/>
      <c r="AC20" s="9"/>
      <c r="AD20" s="9"/>
      <c r="AE20" s="9"/>
    </row>
    <row r="21" spans="1:31" s="25" customFormat="1">
      <c r="A21" s="334">
        <f t="shared" si="2"/>
        <v>16</v>
      </c>
      <c r="B21" s="323" t="s">
        <v>625</v>
      </c>
      <c r="C21" s="335"/>
      <c r="D21" s="335"/>
      <c r="E21" s="335"/>
      <c r="F21" s="336" t="str">
        <f t="shared" si="0"/>
        <v/>
      </c>
      <c r="G21" s="335"/>
      <c r="H21" s="335"/>
      <c r="I21" s="335"/>
      <c r="J21" s="336" t="str">
        <f t="shared" si="1"/>
        <v/>
      </c>
      <c r="K21" s="9"/>
      <c r="L21" s="485"/>
      <c r="M21" s="485"/>
      <c r="N21" s="485"/>
      <c r="O21" s="485"/>
      <c r="P21" s="9"/>
      <c r="Q21" s="9"/>
      <c r="R21" s="9"/>
      <c r="S21" s="9"/>
      <c r="T21" s="9"/>
      <c r="U21" s="9"/>
      <c r="V21" s="9"/>
      <c r="W21" s="9"/>
      <c r="X21" s="9"/>
      <c r="Y21" s="9"/>
      <c r="Z21" s="9"/>
      <c r="AA21" s="9"/>
      <c r="AB21" s="9"/>
      <c r="AC21" s="9"/>
      <c r="AD21" s="9"/>
      <c r="AE21" s="9"/>
    </row>
    <row r="22" spans="1:31">
      <c r="A22" s="334">
        <f t="shared" si="2"/>
        <v>17</v>
      </c>
      <c r="B22" s="323" t="s">
        <v>626</v>
      </c>
      <c r="C22" s="338"/>
      <c r="D22" s="338"/>
      <c r="E22" s="338"/>
      <c r="F22" s="336" t="str">
        <f t="shared" si="0"/>
        <v/>
      </c>
      <c r="G22" s="338"/>
      <c r="H22" s="338"/>
      <c r="I22" s="338"/>
      <c r="J22" s="336" t="str">
        <f t="shared" si="1"/>
        <v/>
      </c>
      <c r="L22" s="485"/>
      <c r="M22" s="485"/>
      <c r="N22" s="485"/>
      <c r="O22" s="485"/>
    </row>
    <row r="23" spans="1:31">
      <c r="A23" s="334">
        <f t="shared" si="2"/>
        <v>18</v>
      </c>
      <c r="B23" s="323" t="s">
        <v>627</v>
      </c>
      <c r="C23" s="338"/>
      <c r="D23" s="338"/>
      <c r="E23" s="338"/>
      <c r="F23" s="336" t="str">
        <f t="shared" si="0"/>
        <v/>
      </c>
      <c r="G23" s="338"/>
      <c r="H23" s="338"/>
      <c r="I23" s="338"/>
      <c r="J23" s="336" t="str">
        <f t="shared" si="1"/>
        <v/>
      </c>
      <c r="L23" s="485"/>
      <c r="M23" s="485"/>
      <c r="N23" s="485"/>
      <c r="O23" s="485"/>
      <c r="AC23" s="2"/>
      <c r="AD23" s="2"/>
      <c r="AE23" s="2"/>
    </row>
    <row r="24" spans="1:31">
      <c r="A24" s="334">
        <f t="shared" si="2"/>
        <v>19</v>
      </c>
      <c r="B24" s="323" t="s">
        <v>628</v>
      </c>
      <c r="C24" s="338"/>
      <c r="D24" s="338"/>
      <c r="E24" s="338"/>
      <c r="F24" s="336" t="str">
        <f t="shared" si="0"/>
        <v/>
      </c>
      <c r="G24" s="338"/>
      <c r="H24" s="338"/>
      <c r="I24" s="338"/>
      <c r="J24" s="336" t="str">
        <f t="shared" si="1"/>
        <v/>
      </c>
      <c r="L24" s="485"/>
      <c r="M24" s="485"/>
      <c r="N24" s="485"/>
      <c r="O24" s="485"/>
      <c r="AC24" s="2"/>
      <c r="AD24" s="2"/>
      <c r="AE24" s="2"/>
    </row>
    <row r="25" spans="1:31">
      <c r="A25" s="334">
        <f t="shared" si="2"/>
        <v>20</v>
      </c>
      <c r="B25" s="323" t="s">
        <v>629</v>
      </c>
      <c r="C25" s="348"/>
      <c r="D25" s="338"/>
      <c r="E25" s="338"/>
      <c r="F25" s="336" t="str">
        <f t="shared" si="0"/>
        <v/>
      </c>
      <c r="G25" s="338"/>
      <c r="H25" s="338"/>
      <c r="I25" s="338"/>
      <c r="J25" s="336" t="str">
        <f t="shared" si="1"/>
        <v/>
      </c>
      <c r="L25" s="485"/>
      <c r="M25" s="485"/>
      <c r="N25" s="485"/>
      <c r="O25" s="485"/>
      <c r="AC25" s="2"/>
      <c r="AD25" s="2"/>
      <c r="AE25" s="2"/>
    </row>
    <row r="26" spans="1:31">
      <c r="A26" s="334">
        <f t="shared" si="2"/>
        <v>21</v>
      </c>
      <c r="B26" s="323" t="s">
        <v>630</v>
      </c>
      <c r="C26" s="338"/>
      <c r="D26" s="338"/>
      <c r="E26" s="338"/>
      <c r="F26" s="336" t="str">
        <f t="shared" si="0"/>
        <v/>
      </c>
      <c r="G26" s="338"/>
      <c r="H26" s="338"/>
      <c r="I26" s="338"/>
      <c r="J26" s="336" t="str">
        <f t="shared" si="1"/>
        <v/>
      </c>
      <c r="L26" s="485"/>
      <c r="M26" s="485"/>
      <c r="N26" s="485"/>
      <c r="O26" s="485"/>
      <c r="AC26" s="2"/>
      <c r="AD26" s="2"/>
      <c r="AE26" s="2"/>
    </row>
    <row r="27" spans="1:31">
      <c r="A27" s="334">
        <f t="shared" si="2"/>
        <v>22</v>
      </c>
      <c r="B27" s="323" t="s">
        <v>631</v>
      </c>
      <c r="C27" s="348"/>
      <c r="D27" s="338"/>
      <c r="E27" s="338"/>
      <c r="F27" s="336" t="str">
        <f t="shared" si="0"/>
        <v/>
      </c>
      <c r="G27" s="338"/>
      <c r="H27" s="338"/>
      <c r="I27" s="338"/>
      <c r="J27" s="336" t="str">
        <f t="shared" si="1"/>
        <v/>
      </c>
      <c r="L27" s="485"/>
      <c r="M27" s="485"/>
      <c r="N27" s="485"/>
      <c r="O27" s="485"/>
      <c r="AC27" s="2"/>
      <c r="AD27" s="2"/>
      <c r="AE27" s="2"/>
    </row>
    <row r="28" spans="1:31">
      <c r="A28" s="334">
        <f t="shared" si="2"/>
        <v>23</v>
      </c>
      <c r="B28" s="323" t="s">
        <v>632</v>
      </c>
      <c r="C28" s="348"/>
      <c r="D28" s="338"/>
      <c r="E28" s="338"/>
      <c r="F28" s="336" t="str">
        <f t="shared" si="0"/>
        <v/>
      </c>
      <c r="G28" s="338"/>
      <c r="H28" s="338"/>
      <c r="I28" s="338"/>
      <c r="J28" s="336" t="str">
        <f t="shared" si="1"/>
        <v/>
      </c>
      <c r="L28" s="485"/>
      <c r="M28" s="485"/>
      <c r="N28" s="485"/>
      <c r="O28" s="485"/>
      <c r="AC28" s="2"/>
      <c r="AD28" s="2"/>
      <c r="AE28" s="2"/>
    </row>
    <row r="29" spans="1:31">
      <c r="A29" s="334">
        <f t="shared" si="2"/>
        <v>24</v>
      </c>
      <c r="B29" s="323" t="s">
        <v>633</v>
      </c>
      <c r="C29" s="348"/>
      <c r="D29" s="338"/>
      <c r="E29" s="338"/>
      <c r="F29" s="336" t="str">
        <f t="shared" si="0"/>
        <v/>
      </c>
      <c r="G29" s="338"/>
      <c r="H29" s="338"/>
      <c r="I29" s="338"/>
      <c r="J29" s="336" t="str">
        <f t="shared" si="1"/>
        <v/>
      </c>
      <c r="L29" s="485"/>
      <c r="M29" s="485"/>
      <c r="N29" s="485"/>
      <c r="O29" s="485"/>
      <c r="AE29" s="2"/>
    </row>
    <row r="30" spans="1:31">
      <c r="A30" s="334">
        <f t="shared" si="2"/>
        <v>25</v>
      </c>
      <c r="B30" s="323" t="s">
        <v>634</v>
      </c>
      <c r="C30" s="349"/>
      <c r="D30" s="350"/>
      <c r="E30" s="350"/>
      <c r="F30" s="336" t="str">
        <f t="shared" si="0"/>
        <v/>
      </c>
      <c r="G30" s="350"/>
      <c r="H30" s="350"/>
      <c r="I30" s="350"/>
      <c r="J30" s="336" t="str">
        <f t="shared" si="1"/>
        <v/>
      </c>
      <c r="L30" s="485"/>
      <c r="M30" s="485"/>
      <c r="N30" s="485"/>
      <c r="O30" s="485"/>
      <c r="AE30" s="2"/>
    </row>
    <row r="31" spans="1:31" ht="12.75" customHeight="1">
      <c r="A31" s="334">
        <f t="shared" si="2"/>
        <v>26</v>
      </c>
      <c r="B31" s="351" t="s">
        <v>635</v>
      </c>
      <c r="C31" s="349"/>
      <c r="D31" s="350"/>
      <c r="E31" s="350"/>
      <c r="F31" s="336" t="str">
        <f t="shared" si="0"/>
        <v/>
      </c>
      <c r="G31" s="350"/>
      <c r="H31" s="350"/>
      <c r="I31" s="350"/>
      <c r="J31" s="336" t="str">
        <f t="shared" si="1"/>
        <v/>
      </c>
      <c r="K31" s="2"/>
      <c r="L31" s="485"/>
      <c r="M31" s="485"/>
      <c r="N31" s="485"/>
      <c r="O31" s="485"/>
      <c r="P31" s="2"/>
      <c r="Q31" s="2"/>
      <c r="R31" s="2"/>
      <c r="S31" s="2"/>
      <c r="T31" s="2"/>
      <c r="U31" s="2"/>
      <c r="V31" s="2"/>
      <c r="W31" s="2"/>
      <c r="X31" s="2"/>
      <c r="Y31" s="2"/>
      <c r="Z31" s="2"/>
      <c r="AA31" s="2"/>
      <c r="AB31" s="2"/>
      <c r="AC31" s="2"/>
      <c r="AD31" s="2"/>
      <c r="AE31" s="2"/>
    </row>
    <row r="32" spans="1:31">
      <c r="A32" s="334">
        <f t="shared" si="2"/>
        <v>27</v>
      </c>
      <c r="B32" s="323" t="s">
        <v>636</v>
      </c>
      <c r="C32" s="348"/>
      <c r="D32" s="338"/>
      <c r="E32" s="338"/>
      <c r="F32" s="336" t="str">
        <f t="shared" si="0"/>
        <v/>
      </c>
      <c r="G32" s="338"/>
      <c r="H32" s="338"/>
      <c r="I32" s="338"/>
      <c r="J32" s="336" t="str">
        <f t="shared" si="1"/>
        <v/>
      </c>
      <c r="K32" s="2"/>
      <c r="L32" s="485"/>
      <c r="M32" s="485"/>
      <c r="N32" s="485"/>
      <c r="O32" s="485"/>
      <c r="P32" s="2"/>
      <c r="Q32" s="2"/>
      <c r="R32" s="2"/>
      <c r="S32" s="2"/>
      <c r="T32" s="2"/>
      <c r="U32" s="2"/>
      <c r="V32" s="2"/>
      <c r="W32" s="2"/>
      <c r="X32" s="2"/>
      <c r="Y32" s="2"/>
      <c r="Z32" s="2"/>
      <c r="AA32" s="2"/>
      <c r="AB32" s="2"/>
      <c r="AC32" s="2"/>
      <c r="AD32" s="2"/>
      <c r="AE32" s="2"/>
    </row>
    <row r="33" spans="1:31">
      <c r="A33" s="334">
        <f t="shared" si="2"/>
        <v>28</v>
      </c>
      <c r="B33" s="323" t="s">
        <v>637</v>
      </c>
      <c r="C33" s="348"/>
      <c r="D33" s="338"/>
      <c r="E33" s="338"/>
      <c r="F33" s="336" t="str">
        <f t="shared" si="0"/>
        <v/>
      </c>
      <c r="G33" s="338"/>
      <c r="H33" s="338"/>
      <c r="I33" s="338"/>
      <c r="J33" s="336" t="str">
        <f t="shared" si="1"/>
        <v/>
      </c>
      <c r="K33" s="2"/>
      <c r="L33" s="485"/>
      <c r="M33" s="485"/>
      <c r="N33" s="485"/>
      <c r="O33" s="485"/>
      <c r="P33" s="2"/>
      <c r="Q33" s="2"/>
      <c r="R33" s="2"/>
      <c r="S33" s="2"/>
      <c r="T33" s="2"/>
      <c r="U33" s="2"/>
      <c r="V33" s="2"/>
      <c r="W33" s="2"/>
      <c r="X33" s="2"/>
      <c r="Y33" s="2"/>
      <c r="Z33" s="2"/>
      <c r="AA33" s="2"/>
      <c r="AB33" s="2"/>
      <c r="AC33" s="2"/>
      <c r="AD33" s="2"/>
      <c r="AE33" s="2"/>
    </row>
    <row r="34" spans="1:31">
      <c r="A34" s="334">
        <f t="shared" si="2"/>
        <v>29</v>
      </c>
      <c r="B34" s="323" t="s">
        <v>638</v>
      </c>
      <c r="C34" s="348"/>
      <c r="D34" s="338"/>
      <c r="E34" s="338"/>
      <c r="F34" s="336" t="str">
        <f t="shared" si="0"/>
        <v/>
      </c>
      <c r="G34" s="338"/>
      <c r="H34" s="338"/>
      <c r="I34" s="338"/>
      <c r="J34" s="336" t="str">
        <f t="shared" si="1"/>
        <v/>
      </c>
      <c r="K34" s="2"/>
      <c r="L34" s="485"/>
      <c r="M34" s="485"/>
      <c r="N34" s="485"/>
      <c r="O34" s="485"/>
      <c r="P34" s="2"/>
      <c r="Q34" s="2"/>
      <c r="R34" s="2"/>
      <c r="S34" s="2"/>
      <c r="T34" s="2"/>
      <c r="U34" s="2"/>
      <c r="V34" s="2"/>
      <c r="W34" s="2"/>
      <c r="X34" s="2"/>
      <c r="Y34" s="2"/>
      <c r="Z34" s="2"/>
      <c r="AA34" s="2"/>
      <c r="AB34" s="2"/>
      <c r="AC34" s="2"/>
      <c r="AD34" s="2"/>
      <c r="AE34" s="2"/>
    </row>
    <row r="35" spans="1:31">
      <c r="A35" s="334">
        <f t="shared" si="2"/>
        <v>30</v>
      </c>
      <c r="B35" s="323" t="s">
        <v>639</v>
      </c>
      <c r="C35" s="348"/>
      <c r="D35" s="338"/>
      <c r="E35" s="338"/>
      <c r="F35" s="336" t="str">
        <f t="shared" si="0"/>
        <v/>
      </c>
      <c r="G35" s="338"/>
      <c r="H35" s="338"/>
      <c r="I35" s="338"/>
      <c r="J35" s="336" t="str">
        <f t="shared" si="1"/>
        <v/>
      </c>
      <c r="K35" s="2"/>
      <c r="L35" s="485"/>
      <c r="M35" s="485"/>
      <c r="N35" s="485"/>
      <c r="O35" s="485"/>
      <c r="P35" s="2"/>
      <c r="Q35" s="2"/>
      <c r="R35" s="2"/>
      <c r="S35" s="2"/>
      <c r="T35" s="2"/>
      <c r="U35" s="2"/>
      <c r="V35" s="2"/>
      <c r="W35" s="2"/>
      <c r="X35" s="2"/>
      <c r="Y35" s="2"/>
      <c r="Z35" s="2"/>
      <c r="AA35" s="2"/>
      <c r="AB35" s="2"/>
      <c r="AC35" s="2"/>
      <c r="AD35" s="2"/>
      <c r="AE35" s="2"/>
    </row>
    <row r="36" spans="1:31">
      <c r="A36" s="334">
        <f t="shared" si="2"/>
        <v>31</v>
      </c>
      <c r="B36" s="323" t="s">
        <v>655</v>
      </c>
      <c r="C36" s="348"/>
      <c r="D36" s="338"/>
      <c r="E36" s="338"/>
      <c r="F36" s="336" t="str">
        <f t="shared" si="0"/>
        <v/>
      </c>
      <c r="G36" s="338"/>
      <c r="H36" s="338"/>
      <c r="I36" s="338"/>
      <c r="J36" s="336" t="str">
        <f t="shared" si="1"/>
        <v/>
      </c>
      <c r="K36" s="2"/>
      <c r="L36" s="485"/>
      <c r="M36" s="485"/>
      <c r="N36" s="485"/>
      <c r="O36" s="485"/>
      <c r="P36" s="2"/>
      <c r="Q36" s="2"/>
      <c r="R36" s="2"/>
      <c r="S36" s="2"/>
      <c r="T36" s="2"/>
      <c r="U36" s="2"/>
      <c r="V36" s="2"/>
      <c r="W36" s="2"/>
      <c r="X36" s="2"/>
      <c r="Y36" s="2"/>
      <c r="Z36" s="2"/>
      <c r="AA36" s="2"/>
      <c r="AB36" s="2"/>
      <c r="AC36" s="2"/>
      <c r="AD36" s="2"/>
      <c r="AE36" s="2"/>
    </row>
    <row r="37" spans="1:31">
      <c r="A37" s="334">
        <f t="shared" si="2"/>
        <v>32</v>
      </c>
      <c r="B37" s="320" t="s">
        <v>640</v>
      </c>
      <c r="C37" s="348">
        <f>SUM(C38:C45)</f>
        <v>0</v>
      </c>
      <c r="D37" s="348">
        <f>SUM(D38:D45)</f>
        <v>0</v>
      </c>
      <c r="E37" s="348">
        <f>SUM(E38:E45)</f>
        <v>0</v>
      </c>
      <c r="F37" s="336" t="str">
        <f t="shared" si="0"/>
        <v/>
      </c>
      <c r="G37" s="338">
        <f>SUM(G38:G45)</f>
        <v>0</v>
      </c>
      <c r="H37" s="338">
        <f>SUM(H38:H45)</f>
        <v>0</v>
      </c>
      <c r="I37" s="338">
        <f>SUM(I38:I45)</f>
        <v>0</v>
      </c>
      <c r="J37" s="336" t="str">
        <f t="shared" si="1"/>
        <v/>
      </c>
      <c r="L37" s="485"/>
      <c r="M37" s="485"/>
      <c r="N37" s="485"/>
      <c r="O37" s="485"/>
    </row>
    <row r="38" spans="1:31">
      <c r="A38" s="334">
        <f t="shared" si="2"/>
        <v>33</v>
      </c>
      <c r="B38" s="323" t="s">
        <v>644</v>
      </c>
      <c r="C38" s="338"/>
      <c r="D38" s="338"/>
      <c r="E38" s="338"/>
      <c r="F38" s="336" t="str">
        <f t="shared" si="0"/>
        <v/>
      </c>
      <c r="G38" s="338"/>
      <c r="H38" s="338"/>
      <c r="I38" s="338"/>
      <c r="J38" s="336" t="str">
        <f t="shared" si="1"/>
        <v/>
      </c>
      <c r="L38" s="485"/>
      <c r="M38" s="485"/>
      <c r="N38" s="485"/>
      <c r="O38" s="485"/>
    </row>
    <row r="39" spans="1:31" ht="13.5" customHeight="1">
      <c r="A39" s="334">
        <f t="shared" si="2"/>
        <v>34</v>
      </c>
      <c r="B39" s="323" t="s">
        <v>645</v>
      </c>
      <c r="C39" s="338"/>
      <c r="D39" s="338"/>
      <c r="E39" s="338"/>
      <c r="F39" s="336" t="str">
        <f t="shared" si="0"/>
        <v/>
      </c>
      <c r="G39" s="338"/>
      <c r="H39" s="338"/>
      <c r="I39" s="338"/>
      <c r="J39" s="336" t="str">
        <f t="shared" si="1"/>
        <v/>
      </c>
      <c r="L39" s="485"/>
      <c r="M39" s="485"/>
      <c r="N39" s="485"/>
      <c r="O39" s="485"/>
    </row>
    <row r="40" spans="1:31">
      <c r="A40" s="334">
        <f t="shared" si="2"/>
        <v>35</v>
      </c>
      <c r="B40" s="323" t="s">
        <v>646</v>
      </c>
      <c r="C40" s="352"/>
      <c r="D40" s="338"/>
      <c r="E40" s="338"/>
      <c r="F40" s="336" t="str">
        <f t="shared" si="0"/>
        <v/>
      </c>
      <c r="G40" s="352"/>
      <c r="H40" s="338"/>
      <c r="I40" s="338"/>
      <c r="J40" s="336" t="str">
        <f t="shared" si="1"/>
        <v/>
      </c>
      <c r="L40" s="485"/>
      <c r="M40" s="485"/>
      <c r="N40" s="485"/>
      <c r="O40" s="485"/>
    </row>
    <row r="41" spans="1:31">
      <c r="A41" s="334">
        <f t="shared" si="2"/>
        <v>36</v>
      </c>
      <c r="B41" s="323" t="s">
        <v>647</v>
      </c>
      <c r="C41" s="352"/>
      <c r="D41" s="338"/>
      <c r="E41" s="338"/>
      <c r="F41" s="336" t="str">
        <f t="shared" si="0"/>
        <v/>
      </c>
      <c r="G41" s="352"/>
      <c r="H41" s="338"/>
      <c r="I41" s="338"/>
      <c r="J41" s="336" t="str">
        <f t="shared" si="1"/>
        <v/>
      </c>
      <c r="L41" s="485"/>
      <c r="M41" s="485"/>
      <c r="N41" s="485"/>
      <c r="O41" s="485"/>
    </row>
    <row r="42" spans="1:31">
      <c r="A42" s="334">
        <f t="shared" si="2"/>
        <v>37</v>
      </c>
      <c r="B42" s="323" t="s">
        <v>648</v>
      </c>
      <c r="C42" s="352"/>
      <c r="D42" s="338"/>
      <c r="E42" s="338"/>
      <c r="F42" s="336" t="str">
        <f t="shared" si="0"/>
        <v/>
      </c>
      <c r="G42" s="352"/>
      <c r="H42" s="338"/>
      <c r="I42" s="338"/>
      <c r="J42" s="336" t="str">
        <f t="shared" si="1"/>
        <v/>
      </c>
      <c r="L42" s="485"/>
      <c r="M42" s="485"/>
      <c r="N42" s="485"/>
      <c r="O42" s="485"/>
    </row>
    <row r="43" spans="1:31">
      <c r="A43" s="334">
        <f t="shared" si="2"/>
        <v>38</v>
      </c>
      <c r="B43" s="323" t="s">
        <v>649</v>
      </c>
      <c r="C43" s="352"/>
      <c r="D43" s="338"/>
      <c r="E43" s="338"/>
      <c r="F43" s="336" t="str">
        <f t="shared" si="0"/>
        <v/>
      </c>
      <c r="G43" s="352"/>
      <c r="H43" s="338"/>
      <c r="I43" s="338"/>
      <c r="J43" s="336" t="str">
        <f t="shared" si="1"/>
        <v/>
      </c>
      <c r="L43" s="485"/>
      <c r="M43" s="485"/>
      <c r="N43" s="485"/>
      <c r="O43" s="485"/>
    </row>
    <row r="44" spans="1:31">
      <c r="A44" s="334">
        <f t="shared" si="2"/>
        <v>39</v>
      </c>
      <c r="B44" s="323" t="s">
        <v>650</v>
      </c>
      <c r="C44" s="352"/>
      <c r="D44" s="338"/>
      <c r="E44" s="338"/>
      <c r="F44" s="336" t="str">
        <f t="shared" si="0"/>
        <v/>
      </c>
      <c r="G44" s="352"/>
      <c r="H44" s="338"/>
      <c r="I44" s="338"/>
      <c r="J44" s="336" t="str">
        <f t="shared" si="1"/>
        <v/>
      </c>
      <c r="L44" s="485"/>
      <c r="M44" s="485"/>
      <c r="N44" s="485"/>
      <c r="O44" s="485"/>
    </row>
    <row r="45" spans="1:31">
      <c r="A45" s="334">
        <f t="shared" si="2"/>
        <v>40</v>
      </c>
      <c r="B45" s="323" t="s">
        <v>651</v>
      </c>
      <c r="C45" s="353"/>
      <c r="D45" s="338"/>
      <c r="E45" s="338"/>
      <c r="F45" s="336" t="str">
        <f t="shared" si="0"/>
        <v/>
      </c>
      <c r="G45" s="352"/>
      <c r="H45" s="338"/>
      <c r="I45" s="338"/>
      <c r="J45" s="336" t="str">
        <f t="shared" si="1"/>
        <v/>
      </c>
      <c r="L45" s="485"/>
      <c r="M45" s="485"/>
      <c r="N45" s="485"/>
      <c r="O45" s="485"/>
    </row>
    <row r="46" spans="1:31">
      <c r="A46" s="334">
        <f t="shared" si="2"/>
        <v>41</v>
      </c>
      <c r="B46" s="2252" t="s">
        <v>641</v>
      </c>
      <c r="C46" s="352">
        <f>C6+C37</f>
        <v>0</v>
      </c>
      <c r="D46" s="352">
        <f>D6+D37</f>
        <v>0</v>
      </c>
      <c r="E46" s="352">
        <f>E6+E37</f>
        <v>0</v>
      </c>
      <c r="F46" s="336" t="str">
        <f t="shared" si="0"/>
        <v/>
      </c>
      <c r="G46" s="352">
        <f>G6+G37</f>
        <v>0</v>
      </c>
      <c r="H46" s="352">
        <f>H6+H37</f>
        <v>0</v>
      </c>
      <c r="I46" s="352">
        <f>I6+I37</f>
        <v>0</v>
      </c>
      <c r="J46" s="336" t="str">
        <f t="shared" si="1"/>
        <v/>
      </c>
      <c r="L46" s="485"/>
      <c r="M46" s="485"/>
      <c r="N46" s="485"/>
      <c r="O46" s="485"/>
    </row>
    <row r="47" spans="1:31">
      <c r="A47" s="354" t="s">
        <v>642</v>
      </c>
      <c r="B47" s="355" t="s">
        <v>643</v>
      </c>
      <c r="C47" s="356">
        <f>C46-SUM(C20:C22)-C35</f>
        <v>0</v>
      </c>
      <c r="D47" s="356">
        <f>D46-SUM(D20:D22)-D35</f>
        <v>0</v>
      </c>
      <c r="E47" s="356">
        <f>E46-SUM(E20:E22)-E35</f>
        <v>0</v>
      </c>
      <c r="F47" s="357"/>
      <c r="G47" s="358">
        <f>G46-G20-G21-G22-G35</f>
        <v>0</v>
      </c>
      <c r="H47" s="358">
        <f>H46-H20-H21-H22-H35</f>
        <v>0</v>
      </c>
      <c r="I47" s="358">
        <f>I46-I20-I21-I22-I35</f>
        <v>0</v>
      </c>
      <c r="J47" s="359"/>
    </row>
    <row r="48" spans="1:31">
      <c r="A48" s="8">
        <v>1</v>
      </c>
      <c r="B48" s="2" t="s">
        <v>445</v>
      </c>
      <c r="C48" s="29"/>
      <c r="D48" s="29"/>
      <c r="E48" s="29"/>
      <c r="F48" s="30"/>
      <c r="G48" s="27"/>
      <c r="H48" s="27"/>
      <c r="I48" s="27"/>
      <c r="J48" s="28"/>
    </row>
    <row r="49" spans="1:10">
      <c r="A49" s="8">
        <v>2</v>
      </c>
      <c r="B49" s="2" t="s">
        <v>446</v>
      </c>
      <c r="C49" s="31"/>
      <c r="D49" s="31"/>
      <c r="E49" s="31"/>
      <c r="F49" s="32"/>
      <c r="G49" s="27"/>
      <c r="H49" s="27"/>
      <c r="I49" s="27"/>
      <c r="J49" s="28"/>
    </row>
    <row r="50" spans="1:10">
      <c r="A50" s="8">
        <v>3</v>
      </c>
      <c r="B50" s="2" t="s">
        <v>949</v>
      </c>
      <c r="C50" s="13"/>
      <c r="D50" s="13"/>
      <c r="E50" s="13"/>
      <c r="F50" s="1"/>
    </row>
    <row r="51" spans="1:10">
      <c r="A51" s="8"/>
      <c r="C51" s="13"/>
      <c r="D51" s="13"/>
      <c r="E51" s="13"/>
      <c r="F51" s="1"/>
    </row>
    <row r="52" spans="1:10">
      <c r="A52" s="8"/>
      <c r="C52" s="13"/>
      <c r="D52" s="13"/>
      <c r="E52" s="13"/>
      <c r="F52" s="1"/>
    </row>
  </sheetData>
  <mergeCells count="4">
    <mergeCell ref="A3:A5"/>
    <mergeCell ref="B3:B5"/>
    <mergeCell ref="C3:F3"/>
    <mergeCell ref="G3:J3"/>
  </mergeCells>
  <phoneticPr fontId="29" type="noConversion"/>
  <printOptions horizontalCentered="1" gridLinesSet="0"/>
  <pageMargins left="0.39370078740157483" right="0.39370078740157483" top="0.39370078740157483" bottom="0.39370078740157483" header="0.19685039370078741" footer="0.19685039370078741"/>
  <pageSetup paperSize="9" scale="79" orientation="landscape" horizontalDpi="4294967295" verticalDpi="4294967295" r:id="rId1"/>
  <headerFooter alignWithMargins="0">
    <oddFooter>&amp;C&amp;"Times New Roman,標準"100&amp;R&amp;"Times New Roman,標準"&amp;A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V26"/>
  <sheetViews>
    <sheetView zoomScaleNormal="75" workbookViewId="0"/>
  </sheetViews>
  <sheetFormatPr defaultColWidth="9.625" defaultRowHeight="14.25"/>
  <cols>
    <col min="1" max="1" width="5.125" style="36" customWidth="1"/>
    <col min="2" max="2" width="55.25" style="36" bestFit="1" customWidth="1"/>
    <col min="3" max="3" width="14.125" style="39" customWidth="1"/>
    <col min="4" max="4" width="12.625" style="39" customWidth="1"/>
    <col min="5" max="5" width="13.375" style="39" customWidth="1"/>
    <col min="6" max="6" width="13.5" style="36" customWidth="1"/>
    <col min="7" max="7" width="13.125" style="39" customWidth="1"/>
    <col min="8" max="8" width="12.875" style="39" customWidth="1"/>
    <col min="9" max="9" width="12.625" style="39" customWidth="1"/>
    <col min="10" max="10" width="14" style="36" customWidth="1"/>
    <col min="11" max="11" width="8.625" style="36" customWidth="1"/>
    <col min="12" max="12" width="9.75" style="36" customWidth="1"/>
    <col min="13" max="13" width="11.25" style="36" customWidth="1"/>
    <col min="14" max="14" width="9.375" style="36" customWidth="1"/>
    <col min="15" max="15" width="8.5" style="36" customWidth="1"/>
    <col min="16" max="16" width="12.875" style="36" customWidth="1"/>
    <col min="17" max="17" width="8.625" style="36" customWidth="1"/>
    <col min="18" max="18" width="9.75" style="36" customWidth="1"/>
    <col min="19" max="19" width="11.25" style="36" customWidth="1"/>
    <col min="20" max="20" width="9.375" style="36" customWidth="1"/>
    <col min="21" max="21" width="8.5" style="36" customWidth="1"/>
    <col min="22" max="22" width="12.875" style="36" customWidth="1"/>
    <col min="23" max="16384" width="9.625" style="36"/>
  </cols>
  <sheetData>
    <row r="1" spans="1:22" ht="15.75" customHeight="1">
      <c r="A1" s="105" t="str">
        <f>表03!A1</f>
        <v xml:space="preserve"> 保險股份有限公司    年度(月)報表</v>
      </c>
      <c r="B1" s="33"/>
      <c r="C1" s="34"/>
      <c r="D1" s="34"/>
      <c r="E1" s="34"/>
      <c r="F1" s="33"/>
      <c r="G1" s="34"/>
      <c r="H1" s="34"/>
      <c r="I1" s="34"/>
      <c r="J1" s="33"/>
      <c r="K1" s="35"/>
      <c r="L1" s="35"/>
      <c r="M1" s="35"/>
      <c r="N1" s="35"/>
      <c r="O1" s="35"/>
      <c r="P1" s="35"/>
      <c r="Q1" s="35"/>
      <c r="R1" s="35"/>
      <c r="S1" s="35"/>
      <c r="T1" s="35"/>
      <c r="U1" s="35"/>
      <c r="V1" s="35"/>
    </row>
    <row r="2" spans="1:22" ht="15.75" customHeight="1">
      <c r="A2" s="12" t="s">
        <v>447</v>
      </c>
      <c r="B2" s="37"/>
      <c r="C2" s="38"/>
      <c r="J2" s="4" t="s">
        <v>361</v>
      </c>
      <c r="K2" s="37"/>
      <c r="Q2" s="37"/>
    </row>
    <row r="3" spans="1:22" ht="16.5">
      <c r="A3" s="2860" t="s">
        <v>448</v>
      </c>
      <c r="B3" s="2861" t="s">
        <v>449</v>
      </c>
      <c r="C3" s="2862" t="s">
        <v>751</v>
      </c>
      <c r="D3" s="2856"/>
      <c r="E3" s="2856"/>
      <c r="F3" s="2857"/>
      <c r="G3" s="2855" t="s">
        <v>1469</v>
      </c>
      <c r="H3" s="2858"/>
      <c r="I3" s="2858"/>
      <c r="J3" s="2859"/>
    </row>
    <row r="4" spans="1:22">
      <c r="A4" s="2860"/>
      <c r="B4" s="2861"/>
      <c r="C4" s="202" t="s">
        <v>87</v>
      </c>
      <c r="D4" s="203" t="s">
        <v>88</v>
      </c>
      <c r="E4" s="16" t="s">
        <v>363</v>
      </c>
      <c r="F4" s="17" t="s">
        <v>364</v>
      </c>
      <c r="G4" s="16" t="s">
        <v>87</v>
      </c>
      <c r="H4" s="16" t="s">
        <v>88</v>
      </c>
      <c r="I4" s="16" t="s">
        <v>363</v>
      </c>
      <c r="J4" s="17" t="s">
        <v>364</v>
      </c>
    </row>
    <row r="5" spans="1:22">
      <c r="A5" s="2860"/>
      <c r="B5" s="2861"/>
      <c r="C5" s="205" t="s">
        <v>66</v>
      </c>
      <c r="D5" s="204" t="s">
        <v>358</v>
      </c>
      <c r="E5" s="18" t="s">
        <v>365</v>
      </c>
      <c r="F5" s="2260" t="s">
        <v>366</v>
      </c>
      <c r="G5" s="18" t="s">
        <v>367</v>
      </c>
      <c r="H5" s="19" t="s">
        <v>368</v>
      </c>
      <c r="I5" s="18" t="s">
        <v>369</v>
      </c>
      <c r="J5" s="2260" t="s">
        <v>370</v>
      </c>
    </row>
    <row r="6" spans="1:22" ht="18" customHeight="1">
      <c r="A6" s="334">
        <v>1</v>
      </c>
      <c r="B6" s="281" t="s">
        <v>652</v>
      </c>
      <c r="C6" s="360">
        <f>SUM(C7:C13)</f>
        <v>0</v>
      </c>
      <c r="D6" s="360">
        <f>SUM(D7:D13)</f>
        <v>0</v>
      </c>
      <c r="E6" s="360">
        <f>SUM(E7:E13)</f>
        <v>0</v>
      </c>
      <c r="F6" s="1163" t="str">
        <f>IF(C6=0,"",(D6-D12-D13)/(C6-C12-C13))</f>
        <v/>
      </c>
      <c r="G6" s="360">
        <f>SUM(G7:G13)</f>
        <v>0</v>
      </c>
      <c r="H6" s="360">
        <f>SUM(H7:H13)</f>
        <v>0</v>
      </c>
      <c r="I6" s="360">
        <f>SUM(I7:I13)</f>
        <v>0</v>
      </c>
      <c r="J6" s="1163" t="str">
        <f>IF(G6=0,"",(H6-H12-H13)/(G6-G12-G13))</f>
        <v/>
      </c>
      <c r="K6" s="39"/>
      <c r="L6" s="39"/>
      <c r="M6" s="39"/>
      <c r="N6" s="39"/>
    </row>
    <row r="7" spans="1:22" ht="18" customHeight="1">
      <c r="A7" s="334">
        <v>2</v>
      </c>
      <c r="B7" s="281" t="s">
        <v>653</v>
      </c>
      <c r="C7" s="360"/>
      <c r="D7" s="360"/>
      <c r="E7" s="360"/>
      <c r="F7" s="361" t="str">
        <f t="shared" ref="F7:F19" si="0">IF(C7=0,"",D7/C7)</f>
        <v/>
      </c>
      <c r="G7" s="360"/>
      <c r="H7" s="360"/>
      <c r="I7" s="360"/>
      <c r="J7" s="361" t="str">
        <f t="shared" ref="J7:J19" si="1">IF(G7=0,"",H7/G7)</f>
        <v/>
      </c>
      <c r="K7" s="39"/>
      <c r="L7" s="39"/>
      <c r="M7" s="39"/>
      <c r="N7" s="39"/>
    </row>
    <row r="8" spans="1:22" ht="18" customHeight="1">
      <c r="A8" s="334">
        <v>3</v>
      </c>
      <c r="B8" s="281" t="s">
        <v>654</v>
      </c>
      <c r="C8" s="360"/>
      <c r="D8" s="360"/>
      <c r="E8" s="360"/>
      <c r="F8" s="361" t="str">
        <f t="shared" si="0"/>
        <v/>
      </c>
      <c r="G8" s="360"/>
      <c r="H8" s="360"/>
      <c r="I8" s="360"/>
      <c r="J8" s="361" t="str">
        <f t="shared" si="1"/>
        <v/>
      </c>
      <c r="K8" s="39"/>
      <c r="L8" s="39"/>
      <c r="M8" s="39"/>
      <c r="N8" s="39"/>
    </row>
    <row r="9" spans="1:22" ht="18" customHeight="1">
      <c r="A9" s="334">
        <v>4</v>
      </c>
      <c r="B9" s="1074" t="s">
        <v>1694</v>
      </c>
      <c r="C9" s="360"/>
      <c r="D9" s="360"/>
      <c r="E9" s="360"/>
      <c r="F9" s="361" t="str">
        <f t="shared" si="0"/>
        <v/>
      </c>
      <c r="G9" s="360"/>
      <c r="H9" s="360"/>
      <c r="I9" s="360"/>
      <c r="J9" s="361" t="str">
        <f t="shared" si="1"/>
        <v/>
      </c>
      <c r="K9" s="39"/>
      <c r="L9" s="39"/>
      <c r="M9" s="39"/>
      <c r="N9" s="39"/>
    </row>
    <row r="10" spans="1:22" ht="18" customHeight="1">
      <c r="A10" s="334">
        <v>5</v>
      </c>
      <c r="B10" s="281" t="s">
        <v>656</v>
      </c>
      <c r="C10" s="362"/>
      <c r="D10" s="362"/>
      <c r="E10" s="362"/>
      <c r="F10" s="361" t="str">
        <f t="shared" si="0"/>
        <v/>
      </c>
      <c r="G10" s="362"/>
      <c r="H10" s="363"/>
      <c r="I10" s="363"/>
      <c r="J10" s="361" t="str">
        <f t="shared" si="1"/>
        <v/>
      </c>
      <c r="K10" s="39"/>
      <c r="L10" s="39"/>
      <c r="M10" s="39"/>
      <c r="N10" s="39"/>
    </row>
    <row r="11" spans="1:22" ht="18" customHeight="1">
      <c r="A11" s="334">
        <v>6</v>
      </c>
      <c r="B11" s="281" t="s">
        <v>657</v>
      </c>
      <c r="C11" s="362"/>
      <c r="D11" s="362"/>
      <c r="E11" s="362"/>
      <c r="F11" s="361" t="str">
        <f t="shared" si="0"/>
        <v/>
      </c>
      <c r="G11" s="362"/>
      <c r="H11" s="363"/>
      <c r="I11" s="363"/>
      <c r="J11" s="361" t="str">
        <f t="shared" si="1"/>
        <v/>
      </c>
      <c r="K11" s="39"/>
      <c r="L11" s="39"/>
      <c r="M11" s="39"/>
      <c r="N11" s="39"/>
    </row>
    <row r="12" spans="1:22" ht="18" customHeight="1">
      <c r="A12" s="334">
        <v>7</v>
      </c>
      <c r="B12" s="1074" t="s">
        <v>1470</v>
      </c>
      <c r="C12" s="362"/>
      <c r="D12" s="362"/>
      <c r="E12" s="362"/>
      <c r="F12" s="1075"/>
      <c r="G12" s="362"/>
      <c r="H12" s="362"/>
      <c r="I12" s="362"/>
      <c r="J12" s="1075"/>
      <c r="K12" s="39"/>
      <c r="L12" s="39"/>
      <c r="M12" s="39"/>
      <c r="N12" s="39"/>
    </row>
    <row r="13" spans="1:22" ht="18" customHeight="1">
      <c r="A13" s="334">
        <v>8</v>
      </c>
      <c r="B13" s="1074" t="s">
        <v>1471</v>
      </c>
      <c r="C13" s="362"/>
      <c r="D13" s="362"/>
      <c r="E13" s="362"/>
      <c r="F13" s="1075"/>
      <c r="G13" s="362"/>
      <c r="H13" s="362"/>
      <c r="I13" s="362"/>
      <c r="J13" s="1075"/>
      <c r="K13" s="39"/>
      <c r="L13" s="39"/>
      <c r="M13" s="39"/>
      <c r="N13" s="39"/>
    </row>
    <row r="14" spans="1:22" ht="18" customHeight="1">
      <c r="A14" s="334">
        <v>9</v>
      </c>
      <c r="B14" s="281" t="s">
        <v>658</v>
      </c>
      <c r="C14" s="360">
        <f>SUM(C15:C19)</f>
        <v>0</v>
      </c>
      <c r="D14" s="360">
        <f>SUM(D15:D19)</f>
        <v>0</v>
      </c>
      <c r="E14" s="360">
        <f>SUM(E15:E19)</f>
        <v>0</v>
      </c>
      <c r="F14" s="361" t="str">
        <f t="shared" si="0"/>
        <v/>
      </c>
      <c r="G14" s="360">
        <f>SUM(G15:G19)</f>
        <v>0</v>
      </c>
      <c r="H14" s="360">
        <f>SUM(H15:H19)</f>
        <v>0</v>
      </c>
      <c r="I14" s="360">
        <f>SUM(I15:I19)</f>
        <v>0</v>
      </c>
      <c r="J14" s="361" t="str">
        <f t="shared" si="1"/>
        <v/>
      </c>
      <c r="K14" s="39"/>
      <c r="L14" s="39"/>
      <c r="M14" s="39"/>
      <c r="N14" s="39"/>
    </row>
    <row r="15" spans="1:22" ht="18" customHeight="1">
      <c r="A15" s="334">
        <v>10</v>
      </c>
      <c r="B15" s="281" t="s">
        <v>659</v>
      </c>
      <c r="C15" s="360"/>
      <c r="D15" s="360"/>
      <c r="E15" s="360"/>
      <c r="F15" s="361" t="str">
        <f t="shared" si="0"/>
        <v/>
      </c>
      <c r="G15" s="360"/>
      <c r="H15" s="360"/>
      <c r="I15" s="360"/>
      <c r="J15" s="361" t="str">
        <f t="shared" si="1"/>
        <v/>
      </c>
      <c r="K15" s="39"/>
      <c r="L15" s="39"/>
      <c r="M15" s="39"/>
      <c r="N15" s="39"/>
    </row>
    <row r="16" spans="1:22" ht="18" customHeight="1">
      <c r="A16" s="334">
        <v>11</v>
      </c>
      <c r="B16" s="281" t="s">
        <v>660</v>
      </c>
      <c r="C16" s="360"/>
      <c r="D16" s="360"/>
      <c r="E16" s="360"/>
      <c r="F16" s="361" t="str">
        <f t="shared" si="0"/>
        <v/>
      </c>
      <c r="G16" s="360"/>
      <c r="H16" s="360"/>
      <c r="I16" s="360"/>
      <c r="J16" s="361" t="str">
        <f t="shared" si="1"/>
        <v/>
      </c>
      <c r="K16" s="39"/>
      <c r="L16" s="39"/>
      <c r="M16" s="39"/>
      <c r="N16" s="39"/>
    </row>
    <row r="17" spans="1:22" ht="18" customHeight="1">
      <c r="A17" s="334">
        <v>12</v>
      </c>
      <c r="B17" s="281" t="s">
        <v>661</v>
      </c>
      <c r="C17" s="360"/>
      <c r="D17" s="360"/>
      <c r="E17" s="360"/>
      <c r="F17" s="361" t="str">
        <f t="shared" si="0"/>
        <v/>
      </c>
      <c r="G17" s="360"/>
      <c r="H17" s="360"/>
      <c r="I17" s="360"/>
      <c r="J17" s="361" t="str">
        <f t="shared" si="1"/>
        <v/>
      </c>
      <c r="K17" s="39"/>
      <c r="L17" s="39"/>
      <c r="M17" s="39"/>
      <c r="N17" s="39"/>
    </row>
    <row r="18" spans="1:22" ht="18" customHeight="1">
      <c r="A18" s="334">
        <v>13</v>
      </c>
      <c r="B18" s="281" t="s">
        <v>662</v>
      </c>
      <c r="C18" s="360"/>
      <c r="D18" s="360"/>
      <c r="E18" s="360"/>
      <c r="F18" s="361" t="str">
        <f t="shared" si="0"/>
        <v/>
      </c>
      <c r="G18" s="360"/>
      <c r="H18" s="360"/>
      <c r="I18" s="360"/>
      <c r="J18" s="361" t="str">
        <f t="shared" si="1"/>
        <v/>
      </c>
      <c r="K18" s="39"/>
      <c r="L18" s="39"/>
      <c r="M18" s="39"/>
      <c r="N18" s="39"/>
    </row>
    <row r="19" spans="1:22" ht="18" customHeight="1">
      <c r="A19" s="334">
        <v>14</v>
      </c>
      <c r="B19" s="281" t="s">
        <v>663</v>
      </c>
      <c r="C19" s="360"/>
      <c r="D19" s="360"/>
      <c r="E19" s="360"/>
      <c r="F19" s="361" t="str">
        <f t="shared" si="0"/>
        <v/>
      </c>
      <c r="G19" s="360"/>
      <c r="H19" s="360"/>
      <c r="I19" s="360"/>
      <c r="J19" s="361" t="str">
        <f t="shared" si="1"/>
        <v/>
      </c>
      <c r="K19" s="39"/>
      <c r="L19" s="39"/>
      <c r="M19" s="39"/>
      <c r="N19" s="39"/>
    </row>
    <row r="20" spans="1:22" ht="18" customHeight="1">
      <c r="A20" s="334">
        <v>15</v>
      </c>
      <c r="B20" s="2252" t="s">
        <v>641</v>
      </c>
      <c r="C20" s="360">
        <f>C6+C14</f>
        <v>0</v>
      </c>
      <c r="D20" s="360">
        <f>D6+D14</f>
        <v>0</v>
      </c>
      <c r="E20" s="360">
        <f>E6+E14</f>
        <v>0</v>
      </c>
      <c r="F20" s="361" t="str">
        <f>IF(C20=0,"",(D20-D12-D13)/(C20-C12-C13))</f>
        <v/>
      </c>
      <c r="G20" s="360">
        <f>G6+G14</f>
        <v>0</v>
      </c>
      <c r="H20" s="360">
        <f>H6+H14</f>
        <v>0</v>
      </c>
      <c r="I20" s="360">
        <f>I6+I14</f>
        <v>0</v>
      </c>
      <c r="J20" s="361" t="str">
        <f>IF(G20=0,"",(H20-H12-H13)/(G20-G12-G13))</f>
        <v/>
      </c>
      <c r="K20" s="39"/>
      <c r="L20" s="39"/>
      <c r="M20" s="39"/>
      <c r="N20" s="39"/>
    </row>
    <row r="21" spans="1:22" ht="18" customHeight="1">
      <c r="A21" s="40" t="s">
        <v>450</v>
      </c>
      <c r="B21" s="41"/>
      <c r="C21" s="42"/>
      <c r="D21" s="42"/>
      <c r="E21" s="42"/>
      <c r="F21" s="41"/>
      <c r="G21" s="42"/>
      <c r="H21" s="42"/>
      <c r="I21" s="42"/>
      <c r="J21" s="41"/>
      <c r="K21" s="41"/>
      <c r="L21" s="41"/>
      <c r="M21" s="41"/>
      <c r="N21" s="41"/>
      <c r="O21" s="41"/>
      <c r="P21" s="41"/>
      <c r="Q21" s="41"/>
      <c r="R21" s="41"/>
      <c r="S21" s="41"/>
      <c r="T21" s="41"/>
      <c r="U21" s="41"/>
      <c r="V21" s="41"/>
    </row>
    <row r="22" spans="1:22" ht="14.25" customHeight="1">
      <c r="A22" s="235">
        <v>1</v>
      </c>
      <c r="B22" s="2" t="s">
        <v>451</v>
      </c>
      <c r="C22" s="15"/>
    </row>
    <row r="23" spans="1:22">
      <c r="A23" s="8">
        <v>2</v>
      </c>
      <c r="B23" s="2" t="s">
        <v>949</v>
      </c>
    </row>
    <row r="24" spans="1:22">
      <c r="A24" s="235">
        <v>3</v>
      </c>
      <c r="B24" s="36" t="s">
        <v>1472</v>
      </c>
    </row>
    <row r="25" spans="1:22">
      <c r="A25" s="235">
        <v>4</v>
      </c>
      <c r="B25" s="36" t="s">
        <v>1473</v>
      </c>
    </row>
    <row r="26" spans="1:22">
      <c r="A26" s="235">
        <v>5</v>
      </c>
      <c r="B26" s="36" t="s">
        <v>1474</v>
      </c>
    </row>
  </sheetData>
  <mergeCells count="4">
    <mergeCell ref="A3:A5"/>
    <mergeCell ref="B3:B5"/>
    <mergeCell ref="C3:F3"/>
    <mergeCell ref="G3:J3"/>
  </mergeCells>
  <phoneticPr fontId="26" type="noConversion"/>
  <printOptions horizontalCentered="1"/>
  <pageMargins left="0.39370078740157483" right="0.39370078740157483" top="0.39370078740157483" bottom="0.39370078740157483" header="0.19685039370078741" footer="0.19685039370078741"/>
  <pageSetup paperSize="9" scale="83" orientation="landscape" horizontalDpi="4294967295" verticalDpi="4294967295" r:id="rId1"/>
  <headerFooter alignWithMargins="0">
    <oddFooter>&amp;C&amp;"Times New Roman,標準"101&amp;R&amp;"Times New Roman,標準"&amp;A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V50"/>
  <sheetViews>
    <sheetView zoomScale="110" zoomScaleNormal="110" workbookViewId="0">
      <pane xSplit="2" ySplit="6" topLeftCell="G31" activePane="bottomRight" state="frozen"/>
      <selection pane="topRight"/>
      <selection pane="bottomLeft"/>
      <selection pane="bottomRight"/>
    </sheetView>
  </sheetViews>
  <sheetFormatPr defaultColWidth="9.625" defaultRowHeight="14.25"/>
  <cols>
    <col min="1" max="1" width="5.125" style="36" customWidth="1"/>
    <col min="2" max="2" width="26.125" style="36" customWidth="1"/>
    <col min="3" max="3" width="11.375" style="36" customWidth="1"/>
    <col min="4" max="4" width="11.5" style="36" customWidth="1"/>
    <col min="5" max="6" width="11.75" style="36" customWidth="1"/>
    <col min="7" max="7" width="10" style="36" customWidth="1"/>
    <col min="8" max="8" width="11.375" style="36" customWidth="1"/>
    <col min="9" max="9" width="12.125" style="36" customWidth="1"/>
    <col min="10" max="10" width="11.25" style="36" customWidth="1"/>
    <col min="11" max="11" width="11.875" style="36" customWidth="1"/>
    <col min="12" max="13" width="11.25" style="36" customWidth="1"/>
    <col min="14" max="14" width="12.5" style="36" customWidth="1"/>
    <col min="15" max="17" width="12.75" style="36" customWidth="1"/>
    <col min="18" max="18" width="13.625" style="36" customWidth="1"/>
    <col min="19" max="19" width="4.375" style="36" customWidth="1"/>
    <col min="20" max="20" width="11" style="36" bestFit="1" customWidth="1"/>
    <col min="21" max="16384" width="9.625" style="36"/>
  </cols>
  <sheetData>
    <row r="1" spans="1:22">
      <c r="A1" s="105" t="str">
        <f>表03!A1</f>
        <v xml:space="preserve"> 保險股份有限公司    年度(月)報表</v>
      </c>
      <c r="B1" s="33"/>
      <c r="C1" s="33"/>
      <c r="D1" s="33"/>
      <c r="E1" s="33"/>
      <c r="F1" s="33"/>
      <c r="G1" s="33"/>
      <c r="H1" s="33"/>
      <c r="I1" s="33"/>
      <c r="J1" s="33"/>
      <c r="K1" s="33"/>
      <c r="L1" s="33"/>
      <c r="M1" s="33"/>
      <c r="N1" s="33"/>
    </row>
    <row r="2" spans="1:22">
      <c r="A2" s="43" t="s">
        <v>454</v>
      </c>
      <c r="B2" s="37"/>
      <c r="C2" s="37"/>
      <c r="R2" s="4" t="s">
        <v>269</v>
      </c>
    </row>
    <row r="3" spans="1:22">
      <c r="A3" s="2869" t="s">
        <v>185</v>
      </c>
      <c r="B3" s="2872" t="s">
        <v>455</v>
      </c>
      <c r="C3" s="2855" t="s">
        <v>950</v>
      </c>
      <c r="D3" s="2858"/>
      <c r="E3" s="2858"/>
      <c r="F3" s="2858"/>
      <c r="G3" s="2858"/>
      <c r="H3" s="2858"/>
      <c r="I3" s="2858"/>
      <c r="J3" s="2858"/>
      <c r="K3" s="2858"/>
      <c r="L3" s="2858"/>
      <c r="M3" s="2858"/>
      <c r="N3" s="2859"/>
      <c r="O3" s="2863" t="s">
        <v>951</v>
      </c>
      <c r="P3" s="2864"/>
      <c r="Q3" s="2864"/>
      <c r="R3" s="2865"/>
    </row>
    <row r="4" spans="1:22">
      <c r="A4" s="2870"/>
      <c r="B4" s="2873"/>
      <c r="C4" s="2855" t="s">
        <v>456</v>
      </c>
      <c r="D4" s="2858"/>
      <c r="E4" s="2858"/>
      <c r="F4" s="2859"/>
      <c r="G4" s="2855" t="s">
        <v>457</v>
      </c>
      <c r="H4" s="2858"/>
      <c r="I4" s="2858"/>
      <c r="J4" s="2859"/>
      <c r="K4" s="2855" t="s">
        <v>85</v>
      </c>
      <c r="L4" s="2858"/>
      <c r="M4" s="2858"/>
      <c r="N4" s="2859"/>
      <c r="O4" s="2866"/>
      <c r="P4" s="2867"/>
      <c r="Q4" s="2867"/>
      <c r="R4" s="2868"/>
    </row>
    <row r="5" spans="1:22">
      <c r="A5" s="2870"/>
      <c r="B5" s="2873"/>
      <c r="C5" s="6" t="s">
        <v>452</v>
      </c>
      <c r="D5" s="6" t="s">
        <v>453</v>
      </c>
      <c r="E5" s="6" t="s">
        <v>458</v>
      </c>
      <c r="F5" s="17" t="s">
        <v>190</v>
      </c>
      <c r="G5" s="6" t="s">
        <v>452</v>
      </c>
      <c r="H5" s="6" t="s">
        <v>453</v>
      </c>
      <c r="I5" s="6" t="s">
        <v>458</v>
      </c>
      <c r="J5" s="17" t="s">
        <v>190</v>
      </c>
      <c r="K5" s="6" t="s">
        <v>452</v>
      </c>
      <c r="L5" s="6" t="s">
        <v>453</v>
      </c>
      <c r="M5" s="6" t="s">
        <v>458</v>
      </c>
      <c r="N5" s="17" t="s">
        <v>190</v>
      </c>
      <c r="O5" s="6" t="s">
        <v>452</v>
      </c>
      <c r="P5" s="6" t="s">
        <v>453</v>
      </c>
      <c r="Q5" s="6" t="s">
        <v>458</v>
      </c>
      <c r="R5" s="17" t="s">
        <v>190</v>
      </c>
    </row>
    <row r="6" spans="1:22" s="45" customFormat="1">
      <c r="A6" s="2871"/>
      <c r="B6" s="2874"/>
      <c r="C6" s="2271" t="s">
        <v>66</v>
      </c>
      <c r="D6" s="44" t="s">
        <v>358</v>
      </c>
      <c r="E6" s="2271" t="s">
        <v>406</v>
      </c>
      <c r="F6" s="44" t="s">
        <v>124</v>
      </c>
      <c r="G6" s="2271" t="s">
        <v>125</v>
      </c>
      <c r="H6" s="44" t="s">
        <v>126</v>
      </c>
      <c r="I6" s="2271" t="s">
        <v>127</v>
      </c>
      <c r="J6" s="44" t="s">
        <v>128</v>
      </c>
      <c r="K6" s="2271" t="s">
        <v>129</v>
      </c>
      <c r="L6" s="44" t="s">
        <v>130</v>
      </c>
      <c r="M6" s="2271" t="s">
        <v>131</v>
      </c>
      <c r="N6" s="44" t="s">
        <v>132</v>
      </c>
      <c r="O6" s="2271" t="s">
        <v>133</v>
      </c>
      <c r="P6" s="44" t="s">
        <v>134</v>
      </c>
      <c r="Q6" s="2271" t="s">
        <v>135</v>
      </c>
      <c r="R6" s="44" t="s">
        <v>136</v>
      </c>
    </row>
    <row r="7" spans="1:22">
      <c r="A7" s="334">
        <v>1</v>
      </c>
      <c r="B7" s="337" t="s">
        <v>664</v>
      </c>
      <c r="C7" s="360">
        <f>SUM(C8:C37)</f>
        <v>0</v>
      </c>
      <c r="D7" s="360">
        <f>SUM(D8:D37)</f>
        <v>0</v>
      </c>
      <c r="E7" s="360">
        <f>SUM(E8:E37)</f>
        <v>0</v>
      </c>
      <c r="F7" s="364" t="str">
        <f>IF(C7=0,"",D7/C7)</f>
        <v/>
      </c>
      <c r="G7" s="360">
        <f>SUM(G8:G37)</f>
        <v>0</v>
      </c>
      <c r="H7" s="360">
        <f>SUM(H8:H37)</f>
        <v>0</v>
      </c>
      <c r="I7" s="360">
        <f>SUM(I8:I37)</f>
        <v>0</v>
      </c>
      <c r="J7" s="364" t="str">
        <f>IF(G7=0,"",H7/G7)</f>
        <v/>
      </c>
      <c r="K7" s="360">
        <f>SUM(K8:K37)</f>
        <v>0</v>
      </c>
      <c r="L7" s="360">
        <f>SUM(L8:L37)</f>
        <v>0</v>
      </c>
      <c r="M7" s="360">
        <f>SUM(M8:M37)</f>
        <v>0</v>
      </c>
      <c r="N7" s="364" t="str">
        <f>IF(K7=0,"",L7/K7)</f>
        <v/>
      </c>
      <c r="O7" s="360"/>
      <c r="P7" s="360"/>
      <c r="Q7" s="360"/>
      <c r="R7" s="364" t="str">
        <f>IF(O7=0,"",P7/O7)</f>
        <v/>
      </c>
      <c r="S7" s="39"/>
      <c r="T7" s="488"/>
      <c r="U7" s="39"/>
      <c r="V7" s="39"/>
    </row>
    <row r="8" spans="1:22">
      <c r="A8" s="334">
        <f>A7+1</f>
        <v>2</v>
      </c>
      <c r="B8" s="337" t="s">
        <v>611</v>
      </c>
      <c r="C8" s="360"/>
      <c r="D8" s="360"/>
      <c r="E8" s="360"/>
      <c r="F8" s="364" t="str">
        <f t="shared" ref="F8:F47" si="0">IF(C8=0,"",D8/C8)</f>
        <v/>
      </c>
      <c r="G8" s="360"/>
      <c r="H8" s="360"/>
      <c r="I8" s="360"/>
      <c r="J8" s="364" t="str">
        <f t="shared" ref="J8:J47" si="1">IF(G8=0,"",H8/G8)</f>
        <v/>
      </c>
      <c r="K8" s="360">
        <f t="shared" ref="K8:M26" si="2">C8+G8</f>
        <v>0</v>
      </c>
      <c r="L8" s="360">
        <f t="shared" si="2"/>
        <v>0</v>
      </c>
      <c r="M8" s="360">
        <f t="shared" si="2"/>
        <v>0</v>
      </c>
      <c r="N8" s="364" t="str">
        <f t="shared" ref="N8:N47" si="3">IF(K8=0,"",L8/K8)</f>
        <v/>
      </c>
      <c r="O8" s="360"/>
      <c r="P8" s="360"/>
      <c r="Q8" s="360"/>
      <c r="R8" s="364" t="str">
        <f t="shared" ref="R8:R47" si="4">IF(O8=0,"",P8/O8)</f>
        <v/>
      </c>
      <c r="S8" s="39"/>
      <c r="T8" s="488"/>
      <c r="U8" s="39"/>
      <c r="V8" s="39"/>
    </row>
    <row r="9" spans="1:22">
      <c r="A9" s="334">
        <f t="shared" ref="A9:A47" si="5">A8+1</f>
        <v>3</v>
      </c>
      <c r="B9" s="323" t="s">
        <v>612</v>
      </c>
      <c r="C9" s="360"/>
      <c r="D9" s="360"/>
      <c r="E9" s="360"/>
      <c r="F9" s="364" t="str">
        <f t="shared" si="0"/>
        <v/>
      </c>
      <c r="G9" s="360"/>
      <c r="H9" s="360"/>
      <c r="I9" s="360"/>
      <c r="J9" s="364" t="str">
        <f t="shared" si="1"/>
        <v/>
      </c>
      <c r="K9" s="360">
        <f t="shared" si="2"/>
        <v>0</v>
      </c>
      <c r="L9" s="360">
        <f t="shared" si="2"/>
        <v>0</v>
      </c>
      <c r="M9" s="360">
        <f t="shared" si="2"/>
        <v>0</v>
      </c>
      <c r="N9" s="364" t="str">
        <f t="shared" si="3"/>
        <v/>
      </c>
      <c r="O9" s="360"/>
      <c r="P9" s="360"/>
      <c r="Q9" s="360"/>
      <c r="R9" s="364" t="str">
        <f t="shared" si="4"/>
        <v/>
      </c>
      <c r="S9" s="39"/>
      <c r="T9" s="488"/>
      <c r="U9" s="39"/>
      <c r="V9" s="39"/>
    </row>
    <row r="10" spans="1:22">
      <c r="A10" s="334">
        <f t="shared" si="5"/>
        <v>4</v>
      </c>
      <c r="B10" s="323" t="s">
        <v>613</v>
      </c>
      <c r="C10" s="360"/>
      <c r="D10" s="360"/>
      <c r="E10" s="360"/>
      <c r="F10" s="364" t="str">
        <f t="shared" si="0"/>
        <v/>
      </c>
      <c r="G10" s="360"/>
      <c r="H10" s="360"/>
      <c r="I10" s="360"/>
      <c r="J10" s="364" t="str">
        <f t="shared" si="1"/>
        <v/>
      </c>
      <c r="K10" s="360">
        <f t="shared" si="2"/>
        <v>0</v>
      </c>
      <c r="L10" s="360">
        <f t="shared" si="2"/>
        <v>0</v>
      </c>
      <c r="M10" s="360">
        <f t="shared" si="2"/>
        <v>0</v>
      </c>
      <c r="N10" s="364" t="str">
        <f t="shared" si="3"/>
        <v/>
      </c>
      <c r="O10" s="360"/>
      <c r="P10" s="360"/>
      <c r="Q10" s="360"/>
      <c r="R10" s="364" t="str">
        <f t="shared" si="4"/>
        <v/>
      </c>
      <c r="S10" s="39"/>
      <c r="T10" s="488"/>
      <c r="U10" s="39"/>
      <c r="V10" s="39"/>
    </row>
    <row r="11" spans="1:22">
      <c r="A11" s="334">
        <f t="shared" si="5"/>
        <v>5</v>
      </c>
      <c r="B11" s="323" t="s">
        <v>614</v>
      </c>
      <c r="C11" s="360"/>
      <c r="D11" s="360"/>
      <c r="E11" s="360"/>
      <c r="F11" s="364" t="str">
        <f t="shared" si="0"/>
        <v/>
      </c>
      <c r="G11" s="360"/>
      <c r="H11" s="360"/>
      <c r="I11" s="360"/>
      <c r="J11" s="364" t="str">
        <f t="shared" si="1"/>
        <v/>
      </c>
      <c r="K11" s="360">
        <f t="shared" si="2"/>
        <v>0</v>
      </c>
      <c r="L11" s="360">
        <f t="shared" si="2"/>
        <v>0</v>
      </c>
      <c r="M11" s="360">
        <f t="shared" si="2"/>
        <v>0</v>
      </c>
      <c r="N11" s="364" t="str">
        <f t="shared" si="3"/>
        <v/>
      </c>
      <c r="O11" s="360"/>
      <c r="P11" s="360"/>
      <c r="Q11" s="360"/>
      <c r="R11" s="364" t="str">
        <f t="shared" si="4"/>
        <v/>
      </c>
      <c r="S11" s="39"/>
      <c r="T11" s="488"/>
      <c r="U11" s="39"/>
      <c r="V11" s="39"/>
    </row>
    <row r="12" spans="1:22">
      <c r="A12" s="334">
        <f t="shared" si="5"/>
        <v>6</v>
      </c>
      <c r="B12" s="323" t="s">
        <v>615</v>
      </c>
      <c r="C12" s="360"/>
      <c r="D12" s="360"/>
      <c r="E12" s="360"/>
      <c r="F12" s="364" t="str">
        <f t="shared" si="0"/>
        <v/>
      </c>
      <c r="G12" s="360"/>
      <c r="H12" s="360"/>
      <c r="I12" s="360"/>
      <c r="J12" s="364" t="str">
        <f t="shared" si="1"/>
        <v/>
      </c>
      <c r="K12" s="360">
        <f t="shared" si="2"/>
        <v>0</v>
      </c>
      <c r="L12" s="360">
        <f t="shared" si="2"/>
        <v>0</v>
      </c>
      <c r="M12" s="360">
        <f t="shared" si="2"/>
        <v>0</v>
      </c>
      <c r="N12" s="364" t="str">
        <f t="shared" si="3"/>
        <v/>
      </c>
      <c r="O12" s="360"/>
      <c r="P12" s="360"/>
      <c r="Q12" s="360"/>
      <c r="R12" s="364" t="str">
        <f t="shared" si="4"/>
        <v/>
      </c>
      <c r="S12" s="39"/>
      <c r="T12" s="488"/>
      <c r="U12" s="39"/>
      <c r="V12" s="39"/>
    </row>
    <row r="13" spans="1:22">
      <c r="A13" s="334">
        <f t="shared" si="5"/>
        <v>7</v>
      </c>
      <c r="B13" s="323" t="s">
        <v>616</v>
      </c>
      <c r="C13" s="360"/>
      <c r="D13" s="360"/>
      <c r="E13" s="360"/>
      <c r="F13" s="364" t="str">
        <f t="shared" si="0"/>
        <v/>
      </c>
      <c r="G13" s="360"/>
      <c r="H13" s="360"/>
      <c r="I13" s="360"/>
      <c r="J13" s="364" t="str">
        <f t="shared" si="1"/>
        <v/>
      </c>
      <c r="K13" s="360">
        <f t="shared" si="2"/>
        <v>0</v>
      </c>
      <c r="L13" s="365">
        <f t="shared" si="2"/>
        <v>0</v>
      </c>
      <c r="M13" s="365">
        <f t="shared" si="2"/>
        <v>0</v>
      </c>
      <c r="N13" s="364" t="str">
        <f t="shared" si="3"/>
        <v/>
      </c>
      <c r="O13" s="360"/>
      <c r="P13" s="360"/>
      <c r="Q13" s="360"/>
      <c r="R13" s="364" t="str">
        <f t="shared" si="4"/>
        <v/>
      </c>
      <c r="S13" s="39"/>
      <c r="T13" s="488"/>
      <c r="U13" s="39"/>
      <c r="V13" s="39"/>
    </row>
    <row r="14" spans="1:22">
      <c r="A14" s="334">
        <f t="shared" si="5"/>
        <v>8</v>
      </c>
      <c r="B14" s="323" t="s">
        <v>617</v>
      </c>
      <c r="C14" s="360"/>
      <c r="D14" s="360"/>
      <c r="E14" s="360"/>
      <c r="F14" s="364" t="str">
        <f t="shared" si="0"/>
        <v/>
      </c>
      <c r="G14" s="360"/>
      <c r="H14" s="360"/>
      <c r="I14" s="360"/>
      <c r="J14" s="364" t="str">
        <f t="shared" si="1"/>
        <v/>
      </c>
      <c r="K14" s="360">
        <f t="shared" si="2"/>
        <v>0</v>
      </c>
      <c r="L14" s="365">
        <f t="shared" si="2"/>
        <v>0</v>
      </c>
      <c r="M14" s="365">
        <f t="shared" si="2"/>
        <v>0</v>
      </c>
      <c r="N14" s="364" t="str">
        <f t="shared" si="3"/>
        <v/>
      </c>
      <c r="O14" s="360"/>
      <c r="P14" s="360"/>
      <c r="Q14" s="360"/>
      <c r="R14" s="364" t="str">
        <f t="shared" si="4"/>
        <v/>
      </c>
      <c r="S14" s="39"/>
      <c r="T14" s="488"/>
      <c r="U14" s="39"/>
      <c r="V14" s="39"/>
    </row>
    <row r="15" spans="1:22">
      <c r="A15" s="334">
        <f t="shared" si="5"/>
        <v>9</v>
      </c>
      <c r="B15" s="323" t="s">
        <v>618</v>
      </c>
      <c r="C15" s="360"/>
      <c r="D15" s="360"/>
      <c r="E15" s="360"/>
      <c r="F15" s="364" t="str">
        <f t="shared" si="0"/>
        <v/>
      </c>
      <c r="G15" s="360"/>
      <c r="H15" s="360"/>
      <c r="I15" s="360"/>
      <c r="J15" s="364" t="str">
        <f t="shared" si="1"/>
        <v/>
      </c>
      <c r="K15" s="360">
        <f t="shared" si="2"/>
        <v>0</v>
      </c>
      <c r="L15" s="365">
        <f t="shared" si="2"/>
        <v>0</v>
      </c>
      <c r="M15" s="365">
        <f t="shared" si="2"/>
        <v>0</v>
      </c>
      <c r="N15" s="364" t="str">
        <f t="shared" si="3"/>
        <v/>
      </c>
      <c r="O15" s="360"/>
      <c r="P15" s="360"/>
      <c r="Q15" s="360"/>
      <c r="R15" s="364" t="str">
        <f t="shared" si="4"/>
        <v/>
      </c>
      <c r="S15" s="39"/>
      <c r="T15" s="488"/>
      <c r="U15" s="39"/>
      <c r="V15" s="39"/>
    </row>
    <row r="16" spans="1:22">
      <c r="A16" s="334">
        <f t="shared" si="5"/>
        <v>10</v>
      </c>
      <c r="B16" s="323" t="s">
        <v>619</v>
      </c>
      <c r="C16" s="360"/>
      <c r="D16" s="360"/>
      <c r="E16" s="360"/>
      <c r="F16" s="364" t="str">
        <f t="shared" si="0"/>
        <v/>
      </c>
      <c r="G16" s="360"/>
      <c r="H16" s="360"/>
      <c r="I16" s="360"/>
      <c r="J16" s="364" t="str">
        <f t="shared" si="1"/>
        <v/>
      </c>
      <c r="K16" s="360">
        <f t="shared" si="2"/>
        <v>0</v>
      </c>
      <c r="L16" s="365">
        <f t="shared" si="2"/>
        <v>0</v>
      </c>
      <c r="M16" s="365">
        <f t="shared" si="2"/>
        <v>0</v>
      </c>
      <c r="N16" s="364" t="str">
        <f t="shared" si="3"/>
        <v/>
      </c>
      <c r="O16" s="360"/>
      <c r="P16" s="360"/>
      <c r="Q16" s="360"/>
      <c r="R16" s="364" t="str">
        <f t="shared" si="4"/>
        <v/>
      </c>
      <c r="S16" s="39"/>
      <c r="T16" s="488"/>
      <c r="U16" s="39"/>
      <c r="V16" s="39"/>
    </row>
    <row r="17" spans="1:22">
      <c r="A17" s="334">
        <f t="shared" si="5"/>
        <v>11</v>
      </c>
      <c r="B17" s="323" t="s">
        <v>620</v>
      </c>
      <c r="C17" s="360"/>
      <c r="D17" s="360"/>
      <c r="E17" s="360"/>
      <c r="F17" s="364" t="str">
        <f t="shared" si="0"/>
        <v/>
      </c>
      <c r="G17" s="360"/>
      <c r="H17" s="360"/>
      <c r="I17" s="360"/>
      <c r="J17" s="364" t="str">
        <f t="shared" si="1"/>
        <v/>
      </c>
      <c r="K17" s="360">
        <f t="shared" si="2"/>
        <v>0</v>
      </c>
      <c r="L17" s="365">
        <f t="shared" si="2"/>
        <v>0</v>
      </c>
      <c r="M17" s="365">
        <f t="shared" si="2"/>
        <v>0</v>
      </c>
      <c r="N17" s="364" t="str">
        <f t="shared" si="3"/>
        <v/>
      </c>
      <c r="O17" s="360"/>
      <c r="P17" s="360"/>
      <c r="Q17" s="360"/>
      <c r="R17" s="364" t="str">
        <f t="shared" si="4"/>
        <v/>
      </c>
      <c r="S17" s="39"/>
      <c r="T17" s="488"/>
      <c r="U17" s="39"/>
      <c r="V17" s="39"/>
    </row>
    <row r="18" spans="1:22">
      <c r="A18" s="334">
        <f t="shared" si="5"/>
        <v>12</v>
      </c>
      <c r="B18" s="323" t="s">
        <v>621</v>
      </c>
      <c r="C18" s="360"/>
      <c r="D18" s="360"/>
      <c r="E18" s="360"/>
      <c r="F18" s="364" t="str">
        <f t="shared" si="0"/>
        <v/>
      </c>
      <c r="G18" s="360"/>
      <c r="H18" s="360"/>
      <c r="I18" s="360"/>
      <c r="J18" s="364" t="str">
        <f t="shared" si="1"/>
        <v/>
      </c>
      <c r="K18" s="360">
        <f t="shared" si="2"/>
        <v>0</v>
      </c>
      <c r="L18" s="365">
        <f t="shared" si="2"/>
        <v>0</v>
      </c>
      <c r="M18" s="365">
        <f t="shared" si="2"/>
        <v>0</v>
      </c>
      <c r="N18" s="364" t="str">
        <f t="shared" si="3"/>
        <v/>
      </c>
      <c r="O18" s="360"/>
      <c r="P18" s="360"/>
      <c r="Q18" s="360"/>
      <c r="R18" s="364" t="str">
        <f t="shared" si="4"/>
        <v/>
      </c>
      <c r="S18" s="39"/>
      <c r="T18" s="488"/>
      <c r="U18" s="39"/>
      <c r="V18" s="39"/>
    </row>
    <row r="19" spans="1:22">
      <c r="A19" s="334">
        <f t="shared" si="5"/>
        <v>13</v>
      </c>
      <c r="B19" s="323" t="s">
        <v>622</v>
      </c>
      <c r="C19" s="360"/>
      <c r="D19" s="360"/>
      <c r="E19" s="360"/>
      <c r="F19" s="364" t="str">
        <f t="shared" si="0"/>
        <v/>
      </c>
      <c r="G19" s="360"/>
      <c r="H19" s="360"/>
      <c r="I19" s="360"/>
      <c r="J19" s="364" t="str">
        <f t="shared" si="1"/>
        <v/>
      </c>
      <c r="K19" s="360">
        <f t="shared" si="2"/>
        <v>0</v>
      </c>
      <c r="L19" s="365">
        <f t="shared" si="2"/>
        <v>0</v>
      </c>
      <c r="M19" s="365">
        <f t="shared" si="2"/>
        <v>0</v>
      </c>
      <c r="N19" s="364" t="str">
        <f t="shared" si="3"/>
        <v/>
      </c>
      <c r="O19" s="360"/>
      <c r="P19" s="360"/>
      <c r="Q19" s="360"/>
      <c r="R19" s="364" t="str">
        <f t="shared" si="4"/>
        <v/>
      </c>
      <c r="S19" s="39"/>
      <c r="T19" s="488"/>
      <c r="U19" s="39"/>
      <c r="V19" s="39"/>
    </row>
    <row r="20" spans="1:22">
      <c r="A20" s="334">
        <f t="shared" si="5"/>
        <v>14</v>
      </c>
      <c r="B20" s="323" t="s">
        <v>623</v>
      </c>
      <c r="C20" s="360"/>
      <c r="D20" s="360"/>
      <c r="E20" s="360"/>
      <c r="F20" s="364" t="str">
        <f t="shared" si="0"/>
        <v/>
      </c>
      <c r="G20" s="360"/>
      <c r="H20" s="360"/>
      <c r="I20" s="360"/>
      <c r="J20" s="364" t="str">
        <f t="shared" si="1"/>
        <v/>
      </c>
      <c r="K20" s="360">
        <f t="shared" si="2"/>
        <v>0</v>
      </c>
      <c r="L20" s="365">
        <f t="shared" si="2"/>
        <v>0</v>
      </c>
      <c r="M20" s="365">
        <f t="shared" si="2"/>
        <v>0</v>
      </c>
      <c r="N20" s="364" t="str">
        <f t="shared" si="3"/>
        <v/>
      </c>
      <c r="O20" s="360"/>
      <c r="P20" s="360"/>
      <c r="Q20" s="360"/>
      <c r="R20" s="364" t="str">
        <f t="shared" si="4"/>
        <v/>
      </c>
      <c r="S20" s="39"/>
      <c r="T20" s="488"/>
      <c r="U20" s="39"/>
      <c r="V20" s="39"/>
    </row>
    <row r="21" spans="1:22">
      <c r="A21" s="334">
        <f t="shared" si="5"/>
        <v>15</v>
      </c>
      <c r="B21" s="323" t="s">
        <v>624</v>
      </c>
      <c r="C21" s="360"/>
      <c r="D21" s="360"/>
      <c r="E21" s="360"/>
      <c r="F21" s="364" t="str">
        <f t="shared" si="0"/>
        <v/>
      </c>
      <c r="G21" s="360"/>
      <c r="H21" s="360"/>
      <c r="I21" s="360"/>
      <c r="J21" s="364" t="str">
        <f t="shared" si="1"/>
        <v/>
      </c>
      <c r="K21" s="360">
        <f t="shared" si="2"/>
        <v>0</v>
      </c>
      <c r="L21" s="365">
        <f t="shared" si="2"/>
        <v>0</v>
      </c>
      <c r="M21" s="365">
        <f t="shared" si="2"/>
        <v>0</v>
      </c>
      <c r="N21" s="364" t="str">
        <f t="shared" si="3"/>
        <v/>
      </c>
      <c r="O21" s="360"/>
      <c r="P21" s="360"/>
      <c r="Q21" s="360"/>
      <c r="R21" s="364" t="str">
        <f t="shared" si="4"/>
        <v/>
      </c>
      <c r="S21" s="39"/>
      <c r="T21" s="488"/>
      <c r="U21" s="39"/>
      <c r="V21" s="39"/>
    </row>
    <row r="22" spans="1:22">
      <c r="A22" s="334">
        <f t="shared" si="5"/>
        <v>16</v>
      </c>
      <c r="B22" s="323" t="s">
        <v>625</v>
      </c>
      <c r="C22" s="360"/>
      <c r="D22" s="360"/>
      <c r="E22" s="360"/>
      <c r="F22" s="364" t="str">
        <f t="shared" si="0"/>
        <v/>
      </c>
      <c r="G22" s="360"/>
      <c r="H22" s="360"/>
      <c r="I22" s="360"/>
      <c r="J22" s="364" t="str">
        <f t="shared" si="1"/>
        <v/>
      </c>
      <c r="K22" s="360">
        <f t="shared" si="2"/>
        <v>0</v>
      </c>
      <c r="L22" s="365">
        <f t="shared" si="2"/>
        <v>0</v>
      </c>
      <c r="M22" s="365">
        <f t="shared" si="2"/>
        <v>0</v>
      </c>
      <c r="N22" s="364" t="str">
        <f t="shared" si="3"/>
        <v/>
      </c>
      <c r="O22" s="360"/>
      <c r="P22" s="360"/>
      <c r="Q22" s="360"/>
      <c r="R22" s="364" t="str">
        <f t="shared" si="4"/>
        <v/>
      </c>
      <c r="S22" s="39"/>
      <c r="T22" s="488"/>
      <c r="U22" s="39"/>
      <c r="V22" s="39"/>
    </row>
    <row r="23" spans="1:22" ht="15.75" customHeight="1">
      <c r="A23" s="334">
        <f t="shared" si="5"/>
        <v>17</v>
      </c>
      <c r="B23" s="323" t="s">
        <v>626</v>
      </c>
      <c r="C23" s="360"/>
      <c r="D23" s="360"/>
      <c r="E23" s="360"/>
      <c r="F23" s="364" t="str">
        <f t="shared" si="0"/>
        <v/>
      </c>
      <c r="G23" s="360"/>
      <c r="H23" s="360"/>
      <c r="I23" s="360"/>
      <c r="J23" s="364" t="str">
        <f t="shared" si="1"/>
        <v/>
      </c>
      <c r="K23" s="360">
        <f t="shared" si="2"/>
        <v>0</v>
      </c>
      <c r="L23" s="365">
        <f t="shared" si="2"/>
        <v>0</v>
      </c>
      <c r="M23" s="365">
        <f t="shared" si="2"/>
        <v>0</v>
      </c>
      <c r="N23" s="364" t="str">
        <f t="shared" si="3"/>
        <v/>
      </c>
      <c r="O23" s="360"/>
      <c r="P23" s="360"/>
      <c r="Q23" s="360"/>
      <c r="R23" s="364" t="str">
        <f t="shared" si="4"/>
        <v/>
      </c>
      <c r="S23" s="39"/>
      <c r="T23" s="488"/>
      <c r="U23" s="39"/>
      <c r="V23" s="39"/>
    </row>
    <row r="24" spans="1:22" ht="17.45" customHeight="1">
      <c r="A24" s="334">
        <f t="shared" si="5"/>
        <v>18</v>
      </c>
      <c r="B24" s="323" t="s">
        <v>627</v>
      </c>
      <c r="C24" s="360"/>
      <c r="D24" s="360"/>
      <c r="E24" s="360"/>
      <c r="F24" s="364" t="str">
        <f t="shared" si="0"/>
        <v/>
      </c>
      <c r="G24" s="360"/>
      <c r="H24" s="360"/>
      <c r="I24" s="360"/>
      <c r="J24" s="364" t="str">
        <f t="shared" si="1"/>
        <v/>
      </c>
      <c r="K24" s="360">
        <f t="shared" si="2"/>
        <v>0</v>
      </c>
      <c r="L24" s="365">
        <f t="shared" si="2"/>
        <v>0</v>
      </c>
      <c r="M24" s="365">
        <f t="shared" si="2"/>
        <v>0</v>
      </c>
      <c r="N24" s="364" t="str">
        <f t="shared" si="3"/>
        <v/>
      </c>
      <c r="O24" s="360"/>
      <c r="P24" s="360"/>
      <c r="Q24" s="360"/>
      <c r="R24" s="364" t="str">
        <f t="shared" si="4"/>
        <v/>
      </c>
      <c r="S24" s="39"/>
      <c r="T24" s="488"/>
      <c r="U24" s="39"/>
      <c r="V24" s="39"/>
    </row>
    <row r="25" spans="1:22">
      <c r="A25" s="334">
        <f t="shared" si="5"/>
        <v>19</v>
      </c>
      <c r="B25" s="323" t="s">
        <v>628</v>
      </c>
      <c r="C25" s="360"/>
      <c r="D25" s="360"/>
      <c r="E25" s="360"/>
      <c r="F25" s="364" t="str">
        <f t="shared" si="0"/>
        <v/>
      </c>
      <c r="G25" s="360"/>
      <c r="H25" s="360"/>
      <c r="I25" s="360"/>
      <c r="J25" s="364" t="str">
        <f t="shared" si="1"/>
        <v/>
      </c>
      <c r="K25" s="360">
        <f t="shared" si="2"/>
        <v>0</v>
      </c>
      <c r="L25" s="365">
        <f t="shared" si="2"/>
        <v>0</v>
      </c>
      <c r="M25" s="365">
        <f t="shared" si="2"/>
        <v>0</v>
      </c>
      <c r="N25" s="364" t="str">
        <f t="shared" si="3"/>
        <v/>
      </c>
      <c r="O25" s="360"/>
      <c r="P25" s="360"/>
      <c r="Q25" s="360"/>
      <c r="R25" s="364" t="str">
        <f t="shared" si="4"/>
        <v/>
      </c>
      <c r="S25" s="39"/>
      <c r="T25" s="488"/>
      <c r="U25" s="39"/>
      <c r="V25" s="39"/>
    </row>
    <row r="26" spans="1:22">
      <c r="A26" s="334">
        <f t="shared" si="5"/>
        <v>20</v>
      </c>
      <c r="B26" s="323" t="s">
        <v>629</v>
      </c>
      <c r="C26" s="360"/>
      <c r="D26" s="360"/>
      <c r="E26" s="360"/>
      <c r="F26" s="364" t="str">
        <f t="shared" si="0"/>
        <v/>
      </c>
      <c r="G26" s="360"/>
      <c r="H26" s="360"/>
      <c r="I26" s="360"/>
      <c r="J26" s="364" t="str">
        <f t="shared" si="1"/>
        <v/>
      </c>
      <c r="K26" s="360">
        <f t="shared" si="2"/>
        <v>0</v>
      </c>
      <c r="L26" s="365">
        <f t="shared" si="2"/>
        <v>0</v>
      </c>
      <c r="M26" s="365">
        <f t="shared" si="2"/>
        <v>0</v>
      </c>
      <c r="N26" s="364" t="str">
        <f t="shared" si="3"/>
        <v/>
      </c>
      <c r="O26" s="360"/>
      <c r="P26" s="360"/>
      <c r="Q26" s="360"/>
      <c r="R26" s="364" t="str">
        <f t="shared" si="4"/>
        <v/>
      </c>
      <c r="S26" s="39"/>
      <c r="T26" s="488"/>
      <c r="U26" s="39"/>
      <c r="V26" s="39"/>
    </row>
    <row r="27" spans="1:22">
      <c r="A27" s="334">
        <f t="shared" si="5"/>
        <v>21</v>
      </c>
      <c r="B27" s="323" t="s">
        <v>630</v>
      </c>
      <c r="C27" s="360"/>
      <c r="D27" s="360"/>
      <c r="E27" s="360"/>
      <c r="F27" s="364" t="str">
        <f t="shared" si="0"/>
        <v/>
      </c>
      <c r="G27" s="360"/>
      <c r="H27" s="360"/>
      <c r="I27" s="360"/>
      <c r="J27" s="364" t="str">
        <f t="shared" si="1"/>
        <v/>
      </c>
      <c r="K27" s="360">
        <f>C27+G27</f>
        <v>0</v>
      </c>
      <c r="L27" s="365">
        <f>D27+H27</f>
        <v>0</v>
      </c>
      <c r="M27" s="365">
        <f>E27+I27</f>
        <v>0</v>
      </c>
      <c r="N27" s="364" t="str">
        <f t="shared" si="3"/>
        <v/>
      </c>
      <c r="O27" s="360"/>
      <c r="P27" s="360"/>
      <c r="Q27" s="360"/>
      <c r="R27" s="364" t="str">
        <f t="shared" si="4"/>
        <v/>
      </c>
      <c r="S27" s="39"/>
      <c r="T27" s="488"/>
      <c r="U27" s="39"/>
      <c r="V27" s="39"/>
    </row>
    <row r="28" spans="1:22">
      <c r="A28" s="334">
        <f t="shared" si="5"/>
        <v>22</v>
      </c>
      <c r="B28" s="323" t="s">
        <v>631</v>
      </c>
      <c r="C28" s="360"/>
      <c r="D28" s="360"/>
      <c r="E28" s="360"/>
      <c r="F28" s="364" t="str">
        <f t="shared" si="0"/>
        <v/>
      </c>
      <c r="G28" s="360"/>
      <c r="H28" s="360"/>
      <c r="I28" s="360"/>
      <c r="J28" s="364" t="str">
        <f t="shared" si="1"/>
        <v/>
      </c>
      <c r="K28" s="360">
        <f t="shared" ref="K28:M47" si="6">C28+G28</f>
        <v>0</v>
      </c>
      <c r="L28" s="365">
        <f t="shared" si="6"/>
        <v>0</v>
      </c>
      <c r="M28" s="365">
        <f t="shared" si="6"/>
        <v>0</v>
      </c>
      <c r="N28" s="364" t="str">
        <f t="shared" si="3"/>
        <v/>
      </c>
      <c r="O28" s="360"/>
      <c r="P28" s="360"/>
      <c r="Q28" s="360"/>
      <c r="R28" s="364" t="str">
        <f t="shared" si="4"/>
        <v/>
      </c>
      <c r="S28" s="39"/>
      <c r="T28" s="488"/>
      <c r="U28" s="39"/>
      <c r="V28" s="39"/>
    </row>
    <row r="29" spans="1:22">
      <c r="A29" s="334">
        <f t="shared" si="5"/>
        <v>23</v>
      </c>
      <c r="B29" s="323" t="s">
        <v>632</v>
      </c>
      <c r="C29" s="360"/>
      <c r="D29" s="360"/>
      <c r="E29" s="360"/>
      <c r="F29" s="364" t="str">
        <f t="shared" si="0"/>
        <v/>
      </c>
      <c r="G29" s="360"/>
      <c r="H29" s="360"/>
      <c r="I29" s="360"/>
      <c r="J29" s="364" t="str">
        <f t="shared" si="1"/>
        <v/>
      </c>
      <c r="K29" s="360">
        <f t="shared" si="6"/>
        <v>0</v>
      </c>
      <c r="L29" s="365">
        <f t="shared" si="6"/>
        <v>0</v>
      </c>
      <c r="M29" s="365">
        <f t="shared" si="6"/>
        <v>0</v>
      </c>
      <c r="N29" s="364" t="str">
        <f t="shared" si="3"/>
        <v/>
      </c>
      <c r="O29" s="360"/>
      <c r="P29" s="360"/>
      <c r="Q29" s="360"/>
      <c r="R29" s="364" t="str">
        <f t="shared" si="4"/>
        <v/>
      </c>
      <c r="S29" s="39"/>
      <c r="T29" s="488"/>
      <c r="U29" s="39"/>
      <c r="V29" s="39"/>
    </row>
    <row r="30" spans="1:22">
      <c r="A30" s="334">
        <f t="shared" si="5"/>
        <v>24</v>
      </c>
      <c r="B30" s="323" t="s">
        <v>633</v>
      </c>
      <c r="C30" s="360"/>
      <c r="D30" s="360"/>
      <c r="E30" s="360"/>
      <c r="F30" s="364" t="str">
        <f t="shared" si="0"/>
        <v/>
      </c>
      <c r="G30" s="360"/>
      <c r="H30" s="360"/>
      <c r="I30" s="360"/>
      <c r="J30" s="364" t="str">
        <f t="shared" si="1"/>
        <v/>
      </c>
      <c r="K30" s="360">
        <f t="shared" si="6"/>
        <v>0</v>
      </c>
      <c r="L30" s="365">
        <f t="shared" si="6"/>
        <v>0</v>
      </c>
      <c r="M30" s="365">
        <f t="shared" si="6"/>
        <v>0</v>
      </c>
      <c r="N30" s="364" t="str">
        <f t="shared" si="3"/>
        <v/>
      </c>
      <c r="O30" s="360"/>
      <c r="P30" s="360"/>
      <c r="Q30" s="360"/>
      <c r="R30" s="364" t="str">
        <f t="shared" si="4"/>
        <v/>
      </c>
      <c r="S30" s="39"/>
      <c r="T30" s="488"/>
      <c r="U30" s="39"/>
      <c r="V30" s="39"/>
    </row>
    <row r="31" spans="1:22">
      <c r="A31" s="334">
        <f t="shared" si="5"/>
        <v>25</v>
      </c>
      <c r="B31" s="323" t="s">
        <v>634</v>
      </c>
      <c r="C31" s="360"/>
      <c r="D31" s="360"/>
      <c r="E31" s="360"/>
      <c r="F31" s="364" t="str">
        <f t="shared" si="0"/>
        <v/>
      </c>
      <c r="G31" s="360"/>
      <c r="H31" s="360"/>
      <c r="I31" s="360"/>
      <c r="J31" s="364" t="str">
        <f t="shared" si="1"/>
        <v/>
      </c>
      <c r="K31" s="360">
        <f t="shared" si="6"/>
        <v>0</v>
      </c>
      <c r="L31" s="365">
        <f t="shared" si="6"/>
        <v>0</v>
      </c>
      <c r="M31" s="365">
        <f t="shared" si="6"/>
        <v>0</v>
      </c>
      <c r="N31" s="364" t="str">
        <f t="shared" si="3"/>
        <v/>
      </c>
      <c r="O31" s="360"/>
      <c r="P31" s="360"/>
      <c r="Q31" s="360"/>
      <c r="R31" s="364" t="str">
        <f t="shared" si="4"/>
        <v/>
      </c>
      <c r="S31" s="39"/>
      <c r="T31" s="488"/>
      <c r="U31" s="39"/>
      <c r="V31" s="39"/>
    </row>
    <row r="32" spans="1:22">
      <c r="A32" s="334">
        <f t="shared" si="5"/>
        <v>26</v>
      </c>
      <c r="B32" s="351" t="s">
        <v>635</v>
      </c>
      <c r="C32" s="360"/>
      <c r="D32" s="360"/>
      <c r="E32" s="360"/>
      <c r="F32" s="364" t="str">
        <f t="shared" si="0"/>
        <v/>
      </c>
      <c r="G32" s="360"/>
      <c r="H32" s="360"/>
      <c r="I32" s="360"/>
      <c r="J32" s="364" t="str">
        <f t="shared" si="1"/>
        <v/>
      </c>
      <c r="K32" s="360">
        <f t="shared" si="6"/>
        <v>0</v>
      </c>
      <c r="L32" s="365">
        <f t="shared" si="6"/>
        <v>0</v>
      </c>
      <c r="M32" s="365">
        <f t="shared" si="6"/>
        <v>0</v>
      </c>
      <c r="N32" s="364" t="str">
        <f t="shared" si="3"/>
        <v/>
      </c>
      <c r="O32" s="365"/>
      <c r="P32" s="365"/>
      <c r="Q32" s="365"/>
      <c r="R32" s="364" t="str">
        <f t="shared" si="4"/>
        <v/>
      </c>
      <c r="S32" s="39"/>
      <c r="T32" s="488"/>
      <c r="U32" s="39"/>
      <c r="V32" s="39"/>
    </row>
    <row r="33" spans="1:22">
      <c r="A33" s="334">
        <f t="shared" si="5"/>
        <v>27</v>
      </c>
      <c r="B33" s="323" t="s">
        <v>636</v>
      </c>
      <c r="C33" s="360"/>
      <c r="D33" s="360"/>
      <c r="E33" s="360"/>
      <c r="F33" s="364" t="str">
        <f t="shared" si="0"/>
        <v/>
      </c>
      <c r="G33" s="360"/>
      <c r="H33" s="360"/>
      <c r="I33" s="360"/>
      <c r="J33" s="364" t="str">
        <f t="shared" si="1"/>
        <v/>
      </c>
      <c r="K33" s="360">
        <f t="shared" si="6"/>
        <v>0</v>
      </c>
      <c r="L33" s="365">
        <f t="shared" si="6"/>
        <v>0</v>
      </c>
      <c r="M33" s="365">
        <f t="shared" si="6"/>
        <v>0</v>
      </c>
      <c r="N33" s="364" t="str">
        <f t="shared" si="3"/>
        <v/>
      </c>
      <c r="O33" s="365"/>
      <c r="P33" s="365"/>
      <c r="Q33" s="365"/>
      <c r="R33" s="364" t="str">
        <f t="shared" si="4"/>
        <v/>
      </c>
      <c r="S33" s="39"/>
      <c r="T33" s="488"/>
      <c r="U33" s="39"/>
      <c r="V33" s="39"/>
    </row>
    <row r="34" spans="1:22">
      <c r="A34" s="334">
        <f t="shared" si="5"/>
        <v>28</v>
      </c>
      <c r="B34" s="323" t="s">
        <v>637</v>
      </c>
      <c r="C34" s="360"/>
      <c r="D34" s="360"/>
      <c r="E34" s="360"/>
      <c r="F34" s="364" t="str">
        <f t="shared" si="0"/>
        <v/>
      </c>
      <c r="G34" s="360"/>
      <c r="H34" s="360"/>
      <c r="I34" s="360"/>
      <c r="J34" s="364" t="str">
        <f t="shared" si="1"/>
        <v/>
      </c>
      <c r="K34" s="360">
        <f t="shared" si="6"/>
        <v>0</v>
      </c>
      <c r="L34" s="365">
        <f t="shared" si="6"/>
        <v>0</v>
      </c>
      <c r="M34" s="365">
        <f t="shared" si="6"/>
        <v>0</v>
      </c>
      <c r="N34" s="364" t="str">
        <f t="shared" si="3"/>
        <v/>
      </c>
      <c r="O34" s="365"/>
      <c r="P34" s="365"/>
      <c r="Q34" s="365"/>
      <c r="R34" s="364" t="str">
        <f t="shared" si="4"/>
        <v/>
      </c>
      <c r="S34" s="39"/>
      <c r="T34" s="488"/>
      <c r="U34" s="39"/>
      <c r="V34" s="39"/>
    </row>
    <row r="35" spans="1:22">
      <c r="A35" s="334">
        <f t="shared" si="5"/>
        <v>29</v>
      </c>
      <c r="B35" s="323" t="s">
        <v>638</v>
      </c>
      <c r="C35" s="360"/>
      <c r="D35" s="360"/>
      <c r="E35" s="360"/>
      <c r="F35" s="364" t="str">
        <f t="shared" si="0"/>
        <v/>
      </c>
      <c r="G35" s="360"/>
      <c r="H35" s="360"/>
      <c r="I35" s="360"/>
      <c r="J35" s="364" t="str">
        <f t="shared" si="1"/>
        <v/>
      </c>
      <c r="K35" s="360">
        <f t="shared" si="6"/>
        <v>0</v>
      </c>
      <c r="L35" s="365">
        <f t="shared" si="6"/>
        <v>0</v>
      </c>
      <c r="M35" s="365">
        <f t="shared" si="6"/>
        <v>0</v>
      </c>
      <c r="N35" s="364" t="str">
        <f t="shared" si="3"/>
        <v/>
      </c>
      <c r="O35" s="365"/>
      <c r="P35" s="365"/>
      <c r="Q35" s="365"/>
      <c r="R35" s="364" t="str">
        <f t="shared" si="4"/>
        <v/>
      </c>
      <c r="S35" s="39"/>
      <c r="T35" s="488"/>
      <c r="U35" s="39"/>
      <c r="V35" s="39"/>
    </row>
    <row r="36" spans="1:22">
      <c r="A36" s="334">
        <f t="shared" si="5"/>
        <v>30</v>
      </c>
      <c r="B36" s="323" t="s">
        <v>639</v>
      </c>
      <c r="C36" s="360"/>
      <c r="D36" s="360"/>
      <c r="E36" s="360"/>
      <c r="F36" s="364" t="str">
        <f t="shared" si="0"/>
        <v/>
      </c>
      <c r="G36" s="360"/>
      <c r="H36" s="360"/>
      <c r="I36" s="360"/>
      <c r="J36" s="364" t="str">
        <f t="shared" si="1"/>
        <v/>
      </c>
      <c r="K36" s="360">
        <f t="shared" si="6"/>
        <v>0</v>
      </c>
      <c r="L36" s="365">
        <f t="shared" si="6"/>
        <v>0</v>
      </c>
      <c r="M36" s="365">
        <f t="shared" si="6"/>
        <v>0</v>
      </c>
      <c r="N36" s="364" t="str">
        <f t="shared" si="3"/>
        <v/>
      </c>
      <c r="O36" s="365"/>
      <c r="P36" s="365"/>
      <c r="Q36" s="365"/>
      <c r="R36" s="364" t="str">
        <f t="shared" si="4"/>
        <v/>
      </c>
      <c r="S36" s="39"/>
      <c r="T36" s="488"/>
      <c r="U36" s="39"/>
      <c r="V36" s="39"/>
    </row>
    <row r="37" spans="1:22">
      <c r="A37" s="334">
        <f t="shared" si="5"/>
        <v>31</v>
      </c>
      <c r="B37" s="323" t="s">
        <v>952</v>
      </c>
      <c r="C37" s="360"/>
      <c r="D37" s="360"/>
      <c r="E37" s="360"/>
      <c r="F37" s="364" t="str">
        <f t="shared" si="0"/>
        <v/>
      </c>
      <c r="G37" s="360"/>
      <c r="H37" s="360"/>
      <c r="I37" s="360"/>
      <c r="J37" s="364" t="str">
        <f t="shared" si="1"/>
        <v/>
      </c>
      <c r="K37" s="360">
        <f t="shared" si="6"/>
        <v>0</v>
      </c>
      <c r="L37" s="365">
        <f t="shared" si="6"/>
        <v>0</v>
      </c>
      <c r="M37" s="365">
        <f t="shared" si="6"/>
        <v>0</v>
      </c>
      <c r="N37" s="364" t="str">
        <f t="shared" si="3"/>
        <v/>
      </c>
      <c r="O37" s="365"/>
      <c r="P37" s="365"/>
      <c r="Q37" s="365"/>
      <c r="R37" s="364" t="str">
        <f t="shared" si="4"/>
        <v/>
      </c>
      <c r="S37" s="39"/>
      <c r="T37" s="488"/>
      <c r="U37" s="39"/>
      <c r="V37" s="39"/>
    </row>
    <row r="38" spans="1:22">
      <c r="A38" s="334">
        <f t="shared" si="5"/>
        <v>32</v>
      </c>
      <c r="B38" s="320" t="s">
        <v>640</v>
      </c>
      <c r="C38" s="360">
        <f>SUM(C39:C46)</f>
        <v>0</v>
      </c>
      <c r="D38" s="360">
        <f>SUM(D39:D46)</f>
        <v>0</v>
      </c>
      <c r="E38" s="360">
        <f>SUM(E39:E46)</f>
        <v>0</v>
      </c>
      <c r="F38" s="364" t="str">
        <f t="shared" si="0"/>
        <v/>
      </c>
      <c r="G38" s="360">
        <f>SUM(G39:G46)</f>
        <v>0</v>
      </c>
      <c r="H38" s="360">
        <f>SUM(H39:H46)</f>
        <v>0</v>
      </c>
      <c r="I38" s="360">
        <f>SUM(I39:I46)</f>
        <v>0</v>
      </c>
      <c r="J38" s="364" t="str">
        <f t="shared" si="1"/>
        <v/>
      </c>
      <c r="K38" s="360">
        <f>SUM(K39:K46)</f>
        <v>0</v>
      </c>
      <c r="L38" s="365">
        <f>SUM(L39:L46)</f>
        <v>0</v>
      </c>
      <c r="M38" s="365">
        <f>SUM(M39:M46)</f>
        <v>0</v>
      </c>
      <c r="N38" s="364" t="str">
        <f t="shared" si="3"/>
        <v/>
      </c>
      <c r="O38" s="365"/>
      <c r="P38" s="365"/>
      <c r="Q38" s="365"/>
      <c r="R38" s="364" t="str">
        <f t="shared" si="4"/>
        <v/>
      </c>
      <c r="S38" s="39"/>
      <c r="T38" s="488"/>
      <c r="U38" s="39"/>
      <c r="V38" s="39"/>
    </row>
    <row r="39" spans="1:22">
      <c r="A39" s="334">
        <f t="shared" si="5"/>
        <v>33</v>
      </c>
      <c r="B39" s="323" t="s">
        <v>644</v>
      </c>
      <c r="C39" s="366"/>
      <c r="D39" s="366"/>
      <c r="E39" s="366"/>
      <c r="F39" s="364" t="str">
        <f t="shared" si="0"/>
        <v/>
      </c>
      <c r="G39" s="366"/>
      <c r="H39" s="366"/>
      <c r="I39" s="366"/>
      <c r="J39" s="364" t="str">
        <f t="shared" si="1"/>
        <v/>
      </c>
      <c r="K39" s="366">
        <f t="shared" si="6"/>
        <v>0</v>
      </c>
      <c r="L39" s="365">
        <f t="shared" si="6"/>
        <v>0</v>
      </c>
      <c r="M39" s="365">
        <f t="shared" si="6"/>
        <v>0</v>
      </c>
      <c r="N39" s="364" t="str">
        <f t="shared" si="3"/>
        <v/>
      </c>
      <c r="O39" s="365"/>
      <c r="P39" s="365"/>
      <c r="Q39" s="365"/>
      <c r="R39" s="364" t="str">
        <f t="shared" si="4"/>
        <v/>
      </c>
      <c r="S39" s="39"/>
      <c r="T39" s="488"/>
      <c r="U39" s="39"/>
      <c r="V39" s="39"/>
    </row>
    <row r="40" spans="1:22">
      <c r="A40" s="334">
        <f t="shared" si="5"/>
        <v>34</v>
      </c>
      <c r="B40" s="323" t="s">
        <v>645</v>
      </c>
      <c r="C40" s="360"/>
      <c r="D40" s="360"/>
      <c r="E40" s="360"/>
      <c r="F40" s="364" t="str">
        <f t="shared" si="0"/>
        <v/>
      </c>
      <c r="G40" s="360"/>
      <c r="H40" s="360"/>
      <c r="I40" s="360"/>
      <c r="J40" s="364" t="str">
        <f t="shared" si="1"/>
        <v/>
      </c>
      <c r="K40" s="360">
        <f t="shared" si="6"/>
        <v>0</v>
      </c>
      <c r="L40" s="365">
        <f t="shared" si="6"/>
        <v>0</v>
      </c>
      <c r="M40" s="365">
        <f t="shared" si="6"/>
        <v>0</v>
      </c>
      <c r="N40" s="364" t="str">
        <f t="shared" si="3"/>
        <v/>
      </c>
      <c r="O40" s="365"/>
      <c r="P40" s="365"/>
      <c r="Q40" s="365"/>
      <c r="R40" s="364" t="str">
        <f t="shared" si="4"/>
        <v/>
      </c>
      <c r="S40" s="39"/>
      <c r="T40" s="488"/>
      <c r="U40" s="39"/>
      <c r="V40" s="39"/>
    </row>
    <row r="41" spans="1:22">
      <c r="A41" s="334">
        <f t="shared" si="5"/>
        <v>35</v>
      </c>
      <c r="B41" s="323" t="s">
        <v>646</v>
      </c>
      <c r="C41" s="360"/>
      <c r="D41" s="360"/>
      <c r="E41" s="360"/>
      <c r="F41" s="364" t="str">
        <f t="shared" si="0"/>
        <v/>
      </c>
      <c r="G41" s="360"/>
      <c r="H41" s="360"/>
      <c r="I41" s="360"/>
      <c r="J41" s="364" t="str">
        <f t="shared" si="1"/>
        <v/>
      </c>
      <c r="K41" s="360">
        <f t="shared" si="6"/>
        <v>0</v>
      </c>
      <c r="L41" s="365">
        <f t="shared" si="6"/>
        <v>0</v>
      </c>
      <c r="M41" s="365">
        <f t="shared" si="6"/>
        <v>0</v>
      </c>
      <c r="N41" s="364" t="str">
        <f t="shared" si="3"/>
        <v/>
      </c>
      <c r="O41" s="365"/>
      <c r="P41" s="365"/>
      <c r="Q41" s="365"/>
      <c r="R41" s="364" t="str">
        <f t="shared" si="4"/>
        <v/>
      </c>
      <c r="S41" s="39"/>
      <c r="T41" s="488"/>
      <c r="U41" s="39"/>
      <c r="V41" s="39"/>
    </row>
    <row r="42" spans="1:22">
      <c r="A42" s="334">
        <f t="shared" si="5"/>
        <v>36</v>
      </c>
      <c r="B42" s="323" t="s">
        <v>647</v>
      </c>
      <c r="C42" s="360"/>
      <c r="D42" s="360"/>
      <c r="E42" s="360"/>
      <c r="F42" s="364" t="str">
        <f t="shared" si="0"/>
        <v/>
      </c>
      <c r="G42" s="360"/>
      <c r="H42" s="360"/>
      <c r="I42" s="360"/>
      <c r="J42" s="364" t="str">
        <f t="shared" si="1"/>
        <v/>
      </c>
      <c r="K42" s="360">
        <f t="shared" si="6"/>
        <v>0</v>
      </c>
      <c r="L42" s="365">
        <f t="shared" si="6"/>
        <v>0</v>
      </c>
      <c r="M42" s="365">
        <f t="shared" si="6"/>
        <v>0</v>
      </c>
      <c r="N42" s="364" t="str">
        <f t="shared" si="3"/>
        <v/>
      </c>
      <c r="O42" s="365"/>
      <c r="P42" s="365"/>
      <c r="Q42" s="365"/>
      <c r="R42" s="364" t="str">
        <f t="shared" si="4"/>
        <v/>
      </c>
      <c r="S42" s="39"/>
      <c r="T42" s="488"/>
      <c r="U42" s="39"/>
      <c r="V42" s="39"/>
    </row>
    <row r="43" spans="1:22">
      <c r="A43" s="334">
        <f t="shared" si="5"/>
        <v>37</v>
      </c>
      <c r="B43" s="323" t="s">
        <v>648</v>
      </c>
      <c r="C43" s="360"/>
      <c r="D43" s="360"/>
      <c r="E43" s="360"/>
      <c r="F43" s="364" t="str">
        <f t="shared" si="0"/>
        <v/>
      </c>
      <c r="G43" s="360"/>
      <c r="H43" s="360"/>
      <c r="I43" s="360"/>
      <c r="J43" s="364" t="str">
        <f t="shared" si="1"/>
        <v/>
      </c>
      <c r="K43" s="360">
        <f t="shared" si="6"/>
        <v>0</v>
      </c>
      <c r="L43" s="365">
        <f t="shared" si="6"/>
        <v>0</v>
      </c>
      <c r="M43" s="365">
        <f t="shared" si="6"/>
        <v>0</v>
      </c>
      <c r="N43" s="364" t="str">
        <f t="shared" si="3"/>
        <v/>
      </c>
      <c r="O43" s="365"/>
      <c r="P43" s="365"/>
      <c r="Q43" s="365"/>
      <c r="R43" s="364" t="str">
        <f t="shared" si="4"/>
        <v/>
      </c>
      <c r="S43" s="39"/>
      <c r="T43" s="488"/>
      <c r="U43" s="39"/>
      <c r="V43" s="39"/>
    </row>
    <row r="44" spans="1:22">
      <c r="A44" s="334">
        <f t="shared" si="5"/>
        <v>38</v>
      </c>
      <c r="B44" s="323" t="s">
        <v>649</v>
      </c>
      <c r="C44" s="360"/>
      <c r="D44" s="360"/>
      <c r="E44" s="360"/>
      <c r="F44" s="364" t="str">
        <f t="shared" si="0"/>
        <v/>
      </c>
      <c r="G44" s="360"/>
      <c r="H44" s="360"/>
      <c r="I44" s="360"/>
      <c r="J44" s="364" t="str">
        <f t="shared" si="1"/>
        <v/>
      </c>
      <c r="K44" s="360">
        <f t="shared" si="6"/>
        <v>0</v>
      </c>
      <c r="L44" s="365">
        <f t="shared" si="6"/>
        <v>0</v>
      </c>
      <c r="M44" s="365">
        <f t="shared" si="6"/>
        <v>0</v>
      </c>
      <c r="N44" s="364" t="str">
        <f t="shared" si="3"/>
        <v/>
      </c>
      <c r="O44" s="365"/>
      <c r="P44" s="365"/>
      <c r="Q44" s="365"/>
      <c r="R44" s="364" t="str">
        <f t="shared" si="4"/>
        <v/>
      </c>
      <c r="S44" s="39"/>
      <c r="T44" s="488"/>
      <c r="U44" s="39"/>
      <c r="V44" s="39"/>
    </row>
    <row r="45" spans="1:22">
      <c r="A45" s="334">
        <f t="shared" si="5"/>
        <v>39</v>
      </c>
      <c r="B45" s="323" t="s">
        <v>650</v>
      </c>
      <c r="C45" s="360"/>
      <c r="D45" s="360"/>
      <c r="E45" s="360"/>
      <c r="F45" s="364" t="str">
        <f t="shared" si="0"/>
        <v/>
      </c>
      <c r="G45" s="360"/>
      <c r="H45" s="360"/>
      <c r="I45" s="360"/>
      <c r="J45" s="364" t="str">
        <f t="shared" si="1"/>
        <v/>
      </c>
      <c r="K45" s="360">
        <f t="shared" si="6"/>
        <v>0</v>
      </c>
      <c r="L45" s="365">
        <f t="shared" si="6"/>
        <v>0</v>
      </c>
      <c r="M45" s="365">
        <f t="shared" si="6"/>
        <v>0</v>
      </c>
      <c r="N45" s="364" t="str">
        <f t="shared" si="3"/>
        <v/>
      </c>
      <c r="O45" s="365"/>
      <c r="P45" s="365"/>
      <c r="Q45" s="365"/>
      <c r="R45" s="364" t="str">
        <f t="shared" si="4"/>
        <v/>
      </c>
      <c r="S45" s="39"/>
      <c r="T45" s="488"/>
      <c r="U45" s="39"/>
      <c r="V45" s="39"/>
    </row>
    <row r="46" spans="1:22">
      <c r="A46" s="334">
        <f t="shared" si="5"/>
        <v>40</v>
      </c>
      <c r="B46" s="323" t="s">
        <v>651</v>
      </c>
      <c r="C46" s="360"/>
      <c r="D46" s="360"/>
      <c r="E46" s="360"/>
      <c r="F46" s="364" t="str">
        <f t="shared" si="0"/>
        <v/>
      </c>
      <c r="G46" s="360"/>
      <c r="H46" s="360"/>
      <c r="I46" s="360"/>
      <c r="J46" s="364" t="str">
        <f t="shared" si="1"/>
        <v/>
      </c>
      <c r="K46" s="360">
        <f t="shared" si="6"/>
        <v>0</v>
      </c>
      <c r="L46" s="365">
        <f t="shared" si="6"/>
        <v>0</v>
      </c>
      <c r="M46" s="365">
        <f t="shared" si="6"/>
        <v>0</v>
      </c>
      <c r="N46" s="364" t="str">
        <f t="shared" si="3"/>
        <v/>
      </c>
      <c r="O46" s="365"/>
      <c r="P46" s="365"/>
      <c r="Q46" s="365"/>
      <c r="R46" s="364" t="str">
        <f t="shared" si="4"/>
        <v/>
      </c>
      <c r="S46" s="39"/>
      <c r="T46" s="488"/>
      <c r="U46" s="39"/>
      <c r="V46" s="39"/>
    </row>
    <row r="47" spans="1:22">
      <c r="A47" s="334">
        <f t="shared" si="5"/>
        <v>41</v>
      </c>
      <c r="B47" s="2252" t="s">
        <v>641</v>
      </c>
      <c r="C47" s="360">
        <f>C7+C38</f>
        <v>0</v>
      </c>
      <c r="D47" s="360">
        <f>D7+D38</f>
        <v>0</v>
      </c>
      <c r="E47" s="360">
        <f>E7+E38</f>
        <v>0</v>
      </c>
      <c r="F47" s="364" t="str">
        <f t="shared" si="0"/>
        <v/>
      </c>
      <c r="G47" s="360">
        <f>G7+G38</f>
        <v>0</v>
      </c>
      <c r="H47" s="360">
        <f>H7+H38</f>
        <v>0</v>
      </c>
      <c r="I47" s="360">
        <f>I7+I38</f>
        <v>0</v>
      </c>
      <c r="J47" s="364" t="str">
        <f t="shared" si="1"/>
        <v/>
      </c>
      <c r="K47" s="360">
        <f t="shared" si="6"/>
        <v>0</v>
      </c>
      <c r="L47" s="365">
        <f t="shared" si="6"/>
        <v>0</v>
      </c>
      <c r="M47" s="365">
        <f>E47+I47</f>
        <v>0</v>
      </c>
      <c r="N47" s="364" t="str">
        <f t="shared" si="3"/>
        <v/>
      </c>
      <c r="O47" s="365">
        <f>O7+O38</f>
        <v>0</v>
      </c>
      <c r="P47" s="365">
        <f>P7+P38</f>
        <v>0</v>
      </c>
      <c r="Q47" s="365">
        <f>Q7+Q38</f>
        <v>0</v>
      </c>
      <c r="R47" s="364" t="str">
        <f t="shared" si="4"/>
        <v/>
      </c>
      <c r="S47" s="39"/>
      <c r="T47" s="488"/>
      <c r="U47" s="39"/>
      <c r="V47" s="39"/>
    </row>
    <row r="48" spans="1:22">
      <c r="A48" s="367" t="s">
        <v>953</v>
      </c>
      <c r="B48" s="368" t="s">
        <v>954</v>
      </c>
      <c r="C48" s="368"/>
      <c r="D48" s="368"/>
      <c r="E48" s="368"/>
      <c r="F48" s="368"/>
      <c r="G48" s="368"/>
      <c r="H48" s="368"/>
      <c r="I48" s="368"/>
      <c r="J48" s="368"/>
      <c r="K48" s="369">
        <f>K47-SUM(K21:K23)-K36</f>
        <v>0</v>
      </c>
      <c r="L48" s="369">
        <f>L47-SUM(L21:L23)-L36</f>
        <v>0</v>
      </c>
      <c r="M48" s="369">
        <f>M47-SUM(M21:M23)-M36</f>
        <v>0</v>
      </c>
      <c r="N48" s="368"/>
      <c r="O48" s="370"/>
      <c r="P48" s="370"/>
      <c r="Q48" s="370"/>
      <c r="R48" s="370"/>
    </row>
    <row r="49" spans="1:2">
      <c r="A49" s="36">
        <v>1</v>
      </c>
      <c r="B49" s="46" t="s">
        <v>197</v>
      </c>
    </row>
    <row r="50" spans="1:2">
      <c r="A50" s="36">
        <v>2</v>
      </c>
      <c r="B50" s="2" t="s">
        <v>147</v>
      </c>
    </row>
  </sheetData>
  <mergeCells count="7">
    <mergeCell ref="O3:R4"/>
    <mergeCell ref="A3:A6"/>
    <mergeCell ref="B3:B6"/>
    <mergeCell ref="C3:N3"/>
    <mergeCell ref="C4:F4"/>
    <mergeCell ref="G4:J4"/>
    <mergeCell ref="K4:N4"/>
  </mergeCells>
  <phoneticPr fontId="26" type="noConversion"/>
  <printOptions horizontalCentered="1"/>
  <pageMargins left="0.15748031496062992" right="0.15748031496062992" top="0.39370078740157483" bottom="0.39370078740157483" header="0.31496062992125984" footer="0.31496062992125984"/>
  <pageSetup paperSize="9" scale="65" orientation="landscape" horizontalDpi="4294967295" verticalDpi="4294967295" r:id="rId1"/>
  <headerFooter alignWithMargins="0">
    <oddFooter>&amp;C&amp;"Times New Roman,標準"102&amp;R&amp;"Times New Roman,標準"&amp;A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V28"/>
  <sheetViews>
    <sheetView zoomScale="110" zoomScaleNormal="110" workbookViewId="0">
      <pane xSplit="2" ySplit="6" topLeftCell="C7" activePane="bottomRight" state="frozen"/>
      <selection pane="topRight"/>
      <selection pane="bottomLeft"/>
      <selection pane="bottomRight"/>
    </sheetView>
  </sheetViews>
  <sheetFormatPr defaultRowHeight="14.25"/>
  <cols>
    <col min="1" max="1" width="5.125" style="2" customWidth="1"/>
    <col min="2" max="2" width="16.875" style="2" customWidth="1"/>
    <col min="3" max="3" width="11.625" style="15" customWidth="1"/>
    <col min="4" max="4" width="11.875" style="15" customWidth="1"/>
    <col min="5" max="5" width="12" style="15" customWidth="1"/>
    <col min="6" max="6" width="12.125" style="2" customWidth="1"/>
    <col min="7" max="7" width="10.625" style="15" customWidth="1"/>
    <col min="8" max="8" width="12.375" style="15" customWidth="1"/>
    <col min="9" max="9" width="12.125" style="15" customWidth="1"/>
    <col min="10" max="10" width="12" style="2" customWidth="1"/>
    <col min="11" max="11" width="11.25" style="15" customWidth="1"/>
    <col min="12" max="12" width="11.75" style="15" customWidth="1"/>
    <col min="13" max="13" width="12" style="15" customWidth="1"/>
    <col min="14" max="14" width="12.625" style="2" customWidth="1"/>
    <col min="15" max="15" width="11.375" style="2" customWidth="1"/>
    <col min="16" max="16" width="12.125" style="2" customWidth="1"/>
    <col min="17" max="17" width="12.375" style="2" customWidth="1"/>
    <col min="18" max="18" width="12.875" style="2" customWidth="1"/>
    <col min="19" max="19" width="9" style="2"/>
    <col min="20" max="20" width="12.25" style="2" bestFit="1" customWidth="1"/>
    <col min="21" max="16384" width="9" style="2"/>
  </cols>
  <sheetData>
    <row r="1" spans="1:22" ht="16.5" customHeight="1">
      <c r="A1" s="105" t="str">
        <f>表03!A1</f>
        <v xml:space="preserve"> 保險股份有限公司    年度(月)報表</v>
      </c>
      <c r="B1" s="1"/>
      <c r="C1" s="13"/>
      <c r="D1" s="13"/>
      <c r="E1" s="13"/>
      <c r="F1" s="1"/>
      <c r="G1" s="13"/>
      <c r="H1" s="13"/>
      <c r="I1" s="13"/>
      <c r="J1" s="1"/>
      <c r="K1" s="13"/>
      <c r="L1" s="13"/>
      <c r="M1" s="13"/>
      <c r="N1" s="1"/>
    </row>
    <row r="2" spans="1:22" ht="16.5" customHeight="1">
      <c r="A2" s="12" t="s">
        <v>541</v>
      </c>
      <c r="R2" s="4" t="s">
        <v>542</v>
      </c>
    </row>
    <row r="3" spans="1:22" ht="16.5" customHeight="1">
      <c r="A3" s="2860" t="s">
        <v>543</v>
      </c>
      <c r="B3" s="2861" t="s">
        <v>544</v>
      </c>
      <c r="C3" s="2855" t="s">
        <v>950</v>
      </c>
      <c r="D3" s="2858"/>
      <c r="E3" s="2858"/>
      <c r="F3" s="2858"/>
      <c r="G3" s="2858"/>
      <c r="H3" s="2858"/>
      <c r="I3" s="2858"/>
      <c r="J3" s="2858"/>
      <c r="K3" s="2858"/>
      <c r="L3" s="2858"/>
      <c r="M3" s="2858"/>
      <c r="N3" s="2859"/>
      <c r="O3" s="2863" t="s">
        <v>951</v>
      </c>
      <c r="P3" s="2864"/>
      <c r="Q3" s="2864"/>
      <c r="R3" s="2865"/>
    </row>
    <row r="4" spans="1:22" ht="16.5" customHeight="1">
      <c r="A4" s="2860"/>
      <c r="B4" s="2861"/>
      <c r="C4" s="2855" t="s">
        <v>545</v>
      </c>
      <c r="D4" s="2856"/>
      <c r="E4" s="2856"/>
      <c r="F4" s="2857"/>
      <c r="G4" s="2855" t="s">
        <v>546</v>
      </c>
      <c r="H4" s="2856"/>
      <c r="I4" s="2856"/>
      <c r="J4" s="2857"/>
      <c r="K4" s="2855" t="s">
        <v>486</v>
      </c>
      <c r="L4" s="2858"/>
      <c r="M4" s="2858"/>
      <c r="N4" s="2859"/>
      <c r="O4" s="2866"/>
      <c r="P4" s="2867"/>
      <c r="Q4" s="2867"/>
      <c r="R4" s="2868"/>
    </row>
    <row r="5" spans="1:22" s="47" customFormat="1" ht="24" customHeight="1">
      <c r="A5" s="2860"/>
      <c r="B5" s="2861"/>
      <c r="C5" s="17" t="s">
        <v>452</v>
      </c>
      <c r="D5" s="17" t="s">
        <v>453</v>
      </c>
      <c r="E5" s="17" t="s">
        <v>547</v>
      </c>
      <c r="F5" s="17" t="s">
        <v>548</v>
      </c>
      <c r="G5" s="17" t="s">
        <v>452</v>
      </c>
      <c r="H5" s="17" t="s">
        <v>453</v>
      </c>
      <c r="I5" s="17" t="s">
        <v>547</v>
      </c>
      <c r="J5" s="17" t="s">
        <v>548</v>
      </c>
      <c r="K5" s="17" t="s">
        <v>452</v>
      </c>
      <c r="L5" s="17" t="s">
        <v>453</v>
      </c>
      <c r="M5" s="17" t="s">
        <v>547</v>
      </c>
      <c r="N5" s="17" t="s">
        <v>548</v>
      </c>
      <c r="O5" s="17" t="s">
        <v>452</v>
      </c>
      <c r="P5" s="17" t="s">
        <v>453</v>
      </c>
      <c r="Q5" s="17" t="s">
        <v>547</v>
      </c>
      <c r="R5" s="295" t="s">
        <v>548</v>
      </c>
    </row>
    <row r="6" spans="1:22" s="47" customFormat="1">
      <c r="A6" s="2860"/>
      <c r="B6" s="2861"/>
      <c r="C6" s="2271" t="s">
        <v>66</v>
      </c>
      <c r="D6" s="44" t="s">
        <v>358</v>
      </c>
      <c r="E6" s="2271" t="s">
        <v>549</v>
      </c>
      <c r="F6" s="44" t="s">
        <v>550</v>
      </c>
      <c r="G6" s="2271" t="s">
        <v>551</v>
      </c>
      <c r="H6" s="44" t="s">
        <v>552</v>
      </c>
      <c r="I6" s="2271" t="s">
        <v>553</v>
      </c>
      <c r="J6" s="44" t="s">
        <v>554</v>
      </c>
      <c r="K6" s="2271" t="s">
        <v>555</v>
      </c>
      <c r="L6" s="44" t="s">
        <v>556</v>
      </c>
      <c r="M6" s="2271" t="s">
        <v>557</v>
      </c>
      <c r="N6" s="44" t="s">
        <v>558</v>
      </c>
      <c r="O6" s="2271" t="s">
        <v>559</v>
      </c>
      <c r="P6" s="44" t="s">
        <v>560</v>
      </c>
      <c r="Q6" s="2271" t="s">
        <v>561</v>
      </c>
      <c r="R6" s="44" t="s">
        <v>562</v>
      </c>
    </row>
    <row r="7" spans="1:22" ht="16.5" customHeight="1">
      <c r="A7" s="334">
        <v>1</v>
      </c>
      <c r="B7" s="281" t="s">
        <v>664</v>
      </c>
      <c r="C7" s="365">
        <f>SUM(C8:C14)</f>
        <v>0</v>
      </c>
      <c r="D7" s="365">
        <f>SUM(D8:D14)</f>
        <v>0</v>
      </c>
      <c r="E7" s="365">
        <f>SUM(E8:E14)</f>
        <v>0</v>
      </c>
      <c r="F7" s="371" t="str">
        <f>IF(C7=0,"",(D7-D13-D14)/(C7-C13-C14))</f>
        <v/>
      </c>
      <c r="G7" s="365">
        <f>SUM(G8:G14)</f>
        <v>0</v>
      </c>
      <c r="H7" s="365">
        <f>SUM(H8:H14)</f>
        <v>0</v>
      </c>
      <c r="I7" s="365">
        <f>SUM(I8:I14)</f>
        <v>0</v>
      </c>
      <c r="J7" s="371" t="str">
        <f>IF(G7=0,"",(H7-H13-H14)/(G7-G13-G14))</f>
        <v/>
      </c>
      <c r="K7" s="365">
        <f>C7+G7</f>
        <v>0</v>
      </c>
      <c r="L7" s="365">
        <f t="shared" ref="K7:M15" si="0">D7+H7</f>
        <v>0</v>
      </c>
      <c r="M7" s="365">
        <f t="shared" si="0"/>
        <v>0</v>
      </c>
      <c r="N7" s="371" t="str">
        <f>IF(K7=0,"",(L7-L13-L14)/(K7-K13-K14))</f>
        <v/>
      </c>
      <c r="O7" s="365"/>
      <c r="P7" s="365"/>
      <c r="Q7" s="365"/>
      <c r="R7" s="371" t="str">
        <f>IF(O7=0,"",(P7-P13-P14)/(O7-O13-O14))</f>
        <v/>
      </c>
      <c r="S7" s="15"/>
      <c r="T7" s="15"/>
      <c r="U7" s="15"/>
      <c r="V7" s="15"/>
    </row>
    <row r="8" spans="1:22" ht="16.5" customHeight="1">
      <c r="A8" s="334">
        <v>2</v>
      </c>
      <c r="B8" s="281" t="s">
        <v>653</v>
      </c>
      <c r="C8" s="372"/>
      <c r="D8" s="372"/>
      <c r="E8" s="372"/>
      <c r="F8" s="371" t="str">
        <f t="shared" ref="F8:F20" si="1">IF(C8=0,"",D8/C8)</f>
        <v/>
      </c>
      <c r="G8" s="372"/>
      <c r="H8" s="372"/>
      <c r="I8" s="372"/>
      <c r="J8" s="371" t="str">
        <f t="shared" ref="J8:J20" si="2">IF(G8=0,"",H8/G8)</f>
        <v/>
      </c>
      <c r="K8" s="365">
        <f t="shared" si="0"/>
        <v>0</v>
      </c>
      <c r="L8" s="372">
        <f t="shared" si="0"/>
        <v>0</v>
      </c>
      <c r="M8" s="372">
        <f t="shared" si="0"/>
        <v>0</v>
      </c>
      <c r="N8" s="371" t="str">
        <f t="shared" ref="N8:N20" si="3">IF(K8=0,"",L8/K8)</f>
        <v/>
      </c>
      <c r="O8" s="365"/>
      <c r="P8" s="365"/>
      <c r="Q8" s="365"/>
      <c r="R8" s="371" t="str">
        <f t="shared" ref="R8:R20" si="4">IF(O8=0,"",P8/O8)</f>
        <v/>
      </c>
      <c r="S8" s="15"/>
      <c r="T8" s="15"/>
      <c r="U8" s="15"/>
      <c r="V8" s="15"/>
    </row>
    <row r="9" spans="1:22" ht="16.5" customHeight="1">
      <c r="A9" s="334">
        <v>3</v>
      </c>
      <c r="B9" s="281" t="s">
        <v>654</v>
      </c>
      <c r="C9" s="372"/>
      <c r="D9" s="372"/>
      <c r="E9" s="372"/>
      <c r="F9" s="371" t="str">
        <f t="shared" si="1"/>
        <v/>
      </c>
      <c r="G9" s="372"/>
      <c r="H9" s="372"/>
      <c r="I9" s="372"/>
      <c r="J9" s="371" t="str">
        <f t="shared" si="2"/>
        <v/>
      </c>
      <c r="K9" s="365">
        <f t="shared" si="0"/>
        <v>0</v>
      </c>
      <c r="L9" s="365">
        <f t="shared" si="0"/>
        <v>0</v>
      </c>
      <c r="M9" s="365">
        <f t="shared" si="0"/>
        <v>0</v>
      </c>
      <c r="N9" s="371" t="str">
        <f t="shared" si="3"/>
        <v/>
      </c>
      <c r="O9" s="365"/>
      <c r="P9" s="365"/>
      <c r="Q9" s="365"/>
      <c r="R9" s="371" t="str">
        <f t="shared" si="4"/>
        <v/>
      </c>
      <c r="S9" s="15"/>
      <c r="T9" s="15"/>
      <c r="U9" s="15"/>
      <c r="V9" s="15"/>
    </row>
    <row r="10" spans="1:22" ht="16.5" customHeight="1">
      <c r="A10" s="334">
        <v>4</v>
      </c>
      <c r="B10" s="1074" t="s">
        <v>1694</v>
      </c>
      <c r="C10" s="372"/>
      <c r="D10" s="372"/>
      <c r="E10" s="372"/>
      <c r="F10" s="371" t="str">
        <f t="shared" si="1"/>
        <v/>
      </c>
      <c r="G10" s="372"/>
      <c r="H10" s="372"/>
      <c r="I10" s="372"/>
      <c r="J10" s="371" t="str">
        <f t="shared" si="2"/>
        <v/>
      </c>
      <c r="K10" s="365">
        <f t="shared" si="0"/>
        <v>0</v>
      </c>
      <c r="L10" s="365">
        <f t="shared" si="0"/>
        <v>0</v>
      </c>
      <c r="M10" s="365">
        <f t="shared" si="0"/>
        <v>0</v>
      </c>
      <c r="N10" s="371" t="str">
        <f t="shared" si="3"/>
        <v/>
      </c>
      <c r="O10" s="365"/>
      <c r="P10" s="365"/>
      <c r="Q10" s="365"/>
      <c r="R10" s="371" t="str">
        <f t="shared" si="4"/>
        <v/>
      </c>
      <c r="S10" s="15"/>
      <c r="T10" s="15"/>
      <c r="U10" s="15"/>
      <c r="V10" s="15"/>
    </row>
    <row r="11" spans="1:22" ht="16.5" customHeight="1">
      <c r="A11" s="334">
        <v>5</v>
      </c>
      <c r="B11" s="281" t="s">
        <v>656</v>
      </c>
      <c r="C11" s="372"/>
      <c r="D11" s="372"/>
      <c r="E11" s="372"/>
      <c r="F11" s="371" t="str">
        <f t="shared" si="1"/>
        <v/>
      </c>
      <c r="G11" s="372"/>
      <c r="H11" s="372"/>
      <c r="I11" s="372"/>
      <c r="J11" s="371" t="str">
        <f t="shared" si="2"/>
        <v/>
      </c>
      <c r="K11" s="365">
        <f t="shared" si="0"/>
        <v>0</v>
      </c>
      <c r="L11" s="365">
        <f t="shared" si="0"/>
        <v>0</v>
      </c>
      <c r="M11" s="365">
        <f t="shared" si="0"/>
        <v>0</v>
      </c>
      <c r="N11" s="371" t="str">
        <f t="shared" si="3"/>
        <v/>
      </c>
      <c r="O11" s="372"/>
      <c r="P11" s="372"/>
      <c r="Q11" s="372"/>
      <c r="R11" s="371" t="str">
        <f t="shared" si="4"/>
        <v/>
      </c>
      <c r="S11" s="15"/>
      <c r="T11" s="15"/>
      <c r="U11" s="15"/>
      <c r="V11" s="15"/>
    </row>
    <row r="12" spans="1:22" ht="16.5" customHeight="1">
      <c r="A12" s="334">
        <v>6</v>
      </c>
      <c r="B12" s="281" t="s">
        <v>657</v>
      </c>
      <c r="C12" s="372"/>
      <c r="D12" s="372"/>
      <c r="E12" s="372"/>
      <c r="F12" s="371" t="str">
        <f t="shared" si="1"/>
        <v/>
      </c>
      <c r="G12" s="372"/>
      <c r="H12" s="372"/>
      <c r="I12" s="372"/>
      <c r="J12" s="371" t="str">
        <f t="shared" si="2"/>
        <v/>
      </c>
      <c r="K12" s="365">
        <f t="shared" si="0"/>
        <v>0</v>
      </c>
      <c r="L12" s="365">
        <f t="shared" si="0"/>
        <v>0</v>
      </c>
      <c r="M12" s="365">
        <f t="shared" si="0"/>
        <v>0</v>
      </c>
      <c r="N12" s="371" t="str">
        <f t="shared" si="3"/>
        <v/>
      </c>
      <c r="O12" s="372"/>
      <c r="P12" s="372"/>
      <c r="Q12" s="372"/>
      <c r="R12" s="371" t="str">
        <f t="shared" si="4"/>
        <v/>
      </c>
      <c r="S12" s="15"/>
      <c r="T12" s="15"/>
      <c r="U12" s="15"/>
      <c r="V12" s="15"/>
    </row>
    <row r="13" spans="1:22" ht="16.5" customHeight="1">
      <c r="A13" s="334">
        <v>7</v>
      </c>
      <c r="B13" s="1074" t="s">
        <v>1475</v>
      </c>
      <c r="C13" s="372"/>
      <c r="D13" s="372"/>
      <c r="E13" s="372"/>
      <c r="F13" s="1164"/>
      <c r="G13" s="372"/>
      <c r="H13" s="372"/>
      <c r="I13" s="372"/>
      <c r="J13" s="1164"/>
      <c r="K13" s="365">
        <f t="shared" si="0"/>
        <v>0</v>
      </c>
      <c r="L13" s="365">
        <f t="shared" si="0"/>
        <v>0</v>
      </c>
      <c r="M13" s="365">
        <f t="shared" si="0"/>
        <v>0</v>
      </c>
      <c r="N13" s="1164"/>
      <c r="O13" s="372"/>
      <c r="P13" s="372"/>
      <c r="Q13" s="372"/>
      <c r="R13" s="1164"/>
      <c r="S13" s="15"/>
      <c r="T13" s="15"/>
      <c r="U13" s="15"/>
      <c r="V13" s="15"/>
    </row>
    <row r="14" spans="1:22" ht="16.5" customHeight="1">
      <c r="A14" s="334">
        <v>8</v>
      </c>
      <c r="B14" s="1074" t="s">
        <v>1476</v>
      </c>
      <c r="C14" s="372"/>
      <c r="D14" s="372"/>
      <c r="E14" s="372"/>
      <c r="F14" s="1164"/>
      <c r="G14" s="372"/>
      <c r="H14" s="372"/>
      <c r="I14" s="372"/>
      <c r="J14" s="1164"/>
      <c r="K14" s="365">
        <f>C14+G14</f>
        <v>0</v>
      </c>
      <c r="L14" s="365">
        <f t="shared" si="0"/>
        <v>0</v>
      </c>
      <c r="M14" s="365">
        <f t="shared" si="0"/>
        <v>0</v>
      </c>
      <c r="N14" s="1164"/>
      <c r="O14" s="372"/>
      <c r="P14" s="372"/>
      <c r="Q14" s="372"/>
      <c r="R14" s="1164"/>
      <c r="S14" s="15"/>
      <c r="T14" s="15"/>
      <c r="U14" s="15"/>
      <c r="V14" s="15"/>
    </row>
    <row r="15" spans="1:22" ht="16.5" customHeight="1">
      <c r="A15" s="334">
        <v>9</v>
      </c>
      <c r="B15" s="281" t="s">
        <v>640</v>
      </c>
      <c r="C15" s="372">
        <f>SUM(C16:C20)</f>
        <v>0</v>
      </c>
      <c r="D15" s="372">
        <f>SUM(D16:D20)</f>
        <v>0</v>
      </c>
      <c r="E15" s="372">
        <f>SUM(E16:E20)</f>
        <v>0</v>
      </c>
      <c r="F15" s="371" t="str">
        <f t="shared" si="1"/>
        <v/>
      </c>
      <c r="G15" s="372">
        <f>SUM(G16:G20)</f>
        <v>0</v>
      </c>
      <c r="H15" s="372">
        <f>SUM(H16:H20)</f>
        <v>0</v>
      </c>
      <c r="I15" s="372">
        <f>SUM(I16:I20)</f>
        <v>0</v>
      </c>
      <c r="J15" s="371" t="str">
        <f t="shared" si="2"/>
        <v/>
      </c>
      <c r="K15" s="365">
        <f t="shared" si="0"/>
        <v>0</v>
      </c>
      <c r="L15" s="365">
        <f t="shared" si="0"/>
        <v>0</v>
      </c>
      <c r="M15" s="365">
        <f t="shared" si="0"/>
        <v>0</v>
      </c>
      <c r="N15" s="371" t="str">
        <f t="shared" si="3"/>
        <v/>
      </c>
      <c r="O15" s="365"/>
      <c r="P15" s="365"/>
      <c r="Q15" s="365"/>
      <c r="R15" s="371" t="str">
        <f t="shared" si="4"/>
        <v/>
      </c>
      <c r="S15" s="15"/>
      <c r="T15" s="15"/>
      <c r="U15" s="15"/>
      <c r="V15" s="15"/>
    </row>
    <row r="16" spans="1:22" ht="16.5" customHeight="1">
      <c r="A16" s="334">
        <v>10</v>
      </c>
      <c r="B16" s="281" t="s">
        <v>659</v>
      </c>
      <c r="C16" s="372"/>
      <c r="D16" s="372"/>
      <c r="E16" s="372"/>
      <c r="F16" s="371" t="str">
        <f t="shared" si="1"/>
        <v/>
      </c>
      <c r="G16" s="372"/>
      <c r="H16" s="372"/>
      <c r="I16" s="372"/>
      <c r="J16" s="371" t="str">
        <f t="shared" si="2"/>
        <v/>
      </c>
      <c r="K16" s="365">
        <f t="shared" ref="K16:M21" si="5">C16+G16</f>
        <v>0</v>
      </c>
      <c r="L16" s="365">
        <f t="shared" si="5"/>
        <v>0</v>
      </c>
      <c r="M16" s="365">
        <f t="shared" si="5"/>
        <v>0</v>
      </c>
      <c r="N16" s="371" t="str">
        <f t="shared" si="3"/>
        <v/>
      </c>
      <c r="O16" s="365"/>
      <c r="P16" s="365"/>
      <c r="Q16" s="365"/>
      <c r="R16" s="371" t="str">
        <f t="shared" si="4"/>
        <v/>
      </c>
      <c r="S16" s="15"/>
      <c r="T16" s="15"/>
      <c r="U16" s="15"/>
      <c r="V16" s="15"/>
    </row>
    <row r="17" spans="1:22" ht="16.5" customHeight="1">
      <c r="A17" s="334">
        <v>11</v>
      </c>
      <c r="B17" s="281" t="s">
        <v>660</v>
      </c>
      <c r="C17" s="372"/>
      <c r="D17" s="372"/>
      <c r="E17" s="372"/>
      <c r="F17" s="371" t="str">
        <f t="shared" si="1"/>
        <v/>
      </c>
      <c r="G17" s="372"/>
      <c r="H17" s="372"/>
      <c r="I17" s="372"/>
      <c r="J17" s="371" t="str">
        <f t="shared" si="2"/>
        <v/>
      </c>
      <c r="K17" s="365">
        <f t="shared" si="5"/>
        <v>0</v>
      </c>
      <c r="L17" s="365">
        <f t="shared" si="5"/>
        <v>0</v>
      </c>
      <c r="M17" s="365">
        <f t="shared" si="5"/>
        <v>0</v>
      </c>
      <c r="N17" s="371" t="str">
        <f t="shared" si="3"/>
        <v/>
      </c>
      <c r="O17" s="372"/>
      <c r="P17" s="372"/>
      <c r="Q17" s="372"/>
      <c r="R17" s="371" t="str">
        <f t="shared" si="4"/>
        <v/>
      </c>
      <c r="S17" s="15"/>
      <c r="T17" s="15"/>
      <c r="U17" s="15"/>
      <c r="V17" s="15"/>
    </row>
    <row r="18" spans="1:22" ht="16.5" customHeight="1">
      <c r="A18" s="334">
        <v>12</v>
      </c>
      <c r="B18" s="281" t="s">
        <v>661</v>
      </c>
      <c r="C18" s="372"/>
      <c r="D18" s="372"/>
      <c r="E18" s="372"/>
      <c r="F18" s="371" t="str">
        <f t="shared" si="1"/>
        <v/>
      </c>
      <c r="G18" s="372"/>
      <c r="H18" s="372"/>
      <c r="I18" s="372"/>
      <c r="J18" s="371" t="str">
        <f t="shared" si="2"/>
        <v/>
      </c>
      <c r="K18" s="365">
        <f t="shared" si="5"/>
        <v>0</v>
      </c>
      <c r="L18" s="365">
        <f t="shared" si="5"/>
        <v>0</v>
      </c>
      <c r="M18" s="365">
        <f t="shared" si="5"/>
        <v>0</v>
      </c>
      <c r="N18" s="371" t="str">
        <f t="shared" si="3"/>
        <v/>
      </c>
      <c r="O18" s="372"/>
      <c r="P18" s="372"/>
      <c r="Q18" s="372"/>
      <c r="R18" s="371" t="str">
        <f t="shared" si="4"/>
        <v/>
      </c>
      <c r="S18" s="15"/>
      <c r="T18" s="15"/>
      <c r="U18" s="15"/>
      <c r="V18" s="15"/>
    </row>
    <row r="19" spans="1:22" ht="16.5" customHeight="1">
      <c r="A19" s="334">
        <v>13</v>
      </c>
      <c r="B19" s="281" t="s">
        <v>662</v>
      </c>
      <c r="C19" s="372"/>
      <c r="D19" s="372"/>
      <c r="E19" s="372"/>
      <c r="F19" s="371" t="str">
        <f t="shared" si="1"/>
        <v/>
      </c>
      <c r="G19" s="372"/>
      <c r="H19" s="372"/>
      <c r="I19" s="372"/>
      <c r="J19" s="371" t="str">
        <f t="shared" si="2"/>
        <v/>
      </c>
      <c r="K19" s="365">
        <f t="shared" si="5"/>
        <v>0</v>
      </c>
      <c r="L19" s="365">
        <f t="shared" si="5"/>
        <v>0</v>
      </c>
      <c r="M19" s="365">
        <f t="shared" si="5"/>
        <v>0</v>
      </c>
      <c r="N19" s="371" t="str">
        <f t="shared" si="3"/>
        <v/>
      </c>
      <c r="O19" s="372"/>
      <c r="P19" s="372"/>
      <c r="Q19" s="372"/>
      <c r="R19" s="371" t="str">
        <f t="shared" si="4"/>
        <v/>
      </c>
      <c r="S19" s="15"/>
      <c r="T19" s="15"/>
      <c r="U19" s="15"/>
      <c r="V19" s="15"/>
    </row>
    <row r="20" spans="1:22" ht="16.5" customHeight="1">
      <c r="A20" s="334">
        <v>14</v>
      </c>
      <c r="B20" s="281" t="s">
        <v>663</v>
      </c>
      <c r="C20" s="372"/>
      <c r="D20" s="372"/>
      <c r="E20" s="372"/>
      <c r="F20" s="371" t="str">
        <f t="shared" si="1"/>
        <v/>
      </c>
      <c r="G20" s="372"/>
      <c r="H20" s="372"/>
      <c r="I20" s="372"/>
      <c r="J20" s="371" t="str">
        <f t="shared" si="2"/>
        <v/>
      </c>
      <c r="K20" s="365">
        <f t="shared" si="5"/>
        <v>0</v>
      </c>
      <c r="L20" s="365">
        <f t="shared" si="5"/>
        <v>0</v>
      </c>
      <c r="M20" s="365">
        <f t="shared" si="5"/>
        <v>0</v>
      </c>
      <c r="N20" s="371" t="str">
        <f t="shared" si="3"/>
        <v/>
      </c>
      <c r="O20" s="372"/>
      <c r="P20" s="372"/>
      <c r="Q20" s="372"/>
      <c r="R20" s="371" t="str">
        <f t="shared" si="4"/>
        <v/>
      </c>
      <c r="S20" s="15"/>
      <c r="T20" s="15"/>
      <c r="U20" s="15"/>
      <c r="V20" s="15"/>
    </row>
    <row r="21" spans="1:22" ht="16.5" customHeight="1">
      <c r="A21" s="334">
        <v>15</v>
      </c>
      <c r="B21" s="2252" t="s">
        <v>641</v>
      </c>
      <c r="C21" s="372">
        <f>C7+C15</f>
        <v>0</v>
      </c>
      <c r="D21" s="372">
        <f>D7+D15</f>
        <v>0</v>
      </c>
      <c r="E21" s="372">
        <f>E7+E15</f>
        <v>0</v>
      </c>
      <c r="F21" s="371" t="str">
        <f>IF(C21=0,"",(D21-D13-D14)/(C21-C13-C14))</f>
        <v/>
      </c>
      <c r="G21" s="372">
        <f>G7+G15</f>
        <v>0</v>
      </c>
      <c r="H21" s="372">
        <f>H7+H15</f>
        <v>0</v>
      </c>
      <c r="I21" s="372">
        <f>I7+I15</f>
        <v>0</v>
      </c>
      <c r="J21" s="371" t="str">
        <f>IF(G21=0,"",(H21-H13-H14)/(G21-G13-G14))</f>
        <v/>
      </c>
      <c r="K21" s="365">
        <f t="shared" si="5"/>
        <v>0</v>
      </c>
      <c r="L21" s="365">
        <f t="shared" si="5"/>
        <v>0</v>
      </c>
      <c r="M21" s="365">
        <f t="shared" si="5"/>
        <v>0</v>
      </c>
      <c r="N21" s="371" t="str">
        <f>IF(K21=0,"",(L21-L13-L14)/(K21-K13-K14))</f>
        <v/>
      </c>
      <c r="O21" s="365">
        <f>O7+O15</f>
        <v>0</v>
      </c>
      <c r="P21" s="365">
        <f>P7+P15</f>
        <v>0</v>
      </c>
      <c r="Q21" s="365">
        <f>Q7+Q15</f>
        <v>0</v>
      </c>
      <c r="R21" s="371" t="str">
        <f>IF(O21=0,"",(P21-P13-P14)/(O21-O13-O14))</f>
        <v/>
      </c>
      <c r="S21" s="15"/>
      <c r="T21" s="15"/>
      <c r="U21" s="15"/>
      <c r="V21" s="15"/>
    </row>
    <row r="22" spans="1:22" ht="16.5" customHeight="1">
      <c r="A22" s="40" t="s">
        <v>563</v>
      </c>
      <c r="B22" s="296"/>
      <c r="C22" s="42"/>
      <c r="D22" s="42"/>
      <c r="E22" s="42"/>
      <c r="F22" s="41"/>
      <c r="G22" s="42"/>
      <c r="H22" s="42"/>
      <c r="I22" s="42"/>
      <c r="J22" s="41"/>
      <c r="K22" s="42"/>
      <c r="L22" s="42"/>
      <c r="M22" s="42"/>
      <c r="N22" s="41"/>
    </row>
    <row r="23" spans="1:22" s="36" customFormat="1" ht="16.5" customHeight="1">
      <c r="A23" s="2">
        <v>1</v>
      </c>
      <c r="B23" s="2" t="s">
        <v>564</v>
      </c>
      <c r="C23" s="15"/>
      <c r="D23" s="15"/>
      <c r="E23" s="15"/>
      <c r="F23" s="2"/>
      <c r="G23" s="15"/>
      <c r="H23" s="15"/>
      <c r="I23" s="15"/>
      <c r="J23" s="2"/>
      <c r="K23" s="15"/>
      <c r="L23" s="15"/>
      <c r="M23" s="15"/>
      <c r="N23" s="2"/>
    </row>
    <row r="24" spans="1:22" ht="16.5" customHeight="1">
      <c r="A24" s="2">
        <v>2</v>
      </c>
      <c r="B24" s="2" t="s">
        <v>565</v>
      </c>
    </row>
    <row r="25" spans="1:22">
      <c r="A25" s="36">
        <v>3</v>
      </c>
      <c r="B25" s="2" t="s">
        <v>147</v>
      </c>
    </row>
    <row r="26" spans="1:22">
      <c r="A26" s="2">
        <v>4</v>
      </c>
      <c r="B26" s="2" t="s">
        <v>1477</v>
      </c>
    </row>
    <row r="27" spans="1:22">
      <c r="A27" s="2">
        <v>5</v>
      </c>
      <c r="B27" s="2" t="s">
        <v>1478</v>
      </c>
    </row>
    <row r="28" spans="1:22">
      <c r="A28" s="2">
        <v>6</v>
      </c>
      <c r="B28" s="2" t="s">
        <v>1479</v>
      </c>
    </row>
  </sheetData>
  <mergeCells count="7">
    <mergeCell ref="A3:A6"/>
    <mergeCell ref="B3:B6"/>
    <mergeCell ref="C3:N3"/>
    <mergeCell ref="O3:R4"/>
    <mergeCell ref="C4:F4"/>
    <mergeCell ref="G4:J4"/>
    <mergeCell ref="K4:N4"/>
  </mergeCells>
  <phoneticPr fontId="26" type="noConversion"/>
  <printOptions horizontalCentered="1"/>
  <pageMargins left="0.39370078740157483" right="0.19685039370078741" top="0.39370078740157483" bottom="0.39370078740157483" header="0" footer="0"/>
  <pageSetup paperSize="9" scale="66" orientation="landscape" horizontalDpi="4294967295" verticalDpi="4294967295" r:id="rId1"/>
  <headerFooter alignWithMargins="0">
    <oddFooter>&amp;C&amp;"Times New Roman,標準"103&amp;R&amp;"Times New Roman,標準"&amp;A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T53"/>
  <sheetViews>
    <sheetView view="pageBreakPreview" zoomScale="110" zoomScaleNormal="60" zoomScaleSheetLayoutView="110" workbookViewId="0"/>
  </sheetViews>
  <sheetFormatPr defaultColWidth="10" defaultRowHeight="14.25"/>
  <cols>
    <col min="1" max="1" width="5.125" style="54" customWidth="1"/>
    <col min="2" max="2" width="27" style="50" customWidth="1"/>
    <col min="3" max="3" width="11.375" style="50" customWidth="1"/>
    <col min="4" max="4" width="11" style="50" customWidth="1"/>
    <col min="5" max="5" width="12.125" style="50" customWidth="1"/>
    <col min="6" max="6" width="11" style="50" customWidth="1"/>
    <col min="7" max="7" width="11.625" style="50" customWidth="1"/>
    <col min="8" max="8" width="12.25" style="50" customWidth="1"/>
    <col min="9" max="9" width="11.375" style="50" customWidth="1"/>
    <col min="10" max="10" width="11.5" style="50" customWidth="1"/>
    <col min="11" max="11" width="12" style="50" customWidth="1"/>
    <col min="12" max="13" width="11.375" style="50" customWidth="1"/>
    <col min="14" max="14" width="15" style="50" customWidth="1"/>
    <col min="15" max="16384" width="10" style="50"/>
  </cols>
  <sheetData>
    <row r="1" spans="1:20">
      <c r="A1" s="105" t="str">
        <f>表03!A1</f>
        <v xml:space="preserve"> 保險股份有限公司    年度(月)報表</v>
      </c>
      <c r="B1" s="1"/>
      <c r="C1" s="1"/>
      <c r="D1" s="1"/>
      <c r="E1" s="1"/>
      <c r="F1" s="1"/>
      <c r="G1" s="1"/>
      <c r="H1" s="1"/>
      <c r="I1" s="1"/>
      <c r="J1" s="1"/>
      <c r="K1" s="1"/>
      <c r="L1" s="1"/>
      <c r="M1" s="1"/>
      <c r="N1" s="1"/>
    </row>
    <row r="2" spans="1:20">
      <c r="A2" s="2270" t="s">
        <v>311</v>
      </c>
      <c r="N2" s="4" t="s">
        <v>312</v>
      </c>
    </row>
    <row r="3" spans="1:20" ht="16.5" customHeight="1">
      <c r="A3" s="2875" t="s">
        <v>183</v>
      </c>
      <c r="B3" s="2875" t="s">
        <v>313</v>
      </c>
      <c r="C3" s="2878" t="s">
        <v>751</v>
      </c>
      <c r="D3" s="2879"/>
      <c r="E3" s="2879"/>
      <c r="F3" s="2879"/>
      <c r="G3" s="2879"/>
      <c r="H3" s="2880"/>
      <c r="I3" s="2878" t="s">
        <v>752</v>
      </c>
      <c r="J3" s="2879"/>
      <c r="K3" s="2879"/>
      <c r="L3" s="2879"/>
      <c r="M3" s="2879"/>
      <c r="N3" s="2880"/>
    </row>
    <row r="4" spans="1:20" ht="15" customHeight="1">
      <c r="A4" s="2876"/>
      <c r="B4" s="2876"/>
      <c r="C4" s="2864" t="s">
        <v>314</v>
      </c>
      <c r="D4" s="2864"/>
      <c r="E4" s="2865"/>
      <c r="F4" s="2863" t="s">
        <v>315</v>
      </c>
      <c r="G4" s="2864"/>
      <c r="H4" s="2865"/>
      <c r="I4" s="2881" t="s">
        <v>314</v>
      </c>
      <c r="J4" s="2882"/>
      <c r="K4" s="2883"/>
      <c r="L4" s="2863" t="s">
        <v>315</v>
      </c>
      <c r="M4" s="2864"/>
      <c r="N4" s="2865"/>
    </row>
    <row r="5" spans="1:20" ht="15" customHeight="1">
      <c r="A5" s="2876"/>
      <c r="B5" s="2876"/>
      <c r="C5" s="2264" t="s">
        <v>87</v>
      </c>
      <c r="D5" s="48" t="s">
        <v>316</v>
      </c>
      <c r="E5" s="48" t="s">
        <v>200</v>
      </c>
      <c r="F5" s="48" t="s">
        <v>87</v>
      </c>
      <c r="G5" s="48" t="s">
        <v>316</v>
      </c>
      <c r="H5" s="48" t="s">
        <v>200</v>
      </c>
      <c r="I5" s="48" t="s">
        <v>87</v>
      </c>
      <c r="J5" s="48" t="s">
        <v>316</v>
      </c>
      <c r="K5" s="48" t="s">
        <v>200</v>
      </c>
      <c r="L5" s="48" t="s">
        <v>87</v>
      </c>
      <c r="M5" s="48" t="s">
        <v>316</v>
      </c>
      <c r="N5" s="48" t="s">
        <v>200</v>
      </c>
    </row>
    <row r="6" spans="1:20" s="52" customFormat="1">
      <c r="A6" s="2877"/>
      <c r="B6" s="2877"/>
      <c r="C6" s="51" t="s">
        <v>317</v>
      </c>
      <c r="D6" s="2271" t="s">
        <v>385</v>
      </c>
      <c r="E6" s="2271" t="s">
        <v>318</v>
      </c>
      <c r="F6" s="2271" t="s">
        <v>319</v>
      </c>
      <c r="G6" s="2271" t="s">
        <v>386</v>
      </c>
      <c r="H6" s="2271" t="s">
        <v>320</v>
      </c>
      <c r="I6" s="2271" t="s">
        <v>321</v>
      </c>
      <c r="J6" s="2271" t="s">
        <v>387</v>
      </c>
      <c r="K6" s="2271" t="s">
        <v>322</v>
      </c>
      <c r="L6" s="2271" t="s">
        <v>389</v>
      </c>
      <c r="M6" s="2271" t="s">
        <v>323</v>
      </c>
      <c r="N6" s="2271" t="s">
        <v>324</v>
      </c>
    </row>
    <row r="7" spans="1:20" s="53" customFormat="1">
      <c r="A7" s="334">
        <v>1</v>
      </c>
      <c r="B7" s="337" t="s">
        <v>664</v>
      </c>
      <c r="C7" s="312">
        <f>SUM(C8:C37)</f>
        <v>0</v>
      </c>
      <c r="D7" s="312">
        <f>SUM(D8:D37)</f>
        <v>0</v>
      </c>
      <c r="E7" s="312">
        <f t="shared" ref="E7:E47" si="0">C7-D7</f>
        <v>0</v>
      </c>
      <c r="F7" s="312">
        <f>SUM(F8:F37)</f>
        <v>0</v>
      </c>
      <c r="G7" s="312">
        <f>SUM(G8:G37)</f>
        <v>0</v>
      </c>
      <c r="H7" s="312">
        <f t="shared" ref="H7:H47" si="1">F7-G7</f>
        <v>0</v>
      </c>
      <c r="I7" s="312">
        <f>SUM(I8:I37)</f>
        <v>0</v>
      </c>
      <c r="J7" s="312">
        <f>SUM(J8:J37)</f>
        <v>0</v>
      </c>
      <c r="K7" s="312">
        <f t="shared" ref="K7:K47" si="2">I7-J7</f>
        <v>0</v>
      </c>
      <c r="L7" s="312">
        <f>SUM(L8:L37)</f>
        <v>0</v>
      </c>
      <c r="M7" s="312">
        <f>SUM(M8:M37)</f>
        <v>0</v>
      </c>
      <c r="N7" s="312">
        <f t="shared" ref="N7:N47" si="3">L7-M7</f>
        <v>0</v>
      </c>
      <c r="O7" s="486"/>
      <c r="P7" s="486"/>
      <c r="Q7" s="486"/>
      <c r="R7" s="486"/>
      <c r="S7" s="486"/>
      <c r="T7" s="486"/>
    </row>
    <row r="8" spans="1:20">
      <c r="A8" s="334">
        <f>A7+1</f>
        <v>2</v>
      </c>
      <c r="B8" s="337" t="s">
        <v>611</v>
      </c>
      <c r="C8" s="312"/>
      <c r="D8" s="312"/>
      <c r="E8" s="312">
        <f t="shared" si="0"/>
        <v>0</v>
      </c>
      <c r="F8" s="312"/>
      <c r="G8" s="312"/>
      <c r="H8" s="312">
        <f t="shared" si="1"/>
        <v>0</v>
      </c>
      <c r="I8" s="312"/>
      <c r="J8" s="312"/>
      <c r="K8" s="312">
        <f t="shared" si="2"/>
        <v>0</v>
      </c>
      <c r="L8" s="312"/>
      <c r="M8" s="312"/>
      <c r="N8" s="312">
        <f t="shared" si="3"/>
        <v>0</v>
      </c>
      <c r="O8" s="486"/>
      <c r="P8" s="486"/>
      <c r="Q8" s="486"/>
      <c r="R8" s="486"/>
      <c r="S8" s="486"/>
      <c r="T8" s="486"/>
    </row>
    <row r="9" spans="1:20">
      <c r="A9" s="334">
        <f t="shared" ref="A9:A47" si="4">A8+1</f>
        <v>3</v>
      </c>
      <c r="B9" s="323" t="s">
        <v>612</v>
      </c>
      <c r="C9" s="312"/>
      <c r="D9" s="312"/>
      <c r="E9" s="312">
        <f t="shared" si="0"/>
        <v>0</v>
      </c>
      <c r="F9" s="312"/>
      <c r="G9" s="312"/>
      <c r="H9" s="312">
        <f t="shared" si="1"/>
        <v>0</v>
      </c>
      <c r="I9" s="312"/>
      <c r="J9" s="312"/>
      <c r="K9" s="312">
        <f t="shared" si="2"/>
        <v>0</v>
      </c>
      <c r="L9" s="312"/>
      <c r="M9" s="312"/>
      <c r="N9" s="312">
        <f t="shared" si="3"/>
        <v>0</v>
      </c>
      <c r="O9" s="486"/>
      <c r="P9" s="486"/>
      <c r="Q9" s="486"/>
      <c r="R9" s="486"/>
      <c r="S9" s="486"/>
      <c r="T9" s="486"/>
    </row>
    <row r="10" spans="1:20">
      <c r="A10" s="334">
        <f t="shared" si="4"/>
        <v>4</v>
      </c>
      <c r="B10" s="323" t="s">
        <v>613</v>
      </c>
      <c r="C10" s="312"/>
      <c r="D10" s="312"/>
      <c r="E10" s="312">
        <f t="shared" si="0"/>
        <v>0</v>
      </c>
      <c r="F10" s="312"/>
      <c r="G10" s="312"/>
      <c r="H10" s="312">
        <f t="shared" si="1"/>
        <v>0</v>
      </c>
      <c r="I10" s="312"/>
      <c r="J10" s="312"/>
      <c r="K10" s="312">
        <f t="shared" si="2"/>
        <v>0</v>
      </c>
      <c r="L10" s="312"/>
      <c r="M10" s="312"/>
      <c r="N10" s="312">
        <f t="shared" si="3"/>
        <v>0</v>
      </c>
      <c r="O10" s="486"/>
      <c r="P10" s="486"/>
      <c r="Q10" s="486"/>
      <c r="R10" s="486"/>
      <c r="S10" s="486"/>
      <c r="T10" s="486"/>
    </row>
    <row r="11" spans="1:20">
      <c r="A11" s="334">
        <f t="shared" si="4"/>
        <v>5</v>
      </c>
      <c r="B11" s="323" t="s">
        <v>614</v>
      </c>
      <c r="C11" s="312"/>
      <c r="D11" s="312"/>
      <c r="E11" s="312">
        <f t="shared" si="0"/>
        <v>0</v>
      </c>
      <c r="F11" s="312"/>
      <c r="G11" s="312"/>
      <c r="H11" s="312">
        <f t="shared" si="1"/>
        <v>0</v>
      </c>
      <c r="I11" s="312"/>
      <c r="J11" s="312"/>
      <c r="K11" s="312">
        <f t="shared" si="2"/>
        <v>0</v>
      </c>
      <c r="L11" s="312"/>
      <c r="M11" s="312"/>
      <c r="N11" s="312">
        <f t="shared" si="3"/>
        <v>0</v>
      </c>
      <c r="O11" s="486"/>
      <c r="P11" s="486"/>
      <c r="Q11" s="486"/>
      <c r="R11" s="486"/>
      <c r="S11" s="486"/>
      <c r="T11" s="486"/>
    </row>
    <row r="12" spans="1:20">
      <c r="A12" s="334">
        <f t="shared" si="4"/>
        <v>6</v>
      </c>
      <c r="B12" s="323" t="s">
        <v>615</v>
      </c>
      <c r="C12" s="312"/>
      <c r="D12" s="312"/>
      <c r="E12" s="312">
        <f t="shared" si="0"/>
        <v>0</v>
      </c>
      <c r="F12" s="312"/>
      <c r="G12" s="312"/>
      <c r="H12" s="312">
        <f t="shared" si="1"/>
        <v>0</v>
      </c>
      <c r="I12" s="312"/>
      <c r="J12" s="312"/>
      <c r="K12" s="312">
        <f t="shared" si="2"/>
        <v>0</v>
      </c>
      <c r="L12" s="312"/>
      <c r="M12" s="312"/>
      <c r="N12" s="312">
        <f t="shared" si="3"/>
        <v>0</v>
      </c>
      <c r="O12" s="486"/>
      <c r="P12" s="486"/>
      <c r="Q12" s="486"/>
      <c r="R12" s="486"/>
      <c r="S12" s="486"/>
      <c r="T12" s="486"/>
    </row>
    <row r="13" spans="1:20">
      <c r="A13" s="334">
        <f t="shared" si="4"/>
        <v>7</v>
      </c>
      <c r="B13" s="323" t="s">
        <v>616</v>
      </c>
      <c r="C13" s="312"/>
      <c r="D13" s="312"/>
      <c r="E13" s="312">
        <f t="shared" si="0"/>
        <v>0</v>
      </c>
      <c r="F13" s="312"/>
      <c r="G13" s="312"/>
      <c r="H13" s="312">
        <f t="shared" si="1"/>
        <v>0</v>
      </c>
      <c r="I13" s="312"/>
      <c r="J13" s="312"/>
      <c r="K13" s="312">
        <f t="shared" si="2"/>
        <v>0</v>
      </c>
      <c r="L13" s="312"/>
      <c r="M13" s="312"/>
      <c r="N13" s="312">
        <f t="shared" si="3"/>
        <v>0</v>
      </c>
      <c r="O13" s="486"/>
      <c r="P13" s="486"/>
      <c r="Q13" s="486"/>
      <c r="R13" s="486"/>
      <c r="S13" s="486"/>
      <c r="T13" s="486"/>
    </row>
    <row r="14" spans="1:20">
      <c r="A14" s="334">
        <f t="shared" si="4"/>
        <v>8</v>
      </c>
      <c r="B14" s="323" t="s">
        <v>617</v>
      </c>
      <c r="C14" s="312"/>
      <c r="D14" s="312"/>
      <c r="E14" s="312">
        <f t="shared" si="0"/>
        <v>0</v>
      </c>
      <c r="F14" s="312"/>
      <c r="G14" s="312"/>
      <c r="H14" s="312">
        <f t="shared" si="1"/>
        <v>0</v>
      </c>
      <c r="I14" s="312"/>
      <c r="J14" s="312"/>
      <c r="K14" s="312">
        <f t="shared" si="2"/>
        <v>0</v>
      </c>
      <c r="L14" s="312"/>
      <c r="M14" s="312"/>
      <c r="N14" s="312">
        <f t="shared" si="3"/>
        <v>0</v>
      </c>
      <c r="O14" s="486"/>
      <c r="P14" s="486"/>
      <c r="Q14" s="486"/>
      <c r="R14" s="486"/>
      <c r="S14" s="486"/>
      <c r="T14" s="486"/>
    </row>
    <row r="15" spans="1:20">
      <c r="A15" s="334">
        <f t="shared" si="4"/>
        <v>9</v>
      </c>
      <c r="B15" s="323" t="s">
        <v>618</v>
      </c>
      <c r="C15" s="312"/>
      <c r="D15" s="312"/>
      <c r="E15" s="312">
        <f t="shared" si="0"/>
        <v>0</v>
      </c>
      <c r="F15" s="312"/>
      <c r="G15" s="312"/>
      <c r="H15" s="312">
        <f t="shared" si="1"/>
        <v>0</v>
      </c>
      <c r="I15" s="312"/>
      <c r="J15" s="312"/>
      <c r="K15" s="312">
        <f t="shared" si="2"/>
        <v>0</v>
      </c>
      <c r="L15" s="312"/>
      <c r="M15" s="312"/>
      <c r="N15" s="312">
        <f t="shared" si="3"/>
        <v>0</v>
      </c>
      <c r="O15" s="486"/>
      <c r="P15" s="486"/>
      <c r="Q15" s="486"/>
      <c r="R15" s="486"/>
      <c r="S15" s="486"/>
      <c r="T15" s="486"/>
    </row>
    <row r="16" spans="1:20">
      <c r="A16" s="334">
        <f t="shared" si="4"/>
        <v>10</v>
      </c>
      <c r="B16" s="323" t="s">
        <v>619</v>
      </c>
      <c r="C16" s="312"/>
      <c r="D16" s="312"/>
      <c r="E16" s="312">
        <f t="shared" si="0"/>
        <v>0</v>
      </c>
      <c r="F16" s="312"/>
      <c r="G16" s="312"/>
      <c r="H16" s="312">
        <f t="shared" si="1"/>
        <v>0</v>
      </c>
      <c r="I16" s="312"/>
      <c r="J16" s="312"/>
      <c r="K16" s="312">
        <f t="shared" si="2"/>
        <v>0</v>
      </c>
      <c r="L16" s="312"/>
      <c r="M16" s="312"/>
      <c r="N16" s="312">
        <f t="shared" si="3"/>
        <v>0</v>
      </c>
      <c r="O16" s="486"/>
      <c r="P16" s="486"/>
      <c r="Q16" s="486"/>
      <c r="R16" s="486"/>
      <c r="S16" s="486"/>
      <c r="T16" s="486"/>
    </row>
    <row r="17" spans="1:20">
      <c r="A17" s="334">
        <f t="shared" si="4"/>
        <v>11</v>
      </c>
      <c r="B17" s="323" t="s">
        <v>620</v>
      </c>
      <c r="C17" s="312"/>
      <c r="D17" s="312"/>
      <c r="E17" s="312">
        <f t="shared" si="0"/>
        <v>0</v>
      </c>
      <c r="F17" s="312"/>
      <c r="G17" s="312"/>
      <c r="H17" s="312">
        <f t="shared" si="1"/>
        <v>0</v>
      </c>
      <c r="I17" s="312"/>
      <c r="J17" s="312"/>
      <c r="K17" s="312">
        <f t="shared" si="2"/>
        <v>0</v>
      </c>
      <c r="L17" s="312"/>
      <c r="M17" s="312"/>
      <c r="N17" s="312">
        <f t="shared" si="3"/>
        <v>0</v>
      </c>
      <c r="O17" s="486"/>
      <c r="P17" s="486"/>
      <c r="Q17" s="486"/>
      <c r="R17" s="486"/>
      <c r="S17" s="486"/>
      <c r="T17" s="486"/>
    </row>
    <row r="18" spans="1:20">
      <c r="A18" s="334">
        <f t="shared" si="4"/>
        <v>12</v>
      </c>
      <c r="B18" s="323" t="s">
        <v>621</v>
      </c>
      <c r="C18" s="312"/>
      <c r="D18" s="312"/>
      <c r="E18" s="312">
        <f t="shared" si="0"/>
        <v>0</v>
      </c>
      <c r="F18" s="312"/>
      <c r="G18" s="312"/>
      <c r="H18" s="312">
        <f t="shared" si="1"/>
        <v>0</v>
      </c>
      <c r="I18" s="312"/>
      <c r="J18" s="312"/>
      <c r="K18" s="312">
        <f t="shared" si="2"/>
        <v>0</v>
      </c>
      <c r="L18" s="312"/>
      <c r="M18" s="312"/>
      <c r="N18" s="312">
        <f t="shared" si="3"/>
        <v>0</v>
      </c>
      <c r="O18" s="486"/>
      <c r="P18" s="486"/>
      <c r="Q18" s="486"/>
      <c r="R18" s="486"/>
      <c r="S18" s="486"/>
      <c r="T18" s="486"/>
    </row>
    <row r="19" spans="1:20">
      <c r="A19" s="334">
        <f t="shared" si="4"/>
        <v>13</v>
      </c>
      <c r="B19" s="323" t="s">
        <v>622</v>
      </c>
      <c r="C19" s="312"/>
      <c r="D19" s="312"/>
      <c r="E19" s="312">
        <f t="shared" si="0"/>
        <v>0</v>
      </c>
      <c r="F19" s="312"/>
      <c r="G19" s="312"/>
      <c r="H19" s="312">
        <f t="shared" si="1"/>
        <v>0</v>
      </c>
      <c r="I19" s="312"/>
      <c r="J19" s="312"/>
      <c r="K19" s="312">
        <f t="shared" si="2"/>
        <v>0</v>
      </c>
      <c r="L19" s="312"/>
      <c r="M19" s="312"/>
      <c r="N19" s="312">
        <f t="shared" si="3"/>
        <v>0</v>
      </c>
      <c r="O19" s="486"/>
      <c r="P19" s="486"/>
      <c r="Q19" s="486"/>
      <c r="R19" s="486"/>
      <c r="S19" s="486"/>
      <c r="T19" s="486"/>
    </row>
    <row r="20" spans="1:20">
      <c r="A20" s="334">
        <f t="shared" si="4"/>
        <v>14</v>
      </c>
      <c r="B20" s="323" t="s">
        <v>623</v>
      </c>
      <c r="C20" s="312"/>
      <c r="D20" s="312"/>
      <c r="E20" s="312">
        <f t="shared" si="0"/>
        <v>0</v>
      </c>
      <c r="F20" s="312"/>
      <c r="G20" s="312"/>
      <c r="H20" s="312">
        <f t="shared" si="1"/>
        <v>0</v>
      </c>
      <c r="I20" s="312"/>
      <c r="J20" s="312"/>
      <c r="K20" s="312">
        <f t="shared" si="2"/>
        <v>0</v>
      </c>
      <c r="L20" s="312"/>
      <c r="M20" s="312"/>
      <c r="N20" s="312">
        <f t="shared" si="3"/>
        <v>0</v>
      </c>
      <c r="O20" s="486"/>
      <c r="P20" s="486"/>
      <c r="Q20" s="486"/>
      <c r="R20" s="486"/>
      <c r="S20" s="486"/>
      <c r="T20" s="486"/>
    </row>
    <row r="21" spans="1:20">
      <c r="A21" s="334">
        <f t="shared" si="4"/>
        <v>15</v>
      </c>
      <c r="B21" s="323" t="s">
        <v>624</v>
      </c>
      <c r="C21" s="312"/>
      <c r="D21" s="312"/>
      <c r="E21" s="312">
        <f t="shared" si="0"/>
        <v>0</v>
      </c>
      <c r="F21" s="312"/>
      <c r="G21" s="312"/>
      <c r="H21" s="312">
        <f t="shared" si="1"/>
        <v>0</v>
      </c>
      <c r="I21" s="312"/>
      <c r="J21" s="312"/>
      <c r="K21" s="312">
        <f t="shared" si="2"/>
        <v>0</v>
      </c>
      <c r="L21" s="312"/>
      <c r="M21" s="312"/>
      <c r="N21" s="312">
        <f t="shared" si="3"/>
        <v>0</v>
      </c>
      <c r="O21" s="486"/>
      <c r="P21" s="486"/>
      <c r="Q21" s="486"/>
      <c r="R21" s="486"/>
      <c r="S21" s="486"/>
      <c r="T21" s="486"/>
    </row>
    <row r="22" spans="1:20">
      <c r="A22" s="334">
        <f t="shared" si="4"/>
        <v>16</v>
      </c>
      <c r="B22" s="323" t="s">
        <v>625</v>
      </c>
      <c r="C22" s="312"/>
      <c r="D22" s="312"/>
      <c r="E22" s="312">
        <f t="shared" si="0"/>
        <v>0</v>
      </c>
      <c r="F22" s="312"/>
      <c r="G22" s="312"/>
      <c r="H22" s="312">
        <f t="shared" si="1"/>
        <v>0</v>
      </c>
      <c r="I22" s="312"/>
      <c r="J22" s="312"/>
      <c r="K22" s="312">
        <f t="shared" si="2"/>
        <v>0</v>
      </c>
      <c r="L22" s="312"/>
      <c r="M22" s="312"/>
      <c r="N22" s="312">
        <f t="shared" si="3"/>
        <v>0</v>
      </c>
      <c r="O22" s="486"/>
      <c r="P22" s="486"/>
      <c r="Q22" s="486"/>
      <c r="R22" s="486"/>
      <c r="S22" s="486"/>
      <c r="T22" s="486"/>
    </row>
    <row r="23" spans="1:20">
      <c r="A23" s="334">
        <f t="shared" si="4"/>
        <v>17</v>
      </c>
      <c r="B23" s="323" t="s">
        <v>626</v>
      </c>
      <c r="C23" s="312"/>
      <c r="D23" s="312"/>
      <c r="E23" s="312">
        <f t="shared" si="0"/>
        <v>0</v>
      </c>
      <c r="F23" s="312"/>
      <c r="G23" s="312"/>
      <c r="H23" s="312">
        <f t="shared" si="1"/>
        <v>0</v>
      </c>
      <c r="I23" s="312"/>
      <c r="J23" s="312"/>
      <c r="K23" s="312">
        <f t="shared" si="2"/>
        <v>0</v>
      </c>
      <c r="L23" s="312"/>
      <c r="M23" s="312"/>
      <c r="N23" s="312">
        <f t="shared" si="3"/>
        <v>0</v>
      </c>
      <c r="O23" s="486"/>
      <c r="P23" s="486"/>
      <c r="Q23" s="486"/>
      <c r="R23" s="486"/>
      <c r="S23" s="486"/>
      <c r="T23" s="486"/>
    </row>
    <row r="24" spans="1:20">
      <c r="A24" s="334">
        <f t="shared" si="4"/>
        <v>18</v>
      </c>
      <c r="B24" s="323" t="s">
        <v>627</v>
      </c>
      <c r="C24" s="312"/>
      <c r="D24" s="312"/>
      <c r="E24" s="312">
        <f t="shared" si="0"/>
        <v>0</v>
      </c>
      <c r="F24" s="312"/>
      <c r="G24" s="312"/>
      <c r="H24" s="312">
        <f t="shared" si="1"/>
        <v>0</v>
      </c>
      <c r="I24" s="312"/>
      <c r="J24" s="312"/>
      <c r="K24" s="312">
        <f t="shared" si="2"/>
        <v>0</v>
      </c>
      <c r="L24" s="312"/>
      <c r="M24" s="312"/>
      <c r="N24" s="312">
        <f t="shared" si="3"/>
        <v>0</v>
      </c>
      <c r="O24" s="486"/>
      <c r="P24" s="486"/>
      <c r="Q24" s="486"/>
      <c r="R24" s="486"/>
      <c r="S24" s="486"/>
      <c r="T24" s="486"/>
    </row>
    <row r="25" spans="1:20">
      <c r="A25" s="334">
        <f t="shared" si="4"/>
        <v>19</v>
      </c>
      <c r="B25" s="323" t="s">
        <v>628</v>
      </c>
      <c r="C25" s="312"/>
      <c r="D25" s="312"/>
      <c r="E25" s="312">
        <f t="shared" si="0"/>
        <v>0</v>
      </c>
      <c r="F25" s="312"/>
      <c r="G25" s="312"/>
      <c r="H25" s="312">
        <f t="shared" si="1"/>
        <v>0</v>
      </c>
      <c r="I25" s="312"/>
      <c r="J25" s="312"/>
      <c r="K25" s="312">
        <f t="shared" si="2"/>
        <v>0</v>
      </c>
      <c r="L25" s="312"/>
      <c r="M25" s="312"/>
      <c r="N25" s="312">
        <f t="shared" si="3"/>
        <v>0</v>
      </c>
      <c r="O25" s="486"/>
      <c r="P25" s="486"/>
      <c r="Q25" s="486"/>
      <c r="R25" s="486"/>
      <c r="S25" s="486"/>
      <c r="T25" s="486"/>
    </row>
    <row r="26" spans="1:20">
      <c r="A26" s="334">
        <f t="shared" si="4"/>
        <v>20</v>
      </c>
      <c r="B26" s="323" t="s">
        <v>629</v>
      </c>
      <c r="C26" s="312"/>
      <c r="D26" s="312"/>
      <c r="E26" s="312">
        <f t="shared" si="0"/>
        <v>0</v>
      </c>
      <c r="F26" s="312"/>
      <c r="G26" s="312"/>
      <c r="H26" s="312">
        <f t="shared" si="1"/>
        <v>0</v>
      </c>
      <c r="I26" s="312"/>
      <c r="J26" s="312"/>
      <c r="K26" s="312">
        <f t="shared" si="2"/>
        <v>0</v>
      </c>
      <c r="L26" s="312"/>
      <c r="M26" s="312"/>
      <c r="N26" s="312">
        <f t="shared" si="3"/>
        <v>0</v>
      </c>
      <c r="O26" s="486"/>
      <c r="P26" s="486"/>
      <c r="Q26" s="486"/>
      <c r="R26" s="486"/>
      <c r="S26" s="486"/>
      <c r="T26" s="486"/>
    </row>
    <row r="27" spans="1:20">
      <c r="A27" s="334">
        <f t="shared" si="4"/>
        <v>21</v>
      </c>
      <c r="B27" s="323" t="s">
        <v>630</v>
      </c>
      <c r="C27" s="312"/>
      <c r="D27" s="312"/>
      <c r="E27" s="312">
        <f t="shared" si="0"/>
        <v>0</v>
      </c>
      <c r="F27" s="312"/>
      <c r="G27" s="312"/>
      <c r="H27" s="312">
        <f t="shared" si="1"/>
        <v>0</v>
      </c>
      <c r="I27" s="312"/>
      <c r="J27" s="312"/>
      <c r="K27" s="312">
        <f t="shared" si="2"/>
        <v>0</v>
      </c>
      <c r="L27" s="312"/>
      <c r="M27" s="312"/>
      <c r="N27" s="312">
        <f t="shared" si="3"/>
        <v>0</v>
      </c>
      <c r="O27" s="486"/>
      <c r="P27" s="486"/>
      <c r="Q27" s="486"/>
      <c r="R27" s="486"/>
      <c r="S27" s="486"/>
      <c r="T27" s="486"/>
    </row>
    <row r="28" spans="1:20" ht="16.5" customHeight="1">
      <c r="A28" s="334">
        <f t="shared" si="4"/>
        <v>22</v>
      </c>
      <c r="B28" s="323" t="s">
        <v>631</v>
      </c>
      <c r="C28" s="312"/>
      <c r="D28" s="312"/>
      <c r="E28" s="312">
        <f t="shared" si="0"/>
        <v>0</v>
      </c>
      <c r="F28" s="312"/>
      <c r="G28" s="312"/>
      <c r="H28" s="312">
        <f t="shared" si="1"/>
        <v>0</v>
      </c>
      <c r="I28" s="312"/>
      <c r="J28" s="312"/>
      <c r="K28" s="312">
        <f t="shared" si="2"/>
        <v>0</v>
      </c>
      <c r="L28" s="312"/>
      <c r="M28" s="312"/>
      <c r="N28" s="312">
        <f t="shared" si="3"/>
        <v>0</v>
      </c>
      <c r="O28" s="486"/>
      <c r="P28" s="486"/>
      <c r="Q28" s="486"/>
      <c r="R28" s="486"/>
      <c r="S28" s="486"/>
      <c r="T28" s="486"/>
    </row>
    <row r="29" spans="1:20">
      <c r="A29" s="334">
        <f t="shared" si="4"/>
        <v>23</v>
      </c>
      <c r="B29" s="323" t="s">
        <v>632</v>
      </c>
      <c r="C29" s="312"/>
      <c r="D29" s="312"/>
      <c r="E29" s="312">
        <f t="shared" si="0"/>
        <v>0</v>
      </c>
      <c r="F29" s="312"/>
      <c r="G29" s="312"/>
      <c r="H29" s="312">
        <f t="shared" si="1"/>
        <v>0</v>
      </c>
      <c r="I29" s="312"/>
      <c r="J29" s="312"/>
      <c r="K29" s="312">
        <f t="shared" si="2"/>
        <v>0</v>
      </c>
      <c r="L29" s="312"/>
      <c r="M29" s="312"/>
      <c r="N29" s="312">
        <f t="shared" si="3"/>
        <v>0</v>
      </c>
      <c r="O29" s="486"/>
      <c r="P29" s="486"/>
      <c r="Q29" s="486"/>
      <c r="R29" s="486"/>
      <c r="S29" s="486"/>
      <c r="T29" s="486"/>
    </row>
    <row r="30" spans="1:20">
      <c r="A30" s="334">
        <f t="shared" si="4"/>
        <v>24</v>
      </c>
      <c r="B30" s="323" t="s">
        <v>633</v>
      </c>
      <c r="C30" s="312"/>
      <c r="D30" s="312"/>
      <c r="E30" s="312">
        <f t="shared" si="0"/>
        <v>0</v>
      </c>
      <c r="F30" s="312"/>
      <c r="G30" s="312"/>
      <c r="H30" s="312">
        <f t="shared" si="1"/>
        <v>0</v>
      </c>
      <c r="I30" s="312"/>
      <c r="J30" s="312"/>
      <c r="K30" s="312">
        <f t="shared" si="2"/>
        <v>0</v>
      </c>
      <c r="L30" s="312"/>
      <c r="M30" s="312"/>
      <c r="N30" s="312">
        <f t="shared" si="3"/>
        <v>0</v>
      </c>
      <c r="O30" s="486"/>
      <c r="P30" s="486"/>
      <c r="Q30" s="486"/>
      <c r="R30" s="486"/>
      <c r="S30" s="486"/>
      <c r="T30" s="486"/>
    </row>
    <row r="31" spans="1:20">
      <c r="A31" s="334">
        <f t="shared" si="4"/>
        <v>25</v>
      </c>
      <c r="B31" s="323" t="s">
        <v>634</v>
      </c>
      <c r="C31" s="312"/>
      <c r="D31" s="312"/>
      <c r="E31" s="312">
        <f t="shared" si="0"/>
        <v>0</v>
      </c>
      <c r="F31" s="312"/>
      <c r="G31" s="312"/>
      <c r="H31" s="312">
        <f t="shared" si="1"/>
        <v>0</v>
      </c>
      <c r="I31" s="312"/>
      <c r="J31" s="312"/>
      <c r="K31" s="312">
        <f t="shared" si="2"/>
        <v>0</v>
      </c>
      <c r="L31" s="312"/>
      <c r="M31" s="312"/>
      <c r="N31" s="312">
        <f t="shared" si="3"/>
        <v>0</v>
      </c>
      <c r="O31" s="486"/>
      <c r="P31" s="486"/>
      <c r="Q31" s="486"/>
      <c r="R31" s="486"/>
      <c r="S31" s="486"/>
      <c r="T31" s="486"/>
    </row>
    <row r="32" spans="1:20">
      <c r="A32" s="334">
        <f t="shared" si="4"/>
        <v>26</v>
      </c>
      <c r="B32" s="351" t="s">
        <v>635</v>
      </c>
      <c r="C32" s="312"/>
      <c r="D32" s="312"/>
      <c r="E32" s="312">
        <f t="shared" si="0"/>
        <v>0</v>
      </c>
      <c r="F32" s="312"/>
      <c r="G32" s="312"/>
      <c r="H32" s="312">
        <f t="shared" si="1"/>
        <v>0</v>
      </c>
      <c r="I32" s="312"/>
      <c r="J32" s="312"/>
      <c r="K32" s="312">
        <f t="shared" si="2"/>
        <v>0</v>
      </c>
      <c r="L32" s="312"/>
      <c r="M32" s="312"/>
      <c r="N32" s="312">
        <f t="shared" si="3"/>
        <v>0</v>
      </c>
      <c r="O32" s="486"/>
      <c r="P32" s="486"/>
      <c r="Q32" s="486"/>
      <c r="R32" s="486"/>
      <c r="S32" s="486"/>
      <c r="T32" s="486"/>
    </row>
    <row r="33" spans="1:20">
      <c r="A33" s="334">
        <f t="shared" si="4"/>
        <v>27</v>
      </c>
      <c r="B33" s="323" t="s">
        <v>636</v>
      </c>
      <c r="C33" s="312"/>
      <c r="D33" s="312"/>
      <c r="E33" s="312">
        <f t="shared" si="0"/>
        <v>0</v>
      </c>
      <c r="F33" s="312"/>
      <c r="G33" s="312"/>
      <c r="H33" s="312">
        <f t="shared" si="1"/>
        <v>0</v>
      </c>
      <c r="I33" s="312"/>
      <c r="J33" s="312"/>
      <c r="K33" s="312">
        <f t="shared" si="2"/>
        <v>0</v>
      </c>
      <c r="L33" s="312"/>
      <c r="M33" s="312"/>
      <c r="N33" s="312">
        <f t="shared" si="3"/>
        <v>0</v>
      </c>
      <c r="O33" s="486"/>
      <c r="P33" s="486"/>
      <c r="Q33" s="486"/>
      <c r="R33" s="486"/>
      <c r="S33" s="486"/>
      <c r="T33" s="486"/>
    </row>
    <row r="34" spans="1:20">
      <c r="A34" s="334">
        <f t="shared" si="4"/>
        <v>28</v>
      </c>
      <c r="B34" s="323" t="s">
        <v>637</v>
      </c>
      <c r="C34" s="312"/>
      <c r="D34" s="312"/>
      <c r="E34" s="312">
        <f t="shared" si="0"/>
        <v>0</v>
      </c>
      <c r="F34" s="312"/>
      <c r="G34" s="312"/>
      <c r="H34" s="312">
        <f t="shared" si="1"/>
        <v>0</v>
      </c>
      <c r="I34" s="312"/>
      <c r="J34" s="312"/>
      <c r="K34" s="312">
        <f t="shared" si="2"/>
        <v>0</v>
      </c>
      <c r="L34" s="312"/>
      <c r="M34" s="312"/>
      <c r="N34" s="312">
        <f t="shared" si="3"/>
        <v>0</v>
      </c>
      <c r="O34" s="486"/>
      <c r="P34" s="486"/>
      <c r="Q34" s="486"/>
      <c r="R34" s="486"/>
      <c r="S34" s="486"/>
      <c r="T34" s="486"/>
    </row>
    <row r="35" spans="1:20">
      <c r="A35" s="334">
        <f t="shared" si="4"/>
        <v>29</v>
      </c>
      <c r="B35" s="323" t="s">
        <v>638</v>
      </c>
      <c r="C35" s="312"/>
      <c r="D35" s="312"/>
      <c r="E35" s="312">
        <f t="shared" si="0"/>
        <v>0</v>
      </c>
      <c r="F35" s="312"/>
      <c r="G35" s="312"/>
      <c r="H35" s="312">
        <f t="shared" si="1"/>
        <v>0</v>
      </c>
      <c r="I35" s="312"/>
      <c r="J35" s="312"/>
      <c r="K35" s="312">
        <f t="shared" si="2"/>
        <v>0</v>
      </c>
      <c r="L35" s="312"/>
      <c r="M35" s="312"/>
      <c r="N35" s="312">
        <f t="shared" si="3"/>
        <v>0</v>
      </c>
      <c r="O35" s="486"/>
      <c r="P35" s="486"/>
      <c r="Q35" s="486"/>
      <c r="R35" s="486"/>
      <c r="S35" s="486"/>
      <c r="T35" s="486"/>
    </row>
    <row r="36" spans="1:20">
      <c r="A36" s="334">
        <f t="shared" si="4"/>
        <v>30</v>
      </c>
      <c r="B36" s="323" t="s">
        <v>639</v>
      </c>
      <c r="C36" s="312"/>
      <c r="D36" s="312"/>
      <c r="E36" s="312">
        <f t="shared" si="0"/>
        <v>0</v>
      </c>
      <c r="F36" s="312"/>
      <c r="G36" s="312"/>
      <c r="H36" s="312">
        <f t="shared" si="1"/>
        <v>0</v>
      </c>
      <c r="I36" s="312"/>
      <c r="J36" s="312"/>
      <c r="K36" s="312">
        <f t="shared" si="2"/>
        <v>0</v>
      </c>
      <c r="L36" s="312"/>
      <c r="M36" s="312"/>
      <c r="N36" s="312">
        <f t="shared" si="3"/>
        <v>0</v>
      </c>
      <c r="O36" s="486"/>
      <c r="P36" s="486"/>
      <c r="Q36" s="486"/>
      <c r="R36" s="486"/>
      <c r="S36" s="486"/>
      <c r="T36" s="486"/>
    </row>
    <row r="37" spans="1:20">
      <c r="A37" s="334">
        <f t="shared" si="4"/>
        <v>31</v>
      </c>
      <c r="B37" s="323" t="s">
        <v>655</v>
      </c>
      <c r="C37" s="547"/>
      <c r="D37" s="547"/>
      <c r="E37" s="312">
        <f t="shared" si="0"/>
        <v>0</v>
      </c>
      <c r="F37" s="547"/>
      <c r="G37" s="547"/>
      <c r="H37" s="312">
        <f t="shared" si="1"/>
        <v>0</v>
      </c>
      <c r="I37" s="547"/>
      <c r="J37" s="547"/>
      <c r="K37" s="312">
        <f t="shared" si="2"/>
        <v>0</v>
      </c>
      <c r="L37" s="547"/>
      <c r="M37" s="547"/>
      <c r="N37" s="312">
        <f t="shared" si="3"/>
        <v>0</v>
      </c>
      <c r="O37" s="486"/>
      <c r="P37" s="486"/>
      <c r="Q37" s="486"/>
      <c r="R37" s="486"/>
      <c r="S37" s="486"/>
      <c r="T37" s="486"/>
    </row>
    <row r="38" spans="1:20">
      <c r="A38" s="334">
        <f t="shared" si="4"/>
        <v>32</v>
      </c>
      <c r="B38" s="320" t="s">
        <v>640</v>
      </c>
      <c r="C38" s="312">
        <f>SUM(C39:C46)</f>
        <v>0</v>
      </c>
      <c r="D38" s="312">
        <f>SUM(D39:D46)</f>
        <v>0</v>
      </c>
      <c r="E38" s="312">
        <f>C38-D38</f>
        <v>0</v>
      </c>
      <c r="F38" s="312">
        <f>SUM(F39:F46)</f>
        <v>0</v>
      </c>
      <c r="G38" s="312">
        <f>SUM(G39:G46)</f>
        <v>0</v>
      </c>
      <c r="H38" s="312">
        <f t="shared" si="1"/>
        <v>0</v>
      </c>
      <c r="I38" s="312">
        <f>SUM(I39:I46)</f>
        <v>0</v>
      </c>
      <c r="J38" s="312">
        <f>SUM(J39:J46)</f>
        <v>0</v>
      </c>
      <c r="K38" s="312">
        <f t="shared" si="2"/>
        <v>0</v>
      </c>
      <c r="L38" s="312">
        <f>SUM(L39:L46)</f>
        <v>0</v>
      </c>
      <c r="M38" s="312">
        <f>SUM(M39:M46)</f>
        <v>0</v>
      </c>
      <c r="N38" s="312">
        <f t="shared" si="3"/>
        <v>0</v>
      </c>
      <c r="O38" s="486"/>
      <c r="P38" s="486"/>
      <c r="Q38" s="486"/>
      <c r="R38" s="486"/>
      <c r="S38" s="486"/>
      <c r="T38" s="486"/>
    </row>
    <row r="39" spans="1:20">
      <c r="A39" s="334">
        <f t="shared" si="4"/>
        <v>33</v>
      </c>
      <c r="B39" s="323" t="s">
        <v>644</v>
      </c>
      <c r="C39" s="547"/>
      <c r="D39" s="547"/>
      <c r="E39" s="312">
        <f>C39-D39</f>
        <v>0</v>
      </c>
      <c r="F39" s="547"/>
      <c r="G39" s="547"/>
      <c r="H39" s="312">
        <f t="shared" ref="H39:H46" si="5">F39-G39</f>
        <v>0</v>
      </c>
      <c r="I39" s="547"/>
      <c r="J39" s="547"/>
      <c r="K39" s="312">
        <f t="shared" ref="K39:K46" si="6">I39-J39</f>
        <v>0</v>
      </c>
      <c r="L39" s="547"/>
      <c r="M39" s="547"/>
      <c r="N39" s="312">
        <f t="shared" ref="N39:N46" si="7">L39-M39</f>
        <v>0</v>
      </c>
      <c r="O39" s="486"/>
      <c r="P39" s="486"/>
      <c r="Q39" s="486"/>
      <c r="R39" s="486"/>
      <c r="S39" s="486"/>
      <c r="T39" s="486"/>
    </row>
    <row r="40" spans="1:20">
      <c r="A40" s="334">
        <f t="shared" si="4"/>
        <v>34</v>
      </c>
      <c r="B40" s="323" t="s">
        <v>645</v>
      </c>
      <c r="C40" s="312"/>
      <c r="D40" s="312"/>
      <c r="E40" s="312">
        <f t="shared" si="0"/>
        <v>0</v>
      </c>
      <c r="F40" s="312"/>
      <c r="G40" s="312"/>
      <c r="H40" s="312">
        <f t="shared" si="5"/>
        <v>0</v>
      </c>
      <c r="I40" s="312"/>
      <c r="J40" s="312"/>
      <c r="K40" s="312">
        <f t="shared" si="6"/>
        <v>0</v>
      </c>
      <c r="L40" s="312"/>
      <c r="M40" s="312"/>
      <c r="N40" s="312">
        <f t="shared" si="7"/>
        <v>0</v>
      </c>
      <c r="O40" s="486"/>
      <c r="P40" s="486"/>
      <c r="Q40" s="486"/>
      <c r="R40" s="486"/>
      <c r="S40" s="486"/>
      <c r="T40" s="486"/>
    </row>
    <row r="41" spans="1:20">
      <c r="A41" s="334">
        <f t="shared" si="4"/>
        <v>35</v>
      </c>
      <c r="B41" s="323" t="s">
        <v>646</v>
      </c>
      <c r="C41" s="312"/>
      <c r="D41" s="312"/>
      <c r="E41" s="312">
        <f t="shared" si="0"/>
        <v>0</v>
      </c>
      <c r="F41" s="312"/>
      <c r="G41" s="312"/>
      <c r="H41" s="312">
        <f t="shared" si="5"/>
        <v>0</v>
      </c>
      <c r="I41" s="312"/>
      <c r="J41" s="312"/>
      <c r="K41" s="312">
        <f t="shared" si="6"/>
        <v>0</v>
      </c>
      <c r="L41" s="312"/>
      <c r="M41" s="312"/>
      <c r="N41" s="312">
        <f t="shared" si="7"/>
        <v>0</v>
      </c>
      <c r="O41" s="486"/>
      <c r="P41" s="486"/>
      <c r="Q41" s="486"/>
      <c r="R41" s="486"/>
      <c r="S41" s="486"/>
      <c r="T41" s="486"/>
    </row>
    <row r="42" spans="1:20">
      <c r="A42" s="334">
        <f t="shared" si="4"/>
        <v>36</v>
      </c>
      <c r="B42" s="323" t="s">
        <v>647</v>
      </c>
      <c r="C42" s="312"/>
      <c r="D42" s="312"/>
      <c r="E42" s="312">
        <f t="shared" si="0"/>
        <v>0</v>
      </c>
      <c r="F42" s="312"/>
      <c r="G42" s="312"/>
      <c r="H42" s="312">
        <f t="shared" si="5"/>
        <v>0</v>
      </c>
      <c r="I42" s="312"/>
      <c r="J42" s="312"/>
      <c r="K42" s="312">
        <f t="shared" si="6"/>
        <v>0</v>
      </c>
      <c r="L42" s="312"/>
      <c r="M42" s="312"/>
      <c r="N42" s="312">
        <f t="shared" si="7"/>
        <v>0</v>
      </c>
      <c r="O42" s="486"/>
      <c r="P42" s="486"/>
      <c r="Q42" s="486"/>
      <c r="R42" s="486"/>
      <c r="S42" s="486"/>
      <c r="T42" s="486"/>
    </row>
    <row r="43" spans="1:20">
      <c r="A43" s="334">
        <f t="shared" si="4"/>
        <v>37</v>
      </c>
      <c r="B43" s="323" t="s">
        <v>648</v>
      </c>
      <c r="C43" s="312"/>
      <c r="D43" s="312"/>
      <c r="E43" s="312">
        <f t="shared" si="0"/>
        <v>0</v>
      </c>
      <c r="F43" s="312"/>
      <c r="G43" s="312"/>
      <c r="H43" s="312">
        <f t="shared" si="5"/>
        <v>0</v>
      </c>
      <c r="I43" s="312"/>
      <c r="J43" s="312"/>
      <c r="K43" s="312">
        <f t="shared" si="6"/>
        <v>0</v>
      </c>
      <c r="L43" s="312"/>
      <c r="M43" s="312"/>
      <c r="N43" s="312">
        <f t="shared" si="7"/>
        <v>0</v>
      </c>
      <c r="O43" s="486"/>
      <c r="P43" s="486"/>
      <c r="Q43" s="486"/>
      <c r="R43" s="486"/>
      <c r="S43" s="486"/>
      <c r="T43" s="486"/>
    </row>
    <row r="44" spans="1:20">
      <c r="A44" s="334">
        <f t="shared" si="4"/>
        <v>38</v>
      </c>
      <c r="B44" s="323" t="s">
        <v>649</v>
      </c>
      <c r="C44" s="312"/>
      <c r="D44" s="312"/>
      <c r="E44" s="312">
        <f t="shared" si="0"/>
        <v>0</v>
      </c>
      <c r="F44" s="312"/>
      <c r="G44" s="312"/>
      <c r="H44" s="312">
        <f t="shared" si="5"/>
        <v>0</v>
      </c>
      <c r="I44" s="312"/>
      <c r="J44" s="312"/>
      <c r="K44" s="312">
        <f t="shared" si="6"/>
        <v>0</v>
      </c>
      <c r="L44" s="312"/>
      <c r="M44" s="312"/>
      <c r="N44" s="312">
        <f t="shared" si="7"/>
        <v>0</v>
      </c>
      <c r="O44" s="486"/>
      <c r="P44" s="486"/>
      <c r="Q44" s="486"/>
      <c r="R44" s="486"/>
      <c r="S44" s="486"/>
      <c r="T44" s="486"/>
    </row>
    <row r="45" spans="1:20">
      <c r="A45" s="334">
        <f t="shared" si="4"/>
        <v>39</v>
      </c>
      <c r="B45" s="323" t="s">
        <v>650</v>
      </c>
      <c r="C45" s="312"/>
      <c r="D45" s="312"/>
      <c r="E45" s="312">
        <f t="shared" si="0"/>
        <v>0</v>
      </c>
      <c r="F45" s="312"/>
      <c r="G45" s="312"/>
      <c r="H45" s="312">
        <f t="shared" si="5"/>
        <v>0</v>
      </c>
      <c r="I45" s="312"/>
      <c r="J45" s="312"/>
      <c r="K45" s="312">
        <f t="shared" si="6"/>
        <v>0</v>
      </c>
      <c r="L45" s="312"/>
      <c r="M45" s="312"/>
      <c r="N45" s="312">
        <f t="shared" si="7"/>
        <v>0</v>
      </c>
      <c r="O45" s="486"/>
      <c r="P45" s="486"/>
      <c r="Q45" s="486"/>
      <c r="R45" s="486"/>
      <c r="S45" s="486"/>
      <c r="T45" s="486"/>
    </row>
    <row r="46" spans="1:20">
      <c r="A46" s="334">
        <f t="shared" si="4"/>
        <v>40</v>
      </c>
      <c r="B46" s="323" t="s">
        <v>651</v>
      </c>
      <c r="C46" s="312"/>
      <c r="D46" s="312"/>
      <c r="E46" s="312">
        <f t="shared" si="0"/>
        <v>0</v>
      </c>
      <c r="F46" s="312"/>
      <c r="G46" s="312"/>
      <c r="H46" s="312">
        <f t="shared" si="5"/>
        <v>0</v>
      </c>
      <c r="I46" s="312"/>
      <c r="J46" s="312"/>
      <c r="K46" s="312">
        <f t="shared" si="6"/>
        <v>0</v>
      </c>
      <c r="L46" s="312"/>
      <c r="M46" s="312"/>
      <c r="N46" s="312">
        <f t="shared" si="7"/>
        <v>0</v>
      </c>
      <c r="O46" s="486"/>
      <c r="P46" s="486"/>
      <c r="Q46" s="486"/>
      <c r="R46" s="486"/>
      <c r="S46" s="486"/>
      <c r="T46" s="486"/>
    </row>
    <row r="47" spans="1:20">
      <c r="A47" s="334">
        <f t="shared" si="4"/>
        <v>41</v>
      </c>
      <c r="B47" s="2252" t="s">
        <v>641</v>
      </c>
      <c r="C47" s="312">
        <f>C7+C38</f>
        <v>0</v>
      </c>
      <c r="D47" s="312">
        <f>D7+D38</f>
        <v>0</v>
      </c>
      <c r="E47" s="312">
        <f t="shared" si="0"/>
        <v>0</v>
      </c>
      <c r="F47" s="312">
        <f>F7+F38</f>
        <v>0</v>
      </c>
      <c r="G47" s="312">
        <f>G7+G38</f>
        <v>0</v>
      </c>
      <c r="H47" s="312">
        <f t="shared" si="1"/>
        <v>0</v>
      </c>
      <c r="I47" s="312">
        <f>I7+I38</f>
        <v>0</v>
      </c>
      <c r="J47" s="312">
        <f>J7+J38</f>
        <v>0</v>
      </c>
      <c r="K47" s="312">
        <f t="shared" si="2"/>
        <v>0</v>
      </c>
      <c r="L47" s="312">
        <f>L7+L38</f>
        <v>0</v>
      </c>
      <c r="M47" s="312">
        <f>M7+M38</f>
        <v>0</v>
      </c>
      <c r="N47" s="312">
        <f t="shared" si="3"/>
        <v>0</v>
      </c>
      <c r="O47" s="486"/>
      <c r="P47" s="486"/>
      <c r="Q47" s="486"/>
      <c r="R47" s="486"/>
      <c r="S47" s="486"/>
      <c r="T47" s="486"/>
    </row>
    <row r="48" spans="1:20">
      <c r="A48" s="236" t="s">
        <v>6987</v>
      </c>
      <c r="B48" s="89"/>
      <c r="C48" s="237"/>
      <c r="D48" s="237"/>
      <c r="E48" s="237"/>
      <c r="F48" s="237"/>
      <c r="G48" s="237"/>
      <c r="H48" s="237"/>
      <c r="I48" s="237"/>
      <c r="J48" s="237"/>
      <c r="K48" s="237"/>
      <c r="L48" s="237"/>
      <c r="M48" s="237"/>
      <c r="N48" s="237"/>
    </row>
    <row r="49" spans="1:3">
      <c r="A49" s="55">
        <v>1</v>
      </c>
      <c r="B49" s="50" t="s">
        <v>147</v>
      </c>
    </row>
    <row r="50" spans="1:3">
      <c r="A50" s="55"/>
    </row>
    <row r="53" spans="1:3">
      <c r="C53" s="55"/>
    </row>
  </sheetData>
  <mergeCells count="8">
    <mergeCell ref="L4:N4"/>
    <mergeCell ref="B3:B6"/>
    <mergeCell ref="A3:A6"/>
    <mergeCell ref="C3:H3"/>
    <mergeCell ref="I3:N3"/>
    <mergeCell ref="I4:K4"/>
    <mergeCell ref="C4:E4"/>
    <mergeCell ref="F4:H4"/>
  </mergeCells>
  <phoneticPr fontId="29" type="noConversion"/>
  <printOptions horizontalCentered="1"/>
  <pageMargins left="0.39370078740157483" right="0.19685039370078741" top="0.39370078740157483" bottom="0.39370078740157483" header="0" footer="0"/>
  <pageSetup paperSize="9" scale="80" orientation="landscape" horizontalDpi="4294967295" verticalDpi="4294967295" r:id="rId1"/>
  <headerFooter alignWithMargins="0">
    <oddFooter>&amp;C&amp;"Times New Roman,標準"106&amp;R&amp;"Times New Roman,標準"&amp;A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T26"/>
  <sheetViews>
    <sheetView zoomScale="120" zoomScaleNormal="120" workbookViewId="0"/>
  </sheetViews>
  <sheetFormatPr defaultColWidth="10" defaultRowHeight="14.25"/>
  <cols>
    <col min="1" max="1" width="5.125" style="54" customWidth="1"/>
    <col min="2" max="2" width="21.25" style="50" customWidth="1"/>
    <col min="3" max="3" width="12.375" style="50" customWidth="1"/>
    <col min="4" max="4" width="10.125" style="50" customWidth="1"/>
    <col min="5" max="5" width="11.5" style="50" customWidth="1"/>
    <col min="6" max="8" width="10.125" style="50" customWidth="1"/>
    <col min="9" max="9" width="12.125" style="50" customWidth="1"/>
    <col min="10" max="10" width="10.125" style="50" customWidth="1"/>
    <col min="11" max="11" width="11.75" style="50" customWidth="1"/>
    <col min="12" max="13" width="10.125" style="50" customWidth="1"/>
    <col min="14" max="14" width="13.875" style="50" customWidth="1"/>
    <col min="15" max="16384" width="10" style="50"/>
  </cols>
  <sheetData>
    <row r="1" spans="1:20">
      <c r="A1" s="105" t="str">
        <f>表03!A1</f>
        <v xml:space="preserve"> 保險股份有限公司    年度(月)報表</v>
      </c>
      <c r="B1" s="1"/>
      <c r="C1" s="1"/>
      <c r="D1" s="1"/>
      <c r="E1" s="1"/>
      <c r="F1" s="1"/>
      <c r="G1" s="1"/>
      <c r="H1" s="1"/>
      <c r="I1" s="1"/>
      <c r="J1" s="1"/>
      <c r="K1" s="1"/>
    </row>
    <row r="2" spans="1:20">
      <c r="A2" s="2270" t="s">
        <v>326</v>
      </c>
      <c r="N2" s="4" t="s">
        <v>312</v>
      </c>
    </row>
    <row r="3" spans="1:20" ht="15" customHeight="1">
      <c r="A3" s="2875" t="s">
        <v>183</v>
      </c>
      <c r="B3" s="2875" t="s">
        <v>313</v>
      </c>
      <c r="C3" s="2878" t="s">
        <v>751</v>
      </c>
      <c r="D3" s="2879"/>
      <c r="E3" s="2879"/>
      <c r="F3" s="2879"/>
      <c r="G3" s="2879"/>
      <c r="H3" s="2880"/>
      <c r="I3" s="2878" t="s">
        <v>752</v>
      </c>
      <c r="J3" s="2879"/>
      <c r="K3" s="2879"/>
      <c r="L3" s="2879"/>
      <c r="M3" s="2879"/>
      <c r="N3" s="2880"/>
    </row>
    <row r="4" spans="1:20" ht="15" customHeight="1">
      <c r="A4" s="2876"/>
      <c r="B4" s="2876"/>
      <c r="C4" s="2864" t="s">
        <v>314</v>
      </c>
      <c r="D4" s="2864"/>
      <c r="E4" s="2865"/>
      <c r="F4" s="2863" t="s">
        <v>315</v>
      </c>
      <c r="G4" s="2864"/>
      <c r="H4" s="2865"/>
      <c r="I4" s="2881" t="s">
        <v>314</v>
      </c>
      <c r="J4" s="2882"/>
      <c r="K4" s="2883"/>
      <c r="L4" s="2863" t="s">
        <v>315</v>
      </c>
      <c r="M4" s="2864"/>
      <c r="N4" s="2865"/>
    </row>
    <row r="5" spans="1:20" ht="15" customHeight="1">
      <c r="A5" s="2876"/>
      <c r="B5" s="2876"/>
      <c r="C5" s="2264" t="s">
        <v>87</v>
      </c>
      <c r="D5" s="48" t="s">
        <v>316</v>
      </c>
      <c r="E5" s="48" t="s">
        <v>200</v>
      </c>
      <c r="F5" s="48" t="s">
        <v>87</v>
      </c>
      <c r="G5" s="48" t="s">
        <v>316</v>
      </c>
      <c r="H5" s="48" t="s">
        <v>200</v>
      </c>
      <c r="I5" s="48" t="s">
        <v>87</v>
      </c>
      <c r="J5" s="48" t="s">
        <v>316</v>
      </c>
      <c r="K5" s="48" t="s">
        <v>200</v>
      </c>
      <c r="L5" s="48" t="s">
        <v>87</v>
      </c>
      <c r="M5" s="48" t="s">
        <v>316</v>
      </c>
      <c r="N5" s="48" t="s">
        <v>200</v>
      </c>
    </row>
    <row r="6" spans="1:20" s="53" customFormat="1">
      <c r="A6" s="2877"/>
      <c r="B6" s="2877"/>
      <c r="C6" s="57" t="s">
        <v>317</v>
      </c>
      <c r="D6" s="7" t="s">
        <v>385</v>
      </c>
      <c r="E6" s="7" t="s">
        <v>318</v>
      </c>
      <c r="F6" s="7" t="s">
        <v>319</v>
      </c>
      <c r="G6" s="7" t="s">
        <v>386</v>
      </c>
      <c r="H6" s="7" t="s">
        <v>320</v>
      </c>
      <c r="I6" s="2271" t="s">
        <v>321</v>
      </c>
      <c r="J6" s="2271" t="s">
        <v>387</v>
      </c>
      <c r="K6" s="2271" t="s">
        <v>322</v>
      </c>
      <c r="L6" s="2271" t="s">
        <v>389</v>
      </c>
      <c r="M6" s="2271" t="s">
        <v>323</v>
      </c>
      <c r="N6" s="2271" t="s">
        <v>324</v>
      </c>
    </row>
    <row r="7" spans="1:20" s="53" customFormat="1" ht="21.75" customHeight="1">
      <c r="A7" s="334">
        <v>1</v>
      </c>
      <c r="B7" s="373" t="s">
        <v>664</v>
      </c>
      <c r="C7" s="312">
        <f>SUM(C8:C14)</f>
        <v>0</v>
      </c>
      <c r="D7" s="312">
        <f>SUM(D8:D14)</f>
        <v>0</v>
      </c>
      <c r="E7" s="312">
        <f>C7-D7</f>
        <v>0</v>
      </c>
      <c r="F7" s="312">
        <f>SUM(F8:F14)</f>
        <v>0</v>
      </c>
      <c r="G7" s="312">
        <f>SUM(G8:G14)</f>
        <v>0</v>
      </c>
      <c r="H7" s="312">
        <f>F7-G7</f>
        <v>0</v>
      </c>
      <c r="I7" s="312">
        <f>SUM(I8:I14)</f>
        <v>0</v>
      </c>
      <c r="J7" s="312">
        <f>SUM(J8:J14)</f>
        <v>0</v>
      </c>
      <c r="K7" s="312">
        <f>I7-J7</f>
        <v>0</v>
      </c>
      <c r="L7" s="312">
        <f>SUM(L8:L14)</f>
        <v>0</v>
      </c>
      <c r="M7" s="312">
        <f>SUM(M8:M14)</f>
        <v>0</v>
      </c>
      <c r="N7" s="312">
        <f>L7-M7</f>
        <v>0</v>
      </c>
      <c r="O7" s="486"/>
      <c r="P7" s="486"/>
      <c r="Q7" s="486"/>
      <c r="R7" s="486"/>
      <c r="S7" s="486"/>
      <c r="T7" s="486"/>
    </row>
    <row r="8" spans="1:20" ht="21.75" customHeight="1">
      <c r="A8" s="334">
        <v>2</v>
      </c>
      <c r="B8" s="373" t="s">
        <v>665</v>
      </c>
      <c r="C8" s="312"/>
      <c r="D8" s="312"/>
      <c r="E8" s="312">
        <f t="shared" ref="E8:E21" si="0">C8-D8</f>
        <v>0</v>
      </c>
      <c r="F8" s="312"/>
      <c r="G8" s="312"/>
      <c r="H8" s="312">
        <f t="shared" ref="H8:H21" si="1">F8-G8</f>
        <v>0</v>
      </c>
      <c r="I8" s="312"/>
      <c r="J8" s="312"/>
      <c r="K8" s="312">
        <f t="shared" ref="K8:K21" si="2">I8-J8</f>
        <v>0</v>
      </c>
      <c r="L8" s="312"/>
      <c r="M8" s="312"/>
      <c r="N8" s="312">
        <f t="shared" ref="N8:N21" si="3">L8-M8</f>
        <v>0</v>
      </c>
      <c r="O8" s="486"/>
      <c r="P8" s="486"/>
      <c r="Q8" s="486"/>
      <c r="R8" s="486"/>
      <c r="S8" s="486"/>
      <c r="T8" s="486"/>
    </row>
    <row r="9" spans="1:20" ht="21.75" customHeight="1">
      <c r="A9" s="334">
        <v>3</v>
      </c>
      <c r="B9" s="373" t="s">
        <v>666</v>
      </c>
      <c r="C9" s="312"/>
      <c r="D9" s="312"/>
      <c r="E9" s="312">
        <f t="shared" si="0"/>
        <v>0</v>
      </c>
      <c r="F9" s="312"/>
      <c r="G9" s="312"/>
      <c r="H9" s="312">
        <f t="shared" si="1"/>
        <v>0</v>
      </c>
      <c r="I9" s="312"/>
      <c r="J9" s="312"/>
      <c r="K9" s="312">
        <f t="shared" si="2"/>
        <v>0</v>
      </c>
      <c r="L9" s="312"/>
      <c r="M9" s="312"/>
      <c r="N9" s="312">
        <f t="shared" si="3"/>
        <v>0</v>
      </c>
      <c r="O9" s="486"/>
      <c r="P9" s="486"/>
      <c r="Q9" s="486"/>
      <c r="R9" s="486"/>
      <c r="S9" s="486"/>
      <c r="T9" s="486"/>
    </row>
    <row r="10" spans="1:20" ht="21.75" customHeight="1">
      <c r="A10" s="334">
        <v>4</v>
      </c>
      <c r="B10" s="49" t="s">
        <v>1694</v>
      </c>
      <c r="C10" s="312"/>
      <c r="D10" s="312"/>
      <c r="E10" s="312">
        <f t="shared" si="0"/>
        <v>0</v>
      </c>
      <c r="F10" s="312"/>
      <c r="G10" s="312"/>
      <c r="H10" s="312">
        <f t="shared" si="1"/>
        <v>0</v>
      </c>
      <c r="I10" s="312"/>
      <c r="J10" s="312"/>
      <c r="K10" s="312">
        <f t="shared" si="2"/>
        <v>0</v>
      </c>
      <c r="L10" s="312">
        <v>0</v>
      </c>
      <c r="M10" s="312">
        <v>0</v>
      </c>
      <c r="N10" s="312">
        <f t="shared" si="3"/>
        <v>0</v>
      </c>
      <c r="O10" s="486"/>
      <c r="P10" s="486"/>
      <c r="Q10" s="486"/>
      <c r="R10" s="486"/>
      <c r="S10" s="486"/>
      <c r="T10" s="486"/>
    </row>
    <row r="11" spans="1:20" ht="21.75" customHeight="1">
      <c r="A11" s="334">
        <v>5</v>
      </c>
      <c r="B11" s="373" t="s">
        <v>667</v>
      </c>
      <c r="C11" s="312"/>
      <c r="D11" s="312"/>
      <c r="E11" s="312">
        <f t="shared" si="0"/>
        <v>0</v>
      </c>
      <c r="F11" s="312"/>
      <c r="G11" s="312"/>
      <c r="H11" s="312">
        <f t="shared" si="1"/>
        <v>0</v>
      </c>
      <c r="I11" s="312">
        <v>0</v>
      </c>
      <c r="J11" s="312">
        <v>0</v>
      </c>
      <c r="K11" s="312">
        <f t="shared" si="2"/>
        <v>0</v>
      </c>
      <c r="L11" s="312">
        <v>0</v>
      </c>
      <c r="M11" s="312">
        <v>0</v>
      </c>
      <c r="N11" s="312">
        <f t="shared" si="3"/>
        <v>0</v>
      </c>
      <c r="O11" s="486"/>
      <c r="P11" s="486"/>
      <c r="Q11" s="486"/>
      <c r="R11" s="486"/>
      <c r="S11" s="486"/>
      <c r="T11" s="486"/>
    </row>
    <row r="12" spans="1:20" ht="21.75" customHeight="1">
      <c r="A12" s="334">
        <v>6</v>
      </c>
      <c r="B12" s="373" t="s">
        <v>668</v>
      </c>
      <c r="C12" s="312"/>
      <c r="D12" s="312"/>
      <c r="E12" s="312">
        <f t="shared" si="0"/>
        <v>0</v>
      </c>
      <c r="F12" s="312"/>
      <c r="G12" s="312"/>
      <c r="H12" s="312">
        <f t="shared" si="1"/>
        <v>0</v>
      </c>
      <c r="I12" s="312">
        <v>0</v>
      </c>
      <c r="J12" s="312">
        <v>0</v>
      </c>
      <c r="K12" s="312">
        <f t="shared" si="2"/>
        <v>0</v>
      </c>
      <c r="L12" s="312">
        <v>0</v>
      </c>
      <c r="M12" s="312">
        <v>0</v>
      </c>
      <c r="N12" s="312">
        <f t="shared" si="3"/>
        <v>0</v>
      </c>
      <c r="O12" s="486"/>
      <c r="P12" s="486"/>
      <c r="Q12" s="486"/>
      <c r="R12" s="486"/>
      <c r="S12" s="486"/>
      <c r="T12" s="486"/>
    </row>
    <row r="13" spans="1:20" ht="21.75" customHeight="1">
      <c r="A13" s="334">
        <v>7</v>
      </c>
      <c r="B13" s="49" t="s">
        <v>1475</v>
      </c>
      <c r="C13" s="312"/>
      <c r="D13" s="312"/>
      <c r="E13" s="312">
        <f t="shared" si="0"/>
        <v>0</v>
      </c>
      <c r="F13" s="312"/>
      <c r="G13" s="312"/>
      <c r="H13" s="312">
        <f t="shared" si="1"/>
        <v>0</v>
      </c>
      <c r="I13" s="312"/>
      <c r="J13" s="312"/>
      <c r="K13" s="312">
        <f t="shared" si="2"/>
        <v>0</v>
      </c>
      <c r="L13" s="312"/>
      <c r="M13" s="312"/>
      <c r="N13" s="312">
        <f t="shared" si="3"/>
        <v>0</v>
      </c>
      <c r="O13" s="486"/>
      <c r="P13" s="486"/>
      <c r="Q13" s="486"/>
      <c r="R13" s="486"/>
      <c r="S13" s="486"/>
      <c r="T13" s="486"/>
    </row>
    <row r="14" spans="1:20" ht="21.75" customHeight="1">
      <c r="A14" s="334">
        <v>8</v>
      </c>
      <c r="B14" s="49" t="s">
        <v>1476</v>
      </c>
      <c r="C14" s="312"/>
      <c r="D14" s="312"/>
      <c r="E14" s="312">
        <f t="shared" si="0"/>
        <v>0</v>
      </c>
      <c r="F14" s="312"/>
      <c r="G14" s="312"/>
      <c r="H14" s="312">
        <f t="shared" si="1"/>
        <v>0</v>
      </c>
      <c r="I14" s="312"/>
      <c r="J14" s="312"/>
      <c r="K14" s="312">
        <f t="shared" si="2"/>
        <v>0</v>
      </c>
      <c r="L14" s="312"/>
      <c r="M14" s="312"/>
      <c r="N14" s="312">
        <f t="shared" si="3"/>
        <v>0</v>
      </c>
      <c r="O14" s="486"/>
      <c r="P14" s="486"/>
      <c r="Q14" s="486"/>
      <c r="R14" s="486"/>
      <c r="S14" s="486"/>
      <c r="T14" s="486"/>
    </row>
    <row r="15" spans="1:20" ht="21.75" customHeight="1">
      <c r="A15" s="334">
        <v>9</v>
      </c>
      <c r="B15" s="373" t="s">
        <v>640</v>
      </c>
      <c r="C15" s="312">
        <f>SUM(C16:C20)</f>
        <v>0</v>
      </c>
      <c r="D15" s="312">
        <f>SUM(D16:D20)</f>
        <v>0</v>
      </c>
      <c r="E15" s="312">
        <f>SUM(E16:E20)</f>
        <v>0</v>
      </c>
      <c r="F15" s="312">
        <f>SUM(F16:F20)</f>
        <v>0</v>
      </c>
      <c r="G15" s="312">
        <f>SUM(G16:G20)</f>
        <v>0</v>
      </c>
      <c r="H15" s="312">
        <f t="shared" si="1"/>
        <v>0</v>
      </c>
      <c r="I15" s="312">
        <f>SUM(I16:I20)</f>
        <v>0</v>
      </c>
      <c r="J15" s="312">
        <f>SUM(J16:J20)</f>
        <v>0</v>
      </c>
      <c r="K15" s="312">
        <f t="shared" si="2"/>
        <v>0</v>
      </c>
      <c r="L15" s="312">
        <f>SUM(L16:L20)</f>
        <v>0</v>
      </c>
      <c r="M15" s="312">
        <f>SUM(M16:M20)</f>
        <v>0</v>
      </c>
      <c r="N15" s="312">
        <f t="shared" si="3"/>
        <v>0</v>
      </c>
      <c r="O15" s="486"/>
      <c r="P15" s="486"/>
      <c r="Q15" s="486"/>
      <c r="R15" s="486"/>
      <c r="S15" s="486"/>
      <c r="T15" s="486"/>
    </row>
    <row r="16" spans="1:20" ht="21.75" customHeight="1">
      <c r="A16" s="334">
        <v>10</v>
      </c>
      <c r="B16" s="373" t="s">
        <v>659</v>
      </c>
      <c r="C16" s="312"/>
      <c r="D16" s="312"/>
      <c r="E16" s="312">
        <f t="shared" si="0"/>
        <v>0</v>
      </c>
      <c r="F16" s="312"/>
      <c r="G16" s="312"/>
      <c r="H16" s="312">
        <f t="shared" si="1"/>
        <v>0</v>
      </c>
      <c r="I16" s="312"/>
      <c r="J16" s="312"/>
      <c r="K16" s="312">
        <f t="shared" si="2"/>
        <v>0</v>
      </c>
      <c r="L16" s="312"/>
      <c r="M16" s="312"/>
      <c r="N16" s="312">
        <f t="shared" si="3"/>
        <v>0</v>
      </c>
      <c r="O16" s="486"/>
      <c r="P16" s="486"/>
      <c r="Q16" s="486"/>
      <c r="R16" s="486"/>
      <c r="S16" s="486"/>
      <c r="T16" s="486"/>
    </row>
    <row r="17" spans="1:20" ht="21.75" customHeight="1">
      <c r="A17" s="334">
        <v>11</v>
      </c>
      <c r="B17" s="373" t="s">
        <v>660</v>
      </c>
      <c r="C17" s="312"/>
      <c r="D17" s="312"/>
      <c r="E17" s="312">
        <f t="shared" si="0"/>
        <v>0</v>
      </c>
      <c r="F17" s="312"/>
      <c r="G17" s="312"/>
      <c r="H17" s="312">
        <f t="shared" si="1"/>
        <v>0</v>
      </c>
      <c r="I17" s="312">
        <v>0</v>
      </c>
      <c r="J17" s="312">
        <v>0</v>
      </c>
      <c r="K17" s="312">
        <f t="shared" si="2"/>
        <v>0</v>
      </c>
      <c r="L17" s="312"/>
      <c r="M17" s="312"/>
      <c r="N17" s="312">
        <f t="shared" si="3"/>
        <v>0</v>
      </c>
      <c r="O17" s="486"/>
      <c r="P17" s="486"/>
      <c r="Q17" s="486"/>
      <c r="R17" s="486"/>
      <c r="S17" s="486"/>
      <c r="T17" s="486"/>
    </row>
    <row r="18" spans="1:20" ht="21.75" customHeight="1">
      <c r="A18" s="334">
        <v>12</v>
      </c>
      <c r="B18" s="373" t="s">
        <v>661</v>
      </c>
      <c r="C18" s="312"/>
      <c r="D18" s="312"/>
      <c r="E18" s="312">
        <f t="shared" si="0"/>
        <v>0</v>
      </c>
      <c r="F18" s="312"/>
      <c r="G18" s="312"/>
      <c r="H18" s="312">
        <f t="shared" si="1"/>
        <v>0</v>
      </c>
      <c r="I18" s="312">
        <v>0</v>
      </c>
      <c r="J18" s="312">
        <v>0</v>
      </c>
      <c r="K18" s="312">
        <f t="shared" si="2"/>
        <v>0</v>
      </c>
      <c r="L18" s="312">
        <v>0</v>
      </c>
      <c r="M18" s="312">
        <v>0</v>
      </c>
      <c r="N18" s="312">
        <f t="shared" si="3"/>
        <v>0</v>
      </c>
      <c r="O18" s="486"/>
      <c r="P18" s="486"/>
      <c r="Q18" s="486"/>
      <c r="R18" s="486"/>
      <c r="S18" s="486"/>
      <c r="T18" s="486"/>
    </row>
    <row r="19" spans="1:20" ht="21.75" customHeight="1">
      <c r="A19" s="334">
        <v>13</v>
      </c>
      <c r="B19" s="373" t="s">
        <v>662</v>
      </c>
      <c r="C19" s="312"/>
      <c r="D19" s="312"/>
      <c r="E19" s="312">
        <f t="shared" si="0"/>
        <v>0</v>
      </c>
      <c r="F19" s="312"/>
      <c r="G19" s="312"/>
      <c r="H19" s="312">
        <f t="shared" si="1"/>
        <v>0</v>
      </c>
      <c r="I19" s="312">
        <v>0</v>
      </c>
      <c r="J19" s="312">
        <v>0</v>
      </c>
      <c r="K19" s="312">
        <f t="shared" si="2"/>
        <v>0</v>
      </c>
      <c r="L19" s="312">
        <v>0</v>
      </c>
      <c r="M19" s="312">
        <v>0</v>
      </c>
      <c r="N19" s="312">
        <f t="shared" si="3"/>
        <v>0</v>
      </c>
      <c r="O19" s="486"/>
      <c r="P19" s="486"/>
      <c r="Q19" s="486"/>
      <c r="R19" s="486"/>
      <c r="S19" s="486"/>
      <c r="T19" s="486"/>
    </row>
    <row r="20" spans="1:20" ht="21.75" customHeight="1">
      <c r="A20" s="334">
        <v>14</v>
      </c>
      <c r="B20" s="373" t="s">
        <v>663</v>
      </c>
      <c r="C20" s="312"/>
      <c r="D20" s="312"/>
      <c r="E20" s="312">
        <f t="shared" si="0"/>
        <v>0</v>
      </c>
      <c r="F20" s="312"/>
      <c r="G20" s="312"/>
      <c r="H20" s="312">
        <f t="shared" si="1"/>
        <v>0</v>
      </c>
      <c r="I20" s="312">
        <v>0</v>
      </c>
      <c r="J20" s="312">
        <v>0</v>
      </c>
      <c r="K20" s="312">
        <f t="shared" si="2"/>
        <v>0</v>
      </c>
      <c r="L20" s="312">
        <v>0</v>
      </c>
      <c r="M20" s="312">
        <v>0</v>
      </c>
      <c r="N20" s="312">
        <f t="shared" si="3"/>
        <v>0</v>
      </c>
      <c r="O20" s="486"/>
      <c r="P20" s="486"/>
      <c r="Q20" s="486"/>
      <c r="R20" s="486"/>
      <c r="S20" s="486"/>
      <c r="T20" s="486"/>
    </row>
    <row r="21" spans="1:20" ht="21.75" customHeight="1">
      <c r="A21" s="334">
        <v>15</v>
      </c>
      <c r="B21" s="2252" t="s">
        <v>581</v>
      </c>
      <c r="C21" s="312">
        <f>C7+C15</f>
        <v>0</v>
      </c>
      <c r="D21" s="312">
        <f>D7+D15</f>
        <v>0</v>
      </c>
      <c r="E21" s="312">
        <f t="shared" si="0"/>
        <v>0</v>
      </c>
      <c r="F21" s="312">
        <f>F7+F15</f>
        <v>0</v>
      </c>
      <c r="G21" s="312">
        <f>G7+G15</f>
        <v>0</v>
      </c>
      <c r="H21" s="312">
        <f t="shared" si="1"/>
        <v>0</v>
      </c>
      <c r="I21" s="312">
        <f>I7+I15</f>
        <v>0</v>
      </c>
      <c r="J21" s="312">
        <f>J7+J15</f>
        <v>0</v>
      </c>
      <c r="K21" s="312">
        <f t="shared" si="2"/>
        <v>0</v>
      </c>
      <c r="L21" s="312">
        <f>L7+L15</f>
        <v>0</v>
      </c>
      <c r="M21" s="312">
        <f>M7+M15</f>
        <v>0</v>
      </c>
      <c r="N21" s="312">
        <f t="shared" si="3"/>
        <v>0</v>
      </c>
      <c r="O21" s="486"/>
      <c r="P21" s="486"/>
      <c r="Q21" s="486"/>
      <c r="R21" s="486"/>
      <c r="S21" s="486"/>
      <c r="T21" s="486"/>
    </row>
    <row r="22" spans="1:20">
      <c r="A22" s="54" t="s">
        <v>6987</v>
      </c>
      <c r="L22" s="2"/>
      <c r="M22" s="2"/>
      <c r="N22" s="2"/>
    </row>
    <row r="23" spans="1:20">
      <c r="A23" s="55">
        <v>1</v>
      </c>
      <c r="B23" s="50" t="s">
        <v>147</v>
      </c>
    </row>
    <row r="24" spans="1:20">
      <c r="A24" s="283">
        <v>2</v>
      </c>
      <c r="B24" s="36" t="s">
        <v>1474</v>
      </c>
    </row>
    <row r="26" spans="1:20">
      <c r="C26" s="55"/>
    </row>
  </sheetData>
  <mergeCells count="8">
    <mergeCell ref="A3:A6"/>
    <mergeCell ref="B3:B6"/>
    <mergeCell ref="C3:H3"/>
    <mergeCell ref="I3:N3"/>
    <mergeCell ref="C4:E4"/>
    <mergeCell ref="F4:H4"/>
    <mergeCell ref="I4:K4"/>
    <mergeCell ref="L4:N4"/>
  </mergeCells>
  <phoneticPr fontId="29" type="noConversion"/>
  <printOptions horizontalCentered="1"/>
  <pageMargins left="0.39370078740157483" right="0.19685039370078741" top="0.39370078740157483" bottom="0.39370078740157483" header="0" footer="0"/>
  <pageSetup paperSize="9" scale="89" orientation="landscape" horizontalDpi="4294967295" verticalDpi="4294967295" r:id="rId1"/>
  <headerFooter alignWithMargins="0">
    <oddFooter>&amp;C&amp;"Times New Roman,標準"107&amp;R&amp;"Times New Roman,標準"&amp;A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6"/>
  <sheetViews>
    <sheetView zoomScaleNormal="100" workbookViewId="0">
      <pane xSplit="2" ySplit="6" topLeftCell="C7" activePane="bottomRight" state="frozen"/>
      <selection pane="topRight"/>
      <selection pane="bottomLeft"/>
      <selection pane="bottomRight"/>
    </sheetView>
  </sheetViews>
  <sheetFormatPr defaultColWidth="10" defaultRowHeight="14.25"/>
  <cols>
    <col min="1" max="1" width="6" style="54" customWidth="1"/>
    <col min="2" max="2" width="11.625" style="50" customWidth="1"/>
    <col min="3" max="4" width="10.25" style="50" bestFit="1" customWidth="1"/>
    <col min="5" max="5" width="8.5" style="50" bestFit="1" customWidth="1"/>
    <col min="6" max="7" width="11.25" style="50" customWidth="1"/>
    <col min="8" max="9" width="10.25" style="50" bestFit="1" customWidth="1"/>
    <col min="10" max="10" width="8.5" style="50" bestFit="1" customWidth="1"/>
    <col min="11" max="12" width="11.25" style="50" customWidth="1"/>
    <col min="13" max="14" width="10.25" style="50" customWidth="1"/>
    <col min="15" max="16" width="11.25" style="50" customWidth="1"/>
    <col min="17" max="18" width="10.25" style="50" customWidth="1"/>
    <col min="19" max="20" width="11.25" style="50" customWidth="1"/>
    <col min="21" max="21" width="19.25" style="50" customWidth="1"/>
    <col min="22" max="22" width="21.25" style="50" customWidth="1"/>
    <col min="23" max="16384" width="10" style="50"/>
  </cols>
  <sheetData>
    <row r="1" spans="1:22">
      <c r="A1" s="105" t="str">
        <f>表03!A1</f>
        <v xml:space="preserve"> 保險股份有限公司    年度(月)報表</v>
      </c>
      <c r="B1" s="1"/>
      <c r="C1" s="1"/>
      <c r="D1" s="1"/>
      <c r="E1" s="1"/>
      <c r="F1" s="1"/>
      <c r="G1" s="1"/>
      <c r="H1" s="1"/>
      <c r="I1" s="1"/>
      <c r="J1" s="1"/>
      <c r="K1" s="1"/>
      <c r="L1" s="1"/>
      <c r="M1" s="1"/>
      <c r="N1" s="1"/>
      <c r="O1" s="1"/>
      <c r="P1" s="1"/>
      <c r="Q1" s="1"/>
      <c r="R1" s="1"/>
      <c r="S1" s="1"/>
      <c r="T1" s="1"/>
      <c r="U1" s="1"/>
    </row>
    <row r="2" spans="1:22">
      <c r="A2" s="2270" t="s">
        <v>327</v>
      </c>
      <c r="B2" s="510"/>
      <c r="V2" s="56" t="s">
        <v>312</v>
      </c>
    </row>
    <row r="3" spans="1:22" ht="16.5" customHeight="1">
      <c r="A3" s="2875" t="s">
        <v>183</v>
      </c>
      <c r="B3" s="2875" t="s">
        <v>86</v>
      </c>
      <c r="C3" s="2878" t="s">
        <v>751</v>
      </c>
      <c r="D3" s="2879"/>
      <c r="E3" s="2879"/>
      <c r="F3" s="2879"/>
      <c r="G3" s="2879"/>
      <c r="H3" s="2879"/>
      <c r="I3" s="2879"/>
      <c r="J3" s="2879"/>
      <c r="K3" s="2879"/>
      <c r="L3" s="2879"/>
      <c r="M3" s="2889" t="s">
        <v>752</v>
      </c>
      <c r="N3" s="2890"/>
      <c r="O3" s="2890"/>
      <c r="P3" s="2890"/>
      <c r="Q3" s="2890"/>
      <c r="R3" s="2890"/>
      <c r="S3" s="2890"/>
      <c r="T3" s="2890"/>
      <c r="U3" s="2785" t="s">
        <v>328</v>
      </c>
      <c r="V3" s="2886" t="s">
        <v>184</v>
      </c>
    </row>
    <row r="4" spans="1:22" ht="16.5" customHeight="1">
      <c r="A4" s="2876"/>
      <c r="B4" s="2876"/>
      <c r="C4" s="2878" t="s">
        <v>681</v>
      </c>
      <c r="D4" s="2879"/>
      <c r="E4" s="2879"/>
      <c r="F4" s="2879"/>
      <c r="G4" s="2880"/>
      <c r="H4" s="2878" t="s">
        <v>682</v>
      </c>
      <c r="I4" s="2879"/>
      <c r="J4" s="2879"/>
      <c r="K4" s="2879"/>
      <c r="L4" s="2880"/>
      <c r="M4" s="2878" t="s">
        <v>681</v>
      </c>
      <c r="N4" s="2879"/>
      <c r="O4" s="2879"/>
      <c r="P4" s="2880"/>
      <c r="Q4" s="2878" t="s">
        <v>682</v>
      </c>
      <c r="R4" s="2879"/>
      <c r="S4" s="2879"/>
      <c r="T4" s="2880"/>
      <c r="U4" s="2884"/>
      <c r="V4" s="2885"/>
    </row>
    <row r="5" spans="1:22" ht="28.5">
      <c r="A5" s="2876"/>
      <c r="B5" s="2876"/>
      <c r="C5" s="2263" t="s">
        <v>87</v>
      </c>
      <c r="D5" s="48" t="s">
        <v>316</v>
      </c>
      <c r="E5" s="48" t="s">
        <v>329</v>
      </c>
      <c r="F5" s="2267" t="s">
        <v>330</v>
      </c>
      <c r="G5" s="2267" t="s">
        <v>331</v>
      </c>
      <c r="H5" s="2263" t="s">
        <v>87</v>
      </c>
      <c r="I5" s="48" t="s">
        <v>316</v>
      </c>
      <c r="J5" s="48" t="s">
        <v>329</v>
      </c>
      <c r="K5" s="2267" t="s">
        <v>330</v>
      </c>
      <c r="L5" s="2267" t="s">
        <v>331</v>
      </c>
      <c r="M5" s="2263" t="s">
        <v>87</v>
      </c>
      <c r="N5" s="48" t="s">
        <v>316</v>
      </c>
      <c r="O5" s="2267" t="s">
        <v>330</v>
      </c>
      <c r="P5" s="2267" t="s">
        <v>331</v>
      </c>
      <c r="Q5" s="2263" t="s">
        <v>87</v>
      </c>
      <c r="R5" s="48" t="s">
        <v>316</v>
      </c>
      <c r="S5" s="2267" t="s">
        <v>330</v>
      </c>
      <c r="T5" s="2267" t="s">
        <v>331</v>
      </c>
      <c r="U5" s="2885"/>
      <c r="V5" s="2885"/>
    </row>
    <row r="6" spans="1:22" s="53" customFormat="1" ht="42.75">
      <c r="A6" s="2877"/>
      <c r="B6" s="2877"/>
      <c r="C6" s="58" t="s">
        <v>307</v>
      </c>
      <c r="D6" s="58" t="s">
        <v>385</v>
      </c>
      <c r="E6" s="58" t="s">
        <v>332</v>
      </c>
      <c r="F6" s="7" t="s">
        <v>319</v>
      </c>
      <c r="G6" s="7" t="s">
        <v>367</v>
      </c>
      <c r="H6" s="58" t="s">
        <v>333</v>
      </c>
      <c r="I6" s="58" t="s">
        <v>321</v>
      </c>
      <c r="J6" s="58" t="s">
        <v>387</v>
      </c>
      <c r="K6" s="7" t="s">
        <v>388</v>
      </c>
      <c r="L6" s="7" t="s">
        <v>220</v>
      </c>
      <c r="M6" s="58" t="s">
        <v>221</v>
      </c>
      <c r="N6" s="58" t="s">
        <v>463</v>
      </c>
      <c r="O6" s="7" t="s">
        <v>334</v>
      </c>
      <c r="P6" s="7" t="s">
        <v>201</v>
      </c>
      <c r="Q6" s="58" t="s">
        <v>683</v>
      </c>
      <c r="R6" s="58" t="s">
        <v>203</v>
      </c>
      <c r="S6" s="7" t="s">
        <v>204</v>
      </c>
      <c r="T6" s="7" t="s">
        <v>411</v>
      </c>
      <c r="U6" s="2271" t="s">
        <v>684</v>
      </c>
      <c r="V6" s="59" t="s">
        <v>207</v>
      </c>
    </row>
    <row r="7" spans="1:22" s="53" customFormat="1">
      <c r="A7" s="21">
        <v>1</v>
      </c>
      <c r="B7" s="503" t="s">
        <v>137</v>
      </c>
      <c r="C7" s="511">
        <f>SUM(C8:C37)</f>
        <v>0</v>
      </c>
      <c r="D7" s="511">
        <f>SUM(D8:D37)</f>
        <v>0</v>
      </c>
      <c r="E7" s="512"/>
      <c r="F7" s="511">
        <f t="shared" ref="F7:P7" si="0">SUM(F8:F37)</f>
        <v>0</v>
      </c>
      <c r="G7" s="511">
        <f t="shared" si="0"/>
        <v>0</v>
      </c>
      <c r="H7" s="511">
        <f>SUM(H8:H37)</f>
        <v>0</v>
      </c>
      <c r="I7" s="511">
        <f>SUM(I8:I37)</f>
        <v>0</v>
      </c>
      <c r="J7" s="512"/>
      <c r="K7" s="511">
        <f>SUM(K8:K37)</f>
        <v>0</v>
      </c>
      <c r="L7" s="511">
        <f>SUM(L8:L37)</f>
        <v>0</v>
      </c>
      <c r="M7" s="511">
        <f t="shared" si="0"/>
        <v>0</v>
      </c>
      <c r="N7" s="511">
        <f t="shared" si="0"/>
        <v>0</v>
      </c>
      <c r="O7" s="511">
        <f t="shared" si="0"/>
        <v>0</v>
      </c>
      <c r="P7" s="511">
        <f t="shared" si="0"/>
        <v>0</v>
      </c>
      <c r="Q7" s="511">
        <f>SUM(Q8:Q37)</f>
        <v>0</v>
      </c>
      <c r="R7" s="511">
        <f>SUM(R8:R37)</f>
        <v>0</v>
      </c>
      <c r="S7" s="511">
        <f>SUM(S8:S37)</f>
        <v>0</v>
      </c>
      <c r="T7" s="511">
        <f>SUM(T8:T37)</f>
        <v>0</v>
      </c>
      <c r="U7" s="511">
        <f>SUM(U8:U37)</f>
        <v>0</v>
      </c>
      <c r="V7" s="513"/>
    </row>
    <row r="8" spans="1:22">
      <c r="A8" s="21">
        <f>A7+1</f>
        <v>2</v>
      </c>
      <c r="B8" s="503" t="s">
        <v>412</v>
      </c>
      <c r="C8" s="514"/>
      <c r="D8" s="514"/>
      <c r="E8" s="512"/>
      <c r="F8" s="514"/>
      <c r="G8" s="514"/>
      <c r="H8" s="514"/>
      <c r="I8" s="514"/>
      <c r="J8" s="512"/>
      <c r="K8" s="514"/>
      <c r="L8" s="514"/>
      <c r="M8" s="514"/>
      <c r="N8" s="514"/>
      <c r="O8" s="514"/>
      <c r="P8" s="514"/>
      <c r="Q8" s="514"/>
      <c r="R8" s="514"/>
      <c r="S8" s="514"/>
      <c r="T8" s="514"/>
      <c r="U8" s="514">
        <f t="shared" ref="U8:U37" si="1">C8-D8-F8+G8+H8-I8-K8+L8</f>
        <v>0</v>
      </c>
      <c r="V8" s="515"/>
    </row>
    <row r="9" spans="1:22">
      <c r="A9" s="21">
        <f t="shared" ref="A9:A47" si="2">A8+1</f>
        <v>3</v>
      </c>
      <c r="B9" s="504" t="s">
        <v>413</v>
      </c>
      <c r="C9" s="514"/>
      <c r="D9" s="514"/>
      <c r="E9" s="512"/>
      <c r="F9" s="514"/>
      <c r="G9" s="514"/>
      <c r="H9" s="514"/>
      <c r="I9" s="514"/>
      <c r="J9" s="512"/>
      <c r="K9" s="514"/>
      <c r="L9" s="514"/>
      <c r="M9" s="514"/>
      <c r="N9" s="514"/>
      <c r="O9" s="514"/>
      <c r="P9" s="514"/>
      <c r="Q9" s="514"/>
      <c r="R9" s="514"/>
      <c r="S9" s="514"/>
      <c r="T9" s="514"/>
      <c r="U9" s="514">
        <f t="shared" si="1"/>
        <v>0</v>
      </c>
      <c r="V9" s="515"/>
    </row>
    <row r="10" spans="1:22">
      <c r="A10" s="21">
        <f t="shared" si="2"/>
        <v>4</v>
      </c>
      <c r="B10" s="504" t="s">
        <v>414</v>
      </c>
      <c r="C10" s="514"/>
      <c r="D10" s="514"/>
      <c r="E10" s="512"/>
      <c r="F10" s="514"/>
      <c r="G10" s="514"/>
      <c r="H10" s="514"/>
      <c r="I10" s="514"/>
      <c r="J10" s="512"/>
      <c r="K10" s="514"/>
      <c r="L10" s="514"/>
      <c r="M10" s="514"/>
      <c r="N10" s="514"/>
      <c r="O10" s="514"/>
      <c r="P10" s="514"/>
      <c r="Q10" s="514"/>
      <c r="R10" s="514"/>
      <c r="S10" s="514"/>
      <c r="T10" s="514"/>
      <c r="U10" s="514">
        <f t="shared" si="1"/>
        <v>0</v>
      </c>
      <c r="V10" s="515"/>
    </row>
    <row r="11" spans="1:22">
      <c r="A11" s="21">
        <f t="shared" si="2"/>
        <v>5</v>
      </c>
      <c r="B11" s="504" t="s">
        <v>415</v>
      </c>
      <c r="C11" s="514"/>
      <c r="D11" s="514"/>
      <c r="E11" s="512"/>
      <c r="F11" s="514"/>
      <c r="G11" s="514"/>
      <c r="H11" s="514"/>
      <c r="I11" s="514"/>
      <c r="J11" s="512"/>
      <c r="K11" s="514"/>
      <c r="L11" s="514"/>
      <c r="M11" s="514"/>
      <c r="N11" s="514"/>
      <c r="O11" s="514"/>
      <c r="P11" s="514"/>
      <c r="Q11" s="514"/>
      <c r="R11" s="514"/>
      <c r="S11" s="514"/>
      <c r="T11" s="514"/>
      <c r="U11" s="514">
        <f t="shared" si="1"/>
        <v>0</v>
      </c>
      <c r="V11" s="515"/>
    </row>
    <row r="12" spans="1:22">
      <c r="A12" s="21">
        <f t="shared" si="2"/>
        <v>6</v>
      </c>
      <c r="B12" s="504" t="s">
        <v>416</v>
      </c>
      <c r="C12" s="514"/>
      <c r="D12" s="514"/>
      <c r="E12" s="516"/>
      <c r="F12" s="514"/>
      <c r="G12" s="514"/>
      <c r="H12" s="514"/>
      <c r="I12" s="514"/>
      <c r="J12" s="516"/>
      <c r="K12" s="514"/>
      <c r="L12" s="514"/>
      <c r="M12" s="514"/>
      <c r="N12" s="514"/>
      <c r="O12" s="514"/>
      <c r="P12" s="514"/>
      <c r="Q12" s="514"/>
      <c r="R12" s="514"/>
      <c r="S12" s="514"/>
      <c r="T12" s="514"/>
      <c r="U12" s="514">
        <f t="shared" si="1"/>
        <v>0</v>
      </c>
      <c r="V12" s="515"/>
    </row>
    <row r="13" spans="1:22">
      <c r="A13" s="21">
        <f t="shared" si="2"/>
        <v>7</v>
      </c>
      <c r="B13" s="504" t="s">
        <v>417</v>
      </c>
      <c r="C13" s="514"/>
      <c r="D13" s="514"/>
      <c r="E13" s="516"/>
      <c r="F13" s="514"/>
      <c r="G13" s="514"/>
      <c r="H13" s="514"/>
      <c r="I13" s="514"/>
      <c r="J13" s="516"/>
      <c r="K13" s="514"/>
      <c r="L13" s="514"/>
      <c r="M13" s="514"/>
      <c r="N13" s="514"/>
      <c r="O13" s="514"/>
      <c r="P13" s="514"/>
      <c r="Q13" s="514"/>
      <c r="R13" s="514"/>
      <c r="S13" s="514"/>
      <c r="T13" s="514"/>
      <c r="U13" s="514">
        <f t="shared" si="1"/>
        <v>0</v>
      </c>
      <c r="V13" s="515"/>
    </row>
    <row r="14" spans="1:22">
      <c r="A14" s="21">
        <f t="shared" si="2"/>
        <v>8</v>
      </c>
      <c r="B14" s="504" t="s">
        <v>418</v>
      </c>
      <c r="C14" s="514"/>
      <c r="D14" s="514"/>
      <c r="E14" s="512"/>
      <c r="F14" s="514"/>
      <c r="G14" s="514"/>
      <c r="H14" s="514"/>
      <c r="I14" s="514"/>
      <c r="J14" s="512"/>
      <c r="K14" s="514"/>
      <c r="L14" s="514"/>
      <c r="M14" s="514"/>
      <c r="N14" s="514"/>
      <c r="O14" s="514"/>
      <c r="P14" s="514"/>
      <c r="Q14" s="514"/>
      <c r="R14" s="514"/>
      <c r="S14" s="514"/>
      <c r="T14" s="514"/>
      <c r="U14" s="514">
        <f t="shared" si="1"/>
        <v>0</v>
      </c>
      <c r="V14" s="515"/>
    </row>
    <row r="15" spans="1:22">
      <c r="A15" s="21">
        <f t="shared" si="2"/>
        <v>9</v>
      </c>
      <c r="B15" s="504" t="s">
        <v>419</v>
      </c>
      <c r="C15" s="514"/>
      <c r="D15" s="514"/>
      <c r="E15" s="512"/>
      <c r="F15" s="514"/>
      <c r="G15" s="514"/>
      <c r="H15" s="514"/>
      <c r="I15" s="514"/>
      <c r="J15" s="512"/>
      <c r="K15" s="514"/>
      <c r="L15" s="514"/>
      <c r="M15" s="514"/>
      <c r="N15" s="514"/>
      <c r="O15" s="514"/>
      <c r="P15" s="514"/>
      <c r="Q15" s="514"/>
      <c r="R15" s="514"/>
      <c r="S15" s="514"/>
      <c r="T15" s="514"/>
      <c r="U15" s="514">
        <f t="shared" si="1"/>
        <v>0</v>
      </c>
      <c r="V15" s="515"/>
    </row>
    <row r="16" spans="1:22">
      <c r="A16" s="21">
        <f t="shared" si="2"/>
        <v>10</v>
      </c>
      <c r="B16" s="504" t="s">
        <v>420</v>
      </c>
      <c r="C16" s="514"/>
      <c r="D16" s="514"/>
      <c r="E16" s="512"/>
      <c r="F16" s="514"/>
      <c r="G16" s="514"/>
      <c r="H16" s="514"/>
      <c r="I16" s="514"/>
      <c r="J16" s="512"/>
      <c r="K16" s="514"/>
      <c r="L16" s="514"/>
      <c r="M16" s="514"/>
      <c r="N16" s="514"/>
      <c r="O16" s="514"/>
      <c r="P16" s="514"/>
      <c r="Q16" s="514"/>
      <c r="R16" s="514"/>
      <c r="S16" s="514"/>
      <c r="T16" s="514"/>
      <c r="U16" s="514">
        <f t="shared" si="1"/>
        <v>0</v>
      </c>
      <c r="V16" s="515"/>
    </row>
    <row r="17" spans="1:22">
      <c r="A17" s="21">
        <f t="shared" si="2"/>
        <v>11</v>
      </c>
      <c r="B17" s="504" t="s">
        <v>421</v>
      </c>
      <c r="C17" s="514"/>
      <c r="D17" s="514"/>
      <c r="E17" s="512"/>
      <c r="F17" s="514"/>
      <c r="G17" s="514"/>
      <c r="H17" s="514"/>
      <c r="I17" s="514"/>
      <c r="J17" s="512"/>
      <c r="K17" s="514"/>
      <c r="L17" s="514"/>
      <c r="M17" s="514"/>
      <c r="N17" s="514"/>
      <c r="O17" s="514"/>
      <c r="P17" s="514"/>
      <c r="Q17" s="514"/>
      <c r="R17" s="514"/>
      <c r="S17" s="514"/>
      <c r="T17" s="514"/>
      <c r="U17" s="514">
        <f t="shared" si="1"/>
        <v>0</v>
      </c>
      <c r="V17" s="515"/>
    </row>
    <row r="18" spans="1:22">
      <c r="A18" s="21">
        <f t="shared" si="2"/>
        <v>12</v>
      </c>
      <c r="B18" s="504" t="s">
        <v>422</v>
      </c>
      <c r="C18" s="514"/>
      <c r="D18" s="514"/>
      <c r="E18" s="512"/>
      <c r="F18" s="514"/>
      <c r="G18" s="514"/>
      <c r="H18" s="514"/>
      <c r="I18" s="514"/>
      <c r="J18" s="512"/>
      <c r="K18" s="514"/>
      <c r="L18" s="514"/>
      <c r="M18" s="514"/>
      <c r="N18" s="514"/>
      <c r="O18" s="514"/>
      <c r="P18" s="514"/>
      <c r="Q18" s="514"/>
      <c r="R18" s="514"/>
      <c r="S18" s="514"/>
      <c r="T18" s="514"/>
      <c r="U18" s="514">
        <f t="shared" si="1"/>
        <v>0</v>
      </c>
      <c r="V18" s="515"/>
    </row>
    <row r="19" spans="1:22">
      <c r="A19" s="21">
        <f t="shared" si="2"/>
        <v>13</v>
      </c>
      <c r="B19" s="504" t="s">
        <v>423</v>
      </c>
      <c r="C19" s="514"/>
      <c r="D19" s="514"/>
      <c r="E19" s="512"/>
      <c r="F19" s="514"/>
      <c r="G19" s="514"/>
      <c r="H19" s="514"/>
      <c r="I19" s="514"/>
      <c r="J19" s="512"/>
      <c r="K19" s="514"/>
      <c r="L19" s="514"/>
      <c r="M19" s="514"/>
      <c r="N19" s="514"/>
      <c r="O19" s="514"/>
      <c r="P19" s="514"/>
      <c r="Q19" s="514"/>
      <c r="R19" s="514"/>
      <c r="S19" s="514"/>
      <c r="T19" s="514"/>
      <c r="U19" s="514">
        <f t="shared" si="1"/>
        <v>0</v>
      </c>
      <c r="V19" s="515"/>
    </row>
    <row r="20" spans="1:22">
      <c r="A20" s="21">
        <f t="shared" si="2"/>
        <v>14</v>
      </c>
      <c r="B20" s="504" t="s">
        <v>424</v>
      </c>
      <c r="C20" s="514"/>
      <c r="D20" s="514"/>
      <c r="E20" s="512"/>
      <c r="F20" s="514"/>
      <c r="G20" s="514"/>
      <c r="H20" s="514"/>
      <c r="I20" s="514"/>
      <c r="J20" s="512"/>
      <c r="K20" s="514"/>
      <c r="L20" s="514"/>
      <c r="M20" s="514"/>
      <c r="N20" s="514"/>
      <c r="O20" s="514"/>
      <c r="P20" s="514"/>
      <c r="Q20" s="514"/>
      <c r="R20" s="514"/>
      <c r="S20" s="514"/>
      <c r="T20" s="514"/>
      <c r="U20" s="514">
        <f t="shared" si="1"/>
        <v>0</v>
      </c>
      <c r="V20" s="515"/>
    </row>
    <row r="21" spans="1:22">
      <c r="A21" s="21">
        <f t="shared" si="2"/>
        <v>15</v>
      </c>
      <c r="B21" s="504" t="s">
        <v>425</v>
      </c>
      <c r="C21" s="514"/>
      <c r="D21" s="514"/>
      <c r="E21" s="512"/>
      <c r="F21" s="514"/>
      <c r="G21" s="514"/>
      <c r="H21" s="514"/>
      <c r="I21" s="514"/>
      <c r="J21" s="512"/>
      <c r="K21" s="514"/>
      <c r="L21" s="514"/>
      <c r="M21" s="514"/>
      <c r="N21" s="514"/>
      <c r="O21" s="514"/>
      <c r="P21" s="514"/>
      <c r="Q21" s="514"/>
      <c r="R21" s="514"/>
      <c r="S21" s="514"/>
      <c r="T21" s="514"/>
      <c r="U21" s="514">
        <f t="shared" si="1"/>
        <v>0</v>
      </c>
      <c r="V21" s="515"/>
    </row>
    <row r="22" spans="1:22">
      <c r="A22" s="21">
        <f t="shared" si="2"/>
        <v>16</v>
      </c>
      <c r="B22" s="504" t="s">
        <v>426</v>
      </c>
      <c r="C22" s="514"/>
      <c r="D22" s="514"/>
      <c r="E22" s="512"/>
      <c r="F22" s="514"/>
      <c r="G22" s="514"/>
      <c r="H22" s="514"/>
      <c r="I22" s="514"/>
      <c r="J22" s="512"/>
      <c r="K22" s="514"/>
      <c r="L22" s="514"/>
      <c r="M22" s="514"/>
      <c r="N22" s="514"/>
      <c r="O22" s="514"/>
      <c r="P22" s="514"/>
      <c r="Q22" s="514"/>
      <c r="R22" s="514"/>
      <c r="S22" s="514"/>
      <c r="T22" s="514"/>
      <c r="U22" s="514">
        <f t="shared" si="1"/>
        <v>0</v>
      </c>
      <c r="V22" s="515"/>
    </row>
    <row r="23" spans="1:22">
      <c r="A23" s="21">
        <f t="shared" si="2"/>
        <v>17</v>
      </c>
      <c r="B23" s="504" t="s">
        <v>427</v>
      </c>
      <c r="C23" s="514"/>
      <c r="D23" s="514"/>
      <c r="E23" s="512"/>
      <c r="F23" s="514"/>
      <c r="G23" s="514"/>
      <c r="H23" s="514"/>
      <c r="I23" s="514"/>
      <c r="J23" s="512"/>
      <c r="K23" s="514"/>
      <c r="L23" s="514"/>
      <c r="M23" s="514"/>
      <c r="N23" s="514"/>
      <c r="O23" s="514"/>
      <c r="P23" s="514"/>
      <c r="Q23" s="514"/>
      <c r="R23" s="514"/>
      <c r="S23" s="514"/>
      <c r="T23" s="514"/>
      <c r="U23" s="514">
        <f t="shared" si="1"/>
        <v>0</v>
      </c>
      <c r="V23" s="515"/>
    </row>
    <row r="24" spans="1:22">
      <c r="A24" s="21">
        <f t="shared" si="2"/>
        <v>18</v>
      </c>
      <c r="B24" s="504" t="s">
        <v>428</v>
      </c>
      <c r="C24" s="514"/>
      <c r="D24" s="514"/>
      <c r="E24" s="512"/>
      <c r="F24" s="514"/>
      <c r="G24" s="514"/>
      <c r="H24" s="514"/>
      <c r="I24" s="514"/>
      <c r="J24" s="512"/>
      <c r="K24" s="514"/>
      <c r="L24" s="514"/>
      <c r="M24" s="514"/>
      <c r="N24" s="514"/>
      <c r="O24" s="514"/>
      <c r="P24" s="514"/>
      <c r="Q24" s="514"/>
      <c r="R24" s="514"/>
      <c r="S24" s="514"/>
      <c r="T24" s="514"/>
      <c r="U24" s="514">
        <f t="shared" si="1"/>
        <v>0</v>
      </c>
      <c r="V24" s="515"/>
    </row>
    <row r="25" spans="1:22">
      <c r="A25" s="21">
        <f t="shared" si="2"/>
        <v>19</v>
      </c>
      <c r="B25" s="504" t="s">
        <v>429</v>
      </c>
      <c r="C25" s="514"/>
      <c r="D25" s="514"/>
      <c r="E25" s="512"/>
      <c r="F25" s="514"/>
      <c r="G25" s="514"/>
      <c r="H25" s="514"/>
      <c r="I25" s="514"/>
      <c r="J25" s="512"/>
      <c r="K25" s="514"/>
      <c r="L25" s="514"/>
      <c r="M25" s="514"/>
      <c r="N25" s="514"/>
      <c r="O25" s="514"/>
      <c r="P25" s="514"/>
      <c r="Q25" s="514"/>
      <c r="R25" s="514"/>
      <c r="S25" s="514"/>
      <c r="T25" s="514"/>
      <c r="U25" s="514">
        <f t="shared" si="1"/>
        <v>0</v>
      </c>
      <c r="V25" s="515"/>
    </row>
    <row r="26" spans="1:22">
      <c r="A26" s="21">
        <f t="shared" si="2"/>
        <v>20</v>
      </c>
      <c r="B26" s="504" t="s">
        <v>430</v>
      </c>
      <c r="C26" s="514"/>
      <c r="D26" s="514"/>
      <c r="E26" s="512"/>
      <c r="F26" s="514"/>
      <c r="G26" s="514"/>
      <c r="H26" s="514"/>
      <c r="I26" s="514"/>
      <c r="J26" s="512"/>
      <c r="K26" s="514"/>
      <c r="L26" s="514"/>
      <c r="M26" s="514"/>
      <c r="N26" s="514"/>
      <c r="O26" s="514"/>
      <c r="P26" s="514"/>
      <c r="Q26" s="514"/>
      <c r="R26" s="514"/>
      <c r="S26" s="514"/>
      <c r="T26" s="514"/>
      <c r="U26" s="514">
        <f t="shared" si="1"/>
        <v>0</v>
      </c>
      <c r="V26" s="515"/>
    </row>
    <row r="27" spans="1:22">
      <c r="A27" s="21">
        <f t="shared" si="2"/>
        <v>21</v>
      </c>
      <c r="B27" s="504" t="s">
        <v>431</v>
      </c>
      <c r="C27" s="514"/>
      <c r="D27" s="514"/>
      <c r="E27" s="512"/>
      <c r="F27" s="514"/>
      <c r="G27" s="514"/>
      <c r="H27" s="514"/>
      <c r="I27" s="514"/>
      <c r="J27" s="512"/>
      <c r="K27" s="514"/>
      <c r="L27" s="514"/>
      <c r="M27" s="514"/>
      <c r="N27" s="514"/>
      <c r="O27" s="514"/>
      <c r="P27" s="514"/>
      <c r="Q27" s="514"/>
      <c r="R27" s="514"/>
      <c r="S27" s="514"/>
      <c r="T27" s="514"/>
      <c r="U27" s="514">
        <f t="shared" si="1"/>
        <v>0</v>
      </c>
      <c r="V27" s="515"/>
    </row>
    <row r="28" spans="1:22" ht="16.5" customHeight="1">
      <c r="A28" s="21">
        <f t="shared" si="2"/>
        <v>22</v>
      </c>
      <c r="B28" s="504" t="s">
        <v>432</v>
      </c>
      <c r="C28" s="514"/>
      <c r="D28" s="514"/>
      <c r="E28" s="512"/>
      <c r="F28" s="514"/>
      <c r="G28" s="514"/>
      <c r="H28" s="514"/>
      <c r="I28" s="514"/>
      <c r="J28" s="512"/>
      <c r="K28" s="514"/>
      <c r="L28" s="514"/>
      <c r="M28" s="514"/>
      <c r="N28" s="514"/>
      <c r="O28" s="514"/>
      <c r="P28" s="514"/>
      <c r="Q28" s="514"/>
      <c r="R28" s="514"/>
      <c r="S28" s="514"/>
      <c r="T28" s="514"/>
      <c r="U28" s="514">
        <f t="shared" si="1"/>
        <v>0</v>
      </c>
      <c r="V28" s="515"/>
    </row>
    <row r="29" spans="1:22">
      <c r="A29" s="21">
        <f t="shared" si="2"/>
        <v>23</v>
      </c>
      <c r="B29" s="504" t="s">
        <v>433</v>
      </c>
      <c r="C29" s="514"/>
      <c r="D29" s="514"/>
      <c r="E29" s="512"/>
      <c r="F29" s="514"/>
      <c r="G29" s="514"/>
      <c r="H29" s="514"/>
      <c r="I29" s="514"/>
      <c r="J29" s="512"/>
      <c r="K29" s="514"/>
      <c r="L29" s="514"/>
      <c r="M29" s="514"/>
      <c r="N29" s="514"/>
      <c r="O29" s="514"/>
      <c r="P29" s="514"/>
      <c r="Q29" s="514"/>
      <c r="R29" s="514"/>
      <c r="S29" s="514"/>
      <c r="T29" s="514"/>
      <c r="U29" s="514">
        <f t="shared" si="1"/>
        <v>0</v>
      </c>
      <c r="V29" s="515"/>
    </row>
    <row r="30" spans="1:22">
      <c r="A30" s="21">
        <f t="shared" si="2"/>
        <v>24</v>
      </c>
      <c r="B30" s="504" t="s">
        <v>434</v>
      </c>
      <c r="C30" s="514"/>
      <c r="D30" s="514"/>
      <c r="E30" s="512"/>
      <c r="F30" s="514"/>
      <c r="G30" s="514"/>
      <c r="H30" s="514"/>
      <c r="I30" s="514"/>
      <c r="J30" s="512"/>
      <c r="K30" s="514"/>
      <c r="L30" s="514"/>
      <c r="M30" s="514"/>
      <c r="N30" s="514"/>
      <c r="O30" s="514"/>
      <c r="P30" s="514"/>
      <c r="Q30" s="514"/>
      <c r="R30" s="514"/>
      <c r="S30" s="514"/>
      <c r="T30" s="514"/>
      <c r="U30" s="514">
        <f t="shared" si="1"/>
        <v>0</v>
      </c>
      <c r="V30" s="515"/>
    </row>
    <row r="31" spans="1:22">
      <c r="A31" s="21">
        <f t="shared" si="2"/>
        <v>25</v>
      </c>
      <c r="B31" s="504" t="s">
        <v>435</v>
      </c>
      <c r="C31" s="514"/>
      <c r="D31" s="514"/>
      <c r="E31" s="512"/>
      <c r="F31" s="514"/>
      <c r="G31" s="514"/>
      <c r="H31" s="514"/>
      <c r="I31" s="514"/>
      <c r="J31" s="512"/>
      <c r="K31" s="514"/>
      <c r="L31" s="514"/>
      <c r="M31" s="514"/>
      <c r="N31" s="514"/>
      <c r="O31" s="514"/>
      <c r="P31" s="514"/>
      <c r="Q31" s="514"/>
      <c r="R31" s="514"/>
      <c r="S31" s="514"/>
      <c r="T31" s="514"/>
      <c r="U31" s="514">
        <f t="shared" si="1"/>
        <v>0</v>
      </c>
      <c r="V31" s="515"/>
    </row>
    <row r="32" spans="1:22">
      <c r="A32" s="21">
        <f t="shared" si="2"/>
        <v>26</v>
      </c>
      <c r="B32" s="505" t="s">
        <v>436</v>
      </c>
      <c r="C32" s="514"/>
      <c r="D32" s="514"/>
      <c r="E32" s="512"/>
      <c r="F32" s="514"/>
      <c r="G32" s="514"/>
      <c r="H32" s="514"/>
      <c r="I32" s="514"/>
      <c r="J32" s="512"/>
      <c r="K32" s="514"/>
      <c r="L32" s="514"/>
      <c r="M32" s="514"/>
      <c r="N32" s="514"/>
      <c r="O32" s="514"/>
      <c r="P32" s="514"/>
      <c r="Q32" s="514"/>
      <c r="R32" s="514"/>
      <c r="S32" s="514"/>
      <c r="T32" s="514"/>
      <c r="U32" s="514">
        <f t="shared" si="1"/>
        <v>0</v>
      </c>
      <c r="V32" s="515"/>
    </row>
    <row r="33" spans="1:22">
      <c r="A33" s="21">
        <f t="shared" si="2"/>
        <v>27</v>
      </c>
      <c r="B33" s="504" t="s">
        <v>437</v>
      </c>
      <c r="C33" s="514"/>
      <c r="D33" s="514"/>
      <c r="E33" s="512"/>
      <c r="F33" s="514"/>
      <c r="G33" s="514"/>
      <c r="H33" s="514"/>
      <c r="I33" s="514"/>
      <c r="J33" s="512"/>
      <c r="K33" s="514"/>
      <c r="L33" s="514"/>
      <c r="M33" s="514"/>
      <c r="N33" s="514"/>
      <c r="O33" s="514"/>
      <c r="P33" s="514"/>
      <c r="Q33" s="514"/>
      <c r="R33" s="514"/>
      <c r="S33" s="514"/>
      <c r="T33" s="514"/>
      <c r="U33" s="514">
        <f t="shared" si="1"/>
        <v>0</v>
      </c>
      <c r="V33" s="515"/>
    </row>
    <row r="34" spans="1:22">
      <c r="A34" s="21">
        <f t="shared" si="2"/>
        <v>28</v>
      </c>
      <c r="B34" s="504" t="s">
        <v>438</v>
      </c>
      <c r="C34" s="514"/>
      <c r="D34" s="514"/>
      <c r="E34" s="512"/>
      <c r="F34" s="514"/>
      <c r="G34" s="514"/>
      <c r="H34" s="514"/>
      <c r="I34" s="514"/>
      <c r="J34" s="512"/>
      <c r="K34" s="514"/>
      <c r="L34" s="514"/>
      <c r="M34" s="514"/>
      <c r="N34" s="514"/>
      <c r="O34" s="514"/>
      <c r="P34" s="514"/>
      <c r="Q34" s="514"/>
      <c r="R34" s="514"/>
      <c r="S34" s="514"/>
      <c r="T34" s="514"/>
      <c r="U34" s="514">
        <f t="shared" si="1"/>
        <v>0</v>
      </c>
      <c r="V34" s="515"/>
    </row>
    <row r="35" spans="1:22">
      <c r="A35" s="21">
        <f t="shared" si="2"/>
        <v>29</v>
      </c>
      <c r="B35" s="504" t="s">
        <v>439</v>
      </c>
      <c r="C35" s="514"/>
      <c r="D35" s="514"/>
      <c r="E35" s="512"/>
      <c r="F35" s="514"/>
      <c r="G35" s="514"/>
      <c r="H35" s="514"/>
      <c r="I35" s="514"/>
      <c r="J35" s="512"/>
      <c r="K35" s="514"/>
      <c r="L35" s="514"/>
      <c r="M35" s="514"/>
      <c r="N35" s="514"/>
      <c r="O35" s="514"/>
      <c r="P35" s="514"/>
      <c r="Q35" s="514"/>
      <c r="R35" s="514"/>
      <c r="S35" s="514"/>
      <c r="T35" s="514"/>
      <c r="U35" s="514">
        <f t="shared" si="1"/>
        <v>0</v>
      </c>
      <c r="V35" s="515"/>
    </row>
    <row r="36" spans="1:22">
      <c r="A36" s="21">
        <f t="shared" si="2"/>
        <v>30</v>
      </c>
      <c r="B36" s="504" t="s">
        <v>359</v>
      </c>
      <c r="C36" s="514"/>
      <c r="D36" s="514"/>
      <c r="E36" s="512"/>
      <c r="F36" s="514"/>
      <c r="G36" s="514"/>
      <c r="H36" s="514"/>
      <c r="I36" s="514"/>
      <c r="J36" s="512"/>
      <c r="K36" s="514"/>
      <c r="L36" s="514"/>
      <c r="M36" s="514"/>
      <c r="N36" s="514"/>
      <c r="O36" s="514"/>
      <c r="P36" s="514"/>
      <c r="Q36" s="514"/>
      <c r="R36" s="514"/>
      <c r="S36" s="514"/>
      <c r="T36" s="514"/>
      <c r="U36" s="514">
        <f t="shared" si="1"/>
        <v>0</v>
      </c>
      <c r="V36" s="515"/>
    </row>
    <row r="37" spans="1:22">
      <c r="A37" s="21">
        <f t="shared" si="2"/>
        <v>31</v>
      </c>
      <c r="B37" s="504" t="s">
        <v>194</v>
      </c>
      <c r="C37" s="514"/>
      <c r="D37" s="514"/>
      <c r="E37" s="512"/>
      <c r="F37" s="514"/>
      <c r="G37" s="514"/>
      <c r="H37" s="514"/>
      <c r="I37" s="514"/>
      <c r="J37" s="512"/>
      <c r="K37" s="514"/>
      <c r="L37" s="514"/>
      <c r="M37" s="514"/>
      <c r="N37" s="514"/>
      <c r="O37" s="514"/>
      <c r="P37" s="514"/>
      <c r="Q37" s="514"/>
      <c r="R37" s="514"/>
      <c r="S37" s="514"/>
      <c r="T37" s="514"/>
      <c r="U37" s="514">
        <f t="shared" si="1"/>
        <v>0</v>
      </c>
      <c r="V37" s="515"/>
    </row>
    <row r="38" spans="1:22">
      <c r="A38" s="21">
        <f t="shared" si="2"/>
        <v>32</v>
      </c>
      <c r="B38" s="506" t="s">
        <v>143</v>
      </c>
      <c r="C38" s="514">
        <f>SUM(C39:C46)</f>
        <v>0</v>
      </c>
      <c r="D38" s="514">
        <f>SUM(D39:D46)</f>
        <v>0</v>
      </c>
      <c r="E38" s="517"/>
      <c r="F38" s="514">
        <f>SUM(F39:F46)</f>
        <v>0</v>
      </c>
      <c r="G38" s="514">
        <f>SUM(G39:G46)</f>
        <v>0</v>
      </c>
      <c r="H38" s="514">
        <f>SUM(H39:H46)</f>
        <v>0</v>
      </c>
      <c r="I38" s="514">
        <f>SUM(I39:I46)</f>
        <v>0</v>
      </c>
      <c r="J38" s="517"/>
      <c r="K38" s="514">
        <f t="shared" ref="K38:U38" si="3">SUM(K39:K46)</f>
        <v>0</v>
      </c>
      <c r="L38" s="514">
        <f t="shared" si="3"/>
        <v>0</v>
      </c>
      <c r="M38" s="514">
        <f t="shared" si="3"/>
        <v>0</v>
      </c>
      <c r="N38" s="514">
        <f t="shared" si="3"/>
        <v>0</v>
      </c>
      <c r="O38" s="514">
        <f t="shared" si="3"/>
        <v>0</v>
      </c>
      <c r="P38" s="514">
        <f t="shared" si="3"/>
        <v>0</v>
      </c>
      <c r="Q38" s="514">
        <f t="shared" si="3"/>
        <v>0</v>
      </c>
      <c r="R38" s="514">
        <f t="shared" si="3"/>
        <v>0</v>
      </c>
      <c r="S38" s="514">
        <f t="shared" si="3"/>
        <v>0</v>
      </c>
      <c r="T38" s="514">
        <f t="shared" si="3"/>
        <v>0</v>
      </c>
      <c r="U38" s="514">
        <f t="shared" si="3"/>
        <v>0</v>
      </c>
      <c r="V38" s="515"/>
    </row>
    <row r="39" spans="1:22">
      <c r="A39" s="21">
        <f t="shared" si="2"/>
        <v>33</v>
      </c>
      <c r="B39" s="504" t="s">
        <v>440</v>
      </c>
      <c r="C39" s="514"/>
      <c r="D39" s="514"/>
      <c r="E39" s="512"/>
      <c r="F39" s="514"/>
      <c r="G39" s="514"/>
      <c r="H39" s="514"/>
      <c r="I39" s="514"/>
      <c r="J39" s="512"/>
      <c r="K39" s="514"/>
      <c r="L39" s="514"/>
      <c r="M39" s="514"/>
      <c r="N39" s="514"/>
      <c r="O39" s="514"/>
      <c r="P39" s="514"/>
      <c r="Q39" s="514"/>
      <c r="R39" s="514"/>
      <c r="S39" s="514"/>
      <c r="T39" s="514"/>
      <c r="U39" s="514">
        <f t="shared" ref="U39:U46" si="4">C39-D39-F39+G39+H39-I39-K39+L39</f>
        <v>0</v>
      </c>
      <c r="V39" s="515"/>
    </row>
    <row r="40" spans="1:22">
      <c r="A40" s="21">
        <f t="shared" si="2"/>
        <v>34</v>
      </c>
      <c r="B40" s="504" t="s">
        <v>441</v>
      </c>
      <c r="C40" s="514"/>
      <c r="D40" s="514"/>
      <c r="E40" s="516"/>
      <c r="F40" s="514"/>
      <c r="G40" s="514"/>
      <c r="H40" s="514"/>
      <c r="I40" s="514"/>
      <c r="J40" s="516"/>
      <c r="K40" s="514"/>
      <c r="L40" s="514"/>
      <c r="M40" s="514"/>
      <c r="N40" s="514"/>
      <c r="O40" s="514"/>
      <c r="P40" s="514"/>
      <c r="Q40" s="514"/>
      <c r="R40" s="514"/>
      <c r="S40" s="514"/>
      <c r="T40" s="514"/>
      <c r="U40" s="514">
        <f t="shared" si="4"/>
        <v>0</v>
      </c>
      <c r="V40" s="515"/>
    </row>
    <row r="41" spans="1:22">
      <c r="A41" s="21">
        <f t="shared" si="2"/>
        <v>35</v>
      </c>
      <c r="B41" s="504" t="s">
        <v>442</v>
      </c>
      <c r="C41" s="514"/>
      <c r="D41" s="514"/>
      <c r="E41" s="512"/>
      <c r="F41" s="514"/>
      <c r="G41" s="514"/>
      <c r="H41" s="514"/>
      <c r="I41" s="514"/>
      <c r="J41" s="512"/>
      <c r="K41" s="514"/>
      <c r="L41" s="514"/>
      <c r="M41" s="514"/>
      <c r="N41" s="514"/>
      <c r="O41" s="514"/>
      <c r="P41" s="514"/>
      <c r="Q41" s="514"/>
      <c r="R41" s="514"/>
      <c r="S41" s="514"/>
      <c r="T41" s="514"/>
      <c r="U41" s="514">
        <f t="shared" si="4"/>
        <v>0</v>
      </c>
      <c r="V41" s="515"/>
    </row>
    <row r="42" spans="1:22">
      <c r="A42" s="21">
        <f t="shared" si="2"/>
        <v>36</v>
      </c>
      <c r="B42" s="504" t="s">
        <v>443</v>
      </c>
      <c r="C42" s="514"/>
      <c r="D42" s="514"/>
      <c r="E42" s="512"/>
      <c r="F42" s="514"/>
      <c r="G42" s="514"/>
      <c r="H42" s="514"/>
      <c r="I42" s="514"/>
      <c r="J42" s="512"/>
      <c r="K42" s="514"/>
      <c r="L42" s="514"/>
      <c r="M42" s="514"/>
      <c r="N42" s="514"/>
      <c r="O42" s="514"/>
      <c r="P42" s="514"/>
      <c r="Q42" s="514"/>
      <c r="R42" s="514"/>
      <c r="S42" s="514"/>
      <c r="T42" s="514"/>
      <c r="U42" s="514">
        <f t="shared" si="4"/>
        <v>0</v>
      </c>
      <c r="V42" s="515"/>
    </row>
    <row r="43" spans="1:22">
      <c r="A43" s="21">
        <f t="shared" si="2"/>
        <v>37</v>
      </c>
      <c r="B43" s="504" t="s">
        <v>444</v>
      </c>
      <c r="C43" s="514"/>
      <c r="D43" s="514"/>
      <c r="E43" s="512"/>
      <c r="F43" s="514"/>
      <c r="G43" s="514"/>
      <c r="H43" s="514"/>
      <c r="I43" s="514"/>
      <c r="J43" s="512"/>
      <c r="K43" s="514"/>
      <c r="L43" s="514"/>
      <c r="M43" s="514"/>
      <c r="N43" s="514"/>
      <c r="O43" s="514"/>
      <c r="P43" s="514"/>
      <c r="Q43" s="514"/>
      <c r="R43" s="514"/>
      <c r="S43" s="514"/>
      <c r="T43" s="514"/>
      <c r="U43" s="514">
        <f t="shared" si="4"/>
        <v>0</v>
      </c>
      <c r="V43" s="515"/>
    </row>
    <row r="44" spans="1:22">
      <c r="A44" s="21">
        <f t="shared" si="2"/>
        <v>38</v>
      </c>
      <c r="B44" s="504" t="s">
        <v>263</v>
      </c>
      <c r="C44" s="514"/>
      <c r="D44" s="514"/>
      <c r="E44" s="512"/>
      <c r="F44" s="514"/>
      <c r="G44" s="514"/>
      <c r="H44" s="514"/>
      <c r="I44" s="514"/>
      <c r="J44" s="512"/>
      <c r="K44" s="514"/>
      <c r="L44" s="514"/>
      <c r="M44" s="514"/>
      <c r="N44" s="514"/>
      <c r="O44" s="514"/>
      <c r="P44" s="514"/>
      <c r="Q44" s="514"/>
      <c r="R44" s="514"/>
      <c r="S44" s="514"/>
      <c r="T44" s="514"/>
      <c r="U44" s="514">
        <f t="shared" si="4"/>
        <v>0</v>
      </c>
      <c r="V44" s="515"/>
    </row>
    <row r="45" spans="1:22">
      <c r="A45" s="21">
        <f t="shared" si="2"/>
        <v>39</v>
      </c>
      <c r="B45" s="504" t="s">
        <v>264</v>
      </c>
      <c r="C45" s="514"/>
      <c r="D45" s="514"/>
      <c r="E45" s="512"/>
      <c r="F45" s="514"/>
      <c r="G45" s="514"/>
      <c r="H45" s="514"/>
      <c r="I45" s="514"/>
      <c r="J45" s="512"/>
      <c r="K45" s="514"/>
      <c r="L45" s="514"/>
      <c r="M45" s="514"/>
      <c r="N45" s="514"/>
      <c r="O45" s="514"/>
      <c r="P45" s="514"/>
      <c r="Q45" s="514"/>
      <c r="R45" s="514"/>
      <c r="S45" s="514"/>
      <c r="T45" s="514"/>
      <c r="U45" s="514">
        <f t="shared" si="4"/>
        <v>0</v>
      </c>
      <c r="V45" s="515"/>
    </row>
    <row r="46" spans="1:22">
      <c r="A46" s="21">
        <f t="shared" si="2"/>
        <v>40</v>
      </c>
      <c r="B46" s="504" t="s">
        <v>265</v>
      </c>
      <c r="C46" s="514"/>
      <c r="D46" s="514"/>
      <c r="E46" s="512"/>
      <c r="F46" s="514"/>
      <c r="G46" s="514"/>
      <c r="H46" s="514"/>
      <c r="I46" s="514"/>
      <c r="J46" s="512"/>
      <c r="K46" s="514"/>
      <c r="L46" s="514"/>
      <c r="M46" s="514"/>
      <c r="N46" s="514"/>
      <c r="O46" s="514"/>
      <c r="P46" s="514"/>
      <c r="Q46" s="514"/>
      <c r="R46" s="514"/>
      <c r="S46" s="514"/>
      <c r="T46" s="514"/>
      <c r="U46" s="514">
        <f t="shared" si="4"/>
        <v>0</v>
      </c>
      <c r="V46" s="515"/>
    </row>
    <row r="47" spans="1:22">
      <c r="A47" s="21">
        <f t="shared" si="2"/>
        <v>41</v>
      </c>
      <c r="B47" s="2249" t="s">
        <v>195</v>
      </c>
      <c r="C47" s="514">
        <f>C38+C7</f>
        <v>0</v>
      </c>
      <c r="D47" s="514">
        <f>D38+D7</f>
        <v>0</v>
      </c>
      <c r="E47" s="518"/>
      <c r="F47" s="514">
        <f>F38+F7</f>
        <v>0</v>
      </c>
      <c r="G47" s="514">
        <f>G38+G7</f>
        <v>0</v>
      </c>
      <c r="H47" s="514">
        <f>H38+H7</f>
        <v>0</v>
      </c>
      <c r="I47" s="514">
        <f>I38+I7</f>
        <v>0</v>
      </c>
      <c r="J47" s="518"/>
      <c r="K47" s="514">
        <f t="shared" ref="K47:U47" si="5">K38+K7</f>
        <v>0</v>
      </c>
      <c r="L47" s="514">
        <f t="shared" si="5"/>
        <v>0</v>
      </c>
      <c r="M47" s="514">
        <f t="shared" si="5"/>
        <v>0</v>
      </c>
      <c r="N47" s="514">
        <f t="shared" si="5"/>
        <v>0</v>
      </c>
      <c r="O47" s="514">
        <f t="shared" si="5"/>
        <v>0</v>
      </c>
      <c r="P47" s="514">
        <f t="shared" si="5"/>
        <v>0</v>
      </c>
      <c r="Q47" s="514">
        <f t="shared" si="5"/>
        <v>0</v>
      </c>
      <c r="R47" s="514">
        <f t="shared" si="5"/>
        <v>0</v>
      </c>
      <c r="S47" s="514">
        <f t="shared" si="5"/>
        <v>0</v>
      </c>
      <c r="T47" s="514">
        <f t="shared" si="5"/>
        <v>0</v>
      </c>
      <c r="U47" s="514">
        <f t="shared" si="5"/>
        <v>0</v>
      </c>
      <c r="V47" s="515"/>
    </row>
    <row r="48" spans="1:22" s="62" customFormat="1">
      <c r="A48" s="60" t="s">
        <v>196</v>
      </c>
      <c r="B48" s="61"/>
      <c r="C48" s="63"/>
      <c r="D48" s="63"/>
      <c r="E48" s="63"/>
      <c r="F48" s="63"/>
      <c r="G48" s="63"/>
      <c r="H48" s="63"/>
      <c r="I48" s="63"/>
      <c r="J48" s="63"/>
      <c r="K48" s="63"/>
      <c r="L48" s="63"/>
      <c r="M48" s="519"/>
      <c r="N48" s="519"/>
      <c r="O48" s="519"/>
      <c r="P48" s="519"/>
      <c r="Q48" s="519"/>
      <c r="R48" s="519"/>
      <c r="S48" s="519"/>
      <c r="T48" s="519"/>
      <c r="U48" s="63"/>
    </row>
    <row r="49" spans="1:24" s="62" customFormat="1">
      <c r="A49" s="55">
        <v>1</v>
      </c>
      <c r="B49" s="2" t="s">
        <v>687</v>
      </c>
      <c r="C49" s="2"/>
      <c r="D49" s="2"/>
      <c r="E49" s="2"/>
      <c r="F49" s="2"/>
      <c r="G49" s="2"/>
      <c r="H49" s="2"/>
      <c r="I49" s="2"/>
      <c r="J49" s="2"/>
      <c r="K49" s="2"/>
      <c r="L49" s="2"/>
      <c r="M49" s="2"/>
      <c r="N49" s="2"/>
      <c r="O49" s="2"/>
      <c r="P49" s="2"/>
      <c r="Q49" s="2"/>
      <c r="R49" s="2"/>
      <c r="S49" s="2"/>
      <c r="T49" s="2"/>
      <c r="U49" s="2"/>
      <c r="V49" s="9"/>
      <c r="W49" s="9"/>
      <c r="X49" s="9"/>
    </row>
    <row r="50" spans="1:24" s="62" customFormat="1" ht="14.25" customHeight="1">
      <c r="A50" s="55">
        <v>2</v>
      </c>
      <c r="B50" s="50" t="s">
        <v>335</v>
      </c>
      <c r="C50" s="50"/>
      <c r="D50" s="50"/>
      <c r="E50" s="50"/>
      <c r="F50" s="50"/>
      <c r="G50" s="50"/>
      <c r="H50" s="50"/>
      <c r="I50" s="50"/>
      <c r="J50" s="50"/>
      <c r="K50" s="50"/>
      <c r="L50" s="50"/>
      <c r="M50" s="50"/>
      <c r="N50" s="50"/>
      <c r="O50" s="50"/>
      <c r="P50" s="50"/>
      <c r="Q50" s="50"/>
      <c r="R50" s="50"/>
      <c r="S50" s="50"/>
      <c r="T50" s="50"/>
      <c r="U50" s="50"/>
      <c r="V50" s="63"/>
      <c r="W50" s="63"/>
      <c r="X50" s="63"/>
    </row>
    <row r="51" spans="1:24" s="62" customFormat="1">
      <c r="A51" s="55">
        <v>3</v>
      </c>
      <c r="B51" s="2887" t="s">
        <v>1804</v>
      </c>
      <c r="C51" s="2887"/>
      <c r="D51" s="2887"/>
      <c r="E51" s="2887"/>
      <c r="F51" s="2887"/>
      <c r="G51" s="2887"/>
      <c r="H51" s="2887"/>
      <c r="I51" s="2887"/>
      <c r="J51" s="2887"/>
      <c r="K51" s="2887"/>
      <c r="L51" s="2887"/>
      <c r="M51" s="2887"/>
      <c r="N51" s="2887"/>
      <c r="O51" s="2887"/>
      <c r="P51" s="2887"/>
      <c r="Q51" s="2266"/>
      <c r="R51" s="2266"/>
      <c r="S51" s="2266"/>
      <c r="T51" s="2266"/>
      <c r="U51" s="2266"/>
      <c r="V51" s="63"/>
      <c r="W51" s="63"/>
      <c r="X51" s="63"/>
    </row>
    <row r="52" spans="1:24" s="62" customFormat="1">
      <c r="A52" s="55">
        <v>4</v>
      </c>
      <c r="B52" s="2888" t="s">
        <v>266</v>
      </c>
      <c r="C52" s="2888"/>
      <c r="D52" s="2888"/>
      <c r="E52" s="2888"/>
      <c r="F52" s="2888"/>
      <c r="G52" s="2888"/>
      <c r="H52" s="2888"/>
      <c r="I52" s="2888"/>
      <c r="J52" s="2888"/>
      <c r="K52" s="2888"/>
      <c r="L52" s="2888"/>
      <c r="M52" s="2888"/>
      <c r="N52" s="2266"/>
      <c r="O52" s="2266"/>
      <c r="P52" s="2266"/>
      <c r="Q52" s="2266"/>
      <c r="R52" s="2266"/>
      <c r="S52" s="2266"/>
      <c r="T52" s="2266"/>
      <c r="U52" s="2266"/>
      <c r="V52" s="63"/>
      <c r="W52" s="63"/>
      <c r="X52" s="63"/>
    </row>
    <row r="53" spans="1:24">
      <c r="A53" s="55">
        <v>5</v>
      </c>
      <c r="B53" s="50" t="s">
        <v>688</v>
      </c>
      <c r="V53" s="2"/>
      <c r="W53" s="2"/>
      <c r="X53" s="2"/>
    </row>
    <row r="54" spans="1:24">
      <c r="A54" s="283">
        <v>6</v>
      </c>
      <c r="B54" s="50" t="s">
        <v>147</v>
      </c>
    </row>
    <row r="56" spans="1:24">
      <c r="C56" s="55"/>
      <c r="D56" s="55"/>
      <c r="E56" s="55"/>
      <c r="F56" s="55"/>
      <c r="H56" s="55"/>
      <c r="I56" s="55"/>
      <c r="J56" s="55"/>
      <c r="K56" s="55"/>
    </row>
  </sheetData>
  <mergeCells count="12">
    <mergeCell ref="B51:P51"/>
    <mergeCell ref="A3:A6"/>
    <mergeCell ref="B52:M52"/>
    <mergeCell ref="B3:B6"/>
    <mergeCell ref="C3:L3"/>
    <mergeCell ref="M3:T3"/>
    <mergeCell ref="U3:U5"/>
    <mergeCell ref="V3:V5"/>
    <mergeCell ref="C4:G4"/>
    <mergeCell ref="H4:L4"/>
    <mergeCell ref="M4:P4"/>
    <mergeCell ref="Q4:T4"/>
  </mergeCells>
  <phoneticPr fontId="26" type="noConversion"/>
  <printOptions horizontalCentered="1"/>
  <pageMargins left="0.39370078740157483" right="0.39370078740157483" top="0.39370078740157483" bottom="0.39370078740157483" header="0.31496062992125984" footer="0.19685039370078741"/>
  <pageSetup paperSize="9" scale="56" orientation="landscape" horizontalDpi="4294967295" verticalDpi="4294967295" r:id="rId1"/>
  <headerFooter alignWithMargins="0">
    <oddFooter>&amp;C&amp;"Times New Roman,標準"107&amp;R&amp;"Times New Roman,標準"&amp;A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7"/>
  <sheetViews>
    <sheetView view="pageBreakPreview" zoomScaleNormal="100" zoomScaleSheetLayoutView="100" workbookViewId="0"/>
  </sheetViews>
  <sheetFormatPr defaultColWidth="10" defaultRowHeight="14.25"/>
  <cols>
    <col min="1" max="1" width="5.25" style="54" customWidth="1"/>
    <col min="2" max="2" width="29.375" style="50" customWidth="1"/>
    <col min="3" max="5" width="10.75" style="50" customWidth="1"/>
    <col min="6" max="7" width="12" style="50" customWidth="1"/>
    <col min="8" max="10" width="10.75" style="50" customWidth="1"/>
    <col min="11" max="12" width="12" style="50" customWidth="1"/>
    <col min="13" max="14" width="10.75" style="50" customWidth="1"/>
    <col min="15" max="15" width="12.25" style="50" customWidth="1"/>
    <col min="16" max="16" width="11.875" style="50" customWidth="1"/>
    <col min="17" max="18" width="10.75" style="50" customWidth="1"/>
    <col min="19" max="19" width="12.25" style="50" customWidth="1"/>
    <col min="20" max="20" width="11.875" style="50" customWidth="1"/>
    <col min="21" max="21" width="18.25" style="50" customWidth="1"/>
    <col min="22" max="16384" width="10" style="50"/>
  </cols>
  <sheetData>
    <row r="1" spans="1:22">
      <c r="A1" s="105" t="str">
        <f>表03!A1</f>
        <v xml:space="preserve"> 保險股份有限公司    年度(月)報表</v>
      </c>
      <c r="B1" s="1"/>
      <c r="C1" s="1"/>
      <c r="D1" s="1"/>
      <c r="E1" s="1"/>
      <c r="F1" s="1"/>
      <c r="G1" s="1"/>
      <c r="H1" s="1"/>
      <c r="I1" s="1"/>
      <c r="J1" s="1"/>
      <c r="K1" s="1"/>
      <c r="L1" s="1"/>
      <c r="M1" s="1"/>
      <c r="Q1" s="1"/>
    </row>
    <row r="2" spans="1:22">
      <c r="A2" s="2270" t="s">
        <v>685</v>
      </c>
      <c r="B2" s="510"/>
      <c r="V2" s="64" t="s">
        <v>312</v>
      </c>
    </row>
    <row r="3" spans="1:22">
      <c r="A3" s="2875" t="s">
        <v>183</v>
      </c>
      <c r="B3" s="2875" t="s">
        <v>86</v>
      </c>
      <c r="C3" s="2878" t="s">
        <v>198</v>
      </c>
      <c r="D3" s="2879"/>
      <c r="E3" s="2879"/>
      <c r="F3" s="2879"/>
      <c r="G3" s="2879"/>
      <c r="H3" s="2879"/>
      <c r="I3" s="2879"/>
      <c r="J3" s="2879"/>
      <c r="K3" s="2879"/>
      <c r="L3" s="2880"/>
      <c r="M3" s="2878" t="s">
        <v>752</v>
      </c>
      <c r="N3" s="2879"/>
      <c r="O3" s="2879"/>
      <c r="P3" s="2879"/>
      <c r="Q3" s="2879"/>
      <c r="R3" s="2879"/>
      <c r="S3" s="2879"/>
      <c r="T3" s="2880"/>
      <c r="U3" s="2785" t="s">
        <v>328</v>
      </c>
      <c r="V3" s="2886" t="s">
        <v>184</v>
      </c>
    </row>
    <row r="4" spans="1:22">
      <c r="A4" s="2876"/>
      <c r="B4" s="2876"/>
      <c r="C4" s="2878" t="s">
        <v>681</v>
      </c>
      <c r="D4" s="2879"/>
      <c r="E4" s="2879"/>
      <c r="F4" s="2879"/>
      <c r="G4" s="2880"/>
      <c r="H4" s="2878" t="s">
        <v>682</v>
      </c>
      <c r="I4" s="2879"/>
      <c r="J4" s="2879"/>
      <c r="K4" s="2879"/>
      <c r="L4" s="2880"/>
      <c r="M4" s="2878" t="s">
        <v>681</v>
      </c>
      <c r="N4" s="2879"/>
      <c r="O4" s="2879"/>
      <c r="P4" s="2880"/>
      <c r="Q4" s="2878" t="s">
        <v>682</v>
      </c>
      <c r="R4" s="2879"/>
      <c r="S4" s="2879"/>
      <c r="T4" s="2880"/>
      <c r="U4" s="2884"/>
      <c r="V4" s="2885"/>
    </row>
    <row r="5" spans="1:22" ht="28.5">
      <c r="A5" s="2876"/>
      <c r="B5" s="2876"/>
      <c r="C5" s="2263" t="s">
        <v>87</v>
      </c>
      <c r="D5" s="48" t="s">
        <v>316</v>
      </c>
      <c r="E5" s="48" t="s">
        <v>329</v>
      </c>
      <c r="F5" s="2267" t="s">
        <v>330</v>
      </c>
      <c r="G5" s="2267" t="s">
        <v>331</v>
      </c>
      <c r="H5" s="2263" t="s">
        <v>87</v>
      </c>
      <c r="I5" s="48" t="s">
        <v>316</v>
      </c>
      <c r="J5" s="48" t="s">
        <v>329</v>
      </c>
      <c r="K5" s="2267" t="s">
        <v>330</v>
      </c>
      <c r="L5" s="2267" t="s">
        <v>331</v>
      </c>
      <c r="M5" s="2263" t="s">
        <v>87</v>
      </c>
      <c r="N5" s="48" t="s">
        <v>316</v>
      </c>
      <c r="O5" s="2267" t="s">
        <v>330</v>
      </c>
      <c r="P5" s="2267" t="s">
        <v>336</v>
      </c>
      <c r="Q5" s="2263" t="s">
        <v>87</v>
      </c>
      <c r="R5" s="48" t="s">
        <v>316</v>
      </c>
      <c r="S5" s="2267" t="s">
        <v>330</v>
      </c>
      <c r="T5" s="2267" t="s">
        <v>336</v>
      </c>
      <c r="U5" s="2885"/>
      <c r="V5" s="2885"/>
    </row>
    <row r="6" spans="1:22" s="53" customFormat="1" ht="42.75">
      <c r="A6" s="2877"/>
      <c r="B6" s="2877"/>
      <c r="C6" s="58" t="s">
        <v>307</v>
      </c>
      <c r="D6" s="58" t="s">
        <v>385</v>
      </c>
      <c r="E6" s="58" t="s">
        <v>332</v>
      </c>
      <c r="F6" s="7" t="s">
        <v>319</v>
      </c>
      <c r="G6" s="7" t="s">
        <v>367</v>
      </c>
      <c r="H6" s="58" t="s">
        <v>333</v>
      </c>
      <c r="I6" s="58" t="s">
        <v>321</v>
      </c>
      <c r="J6" s="58" t="s">
        <v>387</v>
      </c>
      <c r="K6" s="7" t="s">
        <v>388</v>
      </c>
      <c r="L6" s="7" t="s">
        <v>220</v>
      </c>
      <c r="M6" s="58" t="s">
        <v>221</v>
      </c>
      <c r="N6" s="58" t="s">
        <v>463</v>
      </c>
      <c r="O6" s="7" t="s">
        <v>334</v>
      </c>
      <c r="P6" s="7" t="s">
        <v>201</v>
      </c>
      <c r="Q6" s="58" t="s">
        <v>683</v>
      </c>
      <c r="R6" s="58" t="s">
        <v>203</v>
      </c>
      <c r="S6" s="7" t="s">
        <v>204</v>
      </c>
      <c r="T6" s="7" t="s">
        <v>411</v>
      </c>
      <c r="U6" s="2271" t="s">
        <v>684</v>
      </c>
      <c r="V6" s="59" t="s">
        <v>207</v>
      </c>
    </row>
    <row r="7" spans="1:22" s="53" customFormat="1" ht="23.25" customHeight="1">
      <c r="A7" s="65">
        <v>1</v>
      </c>
      <c r="B7" s="49" t="s">
        <v>137</v>
      </c>
      <c r="C7" s="1165">
        <f>SUM(C8:C14)</f>
        <v>0</v>
      </c>
      <c r="D7" s="1165">
        <f>SUM(D8:D14)</f>
        <v>0</v>
      </c>
      <c r="E7" s="520"/>
      <c r="F7" s="1165">
        <f>SUM(F8:F14)</f>
        <v>0</v>
      </c>
      <c r="G7" s="1165">
        <f>SUM(G8:G14)</f>
        <v>0</v>
      </c>
      <c r="H7" s="1165">
        <f>SUM(H8:H14)</f>
        <v>0</v>
      </c>
      <c r="I7" s="1165">
        <f>SUM(I8:I14)</f>
        <v>0</v>
      </c>
      <c r="J7" s="520"/>
      <c r="K7" s="1165">
        <f t="shared" ref="K7:T7" si="0">SUM(K8:K14)</f>
        <v>0</v>
      </c>
      <c r="L7" s="1165">
        <f t="shared" si="0"/>
        <v>0</v>
      </c>
      <c r="M7" s="1165">
        <f t="shared" si="0"/>
        <v>0</v>
      </c>
      <c r="N7" s="1165">
        <f t="shared" si="0"/>
        <v>0</v>
      </c>
      <c r="O7" s="1165">
        <f t="shared" si="0"/>
        <v>0</v>
      </c>
      <c r="P7" s="1165">
        <f t="shared" si="0"/>
        <v>0</v>
      </c>
      <c r="Q7" s="1165">
        <f t="shared" si="0"/>
        <v>0</v>
      </c>
      <c r="R7" s="1165">
        <f t="shared" si="0"/>
        <v>0</v>
      </c>
      <c r="S7" s="1165">
        <f t="shared" si="0"/>
        <v>0</v>
      </c>
      <c r="T7" s="1165">
        <f t="shared" si="0"/>
        <v>0</v>
      </c>
      <c r="U7" s="507">
        <f t="shared" ref="U7:U21" si="1">C7-D7-F7+G7+H7-I7-K7+L7</f>
        <v>0</v>
      </c>
      <c r="V7" s="521"/>
    </row>
    <row r="8" spans="1:22" ht="23.25" customHeight="1">
      <c r="A8" s="65">
        <v>2</v>
      </c>
      <c r="B8" s="49" t="s">
        <v>390</v>
      </c>
      <c r="C8" s="507"/>
      <c r="D8" s="507"/>
      <c r="E8" s="520" t="s">
        <v>686</v>
      </c>
      <c r="F8" s="507"/>
      <c r="G8" s="507"/>
      <c r="H8" s="507"/>
      <c r="I8" s="507"/>
      <c r="J8" s="520" t="s">
        <v>686</v>
      </c>
      <c r="K8" s="507"/>
      <c r="L8" s="507"/>
      <c r="M8" s="507"/>
      <c r="N8" s="507"/>
      <c r="O8" s="507"/>
      <c r="P8" s="507"/>
      <c r="Q8" s="507"/>
      <c r="R8" s="507"/>
      <c r="S8" s="507"/>
      <c r="T8" s="507"/>
      <c r="U8" s="507">
        <f t="shared" si="1"/>
        <v>0</v>
      </c>
      <c r="V8" s="498"/>
    </row>
    <row r="9" spans="1:22" ht="23.25" customHeight="1">
      <c r="A9" s="65">
        <v>3</v>
      </c>
      <c r="B9" s="49" t="s">
        <v>391</v>
      </c>
      <c r="C9" s="507"/>
      <c r="D9" s="507"/>
      <c r="E9" s="520" t="s">
        <v>686</v>
      </c>
      <c r="F9" s="507"/>
      <c r="G9" s="507"/>
      <c r="H9" s="507"/>
      <c r="I9" s="507"/>
      <c r="J9" s="520" t="s">
        <v>686</v>
      </c>
      <c r="K9" s="507"/>
      <c r="L9" s="507"/>
      <c r="M9" s="507"/>
      <c r="N9" s="507"/>
      <c r="O9" s="507"/>
      <c r="P9" s="507"/>
      <c r="Q9" s="507"/>
      <c r="R9" s="507"/>
      <c r="S9" s="507"/>
      <c r="T9" s="507"/>
      <c r="U9" s="507">
        <f t="shared" si="1"/>
        <v>0</v>
      </c>
      <c r="V9" s="498"/>
    </row>
    <row r="10" spans="1:22" ht="23.25" customHeight="1">
      <c r="A10" s="65">
        <v>4</v>
      </c>
      <c r="B10" s="49" t="s">
        <v>1695</v>
      </c>
      <c r="C10" s="507"/>
      <c r="D10" s="507"/>
      <c r="E10" s="520" t="s">
        <v>686</v>
      </c>
      <c r="F10" s="507"/>
      <c r="G10" s="507"/>
      <c r="H10" s="507"/>
      <c r="I10" s="507"/>
      <c r="J10" s="520" t="s">
        <v>686</v>
      </c>
      <c r="K10" s="507"/>
      <c r="L10" s="507"/>
      <c r="M10" s="507"/>
      <c r="N10" s="507"/>
      <c r="O10" s="507"/>
      <c r="P10" s="507"/>
      <c r="Q10" s="507"/>
      <c r="R10" s="507"/>
      <c r="S10" s="507"/>
      <c r="T10" s="507"/>
      <c r="U10" s="507">
        <f t="shared" si="1"/>
        <v>0</v>
      </c>
      <c r="V10" s="498"/>
    </row>
    <row r="11" spans="1:22" ht="23.25" customHeight="1">
      <c r="A11" s="65">
        <v>5</v>
      </c>
      <c r="B11" s="49" t="s">
        <v>392</v>
      </c>
      <c r="C11" s="507"/>
      <c r="D11" s="507"/>
      <c r="E11" s="518"/>
      <c r="F11" s="507"/>
      <c r="G11" s="507"/>
      <c r="H11" s="507"/>
      <c r="I11" s="507"/>
      <c r="J11" s="518"/>
      <c r="K11" s="507"/>
      <c r="L11" s="507"/>
      <c r="M11" s="507"/>
      <c r="N11" s="507"/>
      <c r="O11" s="507"/>
      <c r="P11" s="507"/>
      <c r="Q11" s="507"/>
      <c r="R11" s="507"/>
      <c r="S11" s="507"/>
      <c r="T11" s="507"/>
      <c r="U11" s="507">
        <f t="shared" si="1"/>
        <v>0</v>
      </c>
      <c r="V11" s="498"/>
    </row>
    <row r="12" spans="1:22" ht="23.25" customHeight="1">
      <c r="A12" s="65">
        <v>6</v>
      </c>
      <c r="B12" s="49" t="s">
        <v>393</v>
      </c>
      <c r="C12" s="507"/>
      <c r="D12" s="507"/>
      <c r="E12" s="518"/>
      <c r="F12" s="507"/>
      <c r="G12" s="507"/>
      <c r="H12" s="507"/>
      <c r="I12" s="507"/>
      <c r="J12" s="518"/>
      <c r="K12" s="507"/>
      <c r="L12" s="507"/>
      <c r="M12" s="507"/>
      <c r="N12" s="507"/>
      <c r="O12" s="507"/>
      <c r="P12" s="507"/>
      <c r="Q12" s="507"/>
      <c r="R12" s="507"/>
      <c r="S12" s="507"/>
      <c r="T12" s="507"/>
      <c r="U12" s="507">
        <f t="shared" si="1"/>
        <v>0</v>
      </c>
      <c r="V12" s="498"/>
    </row>
    <row r="13" spans="1:22" ht="23.25" customHeight="1">
      <c r="A13" s="65">
        <v>7</v>
      </c>
      <c r="B13" s="49" t="s">
        <v>1475</v>
      </c>
      <c r="C13" s="507"/>
      <c r="D13" s="507"/>
      <c r="E13" s="1076"/>
      <c r="F13" s="507"/>
      <c r="G13" s="507"/>
      <c r="H13" s="507"/>
      <c r="I13" s="507"/>
      <c r="J13" s="1076"/>
      <c r="K13" s="507"/>
      <c r="L13" s="507"/>
      <c r="M13" s="507"/>
      <c r="N13" s="507"/>
      <c r="O13" s="507"/>
      <c r="P13" s="507"/>
      <c r="Q13" s="507"/>
      <c r="R13" s="507"/>
      <c r="S13" s="507"/>
      <c r="T13" s="507"/>
      <c r="U13" s="1165">
        <f t="shared" si="1"/>
        <v>0</v>
      </c>
      <c r="V13" s="498"/>
    </row>
    <row r="14" spans="1:22" ht="23.25" customHeight="1">
      <c r="A14" s="65">
        <v>8</v>
      </c>
      <c r="B14" s="49" t="s">
        <v>1476</v>
      </c>
      <c r="C14" s="507"/>
      <c r="D14" s="507"/>
      <c r="E14" s="1076"/>
      <c r="F14" s="507"/>
      <c r="G14" s="507"/>
      <c r="H14" s="507"/>
      <c r="I14" s="507"/>
      <c r="J14" s="1076"/>
      <c r="K14" s="507"/>
      <c r="L14" s="507"/>
      <c r="M14" s="507"/>
      <c r="N14" s="507"/>
      <c r="O14" s="507"/>
      <c r="P14" s="507"/>
      <c r="Q14" s="507"/>
      <c r="R14" s="507"/>
      <c r="S14" s="507"/>
      <c r="T14" s="507"/>
      <c r="U14" s="1165">
        <f t="shared" si="1"/>
        <v>0</v>
      </c>
      <c r="V14" s="498"/>
    </row>
    <row r="15" spans="1:22" ht="23.25" customHeight="1">
      <c r="A15" s="65">
        <v>9</v>
      </c>
      <c r="B15" s="49" t="s">
        <v>143</v>
      </c>
      <c r="C15" s="507">
        <f>SUM(C16:C20)</f>
        <v>0</v>
      </c>
      <c r="D15" s="507">
        <f>SUM(D16:D20)</f>
        <v>0</v>
      </c>
      <c r="E15" s="520" t="s">
        <v>686</v>
      </c>
      <c r="F15" s="507">
        <f>SUM(F16:F20)</f>
        <v>0</v>
      </c>
      <c r="G15" s="507">
        <f>SUM(G16:G20)</f>
        <v>0</v>
      </c>
      <c r="H15" s="507">
        <f>SUM(H16:H20)</f>
        <v>0</v>
      </c>
      <c r="I15" s="507">
        <f>SUM(I16:I20)</f>
        <v>0</v>
      </c>
      <c r="J15" s="520" t="s">
        <v>686</v>
      </c>
      <c r="K15" s="507">
        <f t="shared" ref="K15:P15" si="2">SUM(K16:K20)</f>
        <v>0</v>
      </c>
      <c r="L15" s="507">
        <f t="shared" si="2"/>
        <v>0</v>
      </c>
      <c r="M15" s="507">
        <f t="shared" si="2"/>
        <v>0</v>
      </c>
      <c r="N15" s="507">
        <f t="shared" si="2"/>
        <v>0</v>
      </c>
      <c r="O15" s="507">
        <f t="shared" si="2"/>
        <v>0</v>
      </c>
      <c r="P15" s="507">
        <f t="shared" si="2"/>
        <v>0</v>
      </c>
      <c r="Q15" s="507">
        <f>SUM(Q16:Q20)</f>
        <v>0</v>
      </c>
      <c r="R15" s="507">
        <f>SUM(R16:R20)</f>
        <v>0</v>
      </c>
      <c r="S15" s="507">
        <f>SUM(S16:S20)</f>
        <v>0</v>
      </c>
      <c r="T15" s="507">
        <f>SUM(T16:T20)</f>
        <v>0</v>
      </c>
      <c r="U15" s="507">
        <f t="shared" si="1"/>
        <v>0</v>
      </c>
      <c r="V15" s="498"/>
    </row>
    <row r="16" spans="1:22" ht="23.25" customHeight="1">
      <c r="A16" s="65">
        <v>10</v>
      </c>
      <c r="B16" s="49" t="s">
        <v>1700</v>
      </c>
      <c r="C16" s="507"/>
      <c r="D16" s="507"/>
      <c r="E16" s="520" t="s">
        <v>686</v>
      </c>
      <c r="F16" s="507"/>
      <c r="G16" s="507"/>
      <c r="H16" s="507"/>
      <c r="I16" s="507"/>
      <c r="J16" s="520" t="s">
        <v>686</v>
      </c>
      <c r="K16" s="507"/>
      <c r="L16" s="507"/>
      <c r="M16" s="507"/>
      <c r="N16" s="507"/>
      <c r="O16" s="507"/>
      <c r="P16" s="507"/>
      <c r="Q16" s="507"/>
      <c r="R16" s="507"/>
      <c r="S16" s="507"/>
      <c r="T16" s="507"/>
      <c r="U16" s="507">
        <f t="shared" si="1"/>
        <v>0</v>
      </c>
      <c r="V16" s="498"/>
    </row>
    <row r="17" spans="1:22" ht="23.25" customHeight="1">
      <c r="A17" s="65">
        <v>11</v>
      </c>
      <c r="B17" s="49" t="s">
        <v>1701</v>
      </c>
      <c r="C17" s="507"/>
      <c r="D17" s="507"/>
      <c r="E17" s="520" t="s">
        <v>686</v>
      </c>
      <c r="F17" s="507"/>
      <c r="G17" s="507"/>
      <c r="H17" s="507"/>
      <c r="I17" s="507"/>
      <c r="J17" s="520" t="s">
        <v>686</v>
      </c>
      <c r="K17" s="507"/>
      <c r="L17" s="507"/>
      <c r="M17" s="507"/>
      <c r="N17" s="507"/>
      <c r="O17" s="507"/>
      <c r="P17" s="507"/>
      <c r="Q17" s="507"/>
      <c r="R17" s="507"/>
      <c r="S17" s="507"/>
      <c r="T17" s="507"/>
      <c r="U17" s="507">
        <f t="shared" si="1"/>
        <v>0</v>
      </c>
      <c r="V17" s="498"/>
    </row>
    <row r="18" spans="1:22" ht="23.25" customHeight="1">
      <c r="A18" s="65">
        <v>12</v>
      </c>
      <c r="B18" s="49" t="s">
        <v>1702</v>
      </c>
      <c r="C18" s="507"/>
      <c r="D18" s="507"/>
      <c r="E18" s="520"/>
      <c r="F18" s="507"/>
      <c r="G18" s="507"/>
      <c r="H18" s="507"/>
      <c r="I18" s="507"/>
      <c r="J18" s="520"/>
      <c r="K18" s="507"/>
      <c r="L18" s="507"/>
      <c r="M18" s="507"/>
      <c r="N18" s="507"/>
      <c r="O18" s="507"/>
      <c r="P18" s="507"/>
      <c r="Q18" s="507"/>
      <c r="R18" s="507"/>
      <c r="S18" s="507"/>
      <c r="T18" s="507"/>
      <c r="U18" s="507">
        <f t="shared" si="1"/>
        <v>0</v>
      </c>
      <c r="V18" s="498"/>
    </row>
    <row r="19" spans="1:22" ht="23.25" customHeight="1">
      <c r="A19" s="65">
        <v>13</v>
      </c>
      <c r="B19" s="49" t="s">
        <v>1703</v>
      </c>
      <c r="C19" s="507"/>
      <c r="D19" s="507"/>
      <c r="E19" s="518"/>
      <c r="F19" s="507"/>
      <c r="G19" s="507"/>
      <c r="H19" s="507"/>
      <c r="I19" s="507"/>
      <c r="J19" s="518"/>
      <c r="K19" s="507"/>
      <c r="L19" s="507"/>
      <c r="M19" s="507"/>
      <c r="N19" s="507"/>
      <c r="O19" s="507"/>
      <c r="P19" s="507"/>
      <c r="Q19" s="507"/>
      <c r="R19" s="507"/>
      <c r="S19" s="507"/>
      <c r="T19" s="507"/>
      <c r="U19" s="507">
        <f t="shared" si="1"/>
        <v>0</v>
      </c>
      <c r="V19" s="498"/>
    </row>
    <row r="20" spans="1:22" ht="23.25" customHeight="1">
      <c r="A20" s="65">
        <v>14</v>
      </c>
      <c r="B20" s="49" t="s">
        <v>1704</v>
      </c>
      <c r="C20" s="507"/>
      <c r="D20" s="507"/>
      <c r="E20" s="522"/>
      <c r="F20" s="507"/>
      <c r="G20" s="507"/>
      <c r="H20" s="507"/>
      <c r="I20" s="507"/>
      <c r="J20" s="522"/>
      <c r="K20" s="507"/>
      <c r="L20" s="507"/>
      <c r="M20" s="507"/>
      <c r="N20" s="507"/>
      <c r="O20" s="507"/>
      <c r="P20" s="507"/>
      <c r="Q20" s="507"/>
      <c r="R20" s="507"/>
      <c r="S20" s="507"/>
      <c r="T20" s="507"/>
      <c r="U20" s="507">
        <f t="shared" si="1"/>
        <v>0</v>
      </c>
      <c r="V20" s="498"/>
    </row>
    <row r="21" spans="1:22" ht="23.25" customHeight="1">
      <c r="A21" s="65">
        <v>15</v>
      </c>
      <c r="B21" s="2249" t="s">
        <v>394</v>
      </c>
      <c r="C21" s="507">
        <f>C7+C15</f>
        <v>0</v>
      </c>
      <c r="D21" s="507">
        <f>D7+D15</f>
        <v>0</v>
      </c>
      <c r="E21" s="523"/>
      <c r="F21" s="507">
        <f>F7+F15</f>
        <v>0</v>
      </c>
      <c r="G21" s="507">
        <f>G7+G15</f>
        <v>0</v>
      </c>
      <c r="H21" s="507">
        <f>H7+H15</f>
        <v>0</v>
      </c>
      <c r="I21" s="507">
        <f>I7+I15</f>
        <v>0</v>
      </c>
      <c r="J21" s="523"/>
      <c r="K21" s="507">
        <f t="shared" ref="K21:P21" si="3">K7+K15</f>
        <v>0</v>
      </c>
      <c r="L21" s="507">
        <f t="shared" si="3"/>
        <v>0</v>
      </c>
      <c r="M21" s="507">
        <f t="shared" si="3"/>
        <v>0</v>
      </c>
      <c r="N21" s="507">
        <f t="shared" si="3"/>
        <v>0</v>
      </c>
      <c r="O21" s="507">
        <f t="shared" si="3"/>
        <v>0</v>
      </c>
      <c r="P21" s="507">
        <f t="shared" si="3"/>
        <v>0</v>
      </c>
      <c r="Q21" s="507">
        <f>Q7+Q15</f>
        <v>0</v>
      </c>
      <c r="R21" s="507">
        <f>R7+R15</f>
        <v>0</v>
      </c>
      <c r="S21" s="507">
        <f>S7+S15</f>
        <v>0</v>
      </c>
      <c r="T21" s="507">
        <f>T7+T15</f>
        <v>0</v>
      </c>
      <c r="U21" s="507">
        <f t="shared" si="1"/>
        <v>0</v>
      </c>
      <c r="V21" s="498"/>
    </row>
    <row r="22" spans="1:22" s="68" customFormat="1">
      <c r="A22" s="66" t="s">
        <v>196</v>
      </c>
      <c r="B22" s="67"/>
      <c r="C22" s="63"/>
      <c r="D22" s="63"/>
      <c r="E22" s="63"/>
      <c r="F22" s="63"/>
      <c r="G22" s="63"/>
      <c r="H22" s="63"/>
      <c r="I22" s="63"/>
      <c r="J22" s="63"/>
      <c r="K22" s="63"/>
      <c r="L22" s="63"/>
      <c r="M22" s="519"/>
      <c r="Q22" s="519"/>
    </row>
    <row r="23" spans="1:22" s="68" customFormat="1">
      <c r="A23" s="69">
        <v>1</v>
      </c>
      <c r="B23" s="2" t="s">
        <v>687</v>
      </c>
      <c r="C23" s="2"/>
      <c r="D23" s="2"/>
      <c r="E23" s="2"/>
      <c r="F23" s="2"/>
      <c r="G23" s="2"/>
      <c r="H23" s="2"/>
      <c r="I23" s="2"/>
      <c r="J23" s="2"/>
      <c r="K23" s="2"/>
      <c r="L23" s="2"/>
      <c r="M23" s="2"/>
      <c r="N23" s="9"/>
      <c r="O23" s="9"/>
      <c r="P23" s="9"/>
      <c r="Q23" s="2"/>
      <c r="R23" s="9"/>
      <c r="S23" s="9"/>
      <c r="T23" s="9"/>
    </row>
    <row r="24" spans="1:22">
      <c r="A24" s="55">
        <v>2</v>
      </c>
      <c r="B24" s="50" t="s">
        <v>689</v>
      </c>
      <c r="N24" s="2"/>
      <c r="O24" s="2"/>
      <c r="P24" s="2"/>
      <c r="R24" s="2"/>
      <c r="S24" s="2"/>
      <c r="T24" s="2"/>
    </row>
    <row r="25" spans="1:22">
      <c r="A25" s="283">
        <v>3</v>
      </c>
      <c r="B25" s="50" t="s">
        <v>147</v>
      </c>
    </row>
    <row r="26" spans="1:22">
      <c r="A26" s="283">
        <v>4</v>
      </c>
      <c r="B26" s="36" t="s">
        <v>1480</v>
      </c>
    </row>
    <row r="27" spans="1:22">
      <c r="C27" s="69"/>
      <c r="D27" s="69"/>
      <c r="E27" s="69"/>
      <c r="F27" s="69"/>
      <c r="H27" s="69"/>
      <c r="I27" s="69"/>
      <c r="J27" s="69"/>
      <c r="K27" s="69"/>
    </row>
  </sheetData>
  <mergeCells count="10">
    <mergeCell ref="A3:A6"/>
    <mergeCell ref="B3:B6"/>
    <mergeCell ref="C3:L3"/>
    <mergeCell ref="M3:T3"/>
    <mergeCell ref="U3:U5"/>
    <mergeCell ref="V3:V5"/>
    <mergeCell ref="C4:G4"/>
    <mergeCell ref="H4:L4"/>
    <mergeCell ref="M4:P4"/>
    <mergeCell ref="Q4:T4"/>
  </mergeCells>
  <phoneticPr fontId="26" type="noConversion"/>
  <printOptions horizontalCentered="1"/>
  <pageMargins left="0.15748031496062992" right="0.15748031496062992" top="0.39370078740157483" bottom="0.39370078740157483" header="0.31496062992125984" footer="0.19685039370078741"/>
  <pageSetup paperSize="9" scale="53" orientation="landscape" horizontalDpi="4294967295" verticalDpi="4294967295" r:id="rId1"/>
  <headerFooter alignWithMargins="0">
    <oddFooter>&amp;C&amp;"Times New Roman,標準"108&amp;R&amp;"Times New Roman,標準"&amp;A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275"/>
  <sheetViews>
    <sheetView zoomScaleNormal="100" zoomScaleSheetLayoutView="100" workbookViewId="0">
      <selection activeCell="C59" sqref="C59"/>
    </sheetView>
  </sheetViews>
  <sheetFormatPr defaultColWidth="15.625" defaultRowHeight="15.75"/>
  <cols>
    <col min="1" max="2" width="5.625" style="1806" customWidth="1"/>
    <col min="3" max="3" width="50.625" style="1806" customWidth="1"/>
    <col min="4" max="16384" width="15.625" style="1806"/>
  </cols>
  <sheetData>
    <row r="1" spans="1:13" ht="16.5">
      <c r="A1" s="2411" t="s">
        <v>7073</v>
      </c>
      <c r="B1" s="1813"/>
      <c r="C1" s="1813"/>
    </row>
    <row r="2" spans="1:13" ht="16.5" customHeight="1">
      <c r="A2" s="1810" t="s">
        <v>3594</v>
      </c>
      <c r="B2" s="1529"/>
      <c r="C2" s="1529"/>
      <c r="J2" s="1814" t="s">
        <v>3595</v>
      </c>
      <c r="L2" s="1815"/>
      <c r="M2" s="1816"/>
    </row>
    <row r="3" spans="1:13" ht="16.5" customHeight="1">
      <c r="A3" s="2523" t="s">
        <v>2330</v>
      </c>
      <c r="B3" s="2523" t="s">
        <v>3624</v>
      </c>
      <c r="C3" s="2523"/>
      <c r="D3" s="2523" t="s">
        <v>3625</v>
      </c>
      <c r="E3" s="2523"/>
      <c r="F3" s="2523"/>
      <c r="G3" s="2523"/>
      <c r="H3" s="2523" t="s">
        <v>3626</v>
      </c>
      <c r="I3" s="2523"/>
      <c r="J3" s="2523"/>
      <c r="K3" s="2523" t="s">
        <v>3627</v>
      </c>
      <c r="L3" s="2523"/>
      <c r="M3" s="2206" t="s">
        <v>3625</v>
      </c>
    </row>
    <row r="4" spans="1:13" ht="33">
      <c r="A4" s="2523"/>
      <c r="B4" s="2523"/>
      <c r="C4" s="2523"/>
      <c r="D4" s="2206" t="s">
        <v>3628</v>
      </c>
      <c r="E4" s="2206" t="s">
        <v>3629</v>
      </c>
      <c r="F4" s="2206" t="s">
        <v>3630</v>
      </c>
      <c r="G4" s="2206" t="s">
        <v>3631</v>
      </c>
      <c r="H4" s="2206" t="s">
        <v>3628</v>
      </c>
      <c r="I4" s="2206" t="s">
        <v>3629</v>
      </c>
      <c r="J4" s="2206" t="s">
        <v>3631</v>
      </c>
      <c r="K4" s="2206" t="s">
        <v>3632</v>
      </c>
      <c r="L4" s="2206" t="s">
        <v>3633</v>
      </c>
      <c r="M4" s="2206" t="s">
        <v>3634</v>
      </c>
    </row>
    <row r="5" spans="1:13" ht="16.5" customHeight="1">
      <c r="A5" s="2523"/>
      <c r="B5" s="2524" t="s">
        <v>307</v>
      </c>
      <c r="C5" s="2525"/>
      <c r="D5" s="2206" t="s">
        <v>187</v>
      </c>
      <c r="E5" s="1817" t="s">
        <v>332</v>
      </c>
      <c r="F5" s="1817" t="s">
        <v>309</v>
      </c>
      <c r="G5" s="1817" t="s">
        <v>459</v>
      </c>
      <c r="H5" s="1817" t="s">
        <v>460</v>
      </c>
      <c r="I5" s="1817" t="s">
        <v>321</v>
      </c>
      <c r="J5" s="1817" t="s">
        <v>73</v>
      </c>
      <c r="K5" s="1817" t="s">
        <v>74</v>
      </c>
      <c r="L5" s="1817" t="s">
        <v>75</v>
      </c>
      <c r="M5" s="1818" t="s">
        <v>131</v>
      </c>
    </row>
    <row r="6" spans="1:13" ht="16.5" customHeight="1">
      <c r="A6" s="2207">
        <v>1</v>
      </c>
      <c r="B6" s="2522" t="s">
        <v>3644</v>
      </c>
      <c r="C6" s="1819" t="s">
        <v>3596</v>
      </c>
      <c r="D6" s="1820"/>
      <c r="E6" s="1821" t="e">
        <f>D6/$D$257</f>
        <v>#DIV/0!</v>
      </c>
      <c r="F6" s="1820"/>
      <c r="G6" s="1820">
        <f t="shared" ref="G6:G81" si="0">D6-F6</f>
        <v>0</v>
      </c>
      <c r="H6" s="1820"/>
      <c r="I6" s="1821" t="e">
        <f>H6/H$257</f>
        <v>#DIV/0!</v>
      </c>
      <c r="J6" s="1820"/>
      <c r="K6" s="1820">
        <f>D6-H6</f>
        <v>0</v>
      </c>
      <c r="L6" s="1821">
        <f>IF(J6=0,0,K6/J6)</f>
        <v>0</v>
      </c>
      <c r="M6" s="1822"/>
    </row>
    <row r="7" spans="1:13" ht="16.5">
      <c r="A7" s="2207">
        <f t="shared" ref="A7:A70" si="1">A6+1</f>
        <v>2</v>
      </c>
      <c r="B7" s="2522"/>
      <c r="C7" s="1819" t="s">
        <v>3597</v>
      </c>
      <c r="D7" s="1820"/>
      <c r="E7" s="1821" t="e">
        <f t="shared" ref="E7:E70" si="2">D7/$D$257</f>
        <v>#DIV/0!</v>
      </c>
      <c r="F7" s="1820"/>
      <c r="G7" s="1820">
        <f t="shared" si="0"/>
        <v>0</v>
      </c>
      <c r="H7" s="1820"/>
      <c r="I7" s="1821" t="e">
        <f t="shared" ref="I7:I70" si="3">H7/H$257</f>
        <v>#DIV/0!</v>
      </c>
      <c r="J7" s="1820"/>
      <c r="K7" s="1820">
        <f t="shared" ref="K7:K70" si="4">D7-H7</f>
        <v>0</v>
      </c>
      <c r="L7" s="1821">
        <f t="shared" ref="L7:L70" si="5">IF(J7=0,0,K7/J7)</f>
        <v>0</v>
      </c>
      <c r="M7" s="1822"/>
    </row>
    <row r="8" spans="1:13" ht="16.5">
      <c r="A8" s="2207">
        <f t="shared" si="1"/>
        <v>3</v>
      </c>
      <c r="B8" s="2522"/>
      <c r="C8" s="2208" t="s">
        <v>3598</v>
      </c>
      <c r="D8" s="1820">
        <f>SUM(D9:D10)</f>
        <v>0</v>
      </c>
      <c r="E8" s="1821" t="e">
        <f t="shared" si="2"/>
        <v>#DIV/0!</v>
      </c>
      <c r="F8" s="1820">
        <f>SUM(F9:F10)</f>
        <v>0</v>
      </c>
      <c r="G8" s="1820">
        <f t="shared" si="0"/>
        <v>0</v>
      </c>
      <c r="H8" s="1820">
        <f>SUM(H9:H10)</f>
        <v>0</v>
      </c>
      <c r="I8" s="1821" t="e">
        <f t="shared" si="3"/>
        <v>#DIV/0!</v>
      </c>
      <c r="J8" s="1820">
        <f>SUM(J9:J10)</f>
        <v>0</v>
      </c>
      <c r="K8" s="1820">
        <f t="shared" si="4"/>
        <v>0</v>
      </c>
      <c r="L8" s="1821">
        <f t="shared" si="5"/>
        <v>0</v>
      </c>
      <c r="M8" s="1822"/>
    </row>
    <row r="9" spans="1:13" ht="16.5">
      <c r="A9" s="2207">
        <f t="shared" si="1"/>
        <v>4</v>
      </c>
      <c r="B9" s="2522"/>
      <c r="C9" s="1823" t="s">
        <v>3645</v>
      </c>
      <c r="D9" s="1820"/>
      <c r="E9" s="1821" t="e">
        <f t="shared" si="2"/>
        <v>#DIV/0!</v>
      </c>
      <c r="F9" s="1820"/>
      <c r="G9" s="1820">
        <f t="shared" si="0"/>
        <v>0</v>
      </c>
      <c r="H9" s="1820"/>
      <c r="I9" s="1821" t="e">
        <f t="shared" si="3"/>
        <v>#DIV/0!</v>
      </c>
      <c r="J9" s="1820"/>
      <c r="K9" s="1820">
        <f t="shared" si="4"/>
        <v>0</v>
      </c>
      <c r="L9" s="1821">
        <f t="shared" si="5"/>
        <v>0</v>
      </c>
      <c r="M9" s="1822"/>
    </row>
    <row r="10" spans="1:13" ht="16.5">
      <c r="A10" s="2207">
        <f t="shared" si="1"/>
        <v>5</v>
      </c>
      <c r="B10" s="2522"/>
      <c r="C10" s="1823" t="s">
        <v>3735</v>
      </c>
      <c r="D10" s="1820"/>
      <c r="E10" s="1821" t="e">
        <f t="shared" si="2"/>
        <v>#DIV/0!</v>
      </c>
      <c r="F10" s="1820"/>
      <c r="G10" s="1820">
        <f t="shared" si="0"/>
        <v>0</v>
      </c>
      <c r="H10" s="1820"/>
      <c r="I10" s="1821" t="e">
        <f t="shared" si="3"/>
        <v>#DIV/0!</v>
      </c>
      <c r="J10" s="1820"/>
      <c r="K10" s="1820">
        <f t="shared" si="4"/>
        <v>0</v>
      </c>
      <c r="L10" s="1821">
        <f t="shared" si="5"/>
        <v>0</v>
      </c>
      <c r="M10" s="1822"/>
    </row>
    <row r="11" spans="1:13" ht="16.5">
      <c r="A11" s="2207">
        <f t="shared" si="1"/>
        <v>6</v>
      </c>
      <c r="B11" s="2522"/>
      <c r="C11" s="2208" t="s">
        <v>3599</v>
      </c>
      <c r="D11" s="1820">
        <f>D6+D7+D8</f>
        <v>0</v>
      </c>
      <c r="E11" s="1821" t="e">
        <f t="shared" si="2"/>
        <v>#DIV/0!</v>
      </c>
      <c r="F11" s="1820">
        <f>F6+F7+F8</f>
        <v>0</v>
      </c>
      <c r="G11" s="1820">
        <f t="shared" si="0"/>
        <v>0</v>
      </c>
      <c r="H11" s="1820">
        <f>H6+H7+H8</f>
        <v>0</v>
      </c>
      <c r="I11" s="1821" t="e">
        <f t="shared" si="3"/>
        <v>#DIV/0!</v>
      </c>
      <c r="J11" s="1820">
        <f>J6+J7+J8</f>
        <v>0</v>
      </c>
      <c r="K11" s="1820">
        <f t="shared" si="4"/>
        <v>0</v>
      </c>
      <c r="L11" s="1821">
        <f t="shared" si="5"/>
        <v>0</v>
      </c>
      <c r="M11" s="1822"/>
    </row>
    <row r="12" spans="1:13" ht="33">
      <c r="A12" s="2207">
        <f t="shared" si="1"/>
        <v>7</v>
      </c>
      <c r="B12" s="2522" t="s">
        <v>3646</v>
      </c>
      <c r="C12" s="2208" t="s">
        <v>3647</v>
      </c>
      <c r="D12" s="1820"/>
      <c r="E12" s="1821" t="e">
        <f t="shared" si="2"/>
        <v>#DIV/0!</v>
      </c>
      <c r="F12" s="1820"/>
      <c r="G12" s="1820">
        <f t="shared" si="0"/>
        <v>0</v>
      </c>
      <c r="H12" s="1820"/>
      <c r="I12" s="1821" t="e">
        <f t="shared" si="3"/>
        <v>#DIV/0!</v>
      </c>
      <c r="J12" s="1820"/>
      <c r="K12" s="1820">
        <f t="shared" si="4"/>
        <v>0</v>
      </c>
      <c r="L12" s="1821">
        <f t="shared" si="5"/>
        <v>0</v>
      </c>
      <c r="M12" s="1822"/>
    </row>
    <row r="13" spans="1:13" ht="33">
      <c r="A13" s="2207">
        <f t="shared" si="1"/>
        <v>8</v>
      </c>
      <c r="B13" s="2522"/>
      <c r="C13" s="2208" t="s">
        <v>3648</v>
      </c>
      <c r="D13" s="1820">
        <f>D14+D27</f>
        <v>0</v>
      </c>
      <c r="E13" s="1821" t="e">
        <f t="shared" si="2"/>
        <v>#DIV/0!</v>
      </c>
      <c r="F13" s="1820">
        <f>F14+F27</f>
        <v>0</v>
      </c>
      <c r="G13" s="1820">
        <f t="shared" si="0"/>
        <v>0</v>
      </c>
      <c r="H13" s="1820">
        <f>H14+H27</f>
        <v>0</v>
      </c>
      <c r="I13" s="1821" t="e">
        <f t="shared" si="3"/>
        <v>#DIV/0!</v>
      </c>
      <c r="J13" s="1820">
        <f>J14+J27</f>
        <v>0</v>
      </c>
      <c r="K13" s="1820">
        <f t="shared" si="4"/>
        <v>0</v>
      </c>
      <c r="L13" s="1821">
        <f t="shared" si="5"/>
        <v>0</v>
      </c>
      <c r="M13" s="1822"/>
    </row>
    <row r="14" spans="1:13" ht="16.5">
      <c r="A14" s="2207">
        <f t="shared" si="1"/>
        <v>9</v>
      </c>
      <c r="B14" s="2522"/>
      <c r="C14" s="1823" t="s">
        <v>3649</v>
      </c>
      <c r="D14" s="1820">
        <f>SUM(D15:D26)</f>
        <v>0</v>
      </c>
      <c r="E14" s="1821" t="e">
        <f t="shared" si="2"/>
        <v>#DIV/0!</v>
      </c>
      <c r="F14" s="1820">
        <f>SUM(F15:F26)</f>
        <v>0</v>
      </c>
      <c r="G14" s="1820">
        <f t="shared" si="0"/>
        <v>0</v>
      </c>
      <c r="H14" s="1820">
        <f>SUM(H15:H26)</f>
        <v>0</v>
      </c>
      <c r="I14" s="1821" t="e">
        <f t="shared" si="3"/>
        <v>#DIV/0!</v>
      </c>
      <c r="J14" s="1820">
        <f>SUM(J15:J26)</f>
        <v>0</v>
      </c>
      <c r="K14" s="1820">
        <f t="shared" si="4"/>
        <v>0</v>
      </c>
      <c r="L14" s="1821">
        <f t="shared" si="5"/>
        <v>0</v>
      </c>
      <c r="M14" s="1822"/>
    </row>
    <row r="15" spans="1:13" ht="16.5">
      <c r="A15" s="2207">
        <f t="shared" si="1"/>
        <v>10</v>
      </c>
      <c r="B15" s="2522"/>
      <c r="C15" s="1824" t="s">
        <v>3650</v>
      </c>
      <c r="D15" s="1820"/>
      <c r="E15" s="1821" t="e">
        <f t="shared" si="2"/>
        <v>#DIV/0!</v>
      </c>
      <c r="F15" s="1820"/>
      <c r="G15" s="1820">
        <f t="shared" si="0"/>
        <v>0</v>
      </c>
      <c r="H15" s="1820"/>
      <c r="I15" s="1821" t="e">
        <f t="shared" si="3"/>
        <v>#DIV/0!</v>
      </c>
      <c r="J15" s="1820"/>
      <c r="K15" s="1820">
        <f t="shared" si="4"/>
        <v>0</v>
      </c>
      <c r="L15" s="1821">
        <f t="shared" si="5"/>
        <v>0</v>
      </c>
      <c r="M15" s="1822"/>
    </row>
    <row r="16" spans="1:13" ht="16.5">
      <c r="A16" s="2207">
        <f t="shared" si="1"/>
        <v>11</v>
      </c>
      <c r="B16" s="2522"/>
      <c r="C16" s="1824" t="s">
        <v>3651</v>
      </c>
      <c r="D16" s="1820"/>
      <c r="E16" s="1821" t="e">
        <f t="shared" si="2"/>
        <v>#DIV/0!</v>
      </c>
      <c r="F16" s="1820"/>
      <c r="G16" s="1820">
        <f t="shared" si="0"/>
        <v>0</v>
      </c>
      <c r="H16" s="1820"/>
      <c r="I16" s="1821" t="e">
        <f t="shared" si="3"/>
        <v>#DIV/0!</v>
      </c>
      <c r="J16" s="1820"/>
      <c r="K16" s="1820">
        <f t="shared" si="4"/>
        <v>0</v>
      </c>
      <c r="L16" s="1821">
        <f t="shared" si="5"/>
        <v>0</v>
      </c>
      <c r="M16" s="1822"/>
    </row>
    <row r="17" spans="1:13" ht="16.5">
      <c r="A17" s="2207">
        <f t="shared" si="1"/>
        <v>12</v>
      </c>
      <c r="B17" s="2522"/>
      <c r="C17" s="1824" t="s">
        <v>3652</v>
      </c>
      <c r="D17" s="1820"/>
      <c r="E17" s="1821" t="e">
        <f t="shared" si="2"/>
        <v>#DIV/0!</v>
      </c>
      <c r="F17" s="1820"/>
      <c r="G17" s="1820">
        <f t="shared" si="0"/>
        <v>0</v>
      </c>
      <c r="H17" s="1820"/>
      <c r="I17" s="1821" t="e">
        <f t="shared" si="3"/>
        <v>#DIV/0!</v>
      </c>
      <c r="J17" s="1820"/>
      <c r="K17" s="1820">
        <f t="shared" si="4"/>
        <v>0</v>
      </c>
      <c r="L17" s="1821">
        <f t="shared" si="5"/>
        <v>0</v>
      </c>
      <c r="M17" s="1822"/>
    </row>
    <row r="18" spans="1:13" ht="16.5">
      <c r="A18" s="2207">
        <f t="shared" si="1"/>
        <v>13</v>
      </c>
      <c r="B18" s="2522"/>
      <c r="C18" s="1824" t="s">
        <v>3653</v>
      </c>
      <c r="D18" s="1820"/>
      <c r="E18" s="1821" t="e">
        <f t="shared" si="2"/>
        <v>#DIV/0!</v>
      </c>
      <c r="F18" s="1820"/>
      <c r="G18" s="1820">
        <f t="shared" si="0"/>
        <v>0</v>
      </c>
      <c r="H18" s="1820"/>
      <c r="I18" s="1821" t="e">
        <f t="shared" si="3"/>
        <v>#DIV/0!</v>
      </c>
      <c r="J18" s="1820"/>
      <c r="K18" s="1820">
        <f t="shared" si="4"/>
        <v>0</v>
      </c>
      <c r="L18" s="1821">
        <f t="shared" si="5"/>
        <v>0</v>
      </c>
      <c r="M18" s="1822"/>
    </row>
    <row r="19" spans="1:13" ht="16.5">
      <c r="A19" s="2207">
        <f t="shared" si="1"/>
        <v>14</v>
      </c>
      <c r="B19" s="2522"/>
      <c r="C19" s="1824" t="s">
        <v>3654</v>
      </c>
      <c r="D19" s="1820"/>
      <c r="E19" s="1821" t="e">
        <f t="shared" si="2"/>
        <v>#DIV/0!</v>
      </c>
      <c r="F19" s="1820"/>
      <c r="G19" s="1820">
        <f t="shared" si="0"/>
        <v>0</v>
      </c>
      <c r="H19" s="1820"/>
      <c r="I19" s="1821" t="e">
        <f t="shared" si="3"/>
        <v>#DIV/0!</v>
      </c>
      <c r="J19" s="1820"/>
      <c r="K19" s="1820">
        <f t="shared" si="4"/>
        <v>0</v>
      </c>
      <c r="L19" s="1821">
        <f t="shared" si="5"/>
        <v>0</v>
      </c>
      <c r="M19" s="1822"/>
    </row>
    <row r="20" spans="1:13" ht="16.5">
      <c r="A20" s="2207">
        <f t="shared" si="1"/>
        <v>15</v>
      </c>
      <c r="B20" s="2522"/>
      <c r="C20" s="1824" t="s">
        <v>3655</v>
      </c>
      <c r="D20" s="1820"/>
      <c r="E20" s="1821" t="e">
        <f t="shared" si="2"/>
        <v>#DIV/0!</v>
      </c>
      <c r="F20" s="1820"/>
      <c r="G20" s="1820">
        <f t="shared" si="0"/>
        <v>0</v>
      </c>
      <c r="H20" s="1820"/>
      <c r="I20" s="1821" t="e">
        <f t="shared" si="3"/>
        <v>#DIV/0!</v>
      </c>
      <c r="J20" s="1820"/>
      <c r="K20" s="1820">
        <f t="shared" si="4"/>
        <v>0</v>
      </c>
      <c r="L20" s="1821">
        <f t="shared" si="5"/>
        <v>0</v>
      </c>
      <c r="M20" s="1822"/>
    </row>
    <row r="21" spans="1:13" ht="16.5">
      <c r="A21" s="2207">
        <f t="shared" si="1"/>
        <v>16</v>
      </c>
      <c r="B21" s="2522"/>
      <c r="C21" s="1824" t="s">
        <v>3656</v>
      </c>
      <c r="D21" s="1820"/>
      <c r="E21" s="1821" t="e">
        <f t="shared" si="2"/>
        <v>#DIV/0!</v>
      </c>
      <c r="F21" s="1820"/>
      <c r="G21" s="1820">
        <f t="shared" si="0"/>
        <v>0</v>
      </c>
      <c r="H21" s="1820"/>
      <c r="I21" s="1821" t="e">
        <f t="shared" si="3"/>
        <v>#DIV/0!</v>
      </c>
      <c r="J21" s="1820"/>
      <c r="K21" s="1820">
        <f t="shared" si="4"/>
        <v>0</v>
      </c>
      <c r="L21" s="1821">
        <f t="shared" si="5"/>
        <v>0</v>
      </c>
      <c r="M21" s="1822"/>
    </row>
    <row r="22" spans="1:13" ht="16.5">
      <c r="A22" s="2207">
        <f t="shared" si="1"/>
        <v>17</v>
      </c>
      <c r="B22" s="2522"/>
      <c r="C22" s="1824" t="s">
        <v>3657</v>
      </c>
      <c r="D22" s="1820"/>
      <c r="E22" s="1821" t="e">
        <f t="shared" si="2"/>
        <v>#DIV/0!</v>
      </c>
      <c r="F22" s="1820"/>
      <c r="G22" s="1820">
        <f t="shared" si="0"/>
        <v>0</v>
      </c>
      <c r="H22" s="1820"/>
      <c r="I22" s="1821" t="e">
        <f t="shared" si="3"/>
        <v>#DIV/0!</v>
      </c>
      <c r="J22" s="1820"/>
      <c r="K22" s="1820">
        <f t="shared" si="4"/>
        <v>0</v>
      </c>
      <c r="L22" s="1821">
        <f t="shared" si="5"/>
        <v>0</v>
      </c>
      <c r="M22" s="1825"/>
    </row>
    <row r="23" spans="1:13" ht="16.5">
      <c r="A23" s="2207">
        <f t="shared" si="1"/>
        <v>18</v>
      </c>
      <c r="B23" s="2522"/>
      <c r="C23" s="1824" t="s">
        <v>3658</v>
      </c>
      <c r="D23" s="1820"/>
      <c r="E23" s="1821" t="e">
        <f t="shared" si="2"/>
        <v>#DIV/0!</v>
      </c>
      <c r="F23" s="1820"/>
      <c r="G23" s="1820">
        <f t="shared" si="0"/>
        <v>0</v>
      </c>
      <c r="H23" s="1820"/>
      <c r="I23" s="1821" t="e">
        <f t="shared" si="3"/>
        <v>#DIV/0!</v>
      </c>
      <c r="J23" s="1820"/>
      <c r="K23" s="1820">
        <f t="shared" si="4"/>
        <v>0</v>
      </c>
      <c r="L23" s="1821">
        <f t="shared" si="5"/>
        <v>0</v>
      </c>
      <c r="M23" s="1822"/>
    </row>
    <row r="24" spans="1:13" ht="16.5">
      <c r="A24" s="2207">
        <f t="shared" si="1"/>
        <v>19</v>
      </c>
      <c r="B24" s="2522"/>
      <c r="C24" s="1824" t="s">
        <v>7050</v>
      </c>
      <c r="D24" s="1820"/>
      <c r="E24" s="1821" t="e">
        <f t="shared" si="2"/>
        <v>#DIV/0!</v>
      </c>
      <c r="F24" s="1820"/>
      <c r="G24" s="1820">
        <f t="shared" si="0"/>
        <v>0</v>
      </c>
      <c r="H24" s="1820"/>
      <c r="I24" s="1821" t="e">
        <f t="shared" si="3"/>
        <v>#DIV/0!</v>
      </c>
      <c r="J24" s="1820"/>
      <c r="K24" s="1820">
        <f t="shared" si="4"/>
        <v>0</v>
      </c>
      <c r="L24" s="1821">
        <f t="shared" si="5"/>
        <v>0</v>
      </c>
      <c r="M24" s="1822"/>
    </row>
    <row r="25" spans="1:13" ht="16.5">
      <c r="A25" s="2207">
        <f t="shared" si="1"/>
        <v>20</v>
      </c>
      <c r="B25" s="2522"/>
      <c r="C25" s="1824" t="s">
        <v>7051</v>
      </c>
      <c r="D25" s="1820"/>
      <c r="E25" s="1821" t="e">
        <f t="shared" si="2"/>
        <v>#DIV/0!</v>
      </c>
      <c r="F25" s="1820"/>
      <c r="G25" s="1820">
        <f t="shared" si="0"/>
        <v>0</v>
      </c>
      <c r="H25" s="1820"/>
      <c r="I25" s="1821" t="e">
        <f t="shared" si="3"/>
        <v>#DIV/0!</v>
      </c>
      <c r="J25" s="1820"/>
      <c r="K25" s="1820">
        <f t="shared" si="4"/>
        <v>0</v>
      </c>
      <c r="L25" s="1821">
        <f t="shared" si="5"/>
        <v>0</v>
      </c>
      <c r="M25" s="1822"/>
    </row>
    <row r="26" spans="1:13" ht="16.5">
      <c r="A26" s="2207">
        <f t="shared" si="1"/>
        <v>21</v>
      </c>
      <c r="B26" s="2522"/>
      <c r="C26" s="1824" t="s">
        <v>3659</v>
      </c>
      <c r="D26" s="1820"/>
      <c r="E26" s="1821" t="e">
        <f t="shared" si="2"/>
        <v>#DIV/0!</v>
      </c>
      <c r="F26" s="1820"/>
      <c r="G26" s="1820">
        <f t="shared" si="0"/>
        <v>0</v>
      </c>
      <c r="H26" s="1820"/>
      <c r="I26" s="1821" t="e">
        <f t="shared" si="3"/>
        <v>#DIV/0!</v>
      </c>
      <c r="J26" s="1820"/>
      <c r="K26" s="1820">
        <f t="shared" si="4"/>
        <v>0</v>
      </c>
      <c r="L26" s="1821">
        <f t="shared" si="5"/>
        <v>0</v>
      </c>
      <c r="M26" s="1822"/>
    </row>
    <row r="27" spans="1:13" ht="16.5">
      <c r="A27" s="2207">
        <f t="shared" si="1"/>
        <v>22</v>
      </c>
      <c r="B27" s="2522"/>
      <c r="C27" s="1823" t="s">
        <v>3660</v>
      </c>
      <c r="D27" s="1820">
        <f>SUM(D28,D34)</f>
        <v>0</v>
      </c>
      <c r="E27" s="1821" t="e">
        <f t="shared" si="2"/>
        <v>#DIV/0!</v>
      </c>
      <c r="F27" s="1820">
        <f>SUM(F28,F34)</f>
        <v>0</v>
      </c>
      <c r="G27" s="1820">
        <f t="shared" si="0"/>
        <v>0</v>
      </c>
      <c r="H27" s="1820">
        <f>SUM(H28,H34)</f>
        <v>0</v>
      </c>
      <c r="I27" s="1821" t="e">
        <f t="shared" si="3"/>
        <v>#DIV/0!</v>
      </c>
      <c r="J27" s="1820">
        <f>SUM(J28,J34)</f>
        <v>0</v>
      </c>
      <c r="K27" s="1820">
        <f t="shared" si="4"/>
        <v>0</v>
      </c>
      <c r="L27" s="1821">
        <f t="shared" si="5"/>
        <v>0</v>
      </c>
      <c r="M27" s="1822"/>
    </row>
    <row r="28" spans="1:13" ht="16.5">
      <c r="A28" s="2207">
        <f t="shared" si="1"/>
        <v>23</v>
      </c>
      <c r="B28" s="2522"/>
      <c r="C28" s="1824" t="s">
        <v>3661</v>
      </c>
      <c r="D28" s="1820">
        <f>SUM(D29:D33)</f>
        <v>0</v>
      </c>
      <c r="E28" s="1821" t="e">
        <f t="shared" si="2"/>
        <v>#DIV/0!</v>
      </c>
      <c r="F28" s="1820">
        <f>SUM(F29:F33)</f>
        <v>0</v>
      </c>
      <c r="G28" s="1820">
        <f t="shared" si="0"/>
        <v>0</v>
      </c>
      <c r="H28" s="1820">
        <f>SUM(H29:H33)</f>
        <v>0</v>
      </c>
      <c r="I28" s="1821" t="e">
        <f t="shared" si="3"/>
        <v>#DIV/0!</v>
      </c>
      <c r="J28" s="1820">
        <f>SUM(J29:J33)</f>
        <v>0</v>
      </c>
      <c r="K28" s="1820">
        <f t="shared" si="4"/>
        <v>0</v>
      </c>
      <c r="L28" s="1821">
        <f t="shared" si="5"/>
        <v>0</v>
      </c>
      <c r="M28" s="1822"/>
    </row>
    <row r="29" spans="1:13" ht="16.5">
      <c r="A29" s="2207">
        <f t="shared" si="1"/>
        <v>24</v>
      </c>
      <c r="B29" s="2522"/>
      <c r="C29" s="1826" t="s">
        <v>7052</v>
      </c>
      <c r="D29" s="1820"/>
      <c r="E29" s="1821" t="e">
        <f t="shared" si="2"/>
        <v>#DIV/0!</v>
      </c>
      <c r="F29" s="1820"/>
      <c r="G29" s="1820">
        <f t="shared" si="0"/>
        <v>0</v>
      </c>
      <c r="H29" s="1820"/>
      <c r="I29" s="1821" t="e">
        <f t="shared" si="3"/>
        <v>#DIV/0!</v>
      </c>
      <c r="J29" s="1820"/>
      <c r="K29" s="1820">
        <f t="shared" si="4"/>
        <v>0</v>
      </c>
      <c r="L29" s="1821">
        <f t="shared" si="5"/>
        <v>0</v>
      </c>
      <c r="M29" s="1825"/>
    </row>
    <row r="30" spans="1:13" ht="16.5">
      <c r="A30" s="2207">
        <f t="shared" si="1"/>
        <v>25</v>
      </c>
      <c r="B30" s="2522"/>
      <c r="C30" s="1826" t="s">
        <v>7053</v>
      </c>
      <c r="D30" s="1820"/>
      <c r="E30" s="1821" t="e">
        <f t="shared" si="2"/>
        <v>#DIV/0!</v>
      </c>
      <c r="F30" s="1820"/>
      <c r="G30" s="1820">
        <f t="shared" si="0"/>
        <v>0</v>
      </c>
      <c r="H30" s="1820"/>
      <c r="I30" s="1821" t="e">
        <f t="shared" si="3"/>
        <v>#DIV/0!</v>
      </c>
      <c r="J30" s="1820"/>
      <c r="K30" s="1820">
        <f t="shared" si="4"/>
        <v>0</v>
      </c>
      <c r="L30" s="1821">
        <f t="shared" si="5"/>
        <v>0</v>
      </c>
      <c r="M30" s="1822"/>
    </row>
    <row r="31" spans="1:13" ht="16.5">
      <c r="A31" s="2207">
        <f t="shared" si="1"/>
        <v>26</v>
      </c>
      <c r="B31" s="2522"/>
      <c r="C31" s="1826" t="s">
        <v>7054</v>
      </c>
      <c r="D31" s="1820"/>
      <c r="E31" s="1821" t="e">
        <f t="shared" si="2"/>
        <v>#DIV/0!</v>
      </c>
      <c r="F31" s="1820"/>
      <c r="G31" s="1820">
        <f t="shared" si="0"/>
        <v>0</v>
      </c>
      <c r="H31" s="1820"/>
      <c r="I31" s="1821" t="e">
        <f t="shared" si="3"/>
        <v>#DIV/0!</v>
      </c>
      <c r="J31" s="1820"/>
      <c r="K31" s="1820">
        <f t="shared" si="4"/>
        <v>0</v>
      </c>
      <c r="L31" s="1821">
        <f t="shared" si="5"/>
        <v>0</v>
      </c>
      <c r="M31" s="1822"/>
    </row>
    <row r="32" spans="1:13">
      <c r="A32" s="2207">
        <f t="shared" si="1"/>
        <v>27</v>
      </c>
      <c r="B32" s="2522"/>
      <c r="C32" s="1826" t="s">
        <v>3662</v>
      </c>
      <c r="D32" s="1820"/>
      <c r="E32" s="1821" t="e">
        <f t="shared" si="2"/>
        <v>#DIV/0!</v>
      </c>
      <c r="F32" s="1820"/>
      <c r="G32" s="1820">
        <f t="shared" si="0"/>
        <v>0</v>
      </c>
      <c r="H32" s="1820"/>
      <c r="I32" s="1821" t="e">
        <f t="shared" si="3"/>
        <v>#DIV/0!</v>
      </c>
      <c r="J32" s="1820"/>
      <c r="K32" s="1820">
        <f t="shared" si="4"/>
        <v>0</v>
      </c>
      <c r="L32" s="1821">
        <f t="shared" si="5"/>
        <v>0</v>
      </c>
      <c r="M32" s="1822"/>
    </row>
    <row r="33" spans="1:13" ht="16.5">
      <c r="A33" s="2207">
        <f t="shared" si="1"/>
        <v>28</v>
      </c>
      <c r="B33" s="2522"/>
      <c r="C33" s="1826" t="s">
        <v>3700</v>
      </c>
      <c r="D33" s="1820"/>
      <c r="E33" s="1821" t="e">
        <f t="shared" si="2"/>
        <v>#DIV/0!</v>
      </c>
      <c r="F33" s="1820"/>
      <c r="G33" s="1820">
        <f t="shared" si="0"/>
        <v>0</v>
      </c>
      <c r="H33" s="1820"/>
      <c r="I33" s="1821" t="e">
        <f t="shared" si="3"/>
        <v>#DIV/0!</v>
      </c>
      <c r="J33" s="1820"/>
      <c r="K33" s="1820">
        <f t="shared" si="4"/>
        <v>0</v>
      </c>
      <c r="L33" s="1821">
        <f t="shared" si="5"/>
        <v>0</v>
      </c>
      <c r="M33" s="1822"/>
    </row>
    <row r="34" spans="1:13" ht="16.5">
      <c r="A34" s="2207">
        <f t="shared" si="1"/>
        <v>29</v>
      </c>
      <c r="B34" s="2522"/>
      <c r="C34" s="1824" t="s">
        <v>3663</v>
      </c>
      <c r="D34" s="1820">
        <f>SUM(D35:D39)</f>
        <v>0</v>
      </c>
      <c r="E34" s="1821" t="e">
        <f t="shared" si="2"/>
        <v>#DIV/0!</v>
      </c>
      <c r="F34" s="1820">
        <f>SUM(F35:F39)</f>
        <v>0</v>
      </c>
      <c r="G34" s="1820">
        <f t="shared" si="0"/>
        <v>0</v>
      </c>
      <c r="H34" s="1820">
        <f>SUM(H35:H39)</f>
        <v>0</v>
      </c>
      <c r="I34" s="1821" t="e">
        <f t="shared" si="3"/>
        <v>#DIV/0!</v>
      </c>
      <c r="J34" s="1820">
        <f>SUM(J35:J39)</f>
        <v>0</v>
      </c>
      <c r="K34" s="1820">
        <f t="shared" si="4"/>
        <v>0</v>
      </c>
      <c r="L34" s="1821">
        <f t="shared" si="5"/>
        <v>0</v>
      </c>
      <c r="M34" s="1822"/>
    </row>
    <row r="35" spans="1:13" ht="16.5">
      <c r="A35" s="2207">
        <f t="shared" si="1"/>
        <v>30</v>
      </c>
      <c r="B35" s="2522"/>
      <c r="C35" s="1826" t="s">
        <v>7052</v>
      </c>
      <c r="D35" s="1820"/>
      <c r="E35" s="1821" t="e">
        <f t="shared" si="2"/>
        <v>#DIV/0!</v>
      </c>
      <c r="F35" s="1820"/>
      <c r="G35" s="1820">
        <f t="shared" si="0"/>
        <v>0</v>
      </c>
      <c r="H35" s="1820"/>
      <c r="I35" s="1821" t="e">
        <f t="shared" si="3"/>
        <v>#DIV/0!</v>
      </c>
      <c r="J35" s="1820"/>
      <c r="K35" s="1820">
        <f t="shared" si="4"/>
        <v>0</v>
      </c>
      <c r="L35" s="1821">
        <f t="shared" si="5"/>
        <v>0</v>
      </c>
      <c r="M35" s="1825"/>
    </row>
    <row r="36" spans="1:13" ht="16.5">
      <c r="A36" s="2207">
        <f t="shared" si="1"/>
        <v>31</v>
      </c>
      <c r="B36" s="2522"/>
      <c r="C36" s="1826" t="s">
        <v>7053</v>
      </c>
      <c r="D36" s="1820"/>
      <c r="E36" s="1821" t="e">
        <f t="shared" si="2"/>
        <v>#DIV/0!</v>
      </c>
      <c r="F36" s="1820"/>
      <c r="G36" s="1820">
        <f t="shared" si="0"/>
        <v>0</v>
      </c>
      <c r="H36" s="1820"/>
      <c r="I36" s="1821" t="e">
        <f t="shared" si="3"/>
        <v>#DIV/0!</v>
      </c>
      <c r="J36" s="1820"/>
      <c r="K36" s="1820">
        <f t="shared" si="4"/>
        <v>0</v>
      </c>
      <c r="L36" s="1821">
        <f t="shared" si="5"/>
        <v>0</v>
      </c>
      <c r="M36" s="1822"/>
    </row>
    <row r="37" spans="1:13" ht="16.5">
      <c r="A37" s="2207">
        <f t="shared" si="1"/>
        <v>32</v>
      </c>
      <c r="B37" s="2522"/>
      <c r="C37" s="1826" t="s">
        <v>7054</v>
      </c>
      <c r="D37" s="1820"/>
      <c r="E37" s="1821" t="e">
        <f t="shared" si="2"/>
        <v>#DIV/0!</v>
      </c>
      <c r="F37" s="1820"/>
      <c r="G37" s="1820">
        <f t="shared" si="0"/>
        <v>0</v>
      </c>
      <c r="H37" s="1820"/>
      <c r="I37" s="1821" t="e">
        <f t="shared" si="3"/>
        <v>#DIV/0!</v>
      </c>
      <c r="J37" s="1820"/>
      <c r="K37" s="1820">
        <f t="shared" si="4"/>
        <v>0</v>
      </c>
      <c r="L37" s="1821">
        <f t="shared" si="5"/>
        <v>0</v>
      </c>
      <c r="M37" s="1822"/>
    </row>
    <row r="38" spans="1:13">
      <c r="A38" s="2207">
        <f t="shared" si="1"/>
        <v>33</v>
      </c>
      <c r="B38" s="2522"/>
      <c r="C38" s="1826" t="s">
        <v>3662</v>
      </c>
      <c r="D38" s="1820"/>
      <c r="E38" s="1821" t="e">
        <f t="shared" si="2"/>
        <v>#DIV/0!</v>
      </c>
      <c r="F38" s="1820"/>
      <c r="G38" s="1820">
        <f t="shared" si="0"/>
        <v>0</v>
      </c>
      <c r="H38" s="1820"/>
      <c r="I38" s="1821" t="e">
        <f t="shared" si="3"/>
        <v>#DIV/0!</v>
      </c>
      <c r="J38" s="1820"/>
      <c r="K38" s="1820">
        <f t="shared" si="4"/>
        <v>0</v>
      </c>
      <c r="L38" s="1821">
        <f t="shared" si="5"/>
        <v>0</v>
      </c>
      <c r="M38" s="1822"/>
    </row>
    <row r="39" spans="1:13" ht="16.5">
      <c r="A39" s="2207">
        <f t="shared" si="1"/>
        <v>34</v>
      </c>
      <c r="B39" s="2522"/>
      <c r="C39" s="1826" t="s">
        <v>3700</v>
      </c>
      <c r="D39" s="1820"/>
      <c r="E39" s="1821" t="e">
        <f t="shared" si="2"/>
        <v>#DIV/0!</v>
      </c>
      <c r="F39" s="1820"/>
      <c r="G39" s="1820">
        <f t="shared" si="0"/>
        <v>0</v>
      </c>
      <c r="H39" s="1820"/>
      <c r="I39" s="1821" t="e">
        <f t="shared" si="3"/>
        <v>#DIV/0!</v>
      </c>
      <c r="J39" s="1820"/>
      <c r="K39" s="1820">
        <f t="shared" si="4"/>
        <v>0</v>
      </c>
      <c r="L39" s="1821">
        <f t="shared" si="5"/>
        <v>0</v>
      </c>
      <c r="M39" s="1822"/>
    </row>
    <row r="40" spans="1:13" ht="33">
      <c r="A40" s="2207">
        <f t="shared" si="1"/>
        <v>35</v>
      </c>
      <c r="B40" s="2522"/>
      <c r="C40" s="2208" t="s">
        <v>3664</v>
      </c>
      <c r="D40" s="1820">
        <f>D41+D48</f>
        <v>0</v>
      </c>
      <c r="E40" s="1821" t="e">
        <f t="shared" si="2"/>
        <v>#DIV/0!</v>
      </c>
      <c r="F40" s="1820">
        <f>F41+F48</f>
        <v>0</v>
      </c>
      <c r="G40" s="1820">
        <f t="shared" si="0"/>
        <v>0</v>
      </c>
      <c r="H40" s="1820">
        <f>H41+H48</f>
        <v>0</v>
      </c>
      <c r="I40" s="1821" t="e">
        <f t="shared" si="3"/>
        <v>#DIV/0!</v>
      </c>
      <c r="J40" s="1820">
        <f>J41+J48</f>
        <v>0</v>
      </c>
      <c r="K40" s="1820">
        <f t="shared" si="4"/>
        <v>0</v>
      </c>
      <c r="L40" s="1821">
        <f t="shared" si="5"/>
        <v>0</v>
      </c>
      <c r="M40" s="1822"/>
    </row>
    <row r="41" spans="1:13" ht="16.5">
      <c r="A41" s="2207">
        <f t="shared" si="1"/>
        <v>36</v>
      </c>
      <c r="B41" s="2522"/>
      <c r="C41" s="1823" t="s">
        <v>3649</v>
      </c>
      <c r="D41" s="1820">
        <f>D42+D47</f>
        <v>0</v>
      </c>
      <c r="E41" s="1821" t="e">
        <f t="shared" si="2"/>
        <v>#DIV/0!</v>
      </c>
      <c r="F41" s="1820">
        <f>F42+F47</f>
        <v>0</v>
      </c>
      <c r="G41" s="1820">
        <f t="shared" si="0"/>
        <v>0</v>
      </c>
      <c r="H41" s="1820">
        <f>H42+H47</f>
        <v>0</v>
      </c>
      <c r="I41" s="1821" t="e">
        <f t="shared" si="3"/>
        <v>#DIV/0!</v>
      </c>
      <c r="J41" s="1820">
        <f>J42+J47</f>
        <v>0</v>
      </c>
      <c r="K41" s="1820">
        <f t="shared" si="4"/>
        <v>0</v>
      </c>
      <c r="L41" s="1821">
        <f t="shared" si="5"/>
        <v>0</v>
      </c>
      <c r="M41" s="1822"/>
    </row>
    <row r="42" spans="1:13" ht="16.5">
      <c r="A42" s="2207">
        <f t="shared" si="1"/>
        <v>37</v>
      </c>
      <c r="B42" s="2522"/>
      <c r="C42" s="1824" t="s">
        <v>3665</v>
      </c>
      <c r="D42" s="1820">
        <f>D43+D44</f>
        <v>0</v>
      </c>
      <c r="E42" s="1821" t="e">
        <f t="shared" si="2"/>
        <v>#DIV/0!</v>
      </c>
      <c r="F42" s="1820">
        <f>F43+F44</f>
        <v>0</v>
      </c>
      <c r="G42" s="1820">
        <f t="shared" si="0"/>
        <v>0</v>
      </c>
      <c r="H42" s="1820">
        <f>H43+H44</f>
        <v>0</v>
      </c>
      <c r="I42" s="1821" t="e">
        <f t="shared" si="3"/>
        <v>#DIV/0!</v>
      </c>
      <c r="J42" s="1820">
        <f>J43+J44</f>
        <v>0</v>
      </c>
      <c r="K42" s="1820">
        <f t="shared" si="4"/>
        <v>0</v>
      </c>
      <c r="L42" s="1821">
        <f t="shared" si="5"/>
        <v>0</v>
      </c>
      <c r="M42" s="1822"/>
    </row>
    <row r="43" spans="1:13" ht="16.5">
      <c r="A43" s="2207">
        <f t="shared" si="1"/>
        <v>38</v>
      </c>
      <c r="B43" s="2522"/>
      <c r="C43" s="1826" t="s">
        <v>3666</v>
      </c>
      <c r="D43" s="1820"/>
      <c r="E43" s="1821" t="e">
        <f t="shared" si="2"/>
        <v>#DIV/0!</v>
      </c>
      <c r="F43" s="1820"/>
      <c r="G43" s="1820">
        <f t="shared" si="0"/>
        <v>0</v>
      </c>
      <c r="H43" s="1820"/>
      <c r="I43" s="1821" t="e">
        <f t="shared" si="3"/>
        <v>#DIV/0!</v>
      </c>
      <c r="J43" s="1820"/>
      <c r="K43" s="1820">
        <f t="shared" si="4"/>
        <v>0</v>
      </c>
      <c r="L43" s="1821">
        <f t="shared" si="5"/>
        <v>0</v>
      </c>
      <c r="M43" s="1822"/>
    </row>
    <row r="44" spans="1:13" ht="16.5">
      <c r="A44" s="2207">
        <f t="shared" si="1"/>
        <v>39</v>
      </c>
      <c r="B44" s="2522"/>
      <c r="C44" s="1826" t="s">
        <v>3667</v>
      </c>
      <c r="D44" s="1820">
        <f>SUM(D45:D46)</f>
        <v>0</v>
      </c>
      <c r="E44" s="1821" t="e">
        <f t="shared" si="2"/>
        <v>#DIV/0!</v>
      </c>
      <c r="F44" s="1820">
        <f>SUM(F45:F46)</f>
        <v>0</v>
      </c>
      <c r="G44" s="1820">
        <f t="shared" si="0"/>
        <v>0</v>
      </c>
      <c r="H44" s="1820">
        <f>SUM(H45:H46)</f>
        <v>0</v>
      </c>
      <c r="I44" s="1821" t="e">
        <f t="shared" si="3"/>
        <v>#DIV/0!</v>
      </c>
      <c r="J44" s="1820">
        <f>SUM(J45:J46)</f>
        <v>0</v>
      </c>
      <c r="K44" s="1820">
        <f t="shared" si="4"/>
        <v>0</v>
      </c>
      <c r="L44" s="1821">
        <f t="shared" si="5"/>
        <v>0</v>
      </c>
      <c r="M44" s="1822"/>
    </row>
    <row r="45" spans="1:13" ht="16.5">
      <c r="A45" s="2207">
        <f t="shared" si="1"/>
        <v>40</v>
      </c>
      <c r="B45" s="2522"/>
      <c r="C45" s="1827" t="s">
        <v>3668</v>
      </c>
      <c r="D45" s="1820"/>
      <c r="E45" s="1821" t="e">
        <f t="shared" si="2"/>
        <v>#DIV/0!</v>
      </c>
      <c r="F45" s="1820"/>
      <c r="G45" s="1820">
        <f t="shared" si="0"/>
        <v>0</v>
      </c>
      <c r="H45" s="1820"/>
      <c r="I45" s="1821" t="e">
        <f t="shared" si="3"/>
        <v>#DIV/0!</v>
      </c>
      <c r="J45" s="1820"/>
      <c r="K45" s="1820">
        <f t="shared" si="4"/>
        <v>0</v>
      </c>
      <c r="L45" s="1821">
        <f t="shared" si="5"/>
        <v>0</v>
      </c>
      <c r="M45" s="1822"/>
    </row>
    <row r="46" spans="1:13" ht="16.5">
      <c r="A46" s="2207">
        <f t="shared" si="1"/>
        <v>41</v>
      </c>
      <c r="B46" s="2522"/>
      <c r="C46" s="1827" t="s">
        <v>3669</v>
      </c>
      <c r="D46" s="1820"/>
      <c r="E46" s="1821" t="e">
        <f t="shared" si="2"/>
        <v>#DIV/0!</v>
      </c>
      <c r="F46" s="1820"/>
      <c r="G46" s="1820">
        <f t="shared" si="0"/>
        <v>0</v>
      </c>
      <c r="H46" s="1820"/>
      <c r="I46" s="1821" t="e">
        <f t="shared" si="3"/>
        <v>#DIV/0!</v>
      </c>
      <c r="J46" s="1820"/>
      <c r="K46" s="1820">
        <f t="shared" si="4"/>
        <v>0</v>
      </c>
      <c r="L46" s="1821">
        <f t="shared" si="5"/>
        <v>0</v>
      </c>
      <c r="M46" s="1822"/>
    </row>
    <row r="47" spans="1:13" ht="16.5">
      <c r="A47" s="2207">
        <f t="shared" si="1"/>
        <v>42</v>
      </c>
      <c r="B47" s="2522"/>
      <c r="C47" s="1824" t="s">
        <v>3670</v>
      </c>
      <c r="D47" s="1820"/>
      <c r="E47" s="1821" t="e">
        <f t="shared" si="2"/>
        <v>#DIV/0!</v>
      </c>
      <c r="F47" s="1820"/>
      <c r="G47" s="1820">
        <f t="shared" si="0"/>
        <v>0</v>
      </c>
      <c r="H47" s="1820"/>
      <c r="I47" s="1821" t="e">
        <f t="shared" si="3"/>
        <v>#DIV/0!</v>
      </c>
      <c r="J47" s="1820"/>
      <c r="K47" s="1820">
        <f t="shared" si="4"/>
        <v>0</v>
      </c>
      <c r="L47" s="1821">
        <f t="shared" si="5"/>
        <v>0</v>
      </c>
      <c r="M47" s="1822"/>
    </row>
    <row r="48" spans="1:13" ht="16.5">
      <c r="A48" s="2207">
        <f t="shared" si="1"/>
        <v>43</v>
      </c>
      <c r="B48" s="2522"/>
      <c r="C48" s="1823" t="s">
        <v>3671</v>
      </c>
      <c r="D48" s="1820">
        <f>D49+D52</f>
        <v>0</v>
      </c>
      <c r="E48" s="1821" t="e">
        <f t="shared" si="2"/>
        <v>#DIV/0!</v>
      </c>
      <c r="F48" s="1820">
        <f>F49+F52</f>
        <v>0</v>
      </c>
      <c r="G48" s="1820">
        <f t="shared" si="0"/>
        <v>0</v>
      </c>
      <c r="H48" s="1820">
        <f>H49+H52</f>
        <v>0</v>
      </c>
      <c r="I48" s="1821" t="e">
        <f t="shared" si="3"/>
        <v>#DIV/0!</v>
      </c>
      <c r="J48" s="1820">
        <f>J49+J52</f>
        <v>0</v>
      </c>
      <c r="K48" s="1820">
        <f t="shared" si="4"/>
        <v>0</v>
      </c>
      <c r="L48" s="1821">
        <f t="shared" si="5"/>
        <v>0</v>
      </c>
      <c r="M48" s="1822"/>
    </row>
    <row r="49" spans="1:13" ht="16.5">
      <c r="A49" s="2207">
        <f t="shared" si="1"/>
        <v>44</v>
      </c>
      <c r="B49" s="2522"/>
      <c r="C49" s="1824" t="s">
        <v>3665</v>
      </c>
      <c r="D49" s="1820">
        <f>SUM(D50:D51)</f>
        <v>0</v>
      </c>
      <c r="E49" s="1821" t="e">
        <f t="shared" si="2"/>
        <v>#DIV/0!</v>
      </c>
      <c r="F49" s="1820">
        <f>SUM(F50:F51)</f>
        <v>0</v>
      </c>
      <c r="G49" s="1820">
        <f t="shared" si="0"/>
        <v>0</v>
      </c>
      <c r="H49" s="1820">
        <f>SUM(H50:H51)</f>
        <v>0</v>
      </c>
      <c r="I49" s="1821" t="e">
        <f t="shared" si="3"/>
        <v>#DIV/0!</v>
      </c>
      <c r="J49" s="1820">
        <f>SUM(J50:J51)</f>
        <v>0</v>
      </c>
      <c r="K49" s="1820">
        <f t="shared" si="4"/>
        <v>0</v>
      </c>
      <c r="L49" s="1821">
        <f t="shared" si="5"/>
        <v>0</v>
      </c>
      <c r="M49" s="1822"/>
    </row>
    <row r="50" spans="1:13" ht="16.5">
      <c r="A50" s="2207">
        <f t="shared" si="1"/>
        <v>45</v>
      </c>
      <c r="B50" s="2522"/>
      <c r="C50" s="1826" t="s">
        <v>3672</v>
      </c>
      <c r="D50" s="1820"/>
      <c r="E50" s="1821" t="e">
        <f t="shared" si="2"/>
        <v>#DIV/0!</v>
      </c>
      <c r="F50" s="1820"/>
      <c r="G50" s="1820">
        <f t="shared" si="0"/>
        <v>0</v>
      </c>
      <c r="H50" s="1820"/>
      <c r="I50" s="1821" t="e">
        <f t="shared" si="3"/>
        <v>#DIV/0!</v>
      </c>
      <c r="J50" s="1820"/>
      <c r="K50" s="1820">
        <f t="shared" si="4"/>
        <v>0</v>
      </c>
      <c r="L50" s="1821">
        <f t="shared" si="5"/>
        <v>0</v>
      </c>
      <c r="M50" s="1822"/>
    </row>
    <row r="51" spans="1:13" ht="16.5">
      <c r="A51" s="2207">
        <f t="shared" si="1"/>
        <v>46</v>
      </c>
      <c r="B51" s="2522"/>
      <c r="C51" s="1826" t="s">
        <v>3673</v>
      </c>
      <c r="D51" s="1820"/>
      <c r="E51" s="1821" t="e">
        <f t="shared" si="2"/>
        <v>#DIV/0!</v>
      </c>
      <c r="F51" s="1820"/>
      <c r="G51" s="1820">
        <f t="shared" si="0"/>
        <v>0</v>
      </c>
      <c r="H51" s="1820"/>
      <c r="I51" s="1821" t="e">
        <f t="shared" si="3"/>
        <v>#DIV/0!</v>
      </c>
      <c r="J51" s="1820"/>
      <c r="K51" s="1820">
        <f t="shared" si="4"/>
        <v>0</v>
      </c>
      <c r="L51" s="1821">
        <f t="shared" si="5"/>
        <v>0</v>
      </c>
      <c r="M51" s="1822"/>
    </row>
    <row r="52" spans="1:13" ht="16.5">
      <c r="A52" s="2207">
        <f t="shared" si="1"/>
        <v>47</v>
      </c>
      <c r="B52" s="2522"/>
      <c r="C52" s="1824" t="s">
        <v>3670</v>
      </c>
      <c r="D52" s="1820">
        <f>SUM(D53:D54)</f>
        <v>0</v>
      </c>
      <c r="E52" s="1821" t="e">
        <f t="shared" si="2"/>
        <v>#DIV/0!</v>
      </c>
      <c r="F52" s="1820">
        <f>SUM(F53:F54)</f>
        <v>0</v>
      </c>
      <c r="G52" s="1820">
        <f t="shared" si="0"/>
        <v>0</v>
      </c>
      <c r="H52" s="1820">
        <f>SUM(H53:H54)</f>
        <v>0</v>
      </c>
      <c r="I52" s="1821" t="e">
        <f t="shared" si="3"/>
        <v>#DIV/0!</v>
      </c>
      <c r="J52" s="1820">
        <f>SUM(J53:J54)</f>
        <v>0</v>
      </c>
      <c r="K52" s="1820">
        <f t="shared" si="4"/>
        <v>0</v>
      </c>
      <c r="L52" s="1821">
        <f t="shared" si="5"/>
        <v>0</v>
      </c>
      <c r="M52" s="1822"/>
    </row>
    <row r="53" spans="1:13" ht="16.5">
      <c r="A53" s="2207">
        <f t="shared" si="1"/>
        <v>48</v>
      </c>
      <c r="B53" s="2522"/>
      <c r="C53" s="1826" t="s">
        <v>3672</v>
      </c>
      <c r="D53" s="1820"/>
      <c r="E53" s="1821" t="e">
        <f t="shared" si="2"/>
        <v>#DIV/0!</v>
      </c>
      <c r="F53" s="1820"/>
      <c r="G53" s="1820">
        <f t="shared" si="0"/>
        <v>0</v>
      </c>
      <c r="H53" s="1820"/>
      <c r="I53" s="1821" t="e">
        <f t="shared" si="3"/>
        <v>#DIV/0!</v>
      </c>
      <c r="J53" s="1820"/>
      <c r="K53" s="1820">
        <f t="shared" si="4"/>
        <v>0</v>
      </c>
      <c r="L53" s="1821">
        <f t="shared" si="5"/>
        <v>0</v>
      </c>
      <c r="M53" s="1822"/>
    </row>
    <row r="54" spans="1:13" ht="16.5">
      <c r="A54" s="2207">
        <f t="shared" si="1"/>
        <v>49</v>
      </c>
      <c r="B54" s="2522"/>
      <c r="C54" s="1826" t="s">
        <v>3673</v>
      </c>
      <c r="D54" s="1820"/>
      <c r="E54" s="1821" t="e">
        <f t="shared" si="2"/>
        <v>#DIV/0!</v>
      </c>
      <c r="F54" s="1820"/>
      <c r="G54" s="1820">
        <f t="shared" si="0"/>
        <v>0</v>
      </c>
      <c r="H54" s="1820"/>
      <c r="I54" s="1821" t="e">
        <f t="shared" si="3"/>
        <v>#DIV/0!</v>
      </c>
      <c r="J54" s="1820"/>
      <c r="K54" s="1820">
        <f t="shared" si="4"/>
        <v>0</v>
      </c>
      <c r="L54" s="1821">
        <f t="shared" si="5"/>
        <v>0</v>
      </c>
      <c r="M54" s="1822"/>
    </row>
    <row r="55" spans="1:13" ht="16.5">
      <c r="A55" s="2207">
        <f t="shared" si="1"/>
        <v>50</v>
      </c>
      <c r="B55" s="2522"/>
      <c r="C55" s="1819" t="s">
        <v>3600</v>
      </c>
      <c r="D55" s="1820">
        <f>D56+D64</f>
        <v>0</v>
      </c>
      <c r="E55" s="1821" t="e">
        <f t="shared" si="2"/>
        <v>#DIV/0!</v>
      </c>
      <c r="F55" s="1820">
        <f>F56+F64</f>
        <v>0</v>
      </c>
      <c r="G55" s="1820">
        <f t="shared" si="0"/>
        <v>0</v>
      </c>
      <c r="H55" s="1820">
        <f>H56+H64</f>
        <v>0</v>
      </c>
      <c r="I55" s="1821" t="e">
        <f t="shared" si="3"/>
        <v>#DIV/0!</v>
      </c>
      <c r="J55" s="1820">
        <f>J56+J64</f>
        <v>0</v>
      </c>
      <c r="K55" s="1820">
        <f t="shared" si="4"/>
        <v>0</v>
      </c>
      <c r="L55" s="1821">
        <f t="shared" si="5"/>
        <v>0</v>
      </c>
      <c r="M55" s="1822"/>
    </row>
    <row r="56" spans="1:13" ht="16.5">
      <c r="A56" s="2207">
        <f t="shared" si="1"/>
        <v>51</v>
      </c>
      <c r="B56" s="2522"/>
      <c r="C56" s="1823" t="s">
        <v>3674</v>
      </c>
      <c r="D56" s="1820">
        <f>SUM(D57:D63)</f>
        <v>0</v>
      </c>
      <c r="E56" s="1821" t="e">
        <f t="shared" si="2"/>
        <v>#DIV/0!</v>
      </c>
      <c r="F56" s="1820">
        <f>SUM(F57:F63)</f>
        <v>0</v>
      </c>
      <c r="G56" s="1820">
        <f t="shared" si="0"/>
        <v>0</v>
      </c>
      <c r="H56" s="1820">
        <f>SUM(H57:H63)</f>
        <v>0</v>
      </c>
      <c r="I56" s="1821" t="e">
        <f t="shared" si="3"/>
        <v>#DIV/0!</v>
      </c>
      <c r="J56" s="1820">
        <f>SUM(J57:J63)</f>
        <v>0</v>
      </c>
      <c r="K56" s="1820">
        <f t="shared" si="4"/>
        <v>0</v>
      </c>
      <c r="L56" s="1821">
        <f t="shared" si="5"/>
        <v>0</v>
      </c>
      <c r="M56" s="1822"/>
    </row>
    <row r="57" spans="1:13" ht="16.5">
      <c r="A57" s="2207">
        <f t="shared" si="1"/>
        <v>52</v>
      </c>
      <c r="B57" s="2522"/>
      <c r="C57" s="1824" t="s">
        <v>3675</v>
      </c>
      <c r="D57" s="1820"/>
      <c r="E57" s="1821" t="e">
        <f t="shared" si="2"/>
        <v>#DIV/0!</v>
      </c>
      <c r="F57" s="1820"/>
      <c r="G57" s="1820">
        <f t="shared" si="0"/>
        <v>0</v>
      </c>
      <c r="H57" s="1820"/>
      <c r="I57" s="1821" t="e">
        <f t="shared" si="3"/>
        <v>#DIV/0!</v>
      </c>
      <c r="J57" s="1820"/>
      <c r="K57" s="1820">
        <f t="shared" si="4"/>
        <v>0</v>
      </c>
      <c r="L57" s="1821">
        <f t="shared" si="5"/>
        <v>0</v>
      </c>
      <c r="M57" s="1825"/>
    </row>
    <row r="58" spans="1:13" ht="16.5">
      <c r="A58" s="2207">
        <f t="shared" si="1"/>
        <v>53</v>
      </c>
      <c r="B58" s="2522"/>
      <c r="C58" s="2476" t="s">
        <v>7198</v>
      </c>
      <c r="D58" s="1820"/>
      <c r="E58" s="1821" t="e">
        <f t="shared" si="2"/>
        <v>#DIV/0!</v>
      </c>
      <c r="F58" s="1820"/>
      <c r="G58" s="1820">
        <f t="shared" si="0"/>
        <v>0</v>
      </c>
      <c r="H58" s="1820"/>
      <c r="I58" s="1821" t="e">
        <f t="shared" si="3"/>
        <v>#DIV/0!</v>
      </c>
      <c r="J58" s="1820"/>
      <c r="K58" s="1820">
        <f t="shared" si="4"/>
        <v>0</v>
      </c>
      <c r="L58" s="1821">
        <f t="shared" si="5"/>
        <v>0</v>
      </c>
      <c r="M58" s="1822"/>
    </row>
    <row r="59" spans="1:13" ht="16.5">
      <c r="A59" s="2207">
        <f t="shared" si="1"/>
        <v>54</v>
      </c>
      <c r="B59" s="2522"/>
      <c r="C59" s="2476" t="s">
        <v>7199</v>
      </c>
      <c r="D59" s="1820"/>
      <c r="E59" s="1821" t="e">
        <f t="shared" si="2"/>
        <v>#DIV/0!</v>
      </c>
      <c r="F59" s="1820"/>
      <c r="G59" s="1820">
        <f t="shared" si="0"/>
        <v>0</v>
      </c>
      <c r="H59" s="1820"/>
      <c r="I59" s="1821" t="e">
        <f t="shared" si="3"/>
        <v>#DIV/0!</v>
      </c>
      <c r="J59" s="1820"/>
      <c r="K59" s="1820">
        <f t="shared" si="4"/>
        <v>0</v>
      </c>
      <c r="L59" s="1821">
        <f t="shared" si="5"/>
        <v>0</v>
      </c>
      <c r="M59" s="1825"/>
    </row>
    <row r="60" spans="1:13" ht="16.5">
      <c r="A60" s="2207">
        <f t="shared" si="1"/>
        <v>55</v>
      </c>
      <c r="B60" s="2522"/>
      <c r="C60" s="2476" t="s">
        <v>7200</v>
      </c>
      <c r="D60" s="1820"/>
      <c r="E60" s="1821" t="e">
        <f t="shared" si="2"/>
        <v>#DIV/0!</v>
      </c>
      <c r="F60" s="1820"/>
      <c r="G60" s="1820">
        <f t="shared" si="0"/>
        <v>0</v>
      </c>
      <c r="H60" s="1820"/>
      <c r="I60" s="1821" t="e">
        <f t="shared" si="3"/>
        <v>#DIV/0!</v>
      </c>
      <c r="J60" s="1820"/>
      <c r="K60" s="1820">
        <f t="shared" si="4"/>
        <v>0</v>
      </c>
      <c r="L60" s="1821">
        <f t="shared" si="5"/>
        <v>0</v>
      </c>
      <c r="M60" s="1822"/>
    </row>
    <row r="61" spans="1:13" ht="16.5">
      <c r="A61" s="2207">
        <f t="shared" si="1"/>
        <v>56</v>
      </c>
      <c r="B61" s="2522"/>
      <c r="C61" s="2476" t="s">
        <v>7201</v>
      </c>
      <c r="D61" s="1820"/>
      <c r="E61" s="1821" t="e">
        <f t="shared" si="2"/>
        <v>#DIV/0!</v>
      </c>
      <c r="F61" s="1820"/>
      <c r="G61" s="1820">
        <f t="shared" si="0"/>
        <v>0</v>
      </c>
      <c r="H61" s="1820"/>
      <c r="I61" s="1821" t="e">
        <f t="shared" si="3"/>
        <v>#DIV/0!</v>
      </c>
      <c r="J61" s="1820"/>
      <c r="K61" s="1820">
        <f t="shared" si="4"/>
        <v>0</v>
      </c>
      <c r="L61" s="1821">
        <f t="shared" si="5"/>
        <v>0</v>
      </c>
      <c r="M61" s="1822"/>
    </row>
    <row r="62" spans="1:13" ht="16.5">
      <c r="A62" s="2207">
        <f t="shared" si="1"/>
        <v>57</v>
      </c>
      <c r="B62" s="2522"/>
      <c r="C62" s="2476" t="s">
        <v>7202</v>
      </c>
      <c r="D62" s="1820"/>
      <c r="E62" s="1821" t="e">
        <f t="shared" si="2"/>
        <v>#DIV/0!</v>
      </c>
      <c r="F62" s="1820"/>
      <c r="G62" s="1820">
        <f t="shared" si="0"/>
        <v>0</v>
      </c>
      <c r="H62" s="1820"/>
      <c r="I62" s="1821" t="e">
        <f t="shared" si="3"/>
        <v>#DIV/0!</v>
      </c>
      <c r="J62" s="1820"/>
      <c r="K62" s="1820">
        <f t="shared" si="4"/>
        <v>0</v>
      </c>
      <c r="L62" s="1821">
        <f t="shared" si="5"/>
        <v>0</v>
      </c>
      <c r="M62" s="1822"/>
    </row>
    <row r="63" spans="1:13" ht="16.5">
      <c r="A63" s="2207">
        <f t="shared" si="1"/>
        <v>58</v>
      </c>
      <c r="B63" s="2522"/>
      <c r="C63" s="2476" t="s">
        <v>7203</v>
      </c>
      <c r="D63" s="1820"/>
      <c r="E63" s="1821" t="e">
        <f t="shared" si="2"/>
        <v>#DIV/0!</v>
      </c>
      <c r="F63" s="1820"/>
      <c r="G63" s="1820">
        <f t="shared" si="0"/>
        <v>0</v>
      </c>
      <c r="H63" s="1820"/>
      <c r="I63" s="1821" t="e">
        <f t="shared" si="3"/>
        <v>#DIV/0!</v>
      </c>
      <c r="J63" s="1820"/>
      <c r="K63" s="1820">
        <f t="shared" si="4"/>
        <v>0</v>
      </c>
      <c r="L63" s="1821">
        <f t="shared" si="5"/>
        <v>0</v>
      </c>
      <c r="M63" s="1822"/>
    </row>
    <row r="64" spans="1:13" ht="16.5">
      <c r="A64" s="2207">
        <f t="shared" si="1"/>
        <v>59</v>
      </c>
      <c r="B64" s="2522"/>
      <c r="C64" s="2477" t="s">
        <v>7204</v>
      </c>
      <c r="D64" s="1820">
        <f>D65+D73</f>
        <v>0</v>
      </c>
      <c r="E64" s="1821" t="e">
        <f t="shared" si="2"/>
        <v>#DIV/0!</v>
      </c>
      <c r="F64" s="1820">
        <f>F65+F73</f>
        <v>0</v>
      </c>
      <c r="G64" s="1820">
        <f t="shared" si="0"/>
        <v>0</v>
      </c>
      <c r="H64" s="1820">
        <f>H65+H73</f>
        <v>0</v>
      </c>
      <c r="I64" s="1821" t="e">
        <f t="shared" si="3"/>
        <v>#DIV/0!</v>
      </c>
      <c r="J64" s="1820">
        <f>J65+J73</f>
        <v>0</v>
      </c>
      <c r="K64" s="1820">
        <f t="shared" si="4"/>
        <v>0</v>
      </c>
      <c r="L64" s="1821">
        <f t="shared" si="5"/>
        <v>0</v>
      </c>
      <c r="M64" s="1822"/>
    </row>
    <row r="65" spans="1:13" ht="16.5">
      <c r="A65" s="2207">
        <f t="shared" si="1"/>
        <v>60</v>
      </c>
      <c r="B65" s="2522"/>
      <c r="C65" s="2476" t="s">
        <v>7205</v>
      </c>
      <c r="D65" s="1820">
        <f>SUM(D66:D72)</f>
        <v>0</v>
      </c>
      <c r="E65" s="1821" t="e">
        <f t="shared" si="2"/>
        <v>#DIV/0!</v>
      </c>
      <c r="F65" s="1820">
        <f>SUM(F66:F72)</f>
        <v>0</v>
      </c>
      <c r="G65" s="1820">
        <f t="shared" si="0"/>
        <v>0</v>
      </c>
      <c r="H65" s="1820">
        <f>SUM(H66:H72)</f>
        <v>0</v>
      </c>
      <c r="I65" s="1821" t="e">
        <f t="shared" si="3"/>
        <v>#DIV/0!</v>
      </c>
      <c r="J65" s="1820">
        <f>SUM(J66:J72)</f>
        <v>0</v>
      </c>
      <c r="K65" s="1820">
        <f t="shared" si="4"/>
        <v>0</v>
      </c>
      <c r="L65" s="1821">
        <f t="shared" si="5"/>
        <v>0</v>
      </c>
      <c r="M65" s="1822"/>
    </row>
    <row r="66" spans="1:13" ht="16.5">
      <c r="A66" s="2207">
        <f t="shared" si="1"/>
        <v>61</v>
      </c>
      <c r="B66" s="2522"/>
      <c r="C66" s="2478" t="s">
        <v>7206</v>
      </c>
      <c r="D66" s="1820"/>
      <c r="E66" s="1821" t="e">
        <f t="shared" si="2"/>
        <v>#DIV/0!</v>
      </c>
      <c r="F66" s="1820"/>
      <c r="G66" s="1820">
        <f t="shared" si="0"/>
        <v>0</v>
      </c>
      <c r="H66" s="1820"/>
      <c r="I66" s="1821" t="e">
        <f t="shared" si="3"/>
        <v>#DIV/0!</v>
      </c>
      <c r="J66" s="1820"/>
      <c r="K66" s="1820">
        <f t="shared" si="4"/>
        <v>0</v>
      </c>
      <c r="L66" s="1821">
        <f t="shared" si="5"/>
        <v>0</v>
      </c>
      <c r="M66" s="1825"/>
    </row>
    <row r="67" spans="1:13" ht="16.5">
      <c r="A67" s="2207">
        <f t="shared" si="1"/>
        <v>62</v>
      </c>
      <c r="B67" s="2522"/>
      <c r="C67" s="2478" t="s">
        <v>7207</v>
      </c>
      <c r="D67" s="1820"/>
      <c r="E67" s="1821" t="e">
        <f t="shared" si="2"/>
        <v>#DIV/0!</v>
      </c>
      <c r="F67" s="1820"/>
      <c r="G67" s="1820">
        <f t="shared" si="0"/>
        <v>0</v>
      </c>
      <c r="H67" s="1820"/>
      <c r="I67" s="1821" t="e">
        <f t="shared" si="3"/>
        <v>#DIV/0!</v>
      </c>
      <c r="J67" s="1820"/>
      <c r="K67" s="1820">
        <f t="shared" si="4"/>
        <v>0</v>
      </c>
      <c r="L67" s="1821">
        <f t="shared" si="5"/>
        <v>0</v>
      </c>
      <c r="M67" s="1822"/>
    </row>
    <row r="68" spans="1:13" ht="16.5">
      <c r="A68" s="2207">
        <f t="shared" si="1"/>
        <v>63</v>
      </c>
      <c r="B68" s="2522"/>
      <c r="C68" s="2478" t="s">
        <v>7208</v>
      </c>
      <c r="D68" s="1820"/>
      <c r="E68" s="1821" t="e">
        <f t="shared" si="2"/>
        <v>#DIV/0!</v>
      </c>
      <c r="F68" s="1820"/>
      <c r="G68" s="1820">
        <f t="shared" si="0"/>
        <v>0</v>
      </c>
      <c r="H68" s="1820"/>
      <c r="I68" s="1821" t="e">
        <f t="shared" si="3"/>
        <v>#DIV/0!</v>
      </c>
      <c r="J68" s="1820"/>
      <c r="K68" s="1820">
        <f t="shared" si="4"/>
        <v>0</v>
      </c>
      <c r="L68" s="1821">
        <f t="shared" si="5"/>
        <v>0</v>
      </c>
      <c r="M68" s="1825"/>
    </row>
    <row r="69" spans="1:13" ht="16.5">
      <c r="A69" s="2207">
        <f t="shared" si="1"/>
        <v>64</v>
      </c>
      <c r="B69" s="2522"/>
      <c r="C69" s="2478" t="s">
        <v>7209</v>
      </c>
      <c r="D69" s="1820"/>
      <c r="E69" s="1821" t="e">
        <f t="shared" si="2"/>
        <v>#DIV/0!</v>
      </c>
      <c r="F69" s="1820"/>
      <c r="G69" s="1820">
        <f t="shared" si="0"/>
        <v>0</v>
      </c>
      <c r="H69" s="1820"/>
      <c r="I69" s="1821" t="e">
        <f t="shared" si="3"/>
        <v>#DIV/0!</v>
      </c>
      <c r="J69" s="1820"/>
      <c r="K69" s="1820">
        <f t="shared" si="4"/>
        <v>0</v>
      </c>
      <c r="L69" s="1821">
        <f t="shared" si="5"/>
        <v>0</v>
      </c>
      <c r="M69" s="1822"/>
    </row>
    <row r="70" spans="1:13" ht="16.5">
      <c r="A70" s="2207">
        <f t="shared" si="1"/>
        <v>65</v>
      </c>
      <c r="B70" s="2522"/>
      <c r="C70" s="2478" t="s">
        <v>7210</v>
      </c>
      <c r="D70" s="1820"/>
      <c r="E70" s="1821" t="e">
        <f t="shared" si="2"/>
        <v>#DIV/0!</v>
      </c>
      <c r="F70" s="1820"/>
      <c r="G70" s="1820">
        <f t="shared" si="0"/>
        <v>0</v>
      </c>
      <c r="H70" s="1820"/>
      <c r="I70" s="1821" t="e">
        <f t="shared" si="3"/>
        <v>#DIV/0!</v>
      </c>
      <c r="J70" s="1820"/>
      <c r="K70" s="1820">
        <f t="shared" si="4"/>
        <v>0</v>
      </c>
      <c r="L70" s="1821">
        <f t="shared" si="5"/>
        <v>0</v>
      </c>
      <c r="M70" s="1822"/>
    </row>
    <row r="71" spans="1:13" ht="16.5">
      <c r="A71" s="2207">
        <f t="shared" ref="A71:A134" si="6">A70+1</f>
        <v>66</v>
      </c>
      <c r="B71" s="2522"/>
      <c r="C71" s="2478" t="s">
        <v>7211</v>
      </c>
      <c r="D71" s="1820"/>
      <c r="E71" s="1821" t="e">
        <f t="shared" ref="E71:E134" si="7">D71/$D$257</f>
        <v>#DIV/0!</v>
      </c>
      <c r="F71" s="1820"/>
      <c r="G71" s="1820">
        <f t="shared" si="0"/>
        <v>0</v>
      </c>
      <c r="H71" s="1820"/>
      <c r="I71" s="1821" t="e">
        <f t="shared" ref="I71:I134" si="8">H71/H$257</f>
        <v>#DIV/0!</v>
      </c>
      <c r="J71" s="1820"/>
      <c r="K71" s="1820">
        <f t="shared" ref="K71:K134" si="9">D71-H71</f>
        <v>0</v>
      </c>
      <c r="L71" s="1821">
        <f t="shared" ref="L71:L134" si="10">IF(J71=0,0,K71/J71)</f>
        <v>0</v>
      </c>
      <c r="M71" s="1822"/>
    </row>
    <row r="72" spans="1:13" ht="16.5">
      <c r="A72" s="2207">
        <f t="shared" si="6"/>
        <v>67</v>
      </c>
      <c r="B72" s="2522"/>
      <c r="C72" s="2478" t="s">
        <v>7212</v>
      </c>
      <c r="D72" s="1820"/>
      <c r="E72" s="1821" t="e">
        <f t="shared" si="7"/>
        <v>#DIV/0!</v>
      </c>
      <c r="F72" s="1820"/>
      <c r="G72" s="1820">
        <f t="shared" si="0"/>
        <v>0</v>
      </c>
      <c r="H72" s="1820"/>
      <c r="I72" s="1821" t="e">
        <f t="shared" si="8"/>
        <v>#DIV/0!</v>
      </c>
      <c r="J72" s="1820"/>
      <c r="K72" s="1820">
        <f t="shared" si="9"/>
        <v>0</v>
      </c>
      <c r="L72" s="1821">
        <f t="shared" si="10"/>
        <v>0</v>
      </c>
      <c r="M72" s="1822"/>
    </row>
    <row r="73" spans="1:13" ht="16.5">
      <c r="A73" s="2207">
        <f t="shared" si="6"/>
        <v>68</v>
      </c>
      <c r="B73" s="2522"/>
      <c r="C73" s="2476" t="s">
        <v>7213</v>
      </c>
      <c r="D73" s="1820">
        <f>SUM(D74:D80)</f>
        <v>0</v>
      </c>
      <c r="E73" s="1821" t="e">
        <f t="shared" si="7"/>
        <v>#DIV/0!</v>
      </c>
      <c r="F73" s="1820">
        <f>SUM(F74:F80)</f>
        <v>0</v>
      </c>
      <c r="G73" s="1820">
        <f t="shared" si="0"/>
        <v>0</v>
      </c>
      <c r="H73" s="1820">
        <f>SUM(H74:H80)</f>
        <v>0</v>
      </c>
      <c r="I73" s="1821" t="e">
        <f t="shared" si="8"/>
        <v>#DIV/0!</v>
      </c>
      <c r="J73" s="1820">
        <f>SUM(J74:J80)</f>
        <v>0</v>
      </c>
      <c r="K73" s="1820">
        <f t="shared" si="9"/>
        <v>0</v>
      </c>
      <c r="L73" s="1821">
        <f t="shared" si="10"/>
        <v>0</v>
      </c>
      <c r="M73" s="1822"/>
    </row>
    <row r="74" spans="1:13" ht="16.5">
      <c r="A74" s="2207">
        <f t="shared" si="6"/>
        <v>69</v>
      </c>
      <c r="B74" s="2522"/>
      <c r="C74" s="2478" t="s">
        <v>7206</v>
      </c>
      <c r="D74" s="1820"/>
      <c r="E74" s="1821" t="e">
        <f t="shared" si="7"/>
        <v>#DIV/0!</v>
      </c>
      <c r="F74" s="1820"/>
      <c r="G74" s="1820">
        <f t="shared" si="0"/>
        <v>0</v>
      </c>
      <c r="H74" s="1820"/>
      <c r="I74" s="1821" t="e">
        <f t="shared" si="8"/>
        <v>#DIV/0!</v>
      </c>
      <c r="J74" s="1820"/>
      <c r="K74" s="1820">
        <f t="shared" si="9"/>
        <v>0</v>
      </c>
      <c r="L74" s="1821">
        <f t="shared" si="10"/>
        <v>0</v>
      </c>
      <c r="M74" s="1825"/>
    </row>
    <row r="75" spans="1:13" ht="16.5">
      <c r="A75" s="2207">
        <f t="shared" si="6"/>
        <v>70</v>
      </c>
      <c r="B75" s="2522"/>
      <c r="C75" s="2478" t="s">
        <v>7207</v>
      </c>
      <c r="D75" s="1820"/>
      <c r="E75" s="1821" t="e">
        <f t="shared" si="7"/>
        <v>#DIV/0!</v>
      </c>
      <c r="F75" s="1820"/>
      <c r="G75" s="1820">
        <f t="shared" si="0"/>
        <v>0</v>
      </c>
      <c r="H75" s="1820"/>
      <c r="I75" s="1821" t="e">
        <f t="shared" si="8"/>
        <v>#DIV/0!</v>
      </c>
      <c r="J75" s="1820"/>
      <c r="K75" s="1820">
        <f t="shared" si="9"/>
        <v>0</v>
      </c>
      <c r="L75" s="1821">
        <f t="shared" si="10"/>
        <v>0</v>
      </c>
      <c r="M75" s="1822"/>
    </row>
    <row r="76" spans="1:13" ht="16.5">
      <c r="A76" s="2207">
        <f t="shared" si="6"/>
        <v>71</v>
      </c>
      <c r="B76" s="2522"/>
      <c r="C76" s="2478" t="s">
        <v>7214</v>
      </c>
      <c r="D76" s="1820"/>
      <c r="E76" s="1821" t="e">
        <f t="shared" si="7"/>
        <v>#DIV/0!</v>
      </c>
      <c r="F76" s="1820"/>
      <c r="G76" s="1820">
        <f t="shared" si="0"/>
        <v>0</v>
      </c>
      <c r="H76" s="1820"/>
      <c r="I76" s="1821" t="e">
        <f t="shared" si="8"/>
        <v>#DIV/0!</v>
      </c>
      <c r="J76" s="1820"/>
      <c r="K76" s="1820">
        <f t="shared" si="9"/>
        <v>0</v>
      </c>
      <c r="L76" s="1821">
        <f t="shared" si="10"/>
        <v>0</v>
      </c>
      <c r="M76" s="1825"/>
    </row>
    <row r="77" spans="1:13" ht="16.5">
      <c r="A77" s="2207">
        <f t="shared" si="6"/>
        <v>72</v>
      </c>
      <c r="B77" s="2522"/>
      <c r="C77" s="2478" t="s">
        <v>7209</v>
      </c>
      <c r="D77" s="1820"/>
      <c r="E77" s="1821" t="e">
        <f t="shared" si="7"/>
        <v>#DIV/0!</v>
      </c>
      <c r="F77" s="1820"/>
      <c r="G77" s="1820">
        <f t="shared" si="0"/>
        <v>0</v>
      </c>
      <c r="H77" s="1820"/>
      <c r="I77" s="1821" t="e">
        <f t="shared" si="8"/>
        <v>#DIV/0!</v>
      </c>
      <c r="J77" s="1820"/>
      <c r="K77" s="1820">
        <f t="shared" si="9"/>
        <v>0</v>
      </c>
      <c r="L77" s="1821">
        <f t="shared" si="10"/>
        <v>0</v>
      </c>
      <c r="M77" s="1822"/>
    </row>
    <row r="78" spans="1:13" ht="16.5">
      <c r="A78" s="2207">
        <f t="shared" si="6"/>
        <v>73</v>
      </c>
      <c r="B78" s="2522"/>
      <c r="C78" s="2478" t="s">
        <v>7210</v>
      </c>
      <c r="D78" s="1820"/>
      <c r="E78" s="1821" t="e">
        <f t="shared" si="7"/>
        <v>#DIV/0!</v>
      </c>
      <c r="F78" s="1820"/>
      <c r="G78" s="1820">
        <f t="shared" si="0"/>
        <v>0</v>
      </c>
      <c r="H78" s="1820"/>
      <c r="I78" s="1821" t="e">
        <f t="shared" si="8"/>
        <v>#DIV/0!</v>
      </c>
      <c r="J78" s="1820"/>
      <c r="K78" s="1820">
        <f t="shared" si="9"/>
        <v>0</v>
      </c>
      <c r="L78" s="1821">
        <f t="shared" si="10"/>
        <v>0</v>
      </c>
      <c r="M78" s="1822"/>
    </row>
    <row r="79" spans="1:13" ht="16.5">
      <c r="A79" s="2207">
        <f t="shared" si="6"/>
        <v>74</v>
      </c>
      <c r="B79" s="2522"/>
      <c r="C79" s="2478" t="s">
        <v>7211</v>
      </c>
      <c r="D79" s="1820"/>
      <c r="E79" s="1821" t="e">
        <f t="shared" si="7"/>
        <v>#DIV/0!</v>
      </c>
      <c r="F79" s="1820"/>
      <c r="G79" s="1820">
        <f t="shared" si="0"/>
        <v>0</v>
      </c>
      <c r="H79" s="1820"/>
      <c r="I79" s="1821" t="e">
        <f t="shared" si="8"/>
        <v>#DIV/0!</v>
      </c>
      <c r="J79" s="1820"/>
      <c r="K79" s="1820">
        <f t="shared" si="9"/>
        <v>0</v>
      </c>
      <c r="L79" s="1821">
        <f t="shared" si="10"/>
        <v>0</v>
      </c>
      <c r="M79" s="1822"/>
    </row>
    <row r="80" spans="1:13" ht="16.5">
      <c r="A80" s="2207">
        <f t="shared" si="6"/>
        <v>75</v>
      </c>
      <c r="B80" s="2522"/>
      <c r="C80" s="2478" t="s">
        <v>7212</v>
      </c>
      <c r="D80" s="1820"/>
      <c r="E80" s="1821" t="e">
        <f t="shared" si="7"/>
        <v>#DIV/0!</v>
      </c>
      <c r="F80" s="1820"/>
      <c r="G80" s="1820">
        <f t="shared" si="0"/>
        <v>0</v>
      </c>
      <c r="H80" s="1820"/>
      <c r="I80" s="1821" t="e">
        <f t="shared" si="8"/>
        <v>#DIV/0!</v>
      </c>
      <c r="J80" s="1820"/>
      <c r="K80" s="1820">
        <f t="shared" si="9"/>
        <v>0</v>
      </c>
      <c r="L80" s="1821">
        <f t="shared" si="10"/>
        <v>0</v>
      </c>
      <c r="M80" s="1822"/>
    </row>
    <row r="81" spans="1:13" ht="16.5">
      <c r="A81" s="2207">
        <f t="shared" si="6"/>
        <v>76</v>
      </c>
      <c r="B81" s="2522"/>
      <c r="C81" s="2208" t="s">
        <v>3601</v>
      </c>
      <c r="D81" s="1820">
        <f>D12+D13+D40+D55</f>
        <v>0</v>
      </c>
      <c r="E81" s="1821" t="e">
        <f t="shared" si="7"/>
        <v>#DIV/0!</v>
      </c>
      <c r="F81" s="1820">
        <f>F12+F13+F40+F55</f>
        <v>0</v>
      </c>
      <c r="G81" s="1820">
        <f t="shared" si="0"/>
        <v>0</v>
      </c>
      <c r="H81" s="1820">
        <f>H12+H13+H40+H55</f>
        <v>0</v>
      </c>
      <c r="I81" s="1821" t="e">
        <f t="shared" si="8"/>
        <v>#DIV/0!</v>
      </c>
      <c r="J81" s="1820">
        <f>J12+J13+J40+J55</f>
        <v>0</v>
      </c>
      <c r="K81" s="1820">
        <f t="shared" si="9"/>
        <v>0</v>
      </c>
      <c r="L81" s="1821">
        <f t="shared" si="10"/>
        <v>0</v>
      </c>
      <c r="M81" s="1822"/>
    </row>
    <row r="82" spans="1:13" ht="16.5" customHeight="1">
      <c r="A82" s="2207">
        <f t="shared" si="6"/>
        <v>77</v>
      </c>
      <c r="B82" s="2522" t="s">
        <v>3677</v>
      </c>
      <c r="C82" s="2208" t="s">
        <v>7055</v>
      </c>
      <c r="D82" s="1820">
        <f>SUM(D83:D88)</f>
        <v>0</v>
      </c>
      <c r="E82" s="1821" t="e">
        <f t="shared" si="7"/>
        <v>#DIV/0!</v>
      </c>
      <c r="F82" s="1820">
        <f>SUM(F83:F88)</f>
        <v>0</v>
      </c>
      <c r="G82" s="1820">
        <f t="shared" ref="G82:G145" si="11">D82-F82</f>
        <v>0</v>
      </c>
      <c r="H82" s="1820">
        <f>SUM(H83:H88)</f>
        <v>0</v>
      </c>
      <c r="I82" s="1821" t="e">
        <f t="shared" si="8"/>
        <v>#DIV/0!</v>
      </c>
      <c r="J82" s="1820">
        <f>SUM(J83:J88)</f>
        <v>0</v>
      </c>
      <c r="K82" s="1820">
        <f t="shared" si="9"/>
        <v>0</v>
      </c>
      <c r="L82" s="1821">
        <f t="shared" si="10"/>
        <v>0</v>
      </c>
      <c r="M82" s="1822"/>
    </row>
    <row r="83" spans="1:13" ht="16.5">
      <c r="A83" s="2207">
        <f t="shared" si="6"/>
        <v>78</v>
      </c>
      <c r="B83" s="2522"/>
      <c r="C83" s="1828" t="s">
        <v>3678</v>
      </c>
      <c r="D83" s="1820"/>
      <c r="E83" s="1821" t="e">
        <f t="shared" si="7"/>
        <v>#DIV/0!</v>
      </c>
      <c r="F83" s="1820"/>
      <c r="G83" s="1820">
        <f t="shared" si="11"/>
        <v>0</v>
      </c>
      <c r="H83" s="1820"/>
      <c r="I83" s="1821" t="e">
        <f t="shared" si="8"/>
        <v>#DIV/0!</v>
      </c>
      <c r="J83" s="1820"/>
      <c r="K83" s="1820">
        <f t="shared" si="9"/>
        <v>0</v>
      </c>
      <c r="L83" s="1821">
        <f t="shared" si="10"/>
        <v>0</v>
      </c>
      <c r="M83" s="1822"/>
    </row>
    <row r="84" spans="1:13" ht="16.5">
      <c r="A84" s="2207">
        <f t="shared" si="6"/>
        <v>79</v>
      </c>
      <c r="B84" s="2522"/>
      <c r="C84" s="1828" t="s">
        <v>3679</v>
      </c>
      <c r="D84" s="1820"/>
      <c r="E84" s="1821" t="e">
        <f t="shared" si="7"/>
        <v>#DIV/0!</v>
      </c>
      <c r="F84" s="1820"/>
      <c r="G84" s="1820">
        <f t="shared" si="11"/>
        <v>0</v>
      </c>
      <c r="H84" s="1820"/>
      <c r="I84" s="1821" t="e">
        <f t="shared" si="8"/>
        <v>#DIV/0!</v>
      </c>
      <c r="J84" s="1820"/>
      <c r="K84" s="1820">
        <f t="shared" si="9"/>
        <v>0</v>
      </c>
      <c r="L84" s="1821">
        <f t="shared" si="10"/>
        <v>0</v>
      </c>
      <c r="M84" s="1822"/>
    </row>
    <row r="85" spans="1:13" ht="16.5">
      <c r="A85" s="2207">
        <f t="shared" si="6"/>
        <v>80</v>
      </c>
      <c r="B85" s="2522"/>
      <c r="C85" s="1828" t="s">
        <v>3680</v>
      </c>
      <c r="D85" s="1820"/>
      <c r="E85" s="1821" t="e">
        <f t="shared" si="7"/>
        <v>#DIV/0!</v>
      </c>
      <c r="F85" s="1820"/>
      <c r="G85" s="1820">
        <f t="shared" si="11"/>
        <v>0</v>
      </c>
      <c r="H85" s="1820"/>
      <c r="I85" s="1821" t="e">
        <f t="shared" si="8"/>
        <v>#DIV/0!</v>
      </c>
      <c r="J85" s="1820"/>
      <c r="K85" s="1820">
        <f t="shared" si="9"/>
        <v>0</v>
      </c>
      <c r="L85" s="1821">
        <f t="shared" si="10"/>
        <v>0</v>
      </c>
      <c r="M85" s="1822"/>
    </row>
    <row r="86" spans="1:13" ht="16.5">
      <c r="A86" s="2207">
        <f t="shared" si="6"/>
        <v>81</v>
      </c>
      <c r="B86" s="2522"/>
      <c r="C86" s="1828" t="s">
        <v>3681</v>
      </c>
      <c r="D86" s="1820"/>
      <c r="E86" s="1821" t="e">
        <f t="shared" si="7"/>
        <v>#DIV/0!</v>
      </c>
      <c r="F86" s="1820"/>
      <c r="G86" s="1820">
        <f t="shared" si="11"/>
        <v>0</v>
      </c>
      <c r="H86" s="1820"/>
      <c r="I86" s="1821" t="e">
        <f t="shared" si="8"/>
        <v>#DIV/0!</v>
      </c>
      <c r="J86" s="1820"/>
      <c r="K86" s="1820">
        <f t="shared" si="9"/>
        <v>0</v>
      </c>
      <c r="L86" s="1821">
        <f t="shared" si="10"/>
        <v>0</v>
      </c>
      <c r="M86" s="1822"/>
    </row>
    <row r="87" spans="1:13" ht="16.5">
      <c r="A87" s="2207">
        <f t="shared" si="6"/>
        <v>82</v>
      </c>
      <c r="B87" s="2522"/>
      <c r="C87" s="1828" t="s">
        <v>3682</v>
      </c>
      <c r="D87" s="1820"/>
      <c r="E87" s="1821" t="e">
        <f t="shared" si="7"/>
        <v>#DIV/0!</v>
      </c>
      <c r="F87" s="1820"/>
      <c r="G87" s="1820">
        <f t="shared" si="11"/>
        <v>0</v>
      </c>
      <c r="H87" s="1820"/>
      <c r="I87" s="1821" t="e">
        <f t="shared" si="8"/>
        <v>#DIV/0!</v>
      </c>
      <c r="J87" s="1820"/>
      <c r="K87" s="1820">
        <f t="shared" si="9"/>
        <v>0</v>
      </c>
      <c r="L87" s="1821">
        <f t="shared" si="10"/>
        <v>0</v>
      </c>
      <c r="M87" s="1822"/>
    </row>
    <row r="88" spans="1:13" ht="16.5">
      <c r="A88" s="2207">
        <f t="shared" si="6"/>
        <v>83</v>
      </c>
      <c r="B88" s="2522"/>
      <c r="C88" s="1828" t="s">
        <v>3683</v>
      </c>
      <c r="D88" s="1820">
        <f>SUM(D89:D90)</f>
        <v>0</v>
      </c>
      <c r="E88" s="1821" t="e">
        <f t="shared" si="7"/>
        <v>#DIV/0!</v>
      </c>
      <c r="F88" s="1820">
        <f>SUM(F89:F90)</f>
        <v>0</v>
      </c>
      <c r="G88" s="1820">
        <f t="shared" si="11"/>
        <v>0</v>
      </c>
      <c r="H88" s="1820">
        <f>SUM(H89:H90)</f>
        <v>0</v>
      </c>
      <c r="I88" s="1821" t="e">
        <f t="shared" si="8"/>
        <v>#DIV/0!</v>
      </c>
      <c r="J88" s="1820">
        <f>SUM(J89:J90)</f>
        <v>0</v>
      </c>
      <c r="K88" s="1820">
        <f t="shared" si="9"/>
        <v>0</v>
      </c>
      <c r="L88" s="1821">
        <f t="shared" si="10"/>
        <v>0</v>
      </c>
      <c r="M88" s="1822"/>
    </row>
    <row r="89" spans="1:13" ht="16.5">
      <c r="A89" s="2207">
        <f t="shared" si="6"/>
        <v>84</v>
      </c>
      <c r="B89" s="2522"/>
      <c r="C89" s="1824" t="s">
        <v>3684</v>
      </c>
      <c r="D89" s="1820"/>
      <c r="E89" s="1821" t="e">
        <f t="shared" si="7"/>
        <v>#DIV/0!</v>
      </c>
      <c r="F89" s="1820"/>
      <c r="G89" s="1820">
        <f t="shared" si="11"/>
        <v>0</v>
      </c>
      <c r="H89" s="1820"/>
      <c r="I89" s="1821" t="e">
        <f t="shared" si="8"/>
        <v>#DIV/0!</v>
      </c>
      <c r="J89" s="1820"/>
      <c r="K89" s="1820">
        <f t="shared" si="9"/>
        <v>0</v>
      </c>
      <c r="L89" s="1821">
        <f t="shared" si="10"/>
        <v>0</v>
      </c>
      <c r="M89" s="1822"/>
    </row>
    <row r="90" spans="1:13" ht="16.5">
      <c r="A90" s="2207">
        <f t="shared" si="6"/>
        <v>85</v>
      </c>
      <c r="B90" s="2522"/>
      <c r="C90" s="1824" t="s">
        <v>3685</v>
      </c>
      <c r="D90" s="1820"/>
      <c r="E90" s="1821" t="e">
        <f t="shared" si="7"/>
        <v>#DIV/0!</v>
      </c>
      <c r="F90" s="1820"/>
      <c r="G90" s="1820">
        <f t="shared" si="11"/>
        <v>0</v>
      </c>
      <c r="H90" s="1820"/>
      <c r="I90" s="1821" t="e">
        <f t="shared" si="8"/>
        <v>#DIV/0!</v>
      </c>
      <c r="J90" s="1820"/>
      <c r="K90" s="1820">
        <f t="shared" si="9"/>
        <v>0</v>
      </c>
      <c r="L90" s="1821">
        <f t="shared" si="10"/>
        <v>0</v>
      </c>
      <c r="M90" s="1822"/>
    </row>
    <row r="91" spans="1:13" ht="16.5">
      <c r="A91" s="2207">
        <f t="shared" si="6"/>
        <v>86</v>
      </c>
      <c r="B91" s="2522"/>
      <c r="C91" s="2208" t="s">
        <v>7056</v>
      </c>
      <c r="D91" s="1820">
        <f>D92+D95</f>
        <v>0</v>
      </c>
      <c r="E91" s="1821" t="e">
        <f t="shared" si="7"/>
        <v>#DIV/0!</v>
      </c>
      <c r="F91" s="1820">
        <f>F92+F95</f>
        <v>0</v>
      </c>
      <c r="G91" s="1820">
        <f t="shared" si="11"/>
        <v>0</v>
      </c>
      <c r="H91" s="1820">
        <f>H92+H95</f>
        <v>0</v>
      </c>
      <c r="I91" s="1821" t="e">
        <f t="shared" si="8"/>
        <v>#DIV/0!</v>
      </c>
      <c r="J91" s="1820">
        <f>J92+J95</f>
        <v>0</v>
      </c>
      <c r="K91" s="1820">
        <f t="shared" si="9"/>
        <v>0</v>
      </c>
      <c r="L91" s="1821">
        <f t="shared" si="10"/>
        <v>0</v>
      </c>
      <c r="M91" s="1822"/>
    </row>
    <row r="92" spans="1:13" ht="16.5">
      <c r="A92" s="2207">
        <f t="shared" si="6"/>
        <v>87</v>
      </c>
      <c r="B92" s="2522"/>
      <c r="C92" s="1828" t="s">
        <v>3686</v>
      </c>
      <c r="D92" s="1820">
        <f>SUM(D93:D94)</f>
        <v>0</v>
      </c>
      <c r="E92" s="1821" t="e">
        <f t="shared" si="7"/>
        <v>#DIV/0!</v>
      </c>
      <c r="F92" s="1820">
        <f>SUM(F93:F94)</f>
        <v>0</v>
      </c>
      <c r="G92" s="1820">
        <f t="shared" si="11"/>
        <v>0</v>
      </c>
      <c r="H92" s="1820">
        <f>SUM(H93:H94)</f>
        <v>0</v>
      </c>
      <c r="I92" s="1821" t="e">
        <f t="shared" si="8"/>
        <v>#DIV/0!</v>
      </c>
      <c r="J92" s="1820">
        <f>SUM(J93:J94)</f>
        <v>0</v>
      </c>
      <c r="K92" s="1820">
        <f t="shared" si="9"/>
        <v>0</v>
      </c>
      <c r="L92" s="1821">
        <f t="shared" si="10"/>
        <v>0</v>
      </c>
      <c r="M92" s="1822"/>
    </row>
    <row r="93" spans="1:13" ht="16.5">
      <c r="A93" s="2207">
        <f t="shared" si="6"/>
        <v>88</v>
      </c>
      <c r="B93" s="2522"/>
      <c r="C93" s="1824" t="s">
        <v>3684</v>
      </c>
      <c r="D93" s="1820"/>
      <c r="E93" s="1821" t="e">
        <f t="shared" si="7"/>
        <v>#DIV/0!</v>
      </c>
      <c r="F93" s="1820"/>
      <c r="G93" s="1820">
        <f t="shared" si="11"/>
        <v>0</v>
      </c>
      <c r="H93" s="1820"/>
      <c r="I93" s="1821" t="e">
        <f t="shared" si="8"/>
        <v>#DIV/0!</v>
      </c>
      <c r="J93" s="1820"/>
      <c r="K93" s="1820">
        <f t="shared" si="9"/>
        <v>0</v>
      </c>
      <c r="L93" s="1821">
        <f t="shared" si="10"/>
        <v>0</v>
      </c>
      <c r="M93" s="1822"/>
    </row>
    <row r="94" spans="1:13" ht="16.5">
      <c r="A94" s="2207">
        <f t="shared" si="6"/>
        <v>89</v>
      </c>
      <c r="B94" s="2522"/>
      <c r="C94" s="1824" t="s">
        <v>3685</v>
      </c>
      <c r="D94" s="1820"/>
      <c r="E94" s="1821" t="e">
        <f t="shared" si="7"/>
        <v>#DIV/0!</v>
      </c>
      <c r="F94" s="1820"/>
      <c r="G94" s="1820">
        <f t="shared" si="11"/>
        <v>0</v>
      </c>
      <c r="H94" s="1820"/>
      <c r="I94" s="1821" t="e">
        <f t="shared" si="8"/>
        <v>#DIV/0!</v>
      </c>
      <c r="J94" s="1820"/>
      <c r="K94" s="1820">
        <f t="shared" si="9"/>
        <v>0</v>
      </c>
      <c r="L94" s="1821">
        <f t="shared" si="10"/>
        <v>0</v>
      </c>
      <c r="M94" s="1822"/>
    </row>
    <row r="95" spans="1:13" ht="16.5">
      <c r="A95" s="2207">
        <f t="shared" si="6"/>
        <v>90</v>
      </c>
      <c r="B95" s="2522"/>
      <c r="C95" s="1828" t="s">
        <v>3687</v>
      </c>
      <c r="D95" s="1820">
        <f>SUM(D96:D97)</f>
        <v>0</v>
      </c>
      <c r="E95" s="1821" t="e">
        <f t="shared" si="7"/>
        <v>#DIV/0!</v>
      </c>
      <c r="F95" s="1820">
        <f>SUM(F96:F97)</f>
        <v>0</v>
      </c>
      <c r="G95" s="1820">
        <f t="shared" si="11"/>
        <v>0</v>
      </c>
      <c r="H95" s="1820">
        <f>SUM(H96:H97)</f>
        <v>0</v>
      </c>
      <c r="I95" s="1821" t="e">
        <f t="shared" si="8"/>
        <v>#DIV/0!</v>
      </c>
      <c r="J95" s="1820">
        <f>SUM(J96:J97)</f>
        <v>0</v>
      </c>
      <c r="K95" s="1820">
        <f t="shared" si="9"/>
        <v>0</v>
      </c>
      <c r="L95" s="1821">
        <f t="shared" si="10"/>
        <v>0</v>
      </c>
      <c r="M95" s="1822"/>
    </row>
    <row r="96" spans="1:13" ht="16.5">
      <c r="A96" s="2207">
        <f t="shared" si="6"/>
        <v>91</v>
      </c>
      <c r="B96" s="2522"/>
      <c r="C96" s="1824" t="s">
        <v>3684</v>
      </c>
      <c r="D96" s="1820"/>
      <c r="E96" s="1821" t="e">
        <f t="shared" si="7"/>
        <v>#DIV/0!</v>
      </c>
      <c r="F96" s="1820"/>
      <c r="G96" s="1820">
        <f t="shared" si="11"/>
        <v>0</v>
      </c>
      <c r="H96" s="1820"/>
      <c r="I96" s="1821" t="e">
        <f t="shared" si="8"/>
        <v>#DIV/0!</v>
      </c>
      <c r="J96" s="1820"/>
      <c r="K96" s="1820">
        <f t="shared" si="9"/>
        <v>0</v>
      </c>
      <c r="L96" s="1821">
        <f t="shared" si="10"/>
        <v>0</v>
      </c>
      <c r="M96" s="1822"/>
    </row>
    <row r="97" spans="1:13" ht="16.5">
      <c r="A97" s="2207">
        <f t="shared" si="6"/>
        <v>92</v>
      </c>
      <c r="B97" s="2522"/>
      <c r="C97" s="1824" t="s">
        <v>3685</v>
      </c>
      <c r="D97" s="1820"/>
      <c r="E97" s="1821" t="e">
        <f t="shared" si="7"/>
        <v>#DIV/0!</v>
      </c>
      <c r="F97" s="1820"/>
      <c r="G97" s="1820">
        <f t="shared" si="11"/>
        <v>0</v>
      </c>
      <c r="H97" s="1820"/>
      <c r="I97" s="1821" t="e">
        <f t="shared" si="8"/>
        <v>#DIV/0!</v>
      </c>
      <c r="J97" s="1820"/>
      <c r="K97" s="1820">
        <f t="shared" si="9"/>
        <v>0</v>
      </c>
      <c r="L97" s="1821">
        <f t="shared" si="10"/>
        <v>0</v>
      </c>
      <c r="M97" s="1822"/>
    </row>
    <row r="98" spans="1:13" ht="16.5">
      <c r="A98" s="2207">
        <f t="shared" si="6"/>
        <v>93</v>
      </c>
      <c r="B98" s="2522"/>
      <c r="C98" s="2208" t="s">
        <v>3602</v>
      </c>
      <c r="D98" s="1820">
        <f>D82+D91</f>
        <v>0</v>
      </c>
      <c r="E98" s="1821" t="e">
        <f t="shared" si="7"/>
        <v>#DIV/0!</v>
      </c>
      <c r="F98" s="1820">
        <f>F82+F91</f>
        <v>0</v>
      </c>
      <c r="G98" s="1820">
        <f t="shared" si="11"/>
        <v>0</v>
      </c>
      <c r="H98" s="1820">
        <f>H82+H91</f>
        <v>0</v>
      </c>
      <c r="I98" s="1821" t="e">
        <f t="shared" si="8"/>
        <v>#DIV/0!</v>
      </c>
      <c r="J98" s="1820">
        <f>J82+J91</f>
        <v>0</v>
      </c>
      <c r="K98" s="1820">
        <f t="shared" si="9"/>
        <v>0</v>
      </c>
      <c r="L98" s="1821">
        <f t="shared" si="10"/>
        <v>0</v>
      </c>
      <c r="M98" s="1822"/>
    </row>
    <row r="99" spans="1:13" ht="16.5">
      <c r="A99" s="2207">
        <f t="shared" si="6"/>
        <v>94</v>
      </c>
      <c r="B99" s="2207"/>
      <c r="C99" s="2208" t="s">
        <v>3603</v>
      </c>
      <c r="D99" s="1820">
        <f>D98-D83-D90-D94-D97</f>
        <v>0</v>
      </c>
      <c r="E99" s="1821" t="e">
        <f t="shared" si="7"/>
        <v>#DIV/0!</v>
      </c>
      <c r="F99" s="1820">
        <f>F98-F83-F90-F94-F97</f>
        <v>0</v>
      </c>
      <c r="G99" s="1820">
        <f t="shared" si="11"/>
        <v>0</v>
      </c>
      <c r="H99" s="1820">
        <f>H98-H83-H90-H94-H97</f>
        <v>0</v>
      </c>
      <c r="I99" s="1821" t="e">
        <f t="shared" si="8"/>
        <v>#DIV/0!</v>
      </c>
      <c r="J99" s="1820">
        <f>J98-J83-J90-J94-J97</f>
        <v>0</v>
      </c>
      <c r="K99" s="1820">
        <f t="shared" si="9"/>
        <v>0</v>
      </c>
      <c r="L99" s="1821">
        <f t="shared" si="10"/>
        <v>0</v>
      </c>
      <c r="M99" s="1822"/>
    </row>
    <row r="100" spans="1:13" ht="16.5">
      <c r="A100" s="2207">
        <f t="shared" si="6"/>
        <v>95</v>
      </c>
      <c r="B100" s="2522" t="s">
        <v>3604</v>
      </c>
      <c r="C100" s="2208" t="s">
        <v>3605</v>
      </c>
      <c r="D100" s="1820">
        <f>SUM(D101:D105)</f>
        <v>0</v>
      </c>
      <c r="E100" s="1821" t="e">
        <f t="shared" si="7"/>
        <v>#DIV/0!</v>
      </c>
      <c r="F100" s="1820">
        <f>SUM(F101:F105)</f>
        <v>0</v>
      </c>
      <c r="G100" s="1820">
        <f t="shared" si="11"/>
        <v>0</v>
      </c>
      <c r="H100" s="1820">
        <f>SUM(H101:H105)</f>
        <v>0</v>
      </c>
      <c r="I100" s="1821" t="e">
        <f t="shared" si="8"/>
        <v>#DIV/0!</v>
      </c>
      <c r="J100" s="1820">
        <f>SUM(J101:J105)</f>
        <v>0</v>
      </c>
      <c r="K100" s="1820">
        <f t="shared" si="9"/>
        <v>0</v>
      </c>
      <c r="L100" s="1821">
        <f t="shared" si="10"/>
        <v>0</v>
      </c>
      <c r="M100" s="1822"/>
    </row>
    <row r="101" spans="1:13" ht="16.5">
      <c r="A101" s="2207">
        <f t="shared" si="6"/>
        <v>96</v>
      </c>
      <c r="B101" s="2522"/>
      <c r="C101" s="1828" t="s">
        <v>3688</v>
      </c>
      <c r="D101" s="1820"/>
      <c r="E101" s="1821" t="e">
        <f t="shared" si="7"/>
        <v>#DIV/0!</v>
      </c>
      <c r="F101" s="1820"/>
      <c r="G101" s="1820">
        <f t="shared" si="11"/>
        <v>0</v>
      </c>
      <c r="H101" s="1820"/>
      <c r="I101" s="1821" t="e">
        <f t="shared" si="8"/>
        <v>#DIV/0!</v>
      </c>
      <c r="J101" s="1820"/>
      <c r="K101" s="1820">
        <f t="shared" si="9"/>
        <v>0</v>
      </c>
      <c r="L101" s="1821">
        <f t="shared" si="10"/>
        <v>0</v>
      </c>
      <c r="M101" s="1822"/>
    </row>
    <row r="102" spans="1:13" ht="16.5">
      <c r="A102" s="2207">
        <f t="shared" si="6"/>
        <v>97</v>
      </c>
      <c r="B102" s="2522"/>
      <c r="C102" s="1828" t="s">
        <v>3689</v>
      </c>
      <c r="D102" s="1820"/>
      <c r="E102" s="1821" t="e">
        <f t="shared" si="7"/>
        <v>#DIV/0!</v>
      </c>
      <c r="F102" s="1820"/>
      <c r="G102" s="1820">
        <f t="shared" si="11"/>
        <v>0</v>
      </c>
      <c r="H102" s="1820"/>
      <c r="I102" s="1821" t="e">
        <f t="shared" si="8"/>
        <v>#DIV/0!</v>
      </c>
      <c r="J102" s="1820"/>
      <c r="K102" s="1820">
        <f t="shared" si="9"/>
        <v>0</v>
      </c>
      <c r="L102" s="1821">
        <f t="shared" si="10"/>
        <v>0</v>
      </c>
      <c r="M102" s="1822"/>
    </row>
    <row r="103" spans="1:13" ht="16.5">
      <c r="A103" s="2207">
        <f t="shared" si="6"/>
        <v>98</v>
      </c>
      <c r="B103" s="2522"/>
      <c r="C103" s="1828" t="s">
        <v>3690</v>
      </c>
      <c r="D103" s="1820"/>
      <c r="E103" s="1821" t="e">
        <f t="shared" si="7"/>
        <v>#DIV/0!</v>
      </c>
      <c r="F103" s="1820"/>
      <c r="G103" s="1820">
        <f t="shared" si="11"/>
        <v>0</v>
      </c>
      <c r="H103" s="1820"/>
      <c r="I103" s="1821" t="e">
        <f t="shared" si="8"/>
        <v>#DIV/0!</v>
      </c>
      <c r="J103" s="1820"/>
      <c r="K103" s="1820">
        <f t="shared" si="9"/>
        <v>0</v>
      </c>
      <c r="L103" s="1821">
        <f t="shared" si="10"/>
        <v>0</v>
      </c>
      <c r="M103" s="1822"/>
    </row>
    <row r="104" spans="1:13" ht="16.5">
      <c r="A104" s="2207">
        <f t="shared" si="6"/>
        <v>99</v>
      </c>
      <c r="B104" s="2522"/>
      <c r="C104" s="1828" t="s">
        <v>3691</v>
      </c>
      <c r="D104" s="1820"/>
      <c r="E104" s="1821" t="e">
        <f t="shared" si="7"/>
        <v>#DIV/0!</v>
      </c>
      <c r="F104" s="1820"/>
      <c r="G104" s="1820">
        <f t="shared" si="11"/>
        <v>0</v>
      </c>
      <c r="H104" s="1820"/>
      <c r="I104" s="1821" t="e">
        <f t="shared" si="8"/>
        <v>#DIV/0!</v>
      </c>
      <c r="J104" s="1820"/>
      <c r="K104" s="1820">
        <f t="shared" si="9"/>
        <v>0</v>
      </c>
      <c r="L104" s="1821">
        <f t="shared" si="10"/>
        <v>0</v>
      </c>
      <c r="M104" s="1822"/>
    </row>
    <row r="105" spans="1:13" ht="16.5">
      <c r="A105" s="2207">
        <f t="shared" si="6"/>
        <v>100</v>
      </c>
      <c r="B105" s="2522"/>
      <c r="C105" s="1828" t="s">
        <v>3692</v>
      </c>
      <c r="D105" s="1820"/>
      <c r="E105" s="1821" t="e">
        <f t="shared" si="7"/>
        <v>#DIV/0!</v>
      </c>
      <c r="F105" s="1820"/>
      <c r="G105" s="1820">
        <f t="shared" si="11"/>
        <v>0</v>
      </c>
      <c r="H105" s="1820"/>
      <c r="I105" s="1821" t="e">
        <f t="shared" si="8"/>
        <v>#DIV/0!</v>
      </c>
      <c r="J105" s="1820"/>
      <c r="K105" s="1820">
        <f t="shared" si="9"/>
        <v>0</v>
      </c>
      <c r="L105" s="1821">
        <f t="shared" si="10"/>
        <v>0</v>
      </c>
      <c r="M105" s="1822"/>
    </row>
    <row r="106" spans="1:13" ht="16.5">
      <c r="A106" s="2207">
        <f t="shared" si="6"/>
        <v>101</v>
      </c>
      <c r="B106" s="2522"/>
      <c r="C106" s="2208" t="s">
        <v>3606</v>
      </c>
      <c r="D106" s="1820">
        <f>SUM(D107:D108)</f>
        <v>0</v>
      </c>
      <c r="E106" s="1821" t="e">
        <f t="shared" si="7"/>
        <v>#DIV/0!</v>
      </c>
      <c r="F106" s="1820">
        <f>SUM(F107:F108)</f>
        <v>0</v>
      </c>
      <c r="G106" s="1820">
        <f t="shared" si="11"/>
        <v>0</v>
      </c>
      <c r="H106" s="1820">
        <f>SUM(H107:H108)</f>
        <v>0</v>
      </c>
      <c r="I106" s="1821" t="e">
        <f t="shared" si="8"/>
        <v>#DIV/0!</v>
      </c>
      <c r="J106" s="1820">
        <f>SUM(J107:J108)</f>
        <v>0</v>
      </c>
      <c r="K106" s="1820">
        <f t="shared" si="9"/>
        <v>0</v>
      </c>
      <c r="L106" s="1821">
        <f t="shared" si="10"/>
        <v>0</v>
      </c>
      <c r="M106" s="1822"/>
    </row>
    <row r="107" spans="1:13" ht="16.5">
      <c r="A107" s="2207">
        <f t="shared" si="6"/>
        <v>102</v>
      </c>
      <c r="B107" s="2522"/>
      <c r="C107" s="1823" t="s">
        <v>3725</v>
      </c>
      <c r="D107" s="1820"/>
      <c r="E107" s="1821" t="e">
        <f t="shared" si="7"/>
        <v>#DIV/0!</v>
      </c>
      <c r="F107" s="1820"/>
      <c r="G107" s="1820">
        <f t="shared" si="11"/>
        <v>0</v>
      </c>
      <c r="H107" s="1820"/>
      <c r="I107" s="1821" t="e">
        <f t="shared" si="8"/>
        <v>#DIV/0!</v>
      </c>
      <c r="J107" s="1820"/>
      <c r="K107" s="1820">
        <f t="shared" si="9"/>
        <v>0</v>
      </c>
      <c r="L107" s="1821">
        <f t="shared" si="10"/>
        <v>0</v>
      </c>
      <c r="M107" s="1822"/>
    </row>
    <row r="108" spans="1:13" ht="16.5">
      <c r="A108" s="2207">
        <f t="shared" si="6"/>
        <v>103</v>
      </c>
      <c r="B108" s="2522"/>
      <c r="C108" s="1823" t="s">
        <v>3735</v>
      </c>
      <c r="D108" s="1820"/>
      <c r="E108" s="1821" t="e">
        <f t="shared" si="7"/>
        <v>#DIV/0!</v>
      </c>
      <c r="F108" s="1820"/>
      <c r="G108" s="1820">
        <f t="shared" si="11"/>
        <v>0</v>
      </c>
      <c r="H108" s="1820"/>
      <c r="I108" s="1821" t="e">
        <f t="shared" si="8"/>
        <v>#DIV/0!</v>
      </c>
      <c r="J108" s="1820"/>
      <c r="K108" s="1820">
        <f t="shared" si="9"/>
        <v>0</v>
      </c>
      <c r="L108" s="1821">
        <f t="shared" si="10"/>
        <v>0</v>
      </c>
      <c r="M108" s="1822"/>
    </row>
    <row r="109" spans="1:13" ht="16.5">
      <c r="A109" s="2207">
        <f t="shared" si="6"/>
        <v>104</v>
      </c>
      <c r="B109" s="2522"/>
      <c r="C109" s="2208" t="s">
        <v>3607</v>
      </c>
      <c r="D109" s="1820">
        <f>D100+D106</f>
        <v>0</v>
      </c>
      <c r="E109" s="1821" t="e">
        <f t="shared" si="7"/>
        <v>#DIV/0!</v>
      </c>
      <c r="F109" s="1820">
        <f>F100+F106</f>
        <v>0</v>
      </c>
      <c r="G109" s="1820">
        <f t="shared" si="11"/>
        <v>0</v>
      </c>
      <c r="H109" s="1820">
        <f>H100+H106</f>
        <v>0</v>
      </c>
      <c r="I109" s="1821" t="e">
        <f t="shared" si="8"/>
        <v>#DIV/0!</v>
      </c>
      <c r="J109" s="1820">
        <f>J100+J106</f>
        <v>0</v>
      </c>
      <c r="K109" s="1820">
        <f t="shared" si="9"/>
        <v>0</v>
      </c>
      <c r="L109" s="1821">
        <f t="shared" si="10"/>
        <v>0</v>
      </c>
      <c r="M109" s="1822"/>
    </row>
    <row r="110" spans="1:13" ht="16.5" customHeight="1">
      <c r="A110" s="2207">
        <f t="shared" si="6"/>
        <v>105</v>
      </c>
      <c r="B110" s="2522" t="s">
        <v>3608</v>
      </c>
      <c r="C110" s="2208" t="s">
        <v>3609</v>
      </c>
      <c r="D110" s="1820">
        <f>D111+D141</f>
        <v>0</v>
      </c>
      <c r="E110" s="1821" t="e">
        <f t="shared" si="7"/>
        <v>#DIV/0!</v>
      </c>
      <c r="F110" s="1820">
        <f>F111+F141</f>
        <v>0</v>
      </c>
      <c r="G110" s="1820">
        <f t="shared" si="11"/>
        <v>0</v>
      </c>
      <c r="H110" s="1820">
        <f>H111+H141</f>
        <v>0</v>
      </c>
      <c r="I110" s="1821" t="e">
        <f t="shared" si="8"/>
        <v>#DIV/0!</v>
      </c>
      <c r="J110" s="1820">
        <f>J111+J141</f>
        <v>0</v>
      </c>
      <c r="K110" s="1820">
        <f t="shared" si="9"/>
        <v>0</v>
      </c>
      <c r="L110" s="1821">
        <f t="shared" si="10"/>
        <v>0</v>
      </c>
      <c r="M110" s="1822"/>
    </row>
    <row r="111" spans="1:13" ht="16.5">
      <c r="A111" s="2207">
        <f t="shared" si="6"/>
        <v>106</v>
      </c>
      <c r="B111" s="2522"/>
      <c r="C111" s="1828" t="s">
        <v>3693</v>
      </c>
      <c r="D111" s="1820">
        <f>D112+D113+D121+D126+D127+D130+D131+D132+D133+D135+D134</f>
        <v>0</v>
      </c>
      <c r="E111" s="1821" t="e">
        <f t="shared" si="7"/>
        <v>#DIV/0!</v>
      </c>
      <c r="F111" s="1820">
        <f>F112+F113+F121+F126+F127+F130+F131+F132+F133+F135+F134</f>
        <v>0</v>
      </c>
      <c r="G111" s="1820">
        <f t="shared" si="11"/>
        <v>0</v>
      </c>
      <c r="H111" s="1820">
        <f>H112+H113+H121+H126+H127+H130+H131+H132+H133+H135+H134</f>
        <v>0</v>
      </c>
      <c r="I111" s="1821" t="e">
        <f t="shared" si="8"/>
        <v>#DIV/0!</v>
      </c>
      <c r="J111" s="1820">
        <f>J112+J113+J121+J126+J127+J130+J131+J132+J133+J135+J134</f>
        <v>0</v>
      </c>
      <c r="K111" s="1820">
        <f t="shared" si="9"/>
        <v>0</v>
      </c>
      <c r="L111" s="1821">
        <f t="shared" si="10"/>
        <v>0</v>
      </c>
      <c r="M111" s="1822"/>
    </row>
    <row r="112" spans="1:13" ht="16.5">
      <c r="A112" s="2207">
        <f t="shared" si="6"/>
        <v>107</v>
      </c>
      <c r="B112" s="2522"/>
      <c r="C112" s="1824" t="s">
        <v>3694</v>
      </c>
      <c r="D112" s="1820"/>
      <c r="E112" s="1821" t="e">
        <f t="shared" si="7"/>
        <v>#DIV/0!</v>
      </c>
      <c r="F112" s="1820"/>
      <c r="G112" s="1820">
        <f t="shared" si="11"/>
        <v>0</v>
      </c>
      <c r="H112" s="1820"/>
      <c r="I112" s="1821" t="e">
        <f t="shared" si="8"/>
        <v>#DIV/0!</v>
      </c>
      <c r="J112" s="1820"/>
      <c r="K112" s="1820">
        <f t="shared" si="9"/>
        <v>0</v>
      </c>
      <c r="L112" s="1821">
        <f t="shared" si="10"/>
        <v>0</v>
      </c>
      <c r="M112" s="1822"/>
    </row>
    <row r="113" spans="1:13" ht="16.5">
      <c r="A113" s="2207">
        <f t="shared" si="6"/>
        <v>108</v>
      </c>
      <c r="B113" s="2522"/>
      <c r="C113" s="1824" t="s">
        <v>3695</v>
      </c>
      <c r="D113" s="1820">
        <f>SUM(D114:D118)</f>
        <v>0</v>
      </c>
      <c r="E113" s="1821" t="e">
        <f t="shared" si="7"/>
        <v>#DIV/0!</v>
      </c>
      <c r="F113" s="1820">
        <f>SUM(F114:F118)</f>
        <v>0</v>
      </c>
      <c r="G113" s="1820">
        <f t="shared" si="11"/>
        <v>0</v>
      </c>
      <c r="H113" s="1820">
        <f>SUM(H114:H118)</f>
        <v>0</v>
      </c>
      <c r="I113" s="1821" t="e">
        <f t="shared" si="8"/>
        <v>#DIV/0!</v>
      </c>
      <c r="J113" s="1820">
        <f>SUM(J114:J118)</f>
        <v>0</v>
      </c>
      <c r="K113" s="1820">
        <f t="shared" si="9"/>
        <v>0</v>
      </c>
      <c r="L113" s="1821">
        <f t="shared" si="10"/>
        <v>0</v>
      </c>
      <c r="M113" s="1822"/>
    </row>
    <row r="114" spans="1:13" ht="16.5">
      <c r="A114" s="2207">
        <f t="shared" si="6"/>
        <v>109</v>
      </c>
      <c r="B114" s="2522"/>
      <c r="C114" s="1826" t="s">
        <v>3696</v>
      </c>
      <c r="D114" s="1820"/>
      <c r="E114" s="1821" t="e">
        <f t="shared" si="7"/>
        <v>#DIV/0!</v>
      </c>
      <c r="F114" s="1820"/>
      <c r="G114" s="1820">
        <f t="shared" si="11"/>
        <v>0</v>
      </c>
      <c r="H114" s="1820"/>
      <c r="I114" s="1821" t="e">
        <f t="shared" si="8"/>
        <v>#DIV/0!</v>
      </c>
      <c r="J114" s="1820"/>
      <c r="K114" s="1820">
        <f t="shared" si="9"/>
        <v>0</v>
      </c>
      <c r="L114" s="1821">
        <f t="shared" si="10"/>
        <v>0</v>
      </c>
      <c r="M114" s="1822"/>
    </row>
    <row r="115" spans="1:13" ht="16.5">
      <c r="A115" s="2207">
        <f t="shared" si="6"/>
        <v>110</v>
      </c>
      <c r="B115" s="2522"/>
      <c r="C115" s="1826" t="s">
        <v>3697</v>
      </c>
      <c r="D115" s="1820"/>
      <c r="E115" s="1821" t="e">
        <f t="shared" si="7"/>
        <v>#DIV/0!</v>
      </c>
      <c r="F115" s="1820"/>
      <c r="G115" s="1820">
        <f t="shared" si="11"/>
        <v>0</v>
      </c>
      <c r="H115" s="1820"/>
      <c r="I115" s="1821" t="e">
        <f t="shared" si="8"/>
        <v>#DIV/0!</v>
      </c>
      <c r="J115" s="1820"/>
      <c r="K115" s="1820">
        <f t="shared" si="9"/>
        <v>0</v>
      </c>
      <c r="L115" s="1821">
        <f t="shared" si="10"/>
        <v>0</v>
      </c>
      <c r="M115" s="1822"/>
    </row>
    <row r="116" spans="1:13" ht="16.5">
      <c r="A116" s="2207">
        <f t="shared" si="6"/>
        <v>111</v>
      </c>
      <c r="B116" s="2522"/>
      <c r="C116" s="1826" t="s">
        <v>3698</v>
      </c>
      <c r="D116" s="1820"/>
      <c r="E116" s="1821" t="e">
        <f t="shared" si="7"/>
        <v>#DIV/0!</v>
      </c>
      <c r="F116" s="1820"/>
      <c r="G116" s="1820">
        <f t="shared" si="11"/>
        <v>0</v>
      </c>
      <c r="H116" s="1820"/>
      <c r="I116" s="1821" t="e">
        <f t="shared" si="8"/>
        <v>#DIV/0!</v>
      </c>
      <c r="J116" s="1820"/>
      <c r="K116" s="1820">
        <f t="shared" si="9"/>
        <v>0</v>
      </c>
      <c r="L116" s="1821">
        <f t="shared" si="10"/>
        <v>0</v>
      </c>
      <c r="M116" s="1822"/>
    </row>
    <row r="117" spans="1:13" ht="16.5">
      <c r="A117" s="2207">
        <f t="shared" si="6"/>
        <v>112</v>
      </c>
      <c r="B117" s="2522"/>
      <c r="C117" s="1826" t="s">
        <v>3699</v>
      </c>
      <c r="D117" s="1820"/>
      <c r="E117" s="1821" t="e">
        <f t="shared" si="7"/>
        <v>#DIV/0!</v>
      </c>
      <c r="F117" s="1820"/>
      <c r="G117" s="1820">
        <f t="shared" si="11"/>
        <v>0</v>
      </c>
      <c r="H117" s="1820"/>
      <c r="I117" s="1821" t="e">
        <f t="shared" si="8"/>
        <v>#DIV/0!</v>
      </c>
      <c r="J117" s="1820"/>
      <c r="K117" s="1820">
        <f t="shared" si="9"/>
        <v>0</v>
      </c>
      <c r="L117" s="1821">
        <f t="shared" si="10"/>
        <v>0</v>
      </c>
      <c r="M117" s="1822"/>
    </row>
    <row r="118" spans="1:13" ht="16.5">
      <c r="A118" s="2207">
        <f t="shared" si="6"/>
        <v>113</v>
      </c>
      <c r="B118" s="2522"/>
      <c r="C118" s="1826" t="s">
        <v>3700</v>
      </c>
      <c r="D118" s="1820">
        <f>SUM(D119:D120)</f>
        <v>0</v>
      </c>
      <c r="E118" s="1821" t="e">
        <f t="shared" si="7"/>
        <v>#DIV/0!</v>
      </c>
      <c r="F118" s="1820">
        <f>SUM(F119:F120)</f>
        <v>0</v>
      </c>
      <c r="G118" s="1820">
        <f t="shared" si="11"/>
        <v>0</v>
      </c>
      <c r="H118" s="1820">
        <f>SUM(H119:H120)</f>
        <v>0</v>
      </c>
      <c r="I118" s="1821" t="e">
        <f t="shared" si="8"/>
        <v>#DIV/0!</v>
      </c>
      <c r="J118" s="1820">
        <f>SUM(J119:J120)</f>
        <v>0</v>
      </c>
      <c r="K118" s="1820">
        <f t="shared" si="9"/>
        <v>0</v>
      </c>
      <c r="L118" s="1821">
        <f t="shared" si="10"/>
        <v>0</v>
      </c>
      <c r="M118" s="1822"/>
    </row>
    <row r="119" spans="1:13" ht="16.5">
      <c r="A119" s="2207">
        <f t="shared" si="6"/>
        <v>114</v>
      </c>
      <c r="B119" s="2522"/>
      <c r="C119" s="1827" t="s">
        <v>3701</v>
      </c>
      <c r="D119" s="1820"/>
      <c r="E119" s="1821" t="e">
        <f t="shared" si="7"/>
        <v>#DIV/0!</v>
      </c>
      <c r="F119" s="1820"/>
      <c r="G119" s="1820">
        <f t="shared" si="11"/>
        <v>0</v>
      </c>
      <c r="H119" s="1820"/>
      <c r="I119" s="1821" t="e">
        <f t="shared" si="8"/>
        <v>#DIV/0!</v>
      </c>
      <c r="J119" s="1820"/>
      <c r="K119" s="1820">
        <f t="shared" si="9"/>
        <v>0</v>
      </c>
      <c r="L119" s="1821">
        <f t="shared" si="10"/>
        <v>0</v>
      </c>
      <c r="M119" s="1822"/>
    </row>
    <row r="120" spans="1:13" ht="16.5">
      <c r="A120" s="2207">
        <f t="shared" si="6"/>
        <v>115</v>
      </c>
      <c r="B120" s="2522"/>
      <c r="C120" s="1827" t="s">
        <v>3702</v>
      </c>
      <c r="D120" s="1820"/>
      <c r="E120" s="1821" t="e">
        <f t="shared" si="7"/>
        <v>#DIV/0!</v>
      </c>
      <c r="F120" s="1820"/>
      <c r="G120" s="1820">
        <f t="shared" si="11"/>
        <v>0</v>
      </c>
      <c r="H120" s="1820"/>
      <c r="I120" s="1821" t="e">
        <f t="shared" si="8"/>
        <v>#DIV/0!</v>
      </c>
      <c r="J120" s="1820"/>
      <c r="K120" s="1820">
        <f t="shared" si="9"/>
        <v>0</v>
      </c>
      <c r="L120" s="1821">
        <f t="shared" si="10"/>
        <v>0</v>
      </c>
      <c r="M120" s="1822"/>
    </row>
    <row r="121" spans="1:13" ht="16.5">
      <c r="A121" s="2207">
        <f t="shared" si="6"/>
        <v>116</v>
      </c>
      <c r="B121" s="2522"/>
      <c r="C121" s="1824" t="s">
        <v>3703</v>
      </c>
      <c r="D121" s="1820">
        <f>SUM(D122:D123)</f>
        <v>0</v>
      </c>
      <c r="E121" s="1821" t="e">
        <f t="shared" si="7"/>
        <v>#DIV/0!</v>
      </c>
      <c r="F121" s="1820">
        <f>SUM(F122:F123)</f>
        <v>0</v>
      </c>
      <c r="G121" s="1820">
        <f t="shared" si="11"/>
        <v>0</v>
      </c>
      <c r="H121" s="1820">
        <f>SUM(H122:H123)</f>
        <v>0</v>
      </c>
      <c r="I121" s="1821" t="e">
        <f t="shared" si="8"/>
        <v>#DIV/0!</v>
      </c>
      <c r="J121" s="1820">
        <f>SUM(J122:J123)</f>
        <v>0</v>
      </c>
      <c r="K121" s="1820">
        <f t="shared" si="9"/>
        <v>0</v>
      </c>
      <c r="L121" s="1821">
        <f t="shared" si="10"/>
        <v>0</v>
      </c>
      <c r="M121" s="1822"/>
    </row>
    <row r="122" spans="1:13" ht="16.5">
      <c r="A122" s="2207">
        <f t="shared" si="6"/>
        <v>117</v>
      </c>
      <c r="B122" s="2522"/>
      <c r="C122" s="1826" t="s">
        <v>3666</v>
      </c>
      <c r="D122" s="1820"/>
      <c r="E122" s="1821" t="e">
        <f t="shared" si="7"/>
        <v>#DIV/0!</v>
      </c>
      <c r="F122" s="1820"/>
      <c r="G122" s="1820">
        <f t="shared" si="11"/>
        <v>0</v>
      </c>
      <c r="H122" s="1820"/>
      <c r="I122" s="1821" t="e">
        <f t="shared" si="8"/>
        <v>#DIV/0!</v>
      </c>
      <c r="J122" s="1820"/>
      <c r="K122" s="1820">
        <f t="shared" si="9"/>
        <v>0</v>
      </c>
      <c r="L122" s="1821">
        <f t="shared" si="10"/>
        <v>0</v>
      </c>
      <c r="M122" s="1822"/>
    </row>
    <row r="123" spans="1:13" ht="16.5">
      <c r="A123" s="2207">
        <f t="shared" si="6"/>
        <v>118</v>
      </c>
      <c r="B123" s="2522"/>
      <c r="C123" s="1826" t="s">
        <v>3667</v>
      </c>
      <c r="D123" s="1820">
        <f>SUM(D124:D125)</f>
        <v>0</v>
      </c>
      <c r="E123" s="1821" t="e">
        <f t="shared" si="7"/>
        <v>#DIV/0!</v>
      </c>
      <c r="F123" s="1820">
        <f>SUM(F124:F125)</f>
        <v>0</v>
      </c>
      <c r="G123" s="1820">
        <f t="shared" si="11"/>
        <v>0</v>
      </c>
      <c r="H123" s="1820">
        <f>SUM(H124:H125)</f>
        <v>0</v>
      </c>
      <c r="I123" s="1821" t="e">
        <f t="shared" si="8"/>
        <v>#DIV/0!</v>
      </c>
      <c r="J123" s="1820">
        <f>SUM(J124:J125)</f>
        <v>0</v>
      </c>
      <c r="K123" s="1820">
        <f t="shared" si="9"/>
        <v>0</v>
      </c>
      <c r="L123" s="1821">
        <f t="shared" si="10"/>
        <v>0</v>
      </c>
      <c r="M123" s="1822"/>
    </row>
    <row r="124" spans="1:13" ht="16.5">
      <c r="A124" s="2207">
        <f t="shared" si="6"/>
        <v>119</v>
      </c>
      <c r="B124" s="2522"/>
      <c r="C124" s="1827" t="s">
        <v>3704</v>
      </c>
      <c r="D124" s="1820"/>
      <c r="E124" s="1821" t="e">
        <f t="shared" si="7"/>
        <v>#DIV/0!</v>
      </c>
      <c r="F124" s="1820"/>
      <c r="G124" s="1820">
        <f t="shared" si="11"/>
        <v>0</v>
      </c>
      <c r="H124" s="1820"/>
      <c r="I124" s="1821" t="e">
        <f t="shared" si="8"/>
        <v>#DIV/0!</v>
      </c>
      <c r="J124" s="1820"/>
      <c r="K124" s="1820">
        <f t="shared" si="9"/>
        <v>0</v>
      </c>
      <c r="L124" s="1821">
        <f t="shared" si="10"/>
        <v>0</v>
      </c>
      <c r="M124" s="1822"/>
    </row>
    <row r="125" spans="1:13" ht="16.5">
      <c r="A125" s="2207">
        <f t="shared" si="6"/>
        <v>120</v>
      </c>
      <c r="B125" s="2522"/>
      <c r="C125" s="1827" t="s">
        <v>3705</v>
      </c>
      <c r="D125" s="1820"/>
      <c r="E125" s="1821" t="e">
        <f t="shared" si="7"/>
        <v>#DIV/0!</v>
      </c>
      <c r="F125" s="1820"/>
      <c r="G125" s="1820">
        <f t="shared" si="11"/>
        <v>0</v>
      </c>
      <c r="H125" s="1820"/>
      <c r="I125" s="1821" t="e">
        <f t="shared" si="8"/>
        <v>#DIV/0!</v>
      </c>
      <c r="J125" s="1820"/>
      <c r="K125" s="1820">
        <f t="shared" si="9"/>
        <v>0</v>
      </c>
      <c r="L125" s="1821">
        <f t="shared" si="10"/>
        <v>0</v>
      </c>
      <c r="M125" s="1822"/>
    </row>
    <row r="126" spans="1:13" ht="16.5">
      <c r="A126" s="2207">
        <f t="shared" si="6"/>
        <v>121</v>
      </c>
      <c r="B126" s="2522"/>
      <c r="C126" s="1824" t="s">
        <v>3706</v>
      </c>
      <c r="D126" s="1820"/>
      <c r="E126" s="1821" t="e">
        <f t="shared" si="7"/>
        <v>#DIV/0!</v>
      </c>
      <c r="F126" s="1820"/>
      <c r="G126" s="1820">
        <f t="shared" si="11"/>
        <v>0</v>
      </c>
      <c r="H126" s="1820"/>
      <c r="I126" s="1821" t="e">
        <f t="shared" si="8"/>
        <v>#DIV/0!</v>
      </c>
      <c r="J126" s="1820"/>
      <c r="K126" s="1820">
        <f t="shared" si="9"/>
        <v>0</v>
      </c>
      <c r="L126" s="1821">
        <f t="shared" si="10"/>
        <v>0</v>
      </c>
      <c r="M126" s="1825"/>
    </row>
    <row r="127" spans="1:13" ht="16.5">
      <c r="A127" s="2207">
        <f t="shared" si="6"/>
        <v>122</v>
      </c>
      <c r="B127" s="2522"/>
      <c r="C127" s="1824" t="s">
        <v>3707</v>
      </c>
      <c r="D127" s="1820">
        <f>SUM(D128:D129)</f>
        <v>0</v>
      </c>
      <c r="E127" s="1821" t="e">
        <f t="shared" si="7"/>
        <v>#DIV/0!</v>
      </c>
      <c r="F127" s="1820">
        <f>SUM(F128:F129)</f>
        <v>0</v>
      </c>
      <c r="G127" s="1820">
        <f t="shared" si="11"/>
        <v>0</v>
      </c>
      <c r="H127" s="1820">
        <f>SUM(H128:H129)</f>
        <v>0</v>
      </c>
      <c r="I127" s="1821" t="e">
        <f t="shared" si="8"/>
        <v>#DIV/0!</v>
      </c>
      <c r="J127" s="1820">
        <f>SUM(J128:J129)</f>
        <v>0</v>
      </c>
      <c r="K127" s="1820">
        <f t="shared" si="9"/>
        <v>0</v>
      </c>
      <c r="L127" s="1821">
        <f t="shared" si="10"/>
        <v>0</v>
      </c>
      <c r="M127" s="1822"/>
    </row>
    <row r="128" spans="1:13" ht="16.5">
      <c r="A128" s="2207">
        <f t="shared" si="6"/>
        <v>123</v>
      </c>
      <c r="B128" s="2522"/>
      <c r="C128" s="1826" t="s">
        <v>3708</v>
      </c>
      <c r="D128" s="1820"/>
      <c r="E128" s="1821" t="e">
        <f t="shared" si="7"/>
        <v>#DIV/0!</v>
      </c>
      <c r="F128" s="1820"/>
      <c r="G128" s="1820">
        <f t="shared" si="11"/>
        <v>0</v>
      </c>
      <c r="H128" s="1820"/>
      <c r="I128" s="1821" t="e">
        <f t="shared" si="8"/>
        <v>#DIV/0!</v>
      </c>
      <c r="J128" s="1820"/>
      <c r="K128" s="1820">
        <f t="shared" si="9"/>
        <v>0</v>
      </c>
      <c r="L128" s="1821">
        <f t="shared" si="10"/>
        <v>0</v>
      </c>
      <c r="M128" s="1822"/>
    </row>
    <row r="129" spans="1:13" ht="16.5">
      <c r="A129" s="2207">
        <f t="shared" si="6"/>
        <v>124</v>
      </c>
      <c r="B129" s="2522"/>
      <c r="C129" s="1826" t="s">
        <v>3709</v>
      </c>
      <c r="D129" s="1820"/>
      <c r="E129" s="1821" t="e">
        <f t="shared" si="7"/>
        <v>#DIV/0!</v>
      </c>
      <c r="F129" s="1820"/>
      <c r="G129" s="1820">
        <f t="shared" si="11"/>
        <v>0</v>
      </c>
      <c r="H129" s="1820"/>
      <c r="I129" s="1821" t="e">
        <f t="shared" si="8"/>
        <v>#DIV/0!</v>
      </c>
      <c r="J129" s="1820"/>
      <c r="K129" s="1820">
        <f t="shared" si="9"/>
        <v>0</v>
      </c>
      <c r="L129" s="1821">
        <f t="shared" si="10"/>
        <v>0</v>
      </c>
      <c r="M129" s="1822"/>
    </row>
    <row r="130" spans="1:13" ht="16.5">
      <c r="A130" s="2207">
        <f t="shared" si="6"/>
        <v>125</v>
      </c>
      <c r="B130" s="2522"/>
      <c r="C130" s="1824" t="s">
        <v>3710</v>
      </c>
      <c r="D130" s="1820"/>
      <c r="E130" s="1821" t="e">
        <f t="shared" si="7"/>
        <v>#DIV/0!</v>
      </c>
      <c r="F130" s="1820"/>
      <c r="G130" s="1820">
        <f t="shared" si="11"/>
        <v>0</v>
      </c>
      <c r="H130" s="1820"/>
      <c r="I130" s="1821" t="e">
        <f t="shared" si="8"/>
        <v>#DIV/0!</v>
      </c>
      <c r="J130" s="1820"/>
      <c r="K130" s="1820">
        <f t="shared" si="9"/>
        <v>0</v>
      </c>
      <c r="L130" s="1821">
        <f t="shared" si="10"/>
        <v>0</v>
      </c>
      <c r="M130" s="1822"/>
    </row>
    <row r="131" spans="1:13" ht="16.5">
      <c r="A131" s="2207">
        <f t="shared" si="6"/>
        <v>126</v>
      </c>
      <c r="B131" s="2522"/>
      <c r="C131" s="1824" t="s">
        <v>3711</v>
      </c>
      <c r="D131" s="1820"/>
      <c r="E131" s="1821" t="e">
        <f t="shared" si="7"/>
        <v>#DIV/0!</v>
      </c>
      <c r="F131" s="1820"/>
      <c r="G131" s="1820">
        <f t="shared" si="11"/>
        <v>0</v>
      </c>
      <c r="H131" s="1820"/>
      <c r="I131" s="1821" t="e">
        <f t="shared" si="8"/>
        <v>#DIV/0!</v>
      </c>
      <c r="J131" s="1820"/>
      <c r="K131" s="1820">
        <f t="shared" si="9"/>
        <v>0</v>
      </c>
      <c r="L131" s="1821">
        <f t="shared" si="10"/>
        <v>0</v>
      </c>
      <c r="M131" s="1822"/>
    </row>
    <row r="132" spans="1:13" ht="16.5">
      <c r="A132" s="2207">
        <f t="shared" si="6"/>
        <v>127</v>
      </c>
      <c r="B132" s="2522"/>
      <c r="C132" s="1824" t="s">
        <v>3712</v>
      </c>
      <c r="D132" s="1820"/>
      <c r="E132" s="1821" t="e">
        <f t="shared" si="7"/>
        <v>#DIV/0!</v>
      </c>
      <c r="F132" s="1820"/>
      <c r="G132" s="1820">
        <f t="shared" si="11"/>
        <v>0</v>
      </c>
      <c r="H132" s="1820"/>
      <c r="I132" s="1821" t="e">
        <f t="shared" si="8"/>
        <v>#DIV/0!</v>
      </c>
      <c r="J132" s="1820"/>
      <c r="K132" s="1820">
        <f t="shared" si="9"/>
        <v>0</v>
      </c>
      <c r="L132" s="1821">
        <f t="shared" si="10"/>
        <v>0</v>
      </c>
      <c r="M132" s="1825"/>
    </row>
    <row r="133" spans="1:13" ht="16.5">
      <c r="A133" s="2207">
        <f t="shared" si="6"/>
        <v>128</v>
      </c>
      <c r="B133" s="2522"/>
      <c r="C133" s="1824" t="s">
        <v>3713</v>
      </c>
      <c r="D133" s="1820"/>
      <c r="E133" s="1821" t="e">
        <f t="shared" si="7"/>
        <v>#DIV/0!</v>
      </c>
      <c r="F133" s="1820"/>
      <c r="G133" s="1820">
        <f t="shared" si="11"/>
        <v>0</v>
      </c>
      <c r="H133" s="1820"/>
      <c r="I133" s="1821" t="e">
        <f t="shared" si="8"/>
        <v>#DIV/0!</v>
      </c>
      <c r="J133" s="1820"/>
      <c r="K133" s="1820">
        <f t="shared" si="9"/>
        <v>0</v>
      </c>
      <c r="L133" s="1821">
        <f t="shared" si="10"/>
        <v>0</v>
      </c>
      <c r="M133" s="1822"/>
    </row>
    <row r="134" spans="1:13" ht="16.5">
      <c r="A134" s="2207">
        <f t="shared" si="6"/>
        <v>129</v>
      </c>
      <c r="B134" s="2522"/>
      <c r="C134" s="1824" t="s">
        <v>7057</v>
      </c>
      <c r="D134" s="1820"/>
      <c r="E134" s="1821" t="e">
        <f t="shared" si="7"/>
        <v>#DIV/0!</v>
      </c>
      <c r="F134" s="1820"/>
      <c r="G134" s="1820">
        <f t="shared" si="11"/>
        <v>0</v>
      </c>
      <c r="H134" s="1820"/>
      <c r="I134" s="1821" t="e">
        <f t="shared" si="8"/>
        <v>#DIV/0!</v>
      </c>
      <c r="J134" s="1820"/>
      <c r="K134" s="1820">
        <f t="shared" si="9"/>
        <v>0</v>
      </c>
      <c r="L134" s="1821">
        <f t="shared" si="10"/>
        <v>0</v>
      </c>
      <c r="M134" s="1822"/>
    </row>
    <row r="135" spans="1:13" ht="16.5">
      <c r="A135" s="2207">
        <f t="shared" ref="A135:A198" si="12">A134+1</f>
        <v>130</v>
      </c>
      <c r="B135" s="2522"/>
      <c r="C135" s="1824" t="s">
        <v>3714</v>
      </c>
      <c r="D135" s="1820">
        <f>SUM(D136:D140)</f>
        <v>0</v>
      </c>
      <c r="E135" s="1821" t="e">
        <f t="shared" ref="E135:E198" si="13">D135/$D$257</f>
        <v>#DIV/0!</v>
      </c>
      <c r="F135" s="1820">
        <f>SUM(F136:F140)</f>
        <v>0</v>
      </c>
      <c r="G135" s="1820">
        <f t="shared" si="11"/>
        <v>0</v>
      </c>
      <c r="H135" s="1820">
        <f>SUM(H136:H140)</f>
        <v>0</v>
      </c>
      <c r="I135" s="1821" t="e">
        <f t="shared" ref="I135:I198" si="14">H135/H$257</f>
        <v>#DIV/0!</v>
      </c>
      <c r="J135" s="1820">
        <f>SUM(J136:J140)</f>
        <v>0</v>
      </c>
      <c r="K135" s="1820">
        <f t="shared" ref="K135:K198" si="15">D135-H135</f>
        <v>0</v>
      </c>
      <c r="L135" s="1821">
        <f t="shared" ref="L135:L198" si="16">IF(J135=0,0,K135/J135)</f>
        <v>0</v>
      </c>
      <c r="M135" s="1822"/>
    </row>
    <row r="136" spans="1:13" ht="16.5">
      <c r="A136" s="2207">
        <f t="shared" si="12"/>
        <v>131</v>
      </c>
      <c r="B136" s="2522"/>
      <c r="C136" s="1826" t="s">
        <v>3715</v>
      </c>
      <c r="D136" s="1820"/>
      <c r="E136" s="1821" t="e">
        <f t="shared" si="13"/>
        <v>#DIV/0!</v>
      </c>
      <c r="F136" s="1820"/>
      <c r="G136" s="1820">
        <f t="shared" si="11"/>
        <v>0</v>
      </c>
      <c r="H136" s="1820"/>
      <c r="I136" s="1821" t="e">
        <f t="shared" si="14"/>
        <v>#DIV/0!</v>
      </c>
      <c r="J136" s="1820"/>
      <c r="K136" s="1820">
        <f t="shared" si="15"/>
        <v>0</v>
      </c>
      <c r="L136" s="1821">
        <f t="shared" si="16"/>
        <v>0</v>
      </c>
      <c r="M136" s="1822"/>
    </row>
    <row r="137" spans="1:13" ht="16.5">
      <c r="A137" s="2207">
        <f t="shared" si="12"/>
        <v>132</v>
      </c>
      <c r="B137" s="2522"/>
      <c r="C137" s="1826" t="s">
        <v>3716</v>
      </c>
      <c r="D137" s="1820"/>
      <c r="E137" s="1821" t="e">
        <f t="shared" si="13"/>
        <v>#DIV/0!</v>
      </c>
      <c r="F137" s="1820"/>
      <c r="G137" s="1820">
        <f t="shared" si="11"/>
        <v>0</v>
      </c>
      <c r="H137" s="1820"/>
      <c r="I137" s="1821" t="e">
        <f t="shared" si="14"/>
        <v>#DIV/0!</v>
      </c>
      <c r="J137" s="1820"/>
      <c r="K137" s="1820">
        <f t="shared" si="15"/>
        <v>0</v>
      </c>
      <c r="L137" s="1821">
        <f t="shared" si="16"/>
        <v>0</v>
      </c>
      <c r="M137" s="1822"/>
    </row>
    <row r="138" spans="1:13" ht="16.5">
      <c r="A138" s="2207">
        <f t="shared" si="12"/>
        <v>133</v>
      </c>
      <c r="B138" s="2522"/>
      <c r="C138" s="1826" t="s">
        <v>3717</v>
      </c>
      <c r="D138" s="1820"/>
      <c r="E138" s="1821" t="e">
        <f t="shared" si="13"/>
        <v>#DIV/0!</v>
      </c>
      <c r="F138" s="1820"/>
      <c r="G138" s="1820">
        <f t="shared" si="11"/>
        <v>0</v>
      </c>
      <c r="H138" s="1820"/>
      <c r="I138" s="1821" t="e">
        <f t="shared" si="14"/>
        <v>#DIV/0!</v>
      </c>
      <c r="J138" s="1820"/>
      <c r="K138" s="1820">
        <f t="shared" si="15"/>
        <v>0</v>
      </c>
      <c r="L138" s="1821">
        <f t="shared" si="16"/>
        <v>0</v>
      </c>
      <c r="M138" s="1822"/>
    </row>
    <row r="139" spans="1:13" ht="16.5">
      <c r="A139" s="2207">
        <f t="shared" si="12"/>
        <v>134</v>
      </c>
      <c r="B139" s="2522"/>
      <c r="C139" s="1826" t="s">
        <v>3718</v>
      </c>
      <c r="D139" s="1820"/>
      <c r="E139" s="1821" t="e">
        <f t="shared" si="13"/>
        <v>#DIV/0!</v>
      </c>
      <c r="F139" s="1820"/>
      <c r="G139" s="1820">
        <f t="shared" si="11"/>
        <v>0</v>
      </c>
      <c r="H139" s="1820"/>
      <c r="I139" s="1821" t="e">
        <f t="shared" si="14"/>
        <v>#DIV/0!</v>
      </c>
      <c r="J139" s="1820"/>
      <c r="K139" s="1820">
        <f t="shared" si="15"/>
        <v>0</v>
      </c>
      <c r="L139" s="1821">
        <f t="shared" si="16"/>
        <v>0</v>
      </c>
      <c r="M139" s="1822"/>
    </row>
    <row r="140" spans="1:13" ht="16.5">
      <c r="A140" s="2207">
        <f t="shared" si="12"/>
        <v>135</v>
      </c>
      <c r="B140" s="2522"/>
      <c r="C140" s="1826" t="s">
        <v>3719</v>
      </c>
      <c r="D140" s="1820"/>
      <c r="E140" s="1821" t="e">
        <f t="shared" si="13"/>
        <v>#DIV/0!</v>
      </c>
      <c r="F140" s="1820"/>
      <c r="G140" s="1820">
        <f t="shared" si="11"/>
        <v>0</v>
      </c>
      <c r="H140" s="1820"/>
      <c r="I140" s="1821" t="e">
        <f t="shared" si="14"/>
        <v>#DIV/0!</v>
      </c>
      <c r="J140" s="1820"/>
      <c r="K140" s="1820">
        <f t="shared" si="15"/>
        <v>0</v>
      </c>
      <c r="L140" s="1821">
        <f t="shared" si="16"/>
        <v>0</v>
      </c>
      <c r="M140" s="1822"/>
    </row>
    <row r="141" spans="1:13" ht="16.5">
      <c r="A141" s="2207">
        <f t="shared" si="12"/>
        <v>136</v>
      </c>
      <c r="B141" s="2522"/>
      <c r="C141" s="1828" t="s">
        <v>3720</v>
      </c>
      <c r="D141" s="1820">
        <f>D142+D143+D151+D156+D157+D160+D161+D162+D163+D165+D164</f>
        <v>0</v>
      </c>
      <c r="E141" s="1821" t="e">
        <f t="shared" si="13"/>
        <v>#DIV/0!</v>
      </c>
      <c r="F141" s="1820">
        <f>F142+F143+F151+F156+F157+F160+F161+F162+F163+F165+F164</f>
        <v>0</v>
      </c>
      <c r="G141" s="1820">
        <f t="shared" si="11"/>
        <v>0</v>
      </c>
      <c r="H141" s="1820">
        <f>H142+H143+H151+H156+H157+H160+H161+H162+H163+H165+H164</f>
        <v>0</v>
      </c>
      <c r="I141" s="1821" t="e">
        <f t="shared" si="14"/>
        <v>#DIV/0!</v>
      </c>
      <c r="J141" s="1820">
        <f>J142+J143+J151+J156+J157+J160+J161+J162+J163+J165+J164</f>
        <v>0</v>
      </c>
      <c r="K141" s="1820">
        <f t="shared" si="15"/>
        <v>0</v>
      </c>
      <c r="L141" s="1821">
        <f t="shared" si="16"/>
        <v>0</v>
      </c>
      <c r="M141" s="1822"/>
    </row>
    <row r="142" spans="1:13" ht="16.5">
      <c r="A142" s="2207">
        <f t="shared" si="12"/>
        <v>137</v>
      </c>
      <c r="B142" s="2522"/>
      <c r="C142" s="1824" t="s">
        <v>3694</v>
      </c>
      <c r="D142" s="1820"/>
      <c r="E142" s="1821" t="e">
        <f t="shared" si="13"/>
        <v>#DIV/0!</v>
      </c>
      <c r="F142" s="1820"/>
      <c r="G142" s="1820">
        <f t="shared" si="11"/>
        <v>0</v>
      </c>
      <c r="H142" s="1820"/>
      <c r="I142" s="1821" t="e">
        <f t="shared" si="14"/>
        <v>#DIV/0!</v>
      </c>
      <c r="J142" s="1820"/>
      <c r="K142" s="1820">
        <f t="shared" si="15"/>
        <v>0</v>
      </c>
      <c r="L142" s="1821">
        <f t="shared" si="16"/>
        <v>0</v>
      </c>
      <c r="M142" s="1822"/>
    </row>
    <row r="143" spans="1:13" ht="16.5">
      <c r="A143" s="2207">
        <f t="shared" si="12"/>
        <v>138</v>
      </c>
      <c r="B143" s="2522"/>
      <c r="C143" s="1824" t="s">
        <v>3695</v>
      </c>
      <c r="D143" s="1820">
        <f>SUM(D144:D148)</f>
        <v>0</v>
      </c>
      <c r="E143" s="1821" t="e">
        <f t="shared" si="13"/>
        <v>#DIV/0!</v>
      </c>
      <c r="F143" s="1820">
        <f>SUM(F144:F148)</f>
        <v>0</v>
      </c>
      <c r="G143" s="1820">
        <f t="shared" si="11"/>
        <v>0</v>
      </c>
      <c r="H143" s="1820">
        <f>SUM(H144:H148)</f>
        <v>0</v>
      </c>
      <c r="I143" s="1821" t="e">
        <f t="shared" si="14"/>
        <v>#DIV/0!</v>
      </c>
      <c r="J143" s="1820">
        <f>SUM(J144:J148)</f>
        <v>0</v>
      </c>
      <c r="K143" s="1820">
        <f t="shared" si="15"/>
        <v>0</v>
      </c>
      <c r="L143" s="1821">
        <f t="shared" si="16"/>
        <v>0</v>
      </c>
      <c r="M143" s="1822"/>
    </row>
    <row r="144" spans="1:13" ht="16.5">
      <c r="A144" s="2207">
        <f t="shared" si="12"/>
        <v>139</v>
      </c>
      <c r="B144" s="2522"/>
      <c r="C144" s="1826" t="s">
        <v>3696</v>
      </c>
      <c r="D144" s="1820"/>
      <c r="E144" s="1821" t="e">
        <f t="shared" si="13"/>
        <v>#DIV/0!</v>
      </c>
      <c r="F144" s="1820"/>
      <c r="G144" s="1820">
        <f t="shared" si="11"/>
        <v>0</v>
      </c>
      <c r="H144" s="1820"/>
      <c r="I144" s="1821" t="e">
        <f t="shared" si="14"/>
        <v>#DIV/0!</v>
      </c>
      <c r="J144" s="1820"/>
      <c r="K144" s="1820">
        <f t="shared" si="15"/>
        <v>0</v>
      </c>
      <c r="L144" s="1821">
        <f t="shared" si="16"/>
        <v>0</v>
      </c>
      <c r="M144" s="1822"/>
    </row>
    <row r="145" spans="1:13" ht="16.5">
      <c r="A145" s="2207">
        <f t="shared" si="12"/>
        <v>140</v>
      </c>
      <c r="B145" s="2522"/>
      <c r="C145" s="1826" t="s">
        <v>3697</v>
      </c>
      <c r="D145" s="1820"/>
      <c r="E145" s="1821" t="e">
        <f t="shared" si="13"/>
        <v>#DIV/0!</v>
      </c>
      <c r="F145" s="1820"/>
      <c r="G145" s="1820">
        <f t="shared" si="11"/>
        <v>0</v>
      </c>
      <c r="H145" s="1820"/>
      <c r="I145" s="1821" t="e">
        <f t="shared" si="14"/>
        <v>#DIV/0!</v>
      </c>
      <c r="J145" s="1820"/>
      <c r="K145" s="1820">
        <f t="shared" si="15"/>
        <v>0</v>
      </c>
      <c r="L145" s="1821">
        <f t="shared" si="16"/>
        <v>0</v>
      </c>
      <c r="M145" s="1822"/>
    </row>
    <row r="146" spans="1:13" ht="16.5">
      <c r="A146" s="2207">
        <f t="shared" si="12"/>
        <v>141</v>
      </c>
      <c r="B146" s="2522"/>
      <c r="C146" s="1826" t="s">
        <v>3698</v>
      </c>
      <c r="D146" s="1820"/>
      <c r="E146" s="1821" t="e">
        <f t="shared" si="13"/>
        <v>#DIV/0!</v>
      </c>
      <c r="F146" s="1820"/>
      <c r="G146" s="1820">
        <f t="shared" ref="G146:G209" si="17">D146-F146</f>
        <v>0</v>
      </c>
      <c r="H146" s="1820"/>
      <c r="I146" s="1821" t="e">
        <f t="shared" si="14"/>
        <v>#DIV/0!</v>
      </c>
      <c r="J146" s="1820"/>
      <c r="K146" s="1820">
        <f t="shared" si="15"/>
        <v>0</v>
      </c>
      <c r="L146" s="1821">
        <f t="shared" si="16"/>
        <v>0</v>
      </c>
      <c r="M146" s="1822"/>
    </row>
    <row r="147" spans="1:13" ht="16.5">
      <c r="A147" s="2207">
        <f t="shared" si="12"/>
        <v>142</v>
      </c>
      <c r="B147" s="2522"/>
      <c r="C147" s="1826" t="s">
        <v>3699</v>
      </c>
      <c r="D147" s="1820"/>
      <c r="E147" s="1821" t="e">
        <f t="shared" si="13"/>
        <v>#DIV/0!</v>
      </c>
      <c r="F147" s="1820"/>
      <c r="G147" s="1820">
        <f t="shared" si="17"/>
        <v>0</v>
      </c>
      <c r="H147" s="1820"/>
      <c r="I147" s="1821" t="e">
        <f t="shared" si="14"/>
        <v>#DIV/0!</v>
      </c>
      <c r="J147" s="1820"/>
      <c r="K147" s="1820">
        <f t="shared" si="15"/>
        <v>0</v>
      </c>
      <c r="L147" s="1821">
        <f t="shared" si="16"/>
        <v>0</v>
      </c>
      <c r="M147" s="1822"/>
    </row>
    <row r="148" spans="1:13" ht="16.5">
      <c r="A148" s="2207">
        <f t="shared" si="12"/>
        <v>143</v>
      </c>
      <c r="B148" s="2522"/>
      <c r="C148" s="1826" t="s">
        <v>3700</v>
      </c>
      <c r="D148" s="1820">
        <f>D149+D150</f>
        <v>0</v>
      </c>
      <c r="E148" s="1821" t="e">
        <f t="shared" si="13"/>
        <v>#DIV/0!</v>
      </c>
      <c r="F148" s="1820">
        <f>F149+F150</f>
        <v>0</v>
      </c>
      <c r="G148" s="1820">
        <f t="shared" si="17"/>
        <v>0</v>
      </c>
      <c r="H148" s="1820">
        <f>H149+H150</f>
        <v>0</v>
      </c>
      <c r="I148" s="1821" t="e">
        <f t="shared" si="14"/>
        <v>#DIV/0!</v>
      </c>
      <c r="J148" s="1820">
        <f>J149+J150</f>
        <v>0</v>
      </c>
      <c r="K148" s="1820">
        <f t="shared" si="15"/>
        <v>0</v>
      </c>
      <c r="L148" s="1821">
        <f t="shared" si="16"/>
        <v>0</v>
      </c>
      <c r="M148" s="1822"/>
    </row>
    <row r="149" spans="1:13" ht="16.5">
      <c r="A149" s="2207">
        <f t="shared" si="12"/>
        <v>144</v>
      </c>
      <c r="B149" s="2522"/>
      <c r="C149" s="1827" t="s">
        <v>3701</v>
      </c>
      <c r="D149" s="1820"/>
      <c r="E149" s="1821" t="e">
        <f t="shared" si="13"/>
        <v>#DIV/0!</v>
      </c>
      <c r="F149" s="1820"/>
      <c r="G149" s="1820">
        <f t="shared" si="17"/>
        <v>0</v>
      </c>
      <c r="H149" s="1820"/>
      <c r="I149" s="1821" t="e">
        <f t="shared" si="14"/>
        <v>#DIV/0!</v>
      </c>
      <c r="J149" s="1820"/>
      <c r="K149" s="1820">
        <f t="shared" si="15"/>
        <v>0</v>
      </c>
      <c r="L149" s="1821">
        <f t="shared" si="16"/>
        <v>0</v>
      </c>
      <c r="M149" s="1822"/>
    </row>
    <row r="150" spans="1:13" ht="16.5">
      <c r="A150" s="2207">
        <f t="shared" si="12"/>
        <v>145</v>
      </c>
      <c r="B150" s="2522"/>
      <c r="C150" s="1827" t="s">
        <v>3702</v>
      </c>
      <c r="D150" s="1820"/>
      <c r="E150" s="1821" t="e">
        <f t="shared" si="13"/>
        <v>#DIV/0!</v>
      </c>
      <c r="F150" s="1820"/>
      <c r="G150" s="1820">
        <f t="shared" si="17"/>
        <v>0</v>
      </c>
      <c r="H150" s="1820"/>
      <c r="I150" s="1821" t="e">
        <f t="shared" si="14"/>
        <v>#DIV/0!</v>
      </c>
      <c r="J150" s="1820"/>
      <c r="K150" s="1820">
        <f t="shared" si="15"/>
        <v>0</v>
      </c>
      <c r="L150" s="1821">
        <f t="shared" si="16"/>
        <v>0</v>
      </c>
      <c r="M150" s="1822"/>
    </row>
    <row r="151" spans="1:13" ht="16.5">
      <c r="A151" s="2207">
        <f t="shared" si="12"/>
        <v>146</v>
      </c>
      <c r="B151" s="2522"/>
      <c r="C151" s="1824" t="s">
        <v>3703</v>
      </c>
      <c r="D151" s="1820">
        <f>D152+D153</f>
        <v>0</v>
      </c>
      <c r="E151" s="1821" t="e">
        <f t="shared" si="13"/>
        <v>#DIV/0!</v>
      </c>
      <c r="F151" s="1820">
        <f>F152+F153</f>
        <v>0</v>
      </c>
      <c r="G151" s="1820">
        <f t="shared" si="17"/>
        <v>0</v>
      </c>
      <c r="H151" s="1820">
        <f>H152+H153</f>
        <v>0</v>
      </c>
      <c r="I151" s="1821" t="e">
        <f t="shared" si="14"/>
        <v>#DIV/0!</v>
      </c>
      <c r="J151" s="1820">
        <f>J152+J153</f>
        <v>0</v>
      </c>
      <c r="K151" s="1820">
        <f t="shared" si="15"/>
        <v>0</v>
      </c>
      <c r="L151" s="1821">
        <f t="shared" si="16"/>
        <v>0</v>
      </c>
      <c r="M151" s="1822"/>
    </row>
    <row r="152" spans="1:13" ht="16.5">
      <c r="A152" s="2207">
        <f t="shared" si="12"/>
        <v>147</v>
      </c>
      <c r="B152" s="2522"/>
      <c r="C152" s="1826" t="s">
        <v>3721</v>
      </c>
      <c r="D152" s="1820"/>
      <c r="E152" s="1821" t="e">
        <f t="shared" si="13"/>
        <v>#DIV/0!</v>
      </c>
      <c r="F152" s="1820"/>
      <c r="G152" s="1820">
        <f t="shared" si="17"/>
        <v>0</v>
      </c>
      <c r="H152" s="1820"/>
      <c r="I152" s="1821" t="e">
        <f t="shared" si="14"/>
        <v>#DIV/0!</v>
      </c>
      <c r="J152" s="1820"/>
      <c r="K152" s="1820">
        <f t="shared" si="15"/>
        <v>0</v>
      </c>
      <c r="L152" s="1821">
        <f t="shared" si="16"/>
        <v>0</v>
      </c>
      <c r="M152" s="1822"/>
    </row>
    <row r="153" spans="1:13" ht="16.5">
      <c r="A153" s="2207">
        <f t="shared" si="12"/>
        <v>148</v>
      </c>
      <c r="B153" s="2522"/>
      <c r="C153" s="1826" t="s">
        <v>3722</v>
      </c>
      <c r="D153" s="1820">
        <f>SUM(D154:D155)</f>
        <v>0</v>
      </c>
      <c r="E153" s="1821" t="e">
        <f t="shared" si="13"/>
        <v>#DIV/0!</v>
      </c>
      <c r="F153" s="1820">
        <f>SUM(F154:F155)</f>
        <v>0</v>
      </c>
      <c r="G153" s="1820">
        <f t="shared" si="17"/>
        <v>0</v>
      </c>
      <c r="H153" s="1820">
        <f>SUM(H154:H155)</f>
        <v>0</v>
      </c>
      <c r="I153" s="1821" t="e">
        <f t="shared" si="14"/>
        <v>#DIV/0!</v>
      </c>
      <c r="J153" s="1820">
        <f>SUM(J154:J155)</f>
        <v>0</v>
      </c>
      <c r="K153" s="1820">
        <f t="shared" si="15"/>
        <v>0</v>
      </c>
      <c r="L153" s="1821">
        <f t="shared" si="16"/>
        <v>0</v>
      </c>
      <c r="M153" s="1822"/>
    </row>
    <row r="154" spans="1:13" ht="16.5">
      <c r="A154" s="2207">
        <f t="shared" si="12"/>
        <v>149</v>
      </c>
      <c r="B154" s="2522"/>
      <c r="C154" s="1827" t="s">
        <v>3704</v>
      </c>
      <c r="D154" s="1820"/>
      <c r="E154" s="1821" t="e">
        <f t="shared" si="13"/>
        <v>#DIV/0!</v>
      </c>
      <c r="F154" s="1820"/>
      <c r="G154" s="1820">
        <f t="shared" si="17"/>
        <v>0</v>
      </c>
      <c r="H154" s="1820"/>
      <c r="I154" s="1821" t="e">
        <f t="shared" si="14"/>
        <v>#DIV/0!</v>
      </c>
      <c r="J154" s="1820"/>
      <c r="K154" s="1820">
        <f t="shared" si="15"/>
        <v>0</v>
      </c>
      <c r="L154" s="1821">
        <f t="shared" si="16"/>
        <v>0</v>
      </c>
      <c r="M154" s="1822"/>
    </row>
    <row r="155" spans="1:13" ht="16.5">
      <c r="A155" s="2207">
        <f t="shared" si="12"/>
        <v>150</v>
      </c>
      <c r="B155" s="2522"/>
      <c r="C155" s="1827" t="s">
        <v>3705</v>
      </c>
      <c r="D155" s="1820"/>
      <c r="E155" s="1821" t="e">
        <f t="shared" si="13"/>
        <v>#DIV/0!</v>
      </c>
      <c r="F155" s="1820"/>
      <c r="G155" s="1820">
        <f t="shared" si="17"/>
        <v>0</v>
      </c>
      <c r="H155" s="1820"/>
      <c r="I155" s="1821" t="e">
        <f t="shared" si="14"/>
        <v>#DIV/0!</v>
      </c>
      <c r="J155" s="1820"/>
      <c r="K155" s="1820">
        <f t="shared" si="15"/>
        <v>0</v>
      </c>
      <c r="L155" s="1821">
        <f t="shared" si="16"/>
        <v>0</v>
      </c>
      <c r="M155" s="1822"/>
    </row>
    <row r="156" spans="1:13" ht="16.5">
      <c r="A156" s="2207">
        <f t="shared" si="12"/>
        <v>151</v>
      </c>
      <c r="B156" s="2522"/>
      <c r="C156" s="1824" t="s">
        <v>3706</v>
      </c>
      <c r="D156" s="1820"/>
      <c r="E156" s="1821" t="e">
        <f t="shared" si="13"/>
        <v>#DIV/0!</v>
      </c>
      <c r="F156" s="1820"/>
      <c r="G156" s="1820">
        <f t="shared" si="17"/>
        <v>0</v>
      </c>
      <c r="H156" s="1820"/>
      <c r="I156" s="1821" t="e">
        <f t="shared" si="14"/>
        <v>#DIV/0!</v>
      </c>
      <c r="J156" s="1820"/>
      <c r="K156" s="1820">
        <f t="shared" si="15"/>
        <v>0</v>
      </c>
      <c r="L156" s="1821">
        <f t="shared" si="16"/>
        <v>0</v>
      </c>
      <c r="M156" s="1825"/>
    </row>
    <row r="157" spans="1:13" ht="16.5">
      <c r="A157" s="2207">
        <f t="shared" si="12"/>
        <v>152</v>
      </c>
      <c r="B157" s="2522"/>
      <c r="C157" s="1824" t="s">
        <v>3707</v>
      </c>
      <c r="D157" s="1820">
        <f>SUM(D158:D159)</f>
        <v>0</v>
      </c>
      <c r="E157" s="1821" t="e">
        <f t="shared" si="13"/>
        <v>#DIV/0!</v>
      </c>
      <c r="F157" s="1820">
        <f>SUM(F158:F159)</f>
        <v>0</v>
      </c>
      <c r="G157" s="1820">
        <f t="shared" si="17"/>
        <v>0</v>
      </c>
      <c r="H157" s="1820">
        <f>SUM(H158:H159)</f>
        <v>0</v>
      </c>
      <c r="I157" s="1821" t="e">
        <f t="shared" si="14"/>
        <v>#DIV/0!</v>
      </c>
      <c r="J157" s="1820">
        <f>SUM(J158:J159)</f>
        <v>0</v>
      </c>
      <c r="K157" s="1820">
        <f t="shared" si="15"/>
        <v>0</v>
      </c>
      <c r="L157" s="1821">
        <f t="shared" si="16"/>
        <v>0</v>
      </c>
      <c r="M157" s="1822"/>
    </row>
    <row r="158" spans="1:13" ht="16.5">
      <c r="A158" s="2207">
        <f t="shared" si="12"/>
        <v>153</v>
      </c>
      <c r="B158" s="2522"/>
      <c r="C158" s="1826" t="s">
        <v>3723</v>
      </c>
      <c r="D158" s="1820"/>
      <c r="E158" s="1821" t="e">
        <f t="shared" si="13"/>
        <v>#DIV/0!</v>
      </c>
      <c r="F158" s="1820"/>
      <c r="G158" s="1820">
        <f t="shared" si="17"/>
        <v>0</v>
      </c>
      <c r="H158" s="1820"/>
      <c r="I158" s="1821" t="e">
        <f t="shared" si="14"/>
        <v>#DIV/0!</v>
      </c>
      <c r="J158" s="1820"/>
      <c r="K158" s="1820">
        <f t="shared" si="15"/>
        <v>0</v>
      </c>
      <c r="L158" s="1821">
        <f t="shared" si="16"/>
        <v>0</v>
      </c>
      <c r="M158" s="1822"/>
    </row>
    <row r="159" spans="1:13" ht="16.5">
      <c r="A159" s="2207">
        <f t="shared" si="12"/>
        <v>154</v>
      </c>
      <c r="B159" s="2522"/>
      <c r="C159" s="1826" t="s">
        <v>3724</v>
      </c>
      <c r="D159" s="1820"/>
      <c r="E159" s="1821" t="e">
        <f t="shared" si="13"/>
        <v>#DIV/0!</v>
      </c>
      <c r="F159" s="1820"/>
      <c r="G159" s="1820">
        <f t="shared" si="17"/>
        <v>0</v>
      </c>
      <c r="H159" s="1820"/>
      <c r="I159" s="1821" t="e">
        <f t="shared" si="14"/>
        <v>#DIV/0!</v>
      </c>
      <c r="J159" s="1820"/>
      <c r="K159" s="1820">
        <f t="shared" si="15"/>
        <v>0</v>
      </c>
      <c r="L159" s="1821">
        <f t="shared" si="16"/>
        <v>0</v>
      </c>
      <c r="M159" s="1822"/>
    </row>
    <row r="160" spans="1:13" ht="16.5">
      <c r="A160" s="2207">
        <f t="shared" si="12"/>
        <v>155</v>
      </c>
      <c r="B160" s="2522"/>
      <c r="C160" s="1824" t="s">
        <v>3710</v>
      </c>
      <c r="D160" s="1820"/>
      <c r="E160" s="1821" t="e">
        <f t="shared" si="13"/>
        <v>#DIV/0!</v>
      </c>
      <c r="F160" s="1820"/>
      <c r="G160" s="1820">
        <f t="shared" si="17"/>
        <v>0</v>
      </c>
      <c r="H160" s="1820"/>
      <c r="I160" s="1821" t="e">
        <f t="shared" si="14"/>
        <v>#DIV/0!</v>
      </c>
      <c r="J160" s="1820"/>
      <c r="K160" s="1820">
        <f t="shared" si="15"/>
        <v>0</v>
      </c>
      <c r="L160" s="1821">
        <f t="shared" si="16"/>
        <v>0</v>
      </c>
      <c r="M160" s="1822"/>
    </row>
    <row r="161" spans="1:13" ht="16.5">
      <c r="A161" s="2207">
        <f t="shared" si="12"/>
        <v>156</v>
      </c>
      <c r="B161" s="2522"/>
      <c r="C161" s="1824" t="s">
        <v>3711</v>
      </c>
      <c r="D161" s="1820"/>
      <c r="E161" s="1821" t="e">
        <f t="shared" si="13"/>
        <v>#DIV/0!</v>
      </c>
      <c r="F161" s="1820"/>
      <c r="G161" s="1820">
        <f t="shared" si="17"/>
        <v>0</v>
      </c>
      <c r="H161" s="1820"/>
      <c r="I161" s="1821" t="e">
        <f t="shared" si="14"/>
        <v>#DIV/0!</v>
      </c>
      <c r="J161" s="1820"/>
      <c r="K161" s="1820">
        <f t="shared" si="15"/>
        <v>0</v>
      </c>
      <c r="L161" s="1821">
        <f t="shared" si="16"/>
        <v>0</v>
      </c>
      <c r="M161" s="1822"/>
    </row>
    <row r="162" spans="1:13" ht="16.5">
      <c r="A162" s="2207">
        <f t="shared" si="12"/>
        <v>157</v>
      </c>
      <c r="B162" s="2522"/>
      <c r="C162" s="1824" t="s">
        <v>3712</v>
      </c>
      <c r="D162" s="1820"/>
      <c r="E162" s="1821" t="e">
        <f t="shared" si="13"/>
        <v>#DIV/0!</v>
      </c>
      <c r="F162" s="1820"/>
      <c r="G162" s="1820">
        <f t="shared" si="17"/>
        <v>0</v>
      </c>
      <c r="H162" s="1820"/>
      <c r="I162" s="1821" t="e">
        <f t="shared" si="14"/>
        <v>#DIV/0!</v>
      </c>
      <c r="J162" s="1820"/>
      <c r="K162" s="1820">
        <f t="shared" si="15"/>
        <v>0</v>
      </c>
      <c r="L162" s="1821">
        <f t="shared" si="16"/>
        <v>0</v>
      </c>
      <c r="M162" s="1825"/>
    </row>
    <row r="163" spans="1:13" ht="16.5">
      <c r="A163" s="2207">
        <f t="shared" si="12"/>
        <v>158</v>
      </c>
      <c r="B163" s="2522"/>
      <c r="C163" s="1824" t="s">
        <v>3713</v>
      </c>
      <c r="D163" s="1820"/>
      <c r="E163" s="1821" t="e">
        <f t="shared" si="13"/>
        <v>#DIV/0!</v>
      </c>
      <c r="F163" s="1820"/>
      <c r="G163" s="1820">
        <f t="shared" si="17"/>
        <v>0</v>
      </c>
      <c r="H163" s="1820"/>
      <c r="I163" s="1821" t="e">
        <f t="shared" si="14"/>
        <v>#DIV/0!</v>
      </c>
      <c r="J163" s="1820"/>
      <c r="K163" s="1820">
        <f t="shared" si="15"/>
        <v>0</v>
      </c>
      <c r="L163" s="1821">
        <f t="shared" si="16"/>
        <v>0</v>
      </c>
      <c r="M163" s="1822"/>
    </row>
    <row r="164" spans="1:13" ht="16.5">
      <c r="A164" s="2207">
        <f t="shared" si="12"/>
        <v>159</v>
      </c>
      <c r="B164" s="2522"/>
      <c r="C164" s="1824" t="s">
        <v>7057</v>
      </c>
      <c r="D164" s="1820"/>
      <c r="E164" s="1821" t="e">
        <f t="shared" si="13"/>
        <v>#DIV/0!</v>
      </c>
      <c r="F164" s="1820"/>
      <c r="G164" s="1820">
        <f t="shared" si="17"/>
        <v>0</v>
      </c>
      <c r="H164" s="1820"/>
      <c r="I164" s="1821" t="e">
        <f t="shared" si="14"/>
        <v>#DIV/0!</v>
      </c>
      <c r="J164" s="1820"/>
      <c r="K164" s="1820">
        <f t="shared" si="15"/>
        <v>0</v>
      </c>
      <c r="L164" s="1821">
        <f t="shared" si="16"/>
        <v>0</v>
      </c>
      <c r="M164" s="1822"/>
    </row>
    <row r="165" spans="1:13" ht="16.5">
      <c r="A165" s="2207">
        <f t="shared" si="12"/>
        <v>160</v>
      </c>
      <c r="B165" s="2522"/>
      <c r="C165" s="1824" t="s">
        <v>3714</v>
      </c>
      <c r="D165" s="1820">
        <f>SUM(D166:D170)</f>
        <v>0</v>
      </c>
      <c r="E165" s="1821" t="e">
        <f t="shared" si="13"/>
        <v>#DIV/0!</v>
      </c>
      <c r="F165" s="1820">
        <f>SUM(F166:F170)</f>
        <v>0</v>
      </c>
      <c r="G165" s="1820">
        <f t="shared" si="17"/>
        <v>0</v>
      </c>
      <c r="H165" s="1820">
        <f>SUM(H166:H170)</f>
        <v>0</v>
      </c>
      <c r="I165" s="1821" t="e">
        <f t="shared" si="14"/>
        <v>#DIV/0!</v>
      </c>
      <c r="J165" s="1820">
        <f>SUM(J166:J170)</f>
        <v>0</v>
      </c>
      <c r="K165" s="1820">
        <f t="shared" si="15"/>
        <v>0</v>
      </c>
      <c r="L165" s="1821">
        <f t="shared" si="16"/>
        <v>0</v>
      </c>
      <c r="M165" s="1822"/>
    </row>
    <row r="166" spans="1:13" ht="16.5">
      <c r="A166" s="2207">
        <f t="shared" si="12"/>
        <v>161</v>
      </c>
      <c r="B166" s="2522"/>
      <c r="C166" s="1826" t="s">
        <v>3715</v>
      </c>
      <c r="D166" s="1820"/>
      <c r="E166" s="1821" t="e">
        <f t="shared" si="13"/>
        <v>#DIV/0!</v>
      </c>
      <c r="F166" s="1820"/>
      <c r="G166" s="1820">
        <f t="shared" si="17"/>
        <v>0</v>
      </c>
      <c r="H166" s="1820"/>
      <c r="I166" s="1821" t="e">
        <f t="shared" si="14"/>
        <v>#DIV/0!</v>
      </c>
      <c r="J166" s="1820"/>
      <c r="K166" s="1820">
        <f t="shared" si="15"/>
        <v>0</v>
      </c>
      <c r="L166" s="1821">
        <f t="shared" si="16"/>
        <v>0</v>
      </c>
      <c r="M166" s="1822"/>
    </row>
    <row r="167" spans="1:13" ht="16.5">
      <c r="A167" s="2207">
        <f t="shared" si="12"/>
        <v>162</v>
      </c>
      <c r="B167" s="2522"/>
      <c r="C167" s="1826" t="s">
        <v>3716</v>
      </c>
      <c r="D167" s="1820"/>
      <c r="E167" s="1821" t="e">
        <f t="shared" si="13"/>
        <v>#DIV/0!</v>
      </c>
      <c r="F167" s="1820"/>
      <c r="G167" s="1820">
        <f t="shared" si="17"/>
        <v>0</v>
      </c>
      <c r="H167" s="1820"/>
      <c r="I167" s="1821" t="e">
        <f t="shared" si="14"/>
        <v>#DIV/0!</v>
      </c>
      <c r="J167" s="1820"/>
      <c r="K167" s="1820">
        <f t="shared" si="15"/>
        <v>0</v>
      </c>
      <c r="L167" s="1821">
        <f t="shared" si="16"/>
        <v>0</v>
      </c>
      <c r="M167" s="1822"/>
    </row>
    <row r="168" spans="1:13" ht="16.5">
      <c r="A168" s="2207">
        <f t="shared" si="12"/>
        <v>163</v>
      </c>
      <c r="B168" s="2522"/>
      <c r="C168" s="1826" t="s">
        <v>3717</v>
      </c>
      <c r="D168" s="1820"/>
      <c r="E168" s="1821" t="e">
        <f t="shared" si="13"/>
        <v>#DIV/0!</v>
      </c>
      <c r="F168" s="1820"/>
      <c r="G168" s="1820">
        <f t="shared" si="17"/>
        <v>0</v>
      </c>
      <c r="H168" s="1820"/>
      <c r="I168" s="1821" t="e">
        <f t="shared" si="14"/>
        <v>#DIV/0!</v>
      </c>
      <c r="J168" s="1820"/>
      <c r="K168" s="1820">
        <f t="shared" si="15"/>
        <v>0</v>
      </c>
      <c r="L168" s="1821">
        <f t="shared" si="16"/>
        <v>0</v>
      </c>
      <c r="M168" s="1822"/>
    </row>
    <row r="169" spans="1:13" ht="16.5">
      <c r="A169" s="2207">
        <f t="shared" si="12"/>
        <v>164</v>
      </c>
      <c r="B169" s="2522"/>
      <c r="C169" s="1826" t="s">
        <v>3718</v>
      </c>
      <c r="D169" s="1820"/>
      <c r="E169" s="1821" t="e">
        <f t="shared" si="13"/>
        <v>#DIV/0!</v>
      </c>
      <c r="F169" s="1820"/>
      <c r="G169" s="1820">
        <f t="shared" si="17"/>
        <v>0</v>
      </c>
      <c r="H169" s="1820"/>
      <c r="I169" s="1821" t="e">
        <f t="shared" si="14"/>
        <v>#DIV/0!</v>
      </c>
      <c r="J169" s="1820"/>
      <c r="K169" s="1820">
        <f t="shared" si="15"/>
        <v>0</v>
      </c>
      <c r="L169" s="1821">
        <f t="shared" si="16"/>
        <v>0</v>
      </c>
      <c r="M169" s="1822"/>
    </row>
    <row r="170" spans="1:13" ht="16.5">
      <c r="A170" s="2207">
        <f t="shared" si="12"/>
        <v>165</v>
      </c>
      <c r="B170" s="2522"/>
      <c r="C170" s="1826" t="s">
        <v>3719</v>
      </c>
      <c r="D170" s="1820"/>
      <c r="E170" s="1821" t="e">
        <f t="shared" si="13"/>
        <v>#DIV/0!</v>
      </c>
      <c r="F170" s="1820"/>
      <c r="G170" s="1820">
        <f t="shared" si="17"/>
        <v>0</v>
      </c>
      <c r="H170" s="1820"/>
      <c r="I170" s="1821" t="e">
        <f t="shared" si="14"/>
        <v>#DIV/0!</v>
      </c>
      <c r="J170" s="1820"/>
      <c r="K170" s="1820">
        <f t="shared" si="15"/>
        <v>0</v>
      </c>
      <c r="L170" s="1821">
        <f t="shared" si="16"/>
        <v>0</v>
      </c>
      <c r="M170" s="1822"/>
    </row>
    <row r="171" spans="1:13" ht="16.5">
      <c r="A171" s="2207">
        <f t="shared" si="12"/>
        <v>166</v>
      </c>
      <c r="B171" s="2522"/>
      <c r="C171" s="1819" t="s">
        <v>3610</v>
      </c>
      <c r="D171" s="1820">
        <f>D172+D187</f>
        <v>0</v>
      </c>
      <c r="E171" s="1821" t="e">
        <f t="shared" si="13"/>
        <v>#DIV/0!</v>
      </c>
      <c r="F171" s="1820">
        <f>F172+F187</f>
        <v>0</v>
      </c>
      <c r="G171" s="1820">
        <f t="shared" si="17"/>
        <v>0</v>
      </c>
      <c r="H171" s="1820">
        <f>H172+H187</f>
        <v>0</v>
      </c>
      <c r="I171" s="1821" t="e">
        <f t="shared" si="14"/>
        <v>#DIV/0!</v>
      </c>
      <c r="J171" s="1820">
        <f>J172+J187</f>
        <v>0</v>
      </c>
      <c r="K171" s="1820">
        <f t="shared" si="15"/>
        <v>0</v>
      </c>
      <c r="L171" s="1821">
        <f t="shared" si="16"/>
        <v>0</v>
      </c>
      <c r="M171" s="1822"/>
    </row>
    <row r="172" spans="1:13" ht="16.5">
      <c r="A172" s="2207">
        <f t="shared" si="12"/>
        <v>167</v>
      </c>
      <c r="B172" s="2522"/>
      <c r="C172" s="1823" t="s">
        <v>3725</v>
      </c>
      <c r="D172" s="1820">
        <f>SUM(D173:D179)</f>
        <v>0</v>
      </c>
      <c r="E172" s="1821" t="e">
        <f t="shared" si="13"/>
        <v>#DIV/0!</v>
      </c>
      <c r="F172" s="1820">
        <f>SUM(F173:F179)</f>
        <v>0</v>
      </c>
      <c r="G172" s="1820">
        <f t="shared" si="17"/>
        <v>0</v>
      </c>
      <c r="H172" s="1820">
        <f>SUM(H173:H179)</f>
        <v>0</v>
      </c>
      <c r="I172" s="1821" t="e">
        <f t="shared" si="14"/>
        <v>#DIV/0!</v>
      </c>
      <c r="J172" s="1820">
        <f>SUM(J173:J179)</f>
        <v>0</v>
      </c>
      <c r="K172" s="1820">
        <f t="shared" si="15"/>
        <v>0</v>
      </c>
      <c r="L172" s="1821">
        <f t="shared" si="16"/>
        <v>0</v>
      </c>
      <c r="M172" s="1822"/>
    </row>
    <row r="173" spans="1:13" ht="16.5">
      <c r="A173" s="2207">
        <f t="shared" si="12"/>
        <v>168</v>
      </c>
      <c r="B173" s="2522"/>
      <c r="C173" s="1824" t="s">
        <v>3726</v>
      </c>
      <c r="D173" s="1820"/>
      <c r="E173" s="1821" t="e">
        <f t="shared" si="13"/>
        <v>#DIV/0!</v>
      </c>
      <c r="F173" s="1820"/>
      <c r="G173" s="1820">
        <f t="shared" si="17"/>
        <v>0</v>
      </c>
      <c r="H173" s="1820"/>
      <c r="I173" s="1821" t="e">
        <f t="shared" si="14"/>
        <v>#DIV/0!</v>
      </c>
      <c r="J173" s="1820"/>
      <c r="K173" s="1820">
        <f t="shared" si="15"/>
        <v>0</v>
      </c>
      <c r="L173" s="1821">
        <f t="shared" si="16"/>
        <v>0</v>
      </c>
      <c r="M173" s="1822"/>
    </row>
    <row r="174" spans="1:13" ht="16.5">
      <c r="A174" s="2207">
        <f t="shared" si="12"/>
        <v>169</v>
      </c>
      <c r="B174" s="2522"/>
      <c r="C174" s="1824" t="s">
        <v>3727</v>
      </c>
      <c r="D174" s="1820"/>
      <c r="E174" s="1821" t="e">
        <f t="shared" si="13"/>
        <v>#DIV/0!</v>
      </c>
      <c r="F174" s="1820"/>
      <c r="G174" s="1820">
        <f t="shared" si="17"/>
        <v>0</v>
      </c>
      <c r="H174" s="1820"/>
      <c r="I174" s="1821" t="e">
        <f t="shared" si="14"/>
        <v>#DIV/0!</v>
      </c>
      <c r="J174" s="1820"/>
      <c r="K174" s="1820">
        <f t="shared" si="15"/>
        <v>0</v>
      </c>
      <c r="L174" s="1821">
        <f t="shared" si="16"/>
        <v>0</v>
      </c>
      <c r="M174" s="1822"/>
    </row>
    <row r="175" spans="1:13" ht="33">
      <c r="A175" s="2207">
        <f t="shared" si="12"/>
        <v>170</v>
      </c>
      <c r="B175" s="2522"/>
      <c r="C175" s="1824" t="s">
        <v>3728</v>
      </c>
      <c r="D175" s="1820"/>
      <c r="E175" s="1821" t="e">
        <f t="shared" si="13"/>
        <v>#DIV/0!</v>
      </c>
      <c r="F175" s="1820"/>
      <c r="G175" s="1820">
        <f t="shared" si="17"/>
        <v>0</v>
      </c>
      <c r="H175" s="1820"/>
      <c r="I175" s="1821" t="e">
        <f t="shared" si="14"/>
        <v>#DIV/0!</v>
      </c>
      <c r="J175" s="1820"/>
      <c r="K175" s="1820">
        <f t="shared" si="15"/>
        <v>0</v>
      </c>
      <c r="L175" s="1821">
        <f t="shared" si="16"/>
        <v>0</v>
      </c>
      <c r="M175" s="1825"/>
    </row>
    <row r="176" spans="1:13" ht="16.5">
      <c r="A176" s="2207">
        <f t="shared" si="12"/>
        <v>171</v>
      </c>
      <c r="B176" s="2522"/>
      <c r="C176" s="1824" t="s">
        <v>3729</v>
      </c>
      <c r="D176" s="1820"/>
      <c r="E176" s="1821" t="e">
        <f t="shared" si="13"/>
        <v>#DIV/0!</v>
      </c>
      <c r="F176" s="1820"/>
      <c r="G176" s="1820">
        <f t="shared" si="17"/>
        <v>0</v>
      </c>
      <c r="H176" s="1820"/>
      <c r="I176" s="1821" t="e">
        <f t="shared" si="14"/>
        <v>#DIV/0!</v>
      </c>
      <c r="J176" s="1820"/>
      <c r="K176" s="1820">
        <f t="shared" si="15"/>
        <v>0</v>
      </c>
      <c r="L176" s="1821">
        <f t="shared" si="16"/>
        <v>0</v>
      </c>
      <c r="M176" s="1822"/>
    </row>
    <row r="177" spans="1:13" ht="16.5">
      <c r="A177" s="2207">
        <f t="shared" si="12"/>
        <v>172</v>
      </c>
      <c r="B177" s="2522"/>
      <c r="C177" s="1824" t="s">
        <v>3730</v>
      </c>
      <c r="D177" s="1820"/>
      <c r="E177" s="1821" t="e">
        <f t="shared" si="13"/>
        <v>#DIV/0!</v>
      </c>
      <c r="F177" s="1820"/>
      <c r="G177" s="1820">
        <f t="shared" si="17"/>
        <v>0</v>
      </c>
      <c r="H177" s="1820"/>
      <c r="I177" s="1821" t="e">
        <f t="shared" si="14"/>
        <v>#DIV/0!</v>
      </c>
      <c r="J177" s="1820"/>
      <c r="K177" s="1820">
        <f t="shared" si="15"/>
        <v>0</v>
      </c>
      <c r="L177" s="1821">
        <f t="shared" si="16"/>
        <v>0</v>
      </c>
      <c r="M177" s="1822"/>
    </row>
    <row r="178" spans="1:13" ht="16.5">
      <c r="A178" s="2207">
        <f t="shared" si="12"/>
        <v>173</v>
      </c>
      <c r="B178" s="2522"/>
      <c r="C178" s="1824" t="s">
        <v>3731</v>
      </c>
      <c r="D178" s="1820"/>
      <c r="E178" s="1821" t="e">
        <f t="shared" si="13"/>
        <v>#DIV/0!</v>
      </c>
      <c r="F178" s="1820"/>
      <c r="G178" s="1820">
        <f t="shared" si="17"/>
        <v>0</v>
      </c>
      <c r="H178" s="1820"/>
      <c r="I178" s="1821" t="e">
        <f t="shared" si="14"/>
        <v>#DIV/0!</v>
      </c>
      <c r="J178" s="1820"/>
      <c r="K178" s="1820">
        <f t="shared" si="15"/>
        <v>0</v>
      </c>
      <c r="L178" s="1821">
        <f t="shared" si="16"/>
        <v>0</v>
      </c>
      <c r="M178" s="1825"/>
    </row>
    <row r="179" spans="1:13" ht="16.5">
      <c r="A179" s="2207">
        <f t="shared" si="12"/>
        <v>174</v>
      </c>
      <c r="B179" s="2522"/>
      <c r="C179" s="1824" t="s">
        <v>3732</v>
      </c>
      <c r="D179" s="1820">
        <f>SUM(D180:D186)</f>
        <v>0</v>
      </c>
      <c r="E179" s="1821" t="e">
        <f t="shared" si="13"/>
        <v>#DIV/0!</v>
      </c>
      <c r="F179" s="1820">
        <f>SUM(F180:F186)</f>
        <v>0</v>
      </c>
      <c r="G179" s="1820">
        <f t="shared" si="17"/>
        <v>0</v>
      </c>
      <c r="H179" s="1820">
        <f>SUM(H180:H186)</f>
        <v>0</v>
      </c>
      <c r="I179" s="1821" t="e">
        <f t="shared" si="14"/>
        <v>#DIV/0!</v>
      </c>
      <c r="J179" s="1820">
        <f>SUM(J180:J186)</f>
        <v>0</v>
      </c>
      <c r="K179" s="1820">
        <f t="shared" si="15"/>
        <v>0</v>
      </c>
      <c r="L179" s="1821">
        <f t="shared" si="16"/>
        <v>0</v>
      </c>
      <c r="M179" s="1822"/>
    </row>
    <row r="180" spans="1:13" ht="16.5">
      <c r="A180" s="2207">
        <f t="shared" si="12"/>
        <v>175</v>
      </c>
      <c r="B180" s="2522"/>
      <c r="C180" s="1826" t="s">
        <v>3733</v>
      </c>
      <c r="D180" s="1820"/>
      <c r="E180" s="1821" t="e">
        <f t="shared" si="13"/>
        <v>#DIV/0!</v>
      </c>
      <c r="F180" s="1820"/>
      <c r="G180" s="1820">
        <f t="shared" si="17"/>
        <v>0</v>
      </c>
      <c r="H180" s="1820"/>
      <c r="I180" s="1821" t="e">
        <f t="shared" si="14"/>
        <v>#DIV/0!</v>
      </c>
      <c r="J180" s="1820"/>
      <c r="K180" s="1820">
        <f t="shared" si="15"/>
        <v>0</v>
      </c>
      <c r="L180" s="1821">
        <f t="shared" si="16"/>
        <v>0</v>
      </c>
      <c r="M180" s="1822"/>
    </row>
    <row r="181" spans="1:13" ht="16.5">
      <c r="A181" s="2207">
        <f t="shared" si="12"/>
        <v>176</v>
      </c>
      <c r="B181" s="2522"/>
      <c r="C181" s="1826" t="s">
        <v>3734</v>
      </c>
      <c r="D181" s="1820"/>
      <c r="E181" s="1821" t="e">
        <f t="shared" si="13"/>
        <v>#DIV/0!</v>
      </c>
      <c r="F181" s="1820"/>
      <c r="G181" s="1820">
        <f t="shared" si="17"/>
        <v>0</v>
      </c>
      <c r="H181" s="1820"/>
      <c r="I181" s="1821" t="e">
        <f t="shared" si="14"/>
        <v>#DIV/0!</v>
      </c>
      <c r="J181" s="1820"/>
      <c r="K181" s="1820">
        <f t="shared" si="15"/>
        <v>0</v>
      </c>
      <c r="L181" s="1821">
        <f t="shared" si="16"/>
        <v>0</v>
      </c>
      <c r="M181" s="1822"/>
    </row>
    <row r="182" spans="1:13" ht="16.5">
      <c r="A182" s="2207">
        <f t="shared" si="12"/>
        <v>177</v>
      </c>
      <c r="B182" s="2522"/>
      <c r="C182" s="1826" t="s">
        <v>7058</v>
      </c>
      <c r="D182" s="1820"/>
      <c r="E182" s="1821" t="e">
        <f t="shared" si="13"/>
        <v>#DIV/0!</v>
      </c>
      <c r="F182" s="1820"/>
      <c r="G182" s="1820">
        <f t="shared" si="17"/>
        <v>0</v>
      </c>
      <c r="H182" s="1820"/>
      <c r="I182" s="1821" t="e">
        <f t="shared" si="14"/>
        <v>#DIV/0!</v>
      </c>
      <c r="J182" s="1820"/>
      <c r="K182" s="1820">
        <f t="shared" si="15"/>
        <v>0</v>
      </c>
      <c r="L182" s="1821">
        <f t="shared" si="16"/>
        <v>0</v>
      </c>
      <c r="M182" s="1822"/>
    </row>
    <row r="183" spans="1:13" ht="16.5">
      <c r="A183" s="2207">
        <f t="shared" si="12"/>
        <v>178</v>
      </c>
      <c r="B183" s="2522"/>
      <c r="C183" s="1826" t="s">
        <v>7059</v>
      </c>
      <c r="D183" s="1820"/>
      <c r="E183" s="1821" t="e">
        <f t="shared" si="13"/>
        <v>#DIV/0!</v>
      </c>
      <c r="F183" s="1820"/>
      <c r="G183" s="1820">
        <f t="shared" si="17"/>
        <v>0</v>
      </c>
      <c r="H183" s="1820"/>
      <c r="I183" s="1821" t="e">
        <f t="shared" si="14"/>
        <v>#DIV/0!</v>
      </c>
      <c r="J183" s="1820"/>
      <c r="K183" s="1820">
        <f t="shared" si="15"/>
        <v>0</v>
      </c>
      <c r="L183" s="1821">
        <f t="shared" si="16"/>
        <v>0</v>
      </c>
      <c r="M183" s="1825"/>
    </row>
    <row r="184" spans="1:13" ht="16.5">
      <c r="A184" s="2207">
        <f t="shared" si="12"/>
        <v>179</v>
      </c>
      <c r="B184" s="2522"/>
      <c r="C184" s="1826" t="s">
        <v>7060</v>
      </c>
      <c r="D184" s="1820"/>
      <c r="E184" s="1821" t="e">
        <f t="shared" si="13"/>
        <v>#DIV/0!</v>
      </c>
      <c r="F184" s="1820"/>
      <c r="G184" s="1820">
        <f t="shared" si="17"/>
        <v>0</v>
      </c>
      <c r="H184" s="1820"/>
      <c r="I184" s="1821" t="e">
        <f t="shared" si="14"/>
        <v>#DIV/0!</v>
      </c>
      <c r="J184" s="1820"/>
      <c r="K184" s="1820">
        <f t="shared" si="15"/>
        <v>0</v>
      </c>
      <c r="L184" s="1821">
        <f t="shared" si="16"/>
        <v>0</v>
      </c>
      <c r="M184" s="1822"/>
    </row>
    <row r="185" spans="1:13" ht="16.5">
      <c r="A185" s="2207">
        <f t="shared" si="12"/>
        <v>180</v>
      </c>
      <c r="B185" s="2522"/>
      <c r="C185" s="1826" t="s">
        <v>7061</v>
      </c>
      <c r="D185" s="1820"/>
      <c r="E185" s="1821" t="e">
        <f t="shared" si="13"/>
        <v>#DIV/0!</v>
      </c>
      <c r="F185" s="1820"/>
      <c r="G185" s="1820">
        <f t="shared" si="17"/>
        <v>0</v>
      </c>
      <c r="H185" s="1820"/>
      <c r="I185" s="1821" t="e">
        <f t="shared" si="14"/>
        <v>#DIV/0!</v>
      </c>
      <c r="J185" s="1820"/>
      <c r="K185" s="1820">
        <f t="shared" si="15"/>
        <v>0</v>
      </c>
      <c r="L185" s="1821">
        <f t="shared" si="16"/>
        <v>0</v>
      </c>
      <c r="M185" s="1822"/>
    </row>
    <row r="186" spans="1:13" ht="16.5">
      <c r="A186" s="2207">
        <f t="shared" si="12"/>
        <v>181</v>
      </c>
      <c r="B186" s="2522"/>
      <c r="C186" s="1826" t="s">
        <v>3676</v>
      </c>
      <c r="D186" s="1820"/>
      <c r="E186" s="1821" t="e">
        <f t="shared" si="13"/>
        <v>#DIV/0!</v>
      </c>
      <c r="F186" s="1820"/>
      <c r="G186" s="1820">
        <f t="shared" si="17"/>
        <v>0</v>
      </c>
      <c r="H186" s="1820"/>
      <c r="I186" s="1821" t="e">
        <f t="shared" si="14"/>
        <v>#DIV/0!</v>
      </c>
      <c r="J186" s="1820"/>
      <c r="K186" s="1820">
        <f t="shared" si="15"/>
        <v>0</v>
      </c>
      <c r="L186" s="1821">
        <f t="shared" si="16"/>
        <v>0</v>
      </c>
      <c r="M186" s="1822"/>
    </row>
    <row r="187" spans="1:13" ht="16.5">
      <c r="A187" s="2207">
        <f t="shared" si="12"/>
        <v>182</v>
      </c>
      <c r="B187" s="2522"/>
      <c r="C187" s="1823" t="s">
        <v>3735</v>
      </c>
      <c r="D187" s="1820">
        <f>SUM(D188:D194)</f>
        <v>0</v>
      </c>
      <c r="E187" s="1821" t="e">
        <f t="shared" si="13"/>
        <v>#DIV/0!</v>
      </c>
      <c r="F187" s="1820">
        <f>SUM(F188:F194)</f>
        <v>0</v>
      </c>
      <c r="G187" s="1820">
        <f t="shared" si="17"/>
        <v>0</v>
      </c>
      <c r="H187" s="1820">
        <f>SUM(H188:H194)</f>
        <v>0</v>
      </c>
      <c r="I187" s="1821" t="e">
        <f t="shared" si="14"/>
        <v>#DIV/0!</v>
      </c>
      <c r="J187" s="1820">
        <f>SUM(J188:J194)</f>
        <v>0</v>
      </c>
      <c r="K187" s="1820">
        <f t="shared" si="15"/>
        <v>0</v>
      </c>
      <c r="L187" s="1821">
        <f t="shared" si="16"/>
        <v>0</v>
      </c>
      <c r="M187" s="1822"/>
    </row>
    <row r="188" spans="1:13" ht="16.5">
      <c r="A188" s="2207">
        <f t="shared" si="12"/>
        <v>183</v>
      </c>
      <c r="B188" s="2522"/>
      <c r="C188" s="1824" t="s">
        <v>3726</v>
      </c>
      <c r="D188" s="1820"/>
      <c r="E188" s="1821" t="e">
        <f t="shared" si="13"/>
        <v>#DIV/0!</v>
      </c>
      <c r="F188" s="1820"/>
      <c r="G188" s="1820">
        <f t="shared" si="17"/>
        <v>0</v>
      </c>
      <c r="H188" s="1820"/>
      <c r="I188" s="1821" t="e">
        <f t="shared" si="14"/>
        <v>#DIV/0!</v>
      </c>
      <c r="J188" s="1820"/>
      <c r="K188" s="1820">
        <f t="shared" si="15"/>
        <v>0</v>
      </c>
      <c r="L188" s="1821">
        <f t="shared" si="16"/>
        <v>0</v>
      </c>
      <c r="M188" s="1822"/>
    </row>
    <row r="189" spans="1:13" ht="16.5">
      <c r="A189" s="2207">
        <f t="shared" si="12"/>
        <v>184</v>
      </c>
      <c r="B189" s="2522"/>
      <c r="C189" s="1824" t="s">
        <v>3727</v>
      </c>
      <c r="D189" s="1820"/>
      <c r="E189" s="1821" t="e">
        <f t="shared" si="13"/>
        <v>#DIV/0!</v>
      </c>
      <c r="F189" s="1820"/>
      <c r="G189" s="1820">
        <f t="shared" si="17"/>
        <v>0</v>
      </c>
      <c r="H189" s="1820"/>
      <c r="I189" s="1821" t="e">
        <f t="shared" si="14"/>
        <v>#DIV/0!</v>
      </c>
      <c r="J189" s="1820"/>
      <c r="K189" s="1820">
        <f t="shared" si="15"/>
        <v>0</v>
      </c>
      <c r="L189" s="1821">
        <f t="shared" si="16"/>
        <v>0</v>
      </c>
      <c r="M189" s="1822"/>
    </row>
    <row r="190" spans="1:13" ht="33">
      <c r="A190" s="2207">
        <f t="shared" si="12"/>
        <v>185</v>
      </c>
      <c r="B190" s="2522"/>
      <c r="C190" s="1824" t="s">
        <v>3728</v>
      </c>
      <c r="D190" s="1820"/>
      <c r="E190" s="1821" t="e">
        <f t="shared" si="13"/>
        <v>#DIV/0!</v>
      </c>
      <c r="F190" s="1820"/>
      <c r="G190" s="1820">
        <f t="shared" si="17"/>
        <v>0</v>
      </c>
      <c r="H190" s="1820"/>
      <c r="I190" s="1821" t="e">
        <f t="shared" si="14"/>
        <v>#DIV/0!</v>
      </c>
      <c r="J190" s="1820"/>
      <c r="K190" s="1820">
        <f t="shared" si="15"/>
        <v>0</v>
      </c>
      <c r="L190" s="1821">
        <f t="shared" si="16"/>
        <v>0</v>
      </c>
      <c r="M190" s="1825"/>
    </row>
    <row r="191" spans="1:13" ht="16.5">
      <c r="A191" s="2207">
        <f t="shared" si="12"/>
        <v>186</v>
      </c>
      <c r="B191" s="2522"/>
      <c r="C191" s="1824" t="s">
        <v>3729</v>
      </c>
      <c r="D191" s="1820"/>
      <c r="E191" s="1821" t="e">
        <f t="shared" si="13"/>
        <v>#DIV/0!</v>
      </c>
      <c r="F191" s="1820"/>
      <c r="G191" s="1820">
        <f t="shared" si="17"/>
        <v>0</v>
      </c>
      <c r="H191" s="1820"/>
      <c r="I191" s="1821" t="e">
        <f t="shared" si="14"/>
        <v>#DIV/0!</v>
      </c>
      <c r="J191" s="1820"/>
      <c r="K191" s="1820">
        <f t="shared" si="15"/>
        <v>0</v>
      </c>
      <c r="L191" s="1821">
        <f t="shared" si="16"/>
        <v>0</v>
      </c>
      <c r="M191" s="1822"/>
    </row>
    <row r="192" spans="1:13" ht="16.5">
      <c r="A192" s="2207">
        <f t="shared" si="12"/>
        <v>187</v>
      </c>
      <c r="B192" s="2522"/>
      <c r="C192" s="1824" t="s">
        <v>3730</v>
      </c>
      <c r="D192" s="1820"/>
      <c r="E192" s="1821" t="e">
        <f t="shared" si="13"/>
        <v>#DIV/0!</v>
      </c>
      <c r="F192" s="1820"/>
      <c r="G192" s="1820">
        <f t="shared" si="17"/>
        <v>0</v>
      </c>
      <c r="H192" s="1820"/>
      <c r="I192" s="1821" t="e">
        <f t="shared" si="14"/>
        <v>#DIV/0!</v>
      </c>
      <c r="J192" s="1820"/>
      <c r="K192" s="1820">
        <f t="shared" si="15"/>
        <v>0</v>
      </c>
      <c r="L192" s="1821">
        <f t="shared" si="16"/>
        <v>0</v>
      </c>
      <c r="M192" s="1822"/>
    </row>
    <row r="193" spans="1:13" ht="16.5">
      <c r="A193" s="2207">
        <f t="shared" si="12"/>
        <v>188</v>
      </c>
      <c r="B193" s="2522"/>
      <c r="C193" s="1824" t="s">
        <v>3731</v>
      </c>
      <c r="D193" s="1820"/>
      <c r="E193" s="1821" t="e">
        <f t="shared" si="13"/>
        <v>#DIV/0!</v>
      </c>
      <c r="F193" s="1820"/>
      <c r="G193" s="1820">
        <f t="shared" si="17"/>
        <v>0</v>
      </c>
      <c r="H193" s="1820"/>
      <c r="I193" s="1821" t="e">
        <f t="shared" si="14"/>
        <v>#DIV/0!</v>
      </c>
      <c r="J193" s="1820"/>
      <c r="K193" s="1820">
        <f t="shared" si="15"/>
        <v>0</v>
      </c>
      <c r="L193" s="1821">
        <f t="shared" si="16"/>
        <v>0</v>
      </c>
      <c r="M193" s="1825"/>
    </row>
    <row r="194" spans="1:13" ht="16.5">
      <c r="A194" s="2207">
        <f t="shared" si="12"/>
        <v>189</v>
      </c>
      <c r="B194" s="2522"/>
      <c r="C194" s="1824" t="s">
        <v>3732</v>
      </c>
      <c r="D194" s="1820">
        <f>SUM(D195:D201)</f>
        <v>0</v>
      </c>
      <c r="E194" s="1821" t="e">
        <f t="shared" si="13"/>
        <v>#DIV/0!</v>
      </c>
      <c r="F194" s="1820">
        <f>SUM(F195:F201)</f>
        <v>0</v>
      </c>
      <c r="G194" s="1820">
        <f t="shared" si="17"/>
        <v>0</v>
      </c>
      <c r="H194" s="1820">
        <f>SUM(H195:H201)</f>
        <v>0</v>
      </c>
      <c r="I194" s="1821" t="e">
        <f t="shared" si="14"/>
        <v>#DIV/0!</v>
      </c>
      <c r="J194" s="1820">
        <f>SUM(J195:J201)</f>
        <v>0</v>
      </c>
      <c r="K194" s="1820">
        <f t="shared" si="15"/>
        <v>0</v>
      </c>
      <c r="L194" s="1821">
        <f t="shared" si="16"/>
        <v>0</v>
      </c>
      <c r="M194" s="1822"/>
    </row>
    <row r="195" spans="1:13" ht="16.5">
      <c r="A195" s="2207">
        <f t="shared" si="12"/>
        <v>190</v>
      </c>
      <c r="B195" s="2522"/>
      <c r="C195" s="1826" t="s">
        <v>3733</v>
      </c>
      <c r="D195" s="1820"/>
      <c r="E195" s="1821" t="e">
        <f t="shared" si="13"/>
        <v>#DIV/0!</v>
      </c>
      <c r="F195" s="1820"/>
      <c r="G195" s="1820">
        <f t="shared" si="17"/>
        <v>0</v>
      </c>
      <c r="H195" s="1820"/>
      <c r="I195" s="1821" t="e">
        <f t="shared" si="14"/>
        <v>#DIV/0!</v>
      </c>
      <c r="J195" s="1820"/>
      <c r="K195" s="1820">
        <f t="shared" si="15"/>
        <v>0</v>
      </c>
      <c r="L195" s="1821">
        <f t="shared" si="16"/>
        <v>0</v>
      </c>
      <c r="M195" s="1822"/>
    </row>
    <row r="196" spans="1:13" ht="16.5">
      <c r="A196" s="2207">
        <f t="shared" si="12"/>
        <v>191</v>
      </c>
      <c r="B196" s="2522"/>
      <c r="C196" s="1826" t="s">
        <v>3734</v>
      </c>
      <c r="D196" s="1820"/>
      <c r="E196" s="1821" t="e">
        <f t="shared" si="13"/>
        <v>#DIV/0!</v>
      </c>
      <c r="F196" s="1820"/>
      <c r="G196" s="1820">
        <f t="shared" si="17"/>
        <v>0</v>
      </c>
      <c r="H196" s="1820"/>
      <c r="I196" s="1821" t="e">
        <f t="shared" si="14"/>
        <v>#DIV/0!</v>
      </c>
      <c r="J196" s="1820"/>
      <c r="K196" s="1820">
        <f t="shared" si="15"/>
        <v>0</v>
      </c>
      <c r="L196" s="1821">
        <f t="shared" si="16"/>
        <v>0</v>
      </c>
      <c r="M196" s="1822"/>
    </row>
    <row r="197" spans="1:13" ht="16.5">
      <c r="A197" s="2207">
        <f t="shared" si="12"/>
        <v>192</v>
      </c>
      <c r="B197" s="2522"/>
      <c r="C197" s="1826" t="s">
        <v>7058</v>
      </c>
      <c r="D197" s="1820"/>
      <c r="E197" s="1821" t="e">
        <f t="shared" si="13"/>
        <v>#DIV/0!</v>
      </c>
      <c r="F197" s="1820"/>
      <c r="G197" s="1820">
        <f t="shared" si="17"/>
        <v>0</v>
      </c>
      <c r="H197" s="1820"/>
      <c r="I197" s="1821" t="e">
        <f t="shared" si="14"/>
        <v>#DIV/0!</v>
      </c>
      <c r="J197" s="1820"/>
      <c r="K197" s="1820">
        <f t="shared" si="15"/>
        <v>0</v>
      </c>
      <c r="L197" s="1821">
        <f t="shared" si="16"/>
        <v>0</v>
      </c>
      <c r="M197" s="1822"/>
    </row>
    <row r="198" spans="1:13" ht="16.5">
      <c r="A198" s="2207">
        <f t="shared" si="12"/>
        <v>193</v>
      </c>
      <c r="B198" s="2522"/>
      <c r="C198" s="1826" t="s">
        <v>7059</v>
      </c>
      <c r="D198" s="1820"/>
      <c r="E198" s="1821" t="e">
        <f t="shared" si="13"/>
        <v>#DIV/0!</v>
      </c>
      <c r="F198" s="1820"/>
      <c r="G198" s="1820">
        <f t="shared" si="17"/>
        <v>0</v>
      </c>
      <c r="H198" s="1820"/>
      <c r="I198" s="1821" t="e">
        <f t="shared" si="14"/>
        <v>#DIV/0!</v>
      </c>
      <c r="J198" s="1820"/>
      <c r="K198" s="1820">
        <f t="shared" si="15"/>
        <v>0</v>
      </c>
      <c r="L198" s="1821">
        <f t="shared" si="16"/>
        <v>0</v>
      </c>
      <c r="M198" s="1825"/>
    </row>
    <row r="199" spans="1:13" ht="16.5">
      <c r="A199" s="2207">
        <f t="shared" ref="A199:A257" si="18">A198+1</f>
        <v>194</v>
      </c>
      <c r="B199" s="2522"/>
      <c r="C199" s="1826" t="s">
        <v>7060</v>
      </c>
      <c r="D199" s="1820"/>
      <c r="E199" s="1821" t="e">
        <f t="shared" ref="E199:E257" si="19">D199/$D$257</f>
        <v>#DIV/0!</v>
      </c>
      <c r="F199" s="1820"/>
      <c r="G199" s="1820">
        <f t="shared" si="17"/>
        <v>0</v>
      </c>
      <c r="H199" s="1820"/>
      <c r="I199" s="1821" t="e">
        <f t="shared" ref="I199:I257" si="20">H199/H$257</f>
        <v>#DIV/0!</v>
      </c>
      <c r="J199" s="1820"/>
      <c r="K199" s="1820">
        <f t="shared" ref="K199:K257" si="21">D199-H199</f>
        <v>0</v>
      </c>
      <c r="L199" s="1821">
        <f t="shared" ref="L199:L257" si="22">IF(J199=0,0,K199/J199)</f>
        <v>0</v>
      </c>
      <c r="M199" s="1822"/>
    </row>
    <row r="200" spans="1:13" ht="16.5">
      <c r="A200" s="2207">
        <f t="shared" si="18"/>
        <v>195</v>
      </c>
      <c r="B200" s="2522"/>
      <c r="C200" s="1826" t="s">
        <v>7061</v>
      </c>
      <c r="D200" s="1820"/>
      <c r="E200" s="1821" t="e">
        <f t="shared" si="19"/>
        <v>#DIV/0!</v>
      </c>
      <c r="F200" s="1820"/>
      <c r="G200" s="1820">
        <f t="shared" si="17"/>
        <v>0</v>
      </c>
      <c r="H200" s="1820"/>
      <c r="I200" s="1821" t="e">
        <f t="shared" si="20"/>
        <v>#DIV/0!</v>
      </c>
      <c r="J200" s="1820"/>
      <c r="K200" s="1820">
        <f t="shared" si="21"/>
        <v>0</v>
      </c>
      <c r="L200" s="1821">
        <f t="shared" si="22"/>
        <v>0</v>
      </c>
      <c r="M200" s="1822"/>
    </row>
    <row r="201" spans="1:13" ht="16.5">
      <c r="A201" s="2207">
        <f t="shared" si="18"/>
        <v>196</v>
      </c>
      <c r="B201" s="2522"/>
      <c r="C201" s="1826" t="s">
        <v>3676</v>
      </c>
      <c r="D201" s="1820"/>
      <c r="E201" s="1821" t="e">
        <f t="shared" si="19"/>
        <v>#DIV/0!</v>
      </c>
      <c r="F201" s="1820"/>
      <c r="G201" s="1820">
        <f t="shared" si="17"/>
        <v>0</v>
      </c>
      <c r="H201" s="1820"/>
      <c r="I201" s="1821" t="e">
        <f t="shared" si="20"/>
        <v>#DIV/0!</v>
      </c>
      <c r="J201" s="1820"/>
      <c r="K201" s="1820">
        <f t="shared" si="21"/>
        <v>0</v>
      </c>
      <c r="L201" s="1821">
        <f t="shared" si="22"/>
        <v>0</v>
      </c>
      <c r="M201" s="1822"/>
    </row>
    <row r="202" spans="1:13" ht="16.5">
      <c r="A202" s="2207">
        <f t="shared" si="18"/>
        <v>197</v>
      </c>
      <c r="B202" s="2522"/>
      <c r="C202" s="2208" t="s">
        <v>3611</v>
      </c>
      <c r="D202" s="1820">
        <f>D110+D171</f>
        <v>0</v>
      </c>
      <c r="E202" s="1821" t="e">
        <f t="shared" si="19"/>
        <v>#DIV/0!</v>
      </c>
      <c r="F202" s="1820">
        <f>F110+F171</f>
        <v>0</v>
      </c>
      <c r="G202" s="1820">
        <f t="shared" si="17"/>
        <v>0</v>
      </c>
      <c r="H202" s="1820">
        <f>H110+H171</f>
        <v>0</v>
      </c>
      <c r="I202" s="1821" t="e">
        <f t="shared" si="20"/>
        <v>#DIV/0!</v>
      </c>
      <c r="J202" s="1820">
        <f>J110+J171</f>
        <v>0</v>
      </c>
      <c r="K202" s="1820">
        <f t="shared" si="21"/>
        <v>0</v>
      </c>
      <c r="L202" s="1821">
        <f t="shared" si="22"/>
        <v>0</v>
      </c>
      <c r="M202" s="1822"/>
    </row>
    <row r="203" spans="1:13" ht="16.5" customHeight="1">
      <c r="A203" s="2207">
        <f t="shared" si="18"/>
        <v>198</v>
      </c>
      <c r="B203" s="2522" t="s">
        <v>3736</v>
      </c>
      <c r="C203" s="1819" t="s">
        <v>3609</v>
      </c>
      <c r="D203" s="1820">
        <f>D204+D205+D206+D207+D213</f>
        <v>0</v>
      </c>
      <c r="E203" s="1821" t="e">
        <f t="shared" si="19"/>
        <v>#DIV/0!</v>
      </c>
      <c r="F203" s="1820">
        <f>F204+F205+F206+F207+F213</f>
        <v>0</v>
      </c>
      <c r="G203" s="1820">
        <f t="shared" si="17"/>
        <v>0</v>
      </c>
      <c r="H203" s="1820">
        <f>H204+H205+H206+H207+H213</f>
        <v>0</v>
      </c>
      <c r="I203" s="1821" t="e">
        <f t="shared" si="20"/>
        <v>#DIV/0!</v>
      </c>
      <c r="J203" s="1820">
        <f>J204+J205+J206+J207+J213</f>
        <v>0</v>
      </c>
      <c r="K203" s="1820">
        <f t="shared" si="21"/>
        <v>0</v>
      </c>
      <c r="L203" s="1821">
        <f t="shared" si="22"/>
        <v>0</v>
      </c>
      <c r="M203" s="1822"/>
    </row>
    <row r="204" spans="1:13" ht="16.5">
      <c r="A204" s="2207">
        <f t="shared" si="18"/>
        <v>199</v>
      </c>
      <c r="B204" s="2522"/>
      <c r="C204" s="1823" t="s">
        <v>3737</v>
      </c>
      <c r="D204" s="1820"/>
      <c r="E204" s="1821" t="e">
        <f t="shared" si="19"/>
        <v>#DIV/0!</v>
      </c>
      <c r="F204" s="1820"/>
      <c r="G204" s="1820">
        <f t="shared" si="17"/>
        <v>0</v>
      </c>
      <c r="H204" s="1820"/>
      <c r="I204" s="1821" t="e">
        <f t="shared" si="20"/>
        <v>#DIV/0!</v>
      </c>
      <c r="J204" s="1820"/>
      <c r="K204" s="1820">
        <f t="shared" si="21"/>
        <v>0</v>
      </c>
      <c r="L204" s="1821">
        <f t="shared" si="22"/>
        <v>0</v>
      </c>
      <c r="M204" s="1822"/>
    </row>
    <row r="205" spans="1:13" ht="16.5">
      <c r="A205" s="2207">
        <f t="shared" si="18"/>
        <v>200</v>
      </c>
      <c r="B205" s="2522"/>
      <c r="C205" s="1823" t="s">
        <v>3738</v>
      </c>
      <c r="D205" s="1820"/>
      <c r="E205" s="1821" t="e">
        <f t="shared" si="19"/>
        <v>#DIV/0!</v>
      </c>
      <c r="F205" s="1820"/>
      <c r="G205" s="1820">
        <f t="shared" si="17"/>
        <v>0</v>
      </c>
      <c r="H205" s="1820"/>
      <c r="I205" s="1821" t="e">
        <f t="shared" si="20"/>
        <v>#DIV/0!</v>
      </c>
      <c r="J205" s="1820"/>
      <c r="K205" s="1820">
        <f t="shared" si="21"/>
        <v>0</v>
      </c>
      <c r="L205" s="1821">
        <f t="shared" si="22"/>
        <v>0</v>
      </c>
      <c r="M205" s="1822"/>
    </row>
    <row r="206" spans="1:13" ht="33">
      <c r="A206" s="2207">
        <f t="shared" si="18"/>
        <v>201</v>
      </c>
      <c r="B206" s="2522"/>
      <c r="C206" s="1823" t="s">
        <v>3739</v>
      </c>
      <c r="D206" s="1820"/>
      <c r="E206" s="1821" t="e">
        <f t="shared" si="19"/>
        <v>#DIV/0!</v>
      </c>
      <c r="F206" s="1820"/>
      <c r="G206" s="1820">
        <f t="shared" si="17"/>
        <v>0</v>
      </c>
      <c r="H206" s="1820"/>
      <c r="I206" s="1821" t="e">
        <f t="shared" si="20"/>
        <v>#DIV/0!</v>
      </c>
      <c r="J206" s="1820"/>
      <c r="K206" s="1820">
        <f t="shared" si="21"/>
        <v>0</v>
      </c>
      <c r="L206" s="1821">
        <f t="shared" si="22"/>
        <v>0</v>
      </c>
      <c r="M206" s="1822"/>
    </row>
    <row r="207" spans="1:13" ht="16.5">
      <c r="A207" s="2207">
        <f t="shared" si="18"/>
        <v>202</v>
      </c>
      <c r="B207" s="2522"/>
      <c r="C207" s="1823" t="s">
        <v>3740</v>
      </c>
      <c r="D207" s="1820">
        <f>SUM(D208:D211)</f>
        <v>0</v>
      </c>
      <c r="E207" s="1821" t="e">
        <f t="shared" si="19"/>
        <v>#DIV/0!</v>
      </c>
      <c r="F207" s="1820">
        <f>SUM(F208:F211)</f>
        <v>0</v>
      </c>
      <c r="G207" s="1820">
        <f t="shared" si="17"/>
        <v>0</v>
      </c>
      <c r="H207" s="1820">
        <f>SUM(H208:H211)</f>
        <v>0</v>
      </c>
      <c r="I207" s="1821" t="e">
        <f t="shared" si="20"/>
        <v>#DIV/0!</v>
      </c>
      <c r="J207" s="1820">
        <f>SUM(J208:J211)</f>
        <v>0</v>
      </c>
      <c r="K207" s="1820">
        <f t="shared" si="21"/>
        <v>0</v>
      </c>
      <c r="L207" s="1821">
        <f t="shared" si="22"/>
        <v>0</v>
      </c>
      <c r="M207" s="1822"/>
    </row>
    <row r="208" spans="1:13" ht="16.5">
      <c r="A208" s="2207">
        <f t="shared" si="18"/>
        <v>203</v>
      </c>
      <c r="B208" s="2522"/>
      <c r="C208" s="1824" t="s">
        <v>3741</v>
      </c>
      <c r="D208" s="1820"/>
      <c r="E208" s="1821" t="e">
        <f t="shared" si="19"/>
        <v>#DIV/0!</v>
      </c>
      <c r="F208" s="1820"/>
      <c r="G208" s="1820">
        <f t="shared" si="17"/>
        <v>0</v>
      </c>
      <c r="H208" s="1820"/>
      <c r="I208" s="1821" t="e">
        <f t="shared" si="20"/>
        <v>#DIV/0!</v>
      </c>
      <c r="J208" s="1820"/>
      <c r="K208" s="1820">
        <f t="shared" si="21"/>
        <v>0</v>
      </c>
      <c r="L208" s="1821">
        <f t="shared" si="22"/>
        <v>0</v>
      </c>
      <c r="M208" s="1822"/>
    </row>
    <row r="209" spans="1:13" ht="16.5">
      <c r="A209" s="2207">
        <f t="shared" si="18"/>
        <v>204</v>
      </c>
      <c r="B209" s="2522"/>
      <c r="C209" s="1824" t="s">
        <v>3742</v>
      </c>
      <c r="D209" s="1820"/>
      <c r="E209" s="1821" t="e">
        <f t="shared" si="19"/>
        <v>#DIV/0!</v>
      </c>
      <c r="F209" s="1820"/>
      <c r="G209" s="1820">
        <f t="shared" si="17"/>
        <v>0</v>
      </c>
      <c r="H209" s="1820"/>
      <c r="I209" s="1821" t="e">
        <f t="shared" si="20"/>
        <v>#DIV/0!</v>
      </c>
      <c r="J209" s="1820"/>
      <c r="K209" s="1820">
        <f t="shared" si="21"/>
        <v>0</v>
      </c>
      <c r="L209" s="1821">
        <f t="shared" si="22"/>
        <v>0</v>
      </c>
      <c r="M209" s="1822"/>
    </row>
    <row r="210" spans="1:13" ht="16.5">
      <c r="A210" s="2207">
        <f t="shared" si="18"/>
        <v>205</v>
      </c>
      <c r="B210" s="2522"/>
      <c r="C210" s="1824" t="s">
        <v>3743</v>
      </c>
      <c r="D210" s="1820"/>
      <c r="E210" s="1821" t="e">
        <f t="shared" si="19"/>
        <v>#DIV/0!</v>
      </c>
      <c r="F210" s="1820"/>
      <c r="G210" s="1820">
        <f t="shared" ref="G210:G257" si="23">D210-F210</f>
        <v>0</v>
      </c>
      <c r="H210" s="1820"/>
      <c r="I210" s="1821" t="e">
        <f t="shared" si="20"/>
        <v>#DIV/0!</v>
      </c>
      <c r="J210" s="1820"/>
      <c r="K210" s="1820">
        <f t="shared" si="21"/>
        <v>0</v>
      </c>
      <c r="L210" s="1821">
        <f t="shared" si="22"/>
        <v>0</v>
      </c>
      <c r="M210" s="1822"/>
    </row>
    <row r="211" spans="1:13" ht="16.5">
      <c r="A211" s="2207">
        <f t="shared" si="18"/>
        <v>206</v>
      </c>
      <c r="B211" s="2522"/>
      <c r="C211" s="1824" t="s">
        <v>3744</v>
      </c>
      <c r="D211" s="1820"/>
      <c r="E211" s="1821" t="e">
        <f t="shared" si="19"/>
        <v>#DIV/0!</v>
      </c>
      <c r="F211" s="1820"/>
      <c r="G211" s="1820">
        <f t="shared" si="23"/>
        <v>0</v>
      </c>
      <c r="H211" s="1820"/>
      <c r="I211" s="1821" t="e">
        <f t="shared" si="20"/>
        <v>#DIV/0!</v>
      </c>
      <c r="J211" s="1820"/>
      <c r="K211" s="1820">
        <f t="shared" si="21"/>
        <v>0</v>
      </c>
      <c r="L211" s="1821">
        <f t="shared" si="22"/>
        <v>0</v>
      </c>
      <c r="M211" s="1822"/>
    </row>
    <row r="212" spans="1:13" ht="16.5">
      <c r="A212" s="2207">
        <f t="shared" si="18"/>
        <v>207</v>
      </c>
      <c r="B212" s="2522"/>
      <c r="C212" s="1823" t="s">
        <v>3745</v>
      </c>
      <c r="D212" s="1820"/>
      <c r="E212" s="1821" t="e">
        <f t="shared" si="19"/>
        <v>#DIV/0!</v>
      </c>
      <c r="F212" s="1820"/>
      <c r="G212" s="1820">
        <f t="shared" si="23"/>
        <v>0</v>
      </c>
      <c r="H212" s="1820"/>
      <c r="I212" s="1821" t="e">
        <f t="shared" si="20"/>
        <v>#DIV/0!</v>
      </c>
      <c r="J212" s="1820"/>
      <c r="K212" s="1820">
        <f t="shared" si="21"/>
        <v>0</v>
      </c>
      <c r="L212" s="1821">
        <f t="shared" si="22"/>
        <v>0</v>
      </c>
      <c r="M212" s="1822"/>
    </row>
    <row r="213" spans="1:13" ht="16.5">
      <c r="A213" s="2207">
        <f t="shared" si="18"/>
        <v>208</v>
      </c>
      <c r="B213" s="2522"/>
      <c r="C213" s="1823" t="s">
        <v>3746</v>
      </c>
      <c r="D213" s="1820"/>
      <c r="E213" s="1821" t="e">
        <f t="shared" si="19"/>
        <v>#DIV/0!</v>
      </c>
      <c r="F213" s="1820"/>
      <c r="G213" s="1820">
        <f t="shared" si="23"/>
        <v>0</v>
      </c>
      <c r="H213" s="1820"/>
      <c r="I213" s="1821" t="e">
        <f t="shared" si="20"/>
        <v>#DIV/0!</v>
      </c>
      <c r="J213" s="1820"/>
      <c r="K213" s="1820">
        <f t="shared" si="21"/>
        <v>0</v>
      </c>
      <c r="L213" s="1821">
        <f t="shared" si="22"/>
        <v>0</v>
      </c>
      <c r="M213" s="1822"/>
    </row>
    <row r="214" spans="1:13" ht="16.5">
      <c r="A214" s="2207">
        <f t="shared" si="18"/>
        <v>209</v>
      </c>
      <c r="B214" s="2522"/>
      <c r="C214" s="1819" t="s">
        <v>3610</v>
      </c>
      <c r="D214" s="1820">
        <f>D215+D218+D219+D220+D226</f>
        <v>0</v>
      </c>
      <c r="E214" s="1821" t="e">
        <f t="shared" si="19"/>
        <v>#DIV/0!</v>
      </c>
      <c r="F214" s="1820">
        <f>F215+F218+F219+F220+F226</f>
        <v>0</v>
      </c>
      <c r="G214" s="1820">
        <f t="shared" si="23"/>
        <v>0</v>
      </c>
      <c r="H214" s="1820">
        <f>H215+H218+H219+H220+H226</f>
        <v>0</v>
      </c>
      <c r="I214" s="1821" t="e">
        <f t="shared" si="20"/>
        <v>#DIV/0!</v>
      </c>
      <c r="J214" s="1820">
        <f>J215+J218+J219+J220+J226</f>
        <v>0</v>
      </c>
      <c r="K214" s="1820">
        <f t="shared" si="21"/>
        <v>0</v>
      </c>
      <c r="L214" s="1821">
        <f t="shared" si="22"/>
        <v>0</v>
      </c>
      <c r="M214" s="1822"/>
    </row>
    <row r="215" spans="1:13" ht="16.5">
      <c r="A215" s="2207">
        <f t="shared" si="18"/>
        <v>210</v>
      </c>
      <c r="B215" s="2522"/>
      <c r="C215" s="1823" t="s">
        <v>3737</v>
      </c>
      <c r="D215" s="1820">
        <f>SUM(D216:D217)</f>
        <v>0</v>
      </c>
      <c r="E215" s="1821" t="e">
        <f t="shared" si="19"/>
        <v>#DIV/0!</v>
      </c>
      <c r="F215" s="1820">
        <f>SUM(F216:F217)</f>
        <v>0</v>
      </c>
      <c r="G215" s="1820">
        <f t="shared" si="23"/>
        <v>0</v>
      </c>
      <c r="H215" s="1820">
        <f>SUM(H216:H217)</f>
        <v>0</v>
      </c>
      <c r="I215" s="1821" t="e">
        <f t="shared" si="20"/>
        <v>#DIV/0!</v>
      </c>
      <c r="J215" s="1820">
        <f>SUM(J216:J217)</f>
        <v>0</v>
      </c>
      <c r="K215" s="1820">
        <f t="shared" si="21"/>
        <v>0</v>
      </c>
      <c r="L215" s="1821">
        <f t="shared" si="22"/>
        <v>0</v>
      </c>
      <c r="M215" s="1822"/>
    </row>
    <row r="216" spans="1:13" ht="16.5">
      <c r="A216" s="2207">
        <f t="shared" si="18"/>
        <v>211</v>
      </c>
      <c r="B216" s="2522"/>
      <c r="C216" s="1824" t="s">
        <v>3661</v>
      </c>
      <c r="D216" s="1820"/>
      <c r="E216" s="1821" t="e">
        <f t="shared" si="19"/>
        <v>#DIV/0!</v>
      </c>
      <c r="F216" s="1820"/>
      <c r="G216" s="1820">
        <f t="shared" si="23"/>
        <v>0</v>
      </c>
      <c r="H216" s="1820"/>
      <c r="I216" s="1821" t="e">
        <f t="shared" si="20"/>
        <v>#DIV/0!</v>
      </c>
      <c r="J216" s="1820"/>
      <c r="K216" s="1820">
        <f t="shared" si="21"/>
        <v>0</v>
      </c>
      <c r="L216" s="1821">
        <f t="shared" si="22"/>
        <v>0</v>
      </c>
      <c r="M216" s="1822"/>
    </row>
    <row r="217" spans="1:13" ht="16.5">
      <c r="A217" s="2207">
        <f t="shared" si="18"/>
        <v>212</v>
      </c>
      <c r="B217" s="2522"/>
      <c r="C217" s="1824" t="s">
        <v>3663</v>
      </c>
      <c r="D217" s="1820"/>
      <c r="E217" s="1821" t="e">
        <f t="shared" si="19"/>
        <v>#DIV/0!</v>
      </c>
      <c r="F217" s="1820"/>
      <c r="G217" s="1820">
        <f t="shared" si="23"/>
        <v>0</v>
      </c>
      <c r="H217" s="1820"/>
      <c r="I217" s="1821" t="e">
        <f t="shared" si="20"/>
        <v>#DIV/0!</v>
      </c>
      <c r="J217" s="1820"/>
      <c r="K217" s="1820">
        <f t="shared" si="21"/>
        <v>0</v>
      </c>
      <c r="L217" s="1821">
        <f t="shared" si="22"/>
        <v>0</v>
      </c>
      <c r="M217" s="1822"/>
    </row>
    <row r="218" spans="1:13" ht="16.5">
      <c r="A218" s="2207">
        <f t="shared" si="18"/>
        <v>213</v>
      </c>
      <c r="B218" s="2522"/>
      <c r="C218" s="1823" t="s">
        <v>3738</v>
      </c>
      <c r="D218" s="1820"/>
      <c r="E218" s="1821" t="e">
        <f t="shared" si="19"/>
        <v>#DIV/0!</v>
      </c>
      <c r="F218" s="1820"/>
      <c r="G218" s="1820">
        <f t="shared" si="23"/>
        <v>0</v>
      </c>
      <c r="H218" s="1820"/>
      <c r="I218" s="1821" t="e">
        <f t="shared" si="20"/>
        <v>#DIV/0!</v>
      </c>
      <c r="J218" s="1820"/>
      <c r="K218" s="1820">
        <f t="shared" si="21"/>
        <v>0</v>
      </c>
      <c r="L218" s="1821">
        <f t="shared" si="22"/>
        <v>0</v>
      </c>
      <c r="M218" s="1822"/>
    </row>
    <row r="219" spans="1:13" ht="33">
      <c r="A219" s="2207">
        <f t="shared" si="18"/>
        <v>214</v>
      </c>
      <c r="B219" s="2522"/>
      <c r="C219" s="1823" t="s">
        <v>3747</v>
      </c>
      <c r="D219" s="1820"/>
      <c r="E219" s="1821" t="e">
        <f t="shared" si="19"/>
        <v>#DIV/0!</v>
      </c>
      <c r="F219" s="1820"/>
      <c r="G219" s="1820">
        <f t="shared" si="23"/>
        <v>0</v>
      </c>
      <c r="H219" s="1820"/>
      <c r="I219" s="1821" t="e">
        <f t="shared" si="20"/>
        <v>#DIV/0!</v>
      </c>
      <c r="J219" s="1820"/>
      <c r="K219" s="1820">
        <f t="shared" si="21"/>
        <v>0</v>
      </c>
      <c r="L219" s="1821">
        <f t="shared" si="22"/>
        <v>0</v>
      </c>
      <c r="M219" s="1822"/>
    </row>
    <row r="220" spans="1:13" ht="16.5">
      <c r="A220" s="2207">
        <f t="shared" si="18"/>
        <v>215</v>
      </c>
      <c r="B220" s="2522"/>
      <c r="C220" s="1823" t="s">
        <v>3748</v>
      </c>
      <c r="D220" s="1820">
        <f>SUM(D221:D222)</f>
        <v>0</v>
      </c>
      <c r="E220" s="1821" t="e">
        <f t="shared" si="19"/>
        <v>#DIV/0!</v>
      </c>
      <c r="F220" s="1820">
        <f>SUM(F221:F222)</f>
        <v>0</v>
      </c>
      <c r="G220" s="1820">
        <f t="shared" si="23"/>
        <v>0</v>
      </c>
      <c r="H220" s="1820">
        <f>SUM(H221:H222)</f>
        <v>0</v>
      </c>
      <c r="I220" s="1821" t="e">
        <f t="shared" si="20"/>
        <v>#DIV/0!</v>
      </c>
      <c r="J220" s="1820">
        <f>SUM(J221:J222)</f>
        <v>0</v>
      </c>
      <c r="K220" s="1820">
        <f t="shared" si="21"/>
        <v>0</v>
      </c>
      <c r="L220" s="1821">
        <f t="shared" si="22"/>
        <v>0</v>
      </c>
      <c r="M220" s="1822"/>
    </row>
    <row r="221" spans="1:13" ht="16.5">
      <c r="A221" s="2207">
        <f t="shared" si="18"/>
        <v>216</v>
      </c>
      <c r="B221" s="2522"/>
      <c r="C221" s="1824" t="s">
        <v>3661</v>
      </c>
      <c r="D221" s="1820"/>
      <c r="E221" s="1821" t="e">
        <f t="shared" si="19"/>
        <v>#DIV/0!</v>
      </c>
      <c r="F221" s="1820"/>
      <c r="G221" s="1820">
        <f t="shared" si="23"/>
        <v>0</v>
      </c>
      <c r="H221" s="1820"/>
      <c r="I221" s="1821" t="e">
        <f t="shared" si="20"/>
        <v>#DIV/0!</v>
      </c>
      <c r="J221" s="1820"/>
      <c r="K221" s="1820">
        <f t="shared" si="21"/>
        <v>0</v>
      </c>
      <c r="L221" s="1821">
        <f t="shared" si="22"/>
        <v>0</v>
      </c>
      <c r="M221" s="1822"/>
    </row>
    <row r="222" spans="1:13" ht="16.5">
      <c r="A222" s="2207">
        <f t="shared" si="18"/>
        <v>217</v>
      </c>
      <c r="B222" s="2522"/>
      <c r="C222" s="1824" t="s">
        <v>3663</v>
      </c>
      <c r="D222" s="1820"/>
      <c r="E222" s="1821" t="e">
        <f t="shared" si="19"/>
        <v>#DIV/0!</v>
      </c>
      <c r="F222" s="1820"/>
      <c r="G222" s="1820">
        <f t="shared" si="23"/>
        <v>0</v>
      </c>
      <c r="H222" s="1820"/>
      <c r="I222" s="1821" t="e">
        <f t="shared" si="20"/>
        <v>#DIV/0!</v>
      </c>
      <c r="J222" s="1820"/>
      <c r="K222" s="1820">
        <f t="shared" si="21"/>
        <v>0</v>
      </c>
      <c r="L222" s="1821">
        <f t="shared" si="22"/>
        <v>0</v>
      </c>
      <c r="M222" s="1822"/>
    </row>
    <row r="223" spans="1:13" ht="16.5">
      <c r="A223" s="2207">
        <f t="shared" si="18"/>
        <v>218</v>
      </c>
      <c r="B223" s="2522"/>
      <c r="C223" s="1823" t="s">
        <v>3745</v>
      </c>
      <c r="D223" s="1820"/>
      <c r="E223" s="1821" t="e">
        <f t="shared" si="19"/>
        <v>#DIV/0!</v>
      </c>
      <c r="F223" s="1820"/>
      <c r="G223" s="1820">
        <f t="shared" si="23"/>
        <v>0</v>
      </c>
      <c r="H223" s="1820"/>
      <c r="I223" s="1821" t="e">
        <f t="shared" si="20"/>
        <v>#DIV/0!</v>
      </c>
      <c r="J223" s="1820"/>
      <c r="K223" s="1820">
        <f t="shared" si="21"/>
        <v>0</v>
      </c>
      <c r="L223" s="1821">
        <f t="shared" si="22"/>
        <v>0</v>
      </c>
      <c r="M223" s="1822"/>
    </row>
    <row r="224" spans="1:13" ht="16.5">
      <c r="A224" s="2207">
        <f t="shared" si="18"/>
        <v>219</v>
      </c>
      <c r="B224" s="2522"/>
      <c r="C224" s="1824" t="s">
        <v>3661</v>
      </c>
      <c r="D224" s="1820"/>
      <c r="E224" s="1821" t="e">
        <f t="shared" si="19"/>
        <v>#DIV/0!</v>
      </c>
      <c r="F224" s="1820"/>
      <c r="G224" s="1820">
        <f t="shared" si="23"/>
        <v>0</v>
      </c>
      <c r="H224" s="1820"/>
      <c r="I224" s="1821" t="e">
        <f t="shared" si="20"/>
        <v>#DIV/0!</v>
      </c>
      <c r="J224" s="1820"/>
      <c r="K224" s="1820">
        <f t="shared" si="21"/>
        <v>0</v>
      </c>
      <c r="L224" s="1821">
        <f t="shared" si="22"/>
        <v>0</v>
      </c>
      <c r="M224" s="1822"/>
    </row>
    <row r="225" spans="1:13" ht="16.5">
      <c r="A225" s="2207">
        <f t="shared" si="18"/>
        <v>220</v>
      </c>
      <c r="B225" s="2522"/>
      <c r="C225" s="1824" t="s">
        <v>3663</v>
      </c>
      <c r="D225" s="1820"/>
      <c r="E225" s="1821" t="e">
        <f t="shared" si="19"/>
        <v>#DIV/0!</v>
      </c>
      <c r="F225" s="1820"/>
      <c r="G225" s="1820">
        <f t="shared" si="23"/>
        <v>0</v>
      </c>
      <c r="H225" s="1820"/>
      <c r="I225" s="1821" t="e">
        <f t="shared" si="20"/>
        <v>#DIV/0!</v>
      </c>
      <c r="J225" s="1820"/>
      <c r="K225" s="1820">
        <f t="shared" si="21"/>
        <v>0</v>
      </c>
      <c r="L225" s="1821">
        <f t="shared" si="22"/>
        <v>0</v>
      </c>
      <c r="M225" s="1822"/>
    </row>
    <row r="226" spans="1:13" ht="16.5">
      <c r="A226" s="2207">
        <f t="shared" si="18"/>
        <v>221</v>
      </c>
      <c r="B226" s="2522"/>
      <c r="C226" s="1823" t="s">
        <v>3746</v>
      </c>
      <c r="D226" s="1820">
        <f>SUM(D227:D228)</f>
        <v>0</v>
      </c>
      <c r="E226" s="1821" t="e">
        <f t="shared" si="19"/>
        <v>#DIV/0!</v>
      </c>
      <c r="F226" s="1820">
        <f>SUM(F227:F228)</f>
        <v>0</v>
      </c>
      <c r="G226" s="1820">
        <f t="shared" si="23"/>
        <v>0</v>
      </c>
      <c r="H226" s="1820">
        <f>SUM(H227:H228)</f>
        <v>0</v>
      </c>
      <c r="I226" s="1821" t="e">
        <f t="shared" si="20"/>
        <v>#DIV/0!</v>
      </c>
      <c r="J226" s="1820">
        <f>SUM(J227:J228)</f>
        <v>0</v>
      </c>
      <c r="K226" s="1820">
        <f t="shared" si="21"/>
        <v>0</v>
      </c>
      <c r="L226" s="1821">
        <f t="shared" si="22"/>
        <v>0</v>
      </c>
      <c r="M226" s="1822"/>
    </row>
    <row r="227" spans="1:13" ht="16.5">
      <c r="A227" s="2207">
        <f t="shared" si="18"/>
        <v>222</v>
      </c>
      <c r="B227" s="2522"/>
      <c r="C227" s="1824" t="s">
        <v>3661</v>
      </c>
      <c r="D227" s="1820"/>
      <c r="E227" s="1821" t="e">
        <f t="shared" si="19"/>
        <v>#DIV/0!</v>
      </c>
      <c r="F227" s="1820"/>
      <c r="G227" s="1820">
        <f t="shared" si="23"/>
        <v>0</v>
      </c>
      <c r="H227" s="1820"/>
      <c r="I227" s="1821" t="e">
        <f t="shared" si="20"/>
        <v>#DIV/0!</v>
      </c>
      <c r="J227" s="1820"/>
      <c r="K227" s="1820">
        <f t="shared" si="21"/>
        <v>0</v>
      </c>
      <c r="L227" s="1821">
        <f t="shared" si="22"/>
        <v>0</v>
      </c>
      <c r="M227" s="1822"/>
    </row>
    <row r="228" spans="1:13" ht="16.5">
      <c r="A228" s="2207">
        <f t="shared" si="18"/>
        <v>223</v>
      </c>
      <c r="B228" s="2522"/>
      <c r="C228" s="1824" t="s">
        <v>3663</v>
      </c>
      <c r="D228" s="1820"/>
      <c r="E228" s="1821" t="e">
        <f t="shared" si="19"/>
        <v>#DIV/0!</v>
      </c>
      <c r="F228" s="1820"/>
      <c r="G228" s="1820">
        <f t="shared" si="23"/>
        <v>0</v>
      </c>
      <c r="H228" s="1820"/>
      <c r="I228" s="1821" t="e">
        <f t="shared" si="20"/>
        <v>#DIV/0!</v>
      </c>
      <c r="J228" s="1820"/>
      <c r="K228" s="1820">
        <f t="shared" si="21"/>
        <v>0</v>
      </c>
      <c r="L228" s="1821">
        <f t="shared" si="22"/>
        <v>0</v>
      </c>
      <c r="M228" s="1822"/>
    </row>
    <row r="229" spans="1:13" ht="16.5">
      <c r="A229" s="2207">
        <f t="shared" si="18"/>
        <v>224</v>
      </c>
      <c r="B229" s="2522"/>
      <c r="C229" s="2208" t="s">
        <v>3612</v>
      </c>
      <c r="D229" s="1820">
        <f>D203+D214</f>
        <v>0</v>
      </c>
      <c r="E229" s="1821" t="e">
        <f t="shared" si="19"/>
        <v>#DIV/0!</v>
      </c>
      <c r="F229" s="1820">
        <f>F203+F214</f>
        <v>0</v>
      </c>
      <c r="G229" s="1820">
        <f t="shared" si="23"/>
        <v>0</v>
      </c>
      <c r="H229" s="1820">
        <f>H203+H214</f>
        <v>0</v>
      </c>
      <c r="I229" s="1821" t="e">
        <f t="shared" si="20"/>
        <v>#DIV/0!</v>
      </c>
      <c r="J229" s="1820">
        <f>J203+J214</f>
        <v>0</v>
      </c>
      <c r="K229" s="1820">
        <f t="shared" si="21"/>
        <v>0</v>
      </c>
      <c r="L229" s="1821">
        <f t="shared" si="22"/>
        <v>0</v>
      </c>
      <c r="M229" s="1822"/>
    </row>
    <row r="230" spans="1:13" ht="16.5" customHeight="1">
      <c r="A230" s="2207">
        <f t="shared" si="18"/>
        <v>225</v>
      </c>
      <c r="B230" s="2522" t="s">
        <v>3613</v>
      </c>
      <c r="C230" s="2208" t="s">
        <v>3749</v>
      </c>
      <c r="D230" s="1820">
        <f>D231+D235</f>
        <v>0</v>
      </c>
      <c r="E230" s="1821" t="e">
        <f t="shared" si="19"/>
        <v>#DIV/0!</v>
      </c>
      <c r="F230" s="1820">
        <f>F231+F235</f>
        <v>0</v>
      </c>
      <c r="G230" s="1820">
        <f t="shared" si="23"/>
        <v>0</v>
      </c>
      <c r="H230" s="1820">
        <f>H231+H235</f>
        <v>0</v>
      </c>
      <c r="I230" s="1821" t="e">
        <f t="shared" si="20"/>
        <v>#DIV/0!</v>
      </c>
      <c r="J230" s="1820">
        <f>J231+J235</f>
        <v>0</v>
      </c>
      <c r="K230" s="1820">
        <f t="shared" si="21"/>
        <v>0</v>
      </c>
      <c r="L230" s="1821">
        <f t="shared" si="22"/>
        <v>0</v>
      </c>
      <c r="M230" s="1822"/>
    </row>
    <row r="231" spans="1:13" ht="16.5">
      <c r="A231" s="2207">
        <f t="shared" si="18"/>
        <v>226</v>
      </c>
      <c r="B231" s="2522"/>
      <c r="C231" s="1823" t="s">
        <v>3725</v>
      </c>
      <c r="D231" s="1820">
        <f>SUM(D232:D234)</f>
        <v>0</v>
      </c>
      <c r="E231" s="1821" t="e">
        <f t="shared" si="19"/>
        <v>#DIV/0!</v>
      </c>
      <c r="F231" s="1820">
        <f>SUM(F232:F234)</f>
        <v>0</v>
      </c>
      <c r="G231" s="1820">
        <f t="shared" si="23"/>
        <v>0</v>
      </c>
      <c r="H231" s="1820">
        <f>SUM(H232:H234)</f>
        <v>0</v>
      </c>
      <c r="I231" s="1821" t="e">
        <f t="shared" si="20"/>
        <v>#DIV/0!</v>
      </c>
      <c r="J231" s="1820">
        <f>SUM(J232:J234)</f>
        <v>0</v>
      </c>
      <c r="K231" s="1820">
        <f t="shared" si="21"/>
        <v>0</v>
      </c>
      <c r="L231" s="1821">
        <f t="shared" si="22"/>
        <v>0</v>
      </c>
      <c r="M231" s="1822"/>
    </row>
    <row r="232" spans="1:13" ht="16.5">
      <c r="A232" s="2207">
        <f t="shared" si="18"/>
        <v>227</v>
      </c>
      <c r="B232" s="2522"/>
      <c r="C232" s="1829" t="s">
        <v>3750</v>
      </c>
      <c r="D232" s="1820"/>
      <c r="E232" s="1821" t="e">
        <f t="shared" si="19"/>
        <v>#DIV/0!</v>
      </c>
      <c r="F232" s="1820"/>
      <c r="G232" s="1820">
        <f t="shared" si="23"/>
        <v>0</v>
      </c>
      <c r="H232" s="1820"/>
      <c r="I232" s="1821" t="e">
        <f t="shared" si="20"/>
        <v>#DIV/0!</v>
      </c>
      <c r="J232" s="1820"/>
      <c r="K232" s="1820">
        <f t="shared" si="21"/>
        <v>0</v>
      </c>
      <c r="L232" s="1821">
        <f t="shared" si="22"/>
        <v>0</v>
      </c>
      <c r="M232" s="1822"/>
    </row>
    <row r="233" spans="1:13" ht="16.5">
      <c r="A233" s="2207">
        <f t="shared" si="18"/>
        <v>228</v>
      </c>
      <c r="B233" s="2522"/>
      <c r="C233" s="1829" t="s">
        <v>3751</v>
      </c>
      <c r="D233" s="1820"/>
      <c r="E233" s="1821" t="e">
        <f t="shared" si="19"/>
        <v>#DIV/0!</v>
      </c>
      <c r="F233" s="1820"/>
      <c r="G233" s="1820">
        <f t="shared" si="23"/>
        <v>0</v>
      </c>
      <c r="H233" s="1820"/>
      <c r="I233" s="1821" t="e">
        <f t="shared" si="20"/>
        <v>#DIV/0!</v>
      </c>
      <c r="J233" s="1820"/>
      <c r="K233" s="1820">
        <f t="shared" si="21"/>
        <v>0</v>
      </c>
      <c r="L233" s="1821">
        <f t="shared" si="22"/>
        <v>0</v>
      </c>
      <c r="M233" s="1822"/>
    </row>
    <row r="234" spans="1:13" ht="16.5">
      <c r="A234" s="2207">
        <f t="shared" si="18"/>
        <v>229</v>
      </c>
      <c r="B234" s="2522"/>
      <c r="C234" s="1829" t="s">
        <v>3752</v>
      </c>
      <c r="D234" s="1820"/>
      <c r="E234" s="1821" t="e">
        <f t="shared" si="19"/>
        <v>#DIV/0!</v>
      </c>
      <c r="F234" s="1820"/>
      <c r="G234" s="1820">
        <f t="shared" si="23"/>
        <v>0</v>
      </c>
      <c r="H234" s="1820"/>
      <c r="I234" s="1821" t="e">
        <f t="shared" si="20"/>
        <v>#DIV/0!</v>
      </c>
      <c r="J234" s="1820"/>
      <c r="K234" s="1820">
        <f t="shared" si="21"/>
        <v>0</v>
      </c>
      <c r="L234" s="1821">
        <f t="shared" si="22"/>
        <v>0</v>
      </c>
      <c r="M234" s="1822"/>
    </row>
    <row r="235" spans="1:13" ht="16.5">
      <c r="A235" s="2207">
        <f t="shared" si="18"/>
        <v>230</v>
      </c>
      <c r="B235" s="2522"/>
      <c r="C235" s="1823" t="s">
        <v>3735</v>
      </c>
      <c r="D235" s="1820">
        <f>SUM(D236:D238)</f>
        <v>0</v>
      </c>
      <c r="E235" s="1821" t="e">
        <f t="shared" si="19"/>
        <v>#DIV/0!</v>
      </c>
      <c r="F235" s="1820">
        <f>SUM(F236:F238)</f>
        <v>0</v>
      </c>
      <c r="G235" s="1820">
        <f t="shared" si="23"/>
        <v>0</v>
      </c>
      <c r="H235" s="1820">
        <f>SUM(H236:H238)</f>
        <v>0</v>
      </c>
      <c r="I235" s="1821" t="e">
        <f t="shared" si="20"/>
        <v>#DIV/0!</v>
      </c>
      <c r="J235" s="1820">
        <f>SUM(J236:J238)</f>
        <v>0</v>
      </c>
      <c r="K235" s="1820">
        <f t="shared" si="21"/>
        <v>0</v>
      </c>
      <c r="L235" s="1821">
        <f t="shared" si="22"/>
        <v>0</v>
      </c>
      <c r="M235" s="1822"/>
    </row>
    <row r="236" spans="1:13" ht="16.5">
      <c r="A236" s="2207">
        <f t="shared" si="18"/>
        <v>231</v>
      </c>
      <c r="B236" s="2522"/>
      <c r="C236" s="1829" t="s">
        <v>3750</v>
      </c>
      <c r="D236" s="1820"/>
      <c r="E236" s="1821" t="e">
        <f t="shared" si="19"/>
        <v>#DIV/0!</v>
      </c>
      <c r="F236" s="1820"/>
      <c r="G236" s="1820">
        <f t="shared" si="23"/>
        <v>0</v>
      </c>
      <c r="H236" s="1820"/>
      <c r="I236" s="1821" t="e">
        <f t="shared" si="20"/>
        <v>#DIV/0!</v>
      </c>
      <c r="J236" s="1820"/>
      <c r="K236" s="1820">
        <f t="shared" si="21"/>
        <v>0</v>
      </c>
      <c r="L236" s="1821">
        <f t="shared" si="22"/>
        <v>0</v>
      </c>
      <c r="M236" s="1822"/>
    </row>
    <row r="237" spans="1:13" ht="16.5">
      <c r="A237" s="2207">
        <f t="shared" si="18"/>
        <v>232</v>
      </c>
      <c r="B237" s="2522"/>
      <c r="C237" s="1829" t="s">
        <v>3751</v>
      </c>
      <c r="D237" s="1820"/>
      <c r="E237" s="1821" t="e">
        <f t="shared" si="19"/>
        <v>#DIV/0!</v>
      </c>
      <c r="F237" s="1820"/>
      <c r="G237" s="1820">
        <f t="shared" si="23"/>
        <v>0</v>
      </c>
      <c r="H237" s="1820"/>
      <c r="I237" s="1821" t="e">
        <f t="shared" si="20"/>
        <v>#DIV/0!</v>
      </c>
      <c r="J237" s="1820"/>
      <c r="K237" s="1820">
        <f t="shared" si="21"/>
        <v>0</v>
      </c>
      <c r="L237" s="1821">
        <f t="shared" si="22"/>
        <v>0</v>
      </c>
      <c r="M237" s="1822"/>
    </row>
    <row r="238" spans="1:13" ht="16.5">
      <c r="A238" s="2207">
        <f t="shared" si="18"/>
        <v>233</v>
      </c>
      <c r="B238" s="2522"/>
      <c r="C238" s="1829" t="s">
        <v>3752</v>
      </c>
      <c r="D238" s="1820"/>
      <c r="E238" s="1821" t="e">
        <f t="shared" si="19"/>
        <v>#DIV/0!</v>
      </c>
      <c r="F238" s="1820"/>
      <c r="G238" s="1820">
        <f t="shared" si="23"/>
        <v>0</v>
      </c>
      <c r="H238" s="1820"/>
      <c r="I238" s="1821" t="e">
        <f t="shared" si="20"/>
        <v>#DIV/0!</v>
      </c>
      <c r="J238" s="1820"/>
      <c r="K238" s="1820">
        <f t="shared" si="21"/>
        <v>0</v>
      </c>
      <c r="L238" s="1821">
        <f t="shared" si="22"/>
        <v>0</v>
      </c>
      <c r="M238" s="1822"/>
    </row>
    <row r="239" spans="1:13" ht="16.5">
      <c r="A239" s="2207">
        <f t="shared" si="18"/>
        <v>234</v>
      </c>
      <c r="B239" s="2522"/>
      <c r="C239" s="2208" t="s">
        <v>3753</v>
      </c>
      <c r="D239" s="1820">
        <f>SUM(D240:D242)</f>
        <v>0</v>
      </c>
      <c r="E239" s="1821" t="e">
        <f t="shared" si="19"/>
        <v>#DIV/0!</v>
      </c>
      <c r="F239" s="1820">
        <f>SUM(F240:F242)</f>
        <v>0</v>
      </c>
      <c r="G239" s="1820">
        <f t="shared" si="23"/>
        <v>0</v>
      </c>
      <c r="H239" s="1820">
        <f>SUM(H240:H242)</f>
        <v>0</v>
      </c>
      <c r="I239" s="1821" t="e">
        <f t="shared" si="20"/>
        <v>#DIV/0!</v>
      </c>
      <c r="J239" s="1820">
        <f>SUM(J240:J242)</f>
        <v>0</v>
      </c>
      <c r="K239" s="1820">
        <f t="shared" si="21"/>
        <v>0</v>
      </c>
      <c r="L239" s="1821">
        <f t="shared" si="22"/>
        <v>0</v>
      </c>
      <c r="M239" s="1822"/>
    </row>
    <row r="240" spans="1:13" ht="16.5">
      <c r="A240" s="2207">
        <f t="shared" si="18"/>
        <v>235</v>
      </c>
      <c r="B240" s="2522"/>
      <c r="C240" s="1828" t="s">
        <v>3750</v>
      </c>
      <c r="D240" s="1820"/>
      <c r="E240" s="1821" t="e">
        <f t="shared" si="19"/>
        <v>#DIV/0!</v>
      </c>
      <c r="F240" s="1820"/>
      <c r="G240" s="1820">
        <f t="shared" si="23"/>
        <v>0</v>
      </c>
      <c r="H240" s="1820"/>
      <c r="I240" s="1821" t="e">
        <f t="shared" si="20"/>
        <v>#DIV/0!</v>
      </c>
      <c r="J240" s="1820"/>
      <c r="K240" s="1820">
        <f t="shared" si="21"/>
        <v>0</v>
      </c>
      <c r="L240" s="1821">
        <f t="shared" si="22"/>
        <v>0</v>
      </c>
      <c r="M240" s="1822"/>
    </row>
    <row r="241" spans="1:13" ht="16.5">
      <c r="A241" s="2207">
        <f t="shared" si="18"/>
        <v>236</v>
      </c>
      <c r="B241" s="2522"/>
      <c r="C241" s="1823" t="s">
        <v>3751</v>
      </c>
      <c r="D241" s="1820"/>
      <c r="E241" s="1821" t="e">
        <f t="shared" si="19"/>
        <v>#DIV/0!</v>
      </c>
      <c r="F241" s="1820"/>
      <c r="G241" s="1820">
        <f t="shared" si="23"/>
        <v>0</v>
      </c>
      <c r="H241" s="1820"/>
      <c r="I241" s="1821" t="e">
        <f t="shared" si="20"/>
        <v>#DIV/0!</v>
      </c>
      <c r="J241" s="1820"/>
      <c r="K241" s="1820">
        <f t="shared" si="21"/>
        <v>0</v>
      </c>
      <c r="L241" s="1821">
        <f t="shared" si="22"/>
        <v>0</v>
      </c>
      <c r="M241" s="1822"/>
    </row>
    <row r="242" spans="1:13" ht="16.5">
      <c r="A242" s="2207">
        <f t="shared" si="18"/>
        <v>237</v>
      </c>
      <c r="B242" s="2522"/>
      <c r="C242" s="1828" t="s">
        <v>3752</v>
      </c>
      <c r="D242" s="1820"/>
      <c r="E242" s="1821" t="e">
        <f t="shared" si="19"/>
        <v>#DIV/0!</v>
      </c>
      <c r="F242" s="1820"/>
      <c r="G242" s="1820">
        <f t="shared" si="23"/>
        <v>0</v>
      </c>
      <c r="H242" s="1820"/>
      <c r="I242" s="1821" t="e">
        <f t="shared" si="20"/>
        <v>#DIV/0!</v>
      </c>
      <c r="J242" s="1820"/>
      <c r="K242" s="1820">
        <f t="shared" si="21"/>
        <v>0</v>
      </c>
      <c r="L242" s="1821">
        <f t="shared" si="22"/>
        <v>0</v>
      </c>
      <c r="M242" s="1822"/>
    </row>
    <row r="243" spans="1:13" ht="16.5">
      <c r="A243" s="2207">
        <f t="shared" si="18"/>
        <v>238</v>
      </c>
      <c r="B243" s="2522"/>
      <c r="C243" s="2208" t="s">
        <v>3614</v>
      </c>
      <c r="D243" s="1820">
        <f>D230+D239</f>
        <v>0</v>
      </c>
      <c r="E243" s="1821" t="e">
        <f t="shared" si="19"/>
        <v>#DIV/0!</v>
      </c>
      <c r="F243" s="1820">
        <f>F230+F239</f>
        <v>0</v>
      </c>
      <c r="G243" s="1820">
        <f t="shared" si="23"/>
        <v>0</v>
      </c>
      <c r="H243" s="1820">
        <f>H230+H239</f>
        <v>0</v>
      </c>
      <c r="I243" s="1821" t="e">
        <f t="shared" si="20"/>
        <v>#DIV/0!</v>
      </c>
      <c r="J243" s="1820">
        <f>J230+J239</f>
        <v>0</v>
      </c>
      <c r="K243" s="1820">
        <f t="shared" si="21"/>
        <v>0</v>
      </c>
      <c r="L243" s="1821">
        <f t="shared" si="22"/>
        <v>0</v>
      </c>
      <c r="M243" s="1822"/>
    </row>
    <row r="244" spans="1:13" ht="15.75" customHeight="1">
      <c r="A244" s="2207">
        <f t="shared" si="18"/>
        <v>239</v>
      </c>
      <c r="B244" s="2520" t="s">
        <v>3754</v>
      </c>
      <c r="C244" s="2521"/>
      <c r="D244" s="1820">
        <f>D11+D81+D98+D109+D202+D229+D243</f>
        <v>0</v>
      </c>
      <c r="E244" s="1821" t="e">
        <f t="shared" si="19"/>
        <v>#DIV/0!</v>
      </c>
      <c r="F244" s="1820">
        <f>F11+F81+F98+F109+F202+F229+F243</f>
        <v>0</v>
      </c>
      <c r="G244" s="1820">
        <f t="shared" si="23"/>
        <v>0</v>
      </c>
      <c r="H244" s="1820">
        <f>H11+H81+H98+H109+H202+H229+H243</f>
        <v>0</v>
      </c>
      <c r="I244" s="1821" t="e">
        <f t="shared" si="20"/>
        <v>#DIV/0!</v>
      </c>
      <c r="J244" s="1820">
        <f>J11+J81+J98+J109+J202+J229+J243</f>
        <v>0</v>
      </c>
      <c r="K244" s="1820">
        <f t="shared" si="21"/>
        <v>0</v>
      </c>
      <c r="L244" s="1821">
        <f t="shared" si="22"/>
        <v>0</v>
      </c>
      <c r="M244" s="1822"/>
    </row>
    <row r="245" spans="1:13" ht="15.75" customHeight="1">
      <c r="A245" s="2207">
        <f t="shared" si="18"/>
        <v>240</v>
      </c>
      <c r="B245" s="2520" t="s">
        <v>3755</v>
      </c>
      <c r="C245" s="2521"/>
      <c r="D245" s="1820"/>
      <c r="E245" s="1821" t="e">
        <f t="shared" si="19"/>
        <v>#DIV/0!</v>
      </c>
      <c r="F245" s="1820"/>
      <c r="G245" s="1820">
        <f t="shared" si="23"/>
        <v>0</v>
      </c>
      <c r="H245" s="1820"/>
      <c r="I245" s="1821" t="e">
        <f t="shared" si="20"/>
        <v>#DIV/0!</v>
      </c>
      <c r="J245" s="1820"/>
      <c r="K245" s="1820">
        <f t="shared" si="21"/>
        <v>0</v>
      </c>
      <c r="L245" s="1821">
        <f t="shared" si="22"/>
        <v>0</v>
      </c>
      <c r="M245" s="1822"/>
    </row>
    <row r="246" spans="1:13" ht="15.75" customHeight="1">
      <c r="A246" s="2207">
        <f t="shared" si="18"/>
        <v>241</v>
      </c>
      <c r="B246" s="2520" t="s">
        <v>3756</v>
      </c>
      <c r="C246" s="2521"/>
      <c r="D246" s="1820"/>
      <c r="E246" s="1821" t="e">
        <f t="shared" si="19"/>
        <v>#DIV/0!</v>
      </c>
      <c r="F246" s="1820"/>
      <c r="G246" s="1820">
        <f t="shared" si="23"/>
        <v>0</v>
      </c>
      <c r="H246" s="1820"/>
      <c r="I246" s="1821" t="e">
        <f t="shared" si="20"/>
        <v>#DIV/0!</v>
      </c>
      <c r="J246" s="1820"/>
      <c r="K246" s="1820">
        <f t="shared" si="21"/>
        <v>0</v>
      </c>
      <c r="L246" s="1821">
        <f t="shared" si="22"/>
        <v>0</v>
      </c>
      <c r="M246" s="1822"/>
    </row>
    <row r="247" spans="1:13" ht="16.5" customHeight="1">
      <c r="A247" s="2207">
        <f t="shared" si="18"/>
        <v>242</v>
      </c>
      <c r="B247" s="2522" t="s">
        <v>3757</v>
      </c>
      <c r="C247" s="2208" t="s">
        <v>3615</v>
      </c>
      <c r="D247" s="1820"/>
      <c r="E247" s="1821" t="e">
        <f t="shared" si="19"/>
        <v>#DIV/0!</v>
      </c>
      <c r="F247" s="1820"/>
      <c r="G247" s="1820">
        <f t="shared" si="23"/>
        <v>0</v>
      </c>
      <c r="H247" s="1820"/>
      <c r="I247" s="1821" t="e">
        <f t="shared" si="20"/>
        <v>#DIV/0!</v>
      </c>
      <c r="J247" s="1820"/>
      <c r="K247" s="1820">
        <f t="shared" si="21"/>
        <v>0</v>
      </c>
      <c r="L247" s="1821">
        <f t="shared" si="22"/>
        <v>0</v>
      </c>
      <c r="M247" s="1822"/>
    </row>
    <row r="248" spans="1:13" ht="16.5">
      <c r="A248" s="2207">
        <f t="shared" si="18"/>
        <v>243</v>
      </c>
      <c r="B248" s="2522"/>
      <c r="C248" s="2208" t="s">
        <v>3758</v>
      </c>
      <c r="D248" s="1820"/>
      <c r="E248" s="1821" t="e">
        <f t="shared" si="19"/>
        <v>#DIV/0!</v>
      </c>
      <c r="F248" s="1820"/>
      <c r="G248" s="1820">
        <f t="shared" si="23"/>
        <v>0</v>
      </c>
      <c r="H248" s="1820"/>
      <c r="I248" s="1821" t="e">
        <f t="shared" si="20"/>
        <v>#DIV/0!</v>
      </c>
      <c r="J248" s="1820"/>
      <c r="K248" s="1820">
        <f t="shared" si="21"/>
        <v>0</v>
      </c>
      <c r="L248" s="1821">
        <f t="shared" si="22"/>
        <v>0</v>
      </c>
      <c r="M248" s="1822"/>
    </row>
    <row r="249" spans="1:13" ht="16.5">
      <c r="A249" s="2207">
        <f t="shared" si="18"/>
        <v>244</v>
      </c>
      <c r="B249" s="2522"/>
      <c r="C249" s="2208" t="s">
        <v>3616</v>
      </c>
      <c r="D249" s="1820"/>
      <c r="E249" s="1821" t="e">
        <f t="shared" si="19"/>
        <v>#DIV/0!</v>
      </c>
      <c r="F249" s="1820"/>
      <c r="G249" s="1820">
        <f t="shared" si="23"/>
        <v>0</v>
      </c>
      <c r="H249" s="1820"/>
      <c r="I249" s="1821" t="e">
        <f t="shared" si="20"/>
        <v>#DIV/0!</v>
      </c>
      <c r="J249" s="1820"/>
      <c r="K249" s="1820">
        <f t="shared" si="21"/>
        <v>0</v>
      </c>
      <c r="L249" s="1821">
        <f t="shared" si="22"/>
        <v>0</v>
      </c>
      <c r="M249" s="1822"/>
    </row>
    <row r="250" spans="1:13" ht="16.5">
      <c r="A250" s="2207">
        <f t="shared" si="18"/>
        <v>245</v>
      </c>
      <c r="B250" s="2522"/>
      <c r="C250" s="2208" t="s">
        <v>3617</v>
      </c>
      <c r="D250" s="1820"/>
      <c r="E250" s="1821" t="e">
        <f t="shared" si="19"/>
        <v>#DIV/0!</v>
      </c>
      <c r="F250" s="1820"/>
      <c r="G250" s="1820">
        <f t="shared" si="23"/>
        <v>0</v>
      </c>
      <c r="H250" s="1820"/>
      <c r="I250" s="1821" t="e">
        <f t="shared" si="20"/>
        <v>#DIV/0!</v>
      </c>
      <c r="J250" s="1820"/>
      <c r="K250" s="1820">
        <f t="shared" si="21"/>
        <v>0</v>
      </c>
      <c r="L250" s="1821">
        <f t="shared" si="22"/>
        <v>0</v>
      </c>
      <c r="M250" s="1822"/>
    </row>
    <row r="251" spans="1:13" ht="16.5">
      <c r="A251" s="2207">
        <f t="shared" si="18"/>
        <v>246</v>
      </c>
      <c r="B251" s="2522"/>
      <c r="C251" s="2208" t="s">
        <v>3618</v>
      </c>
      <c r="D251" s="1820"/>
      <c r="E251" s="1821" t="e">
        <f t="shared" si="19"/>
        <v>#DIV/0!</v>
      </c>
      <c r="F251" s="1820"/>
      <c r="G251" s="1820">
        <f t="shared" si="23"/>
        <v>0</v>
      </c>
      <c r="H251" s="1820"/>
      <c r="I251" s="1821" t="e">
        <f t="shared" si="20"/>
        <v>#DIV/0!</v>
      </c>
      <c r="J251" s="1820"/>
      <c r="K251" s="1820">
        <f t="shared" si="21"/>
        <v>0</v>
      </c>
      <c r="L251" s="1821">
        <f t="shared" si="22"/>
        <v>0</v>
      </c>
      <c r="M251" s="1822"/>
    </row>
    <row r="252" spans="1:13" ht="16.5">
      <c r="A252" s="2207">
        <f t="shared" si="18"/>
        <v>247</v>
      </c>
      <c r="B252" s="2522"/>
      <c r="C252" s="2208" t="s">
        <v>3759</v>
      </c>
      <c r="D252" s="1820"/>
      <c r="E252" s="1821" t="e">
        <f t="shared" si="19"/>
        <v>#DIV/0!</v>
      </c>
      <c r="F252" s="1820"/>
      <c r="G252" s="1820">
        <f t="shared" si="23"/>
        <v>0</v>
      </c>
      <c r="H252" s="1820"/>
      <c r="I252" s="1821" t="e">
        <f t="shared" si="20"/>
        <v>#DIV/0!</v>
      </c>
      <c r="J252" s="1820"/>
      <c r="K252" s="1820">
        <f t="shared" si="21"/>
        <v>0</v>
      </c>
      <c r="L252" s="1821">
        <f t="shared" si="22"/>
        <v>0</v>
      </c>
      <c r="M252" s="1822"/>
    </row>
    <row r="253" spans="1:13" ht="16.5">
      <c r="A253" s="2207">
        <f t="shared" si="18"/>
        <v>248</v>
      </c>
      <c r="B253" s="2522"/>
      <c r="C253" s="2208" t="s">
        <v>3760</v>
      </c>
      <c r="D253" s="1820"/>
      <c r="E253" s="1821" t="e">
        <f t="shared" si="19"/>
        <v>#DIV/0!</v>
      </c>
      <c r="F253" s="1820"/>
      <c r="G253" s="1820">
        <f t="shared" si="23"/>
        <v>0</v>
      </c>
      <c r="H253" s="1820"/>
      <c r="I253" s="1821" t="e">
        <f t="shared" si="20"/>
        <v>#DIV/0!</v>
      </c>
      <c r="J253" s="1820"/>
      <c r="K253" s="1820">
        <f t="shared" si="21"/>
        <v>0</v>
      </c>
      <c r="L253" s="1821">
        <f t="shared" si="22"/>
        <v>0</v>
      </c>
      <c r="M253" s="1822"/>
    </row>
    <row r="254" spans="1:13" ht="16.5">
      <c r="A254" s="2207">
        <f t="shared" si="18"/>
        <v>249</v>
      </c>
      <c r="B254" s="2522"/>
      <c r="C254" s="2208" t="s">
        <v>3761</v>
      </c>
      <c r="D254" s="1820"/>
      <c r="E254" s="1821" t="e">
        <f t="shared" si="19"/>
        <v>#DIV/0!</v>
      </c>
      <c r="F254" s="1820"/>
      <c r="G254" s="1820">
        <f t="shared" si="23"/>
        <v>0</v>
      </c>
      <c r="H254" s="1820"/>
      <c r="I254" s="1821" t="e">
        <f t="shared" si="20"/>
        <v>#DIV/0!</v>
      </c>
      <c r="J254" s="1820"/>
      <c r="K254" s="1820">
        <f t="shared" si="21"/>
        <v>0</v>
      </c>
      <c r="L254" s="1821">
        <f t="shared" si="22"/>
        <v>0</v>
      </c>
      <c r="M254" s="1822"/>
    </row>
    <row r="255" spans="1:13" ht="16.5">
      <c r="A255" s="2207">
        <f t="shared" si="18"/>
        <v>250</v>
      </c>
      <c r="B255" s="2522"/>
      <c r="C255" s="2208" t="s">
        <v>3619</v>
      </c>
      <c r="D255" s="1820"/>
      <c r="E255" s="1821" t="e">
        <f t="shared" si="19"/>
        <v>#DIV/0!</v>
      </c>
      <c r="F255" s="1820"/>
      <c r="G255" s="1820">
        <f t="shared" si="23"/>
        <v>0</v>
      </c>
      <c r="H255" s="1820"/>
      <c r="I255" s="1821" t="e">
        <f t="shared" si="20"/>
        <v>#DIV/0!</v>
      </c>
      <c r="J255" s="1820"/>
      <c r="K255" s="1820">
        <f t="shared" si="21"/>
        <v>0</v>
      </c>
      <c r="L255" s="1821">
        <f t="shared" si="22"/>
        <v>0</v>
      </c>
      <c r="M255" s="1822"/>
    </row>
    <row r="256" spans="1:13" ht="16.5">
      <c r="A256" s="2207">
        <f t="shared" si="18"/>
        <v>251</v>
      </c>
      <c r="B256" s="2522"/>
      <c r="C256" s="2208" t="s">
        <v>3620</v>
      </c>
      <c r="D256" s="1820">
        <f>SUM(D247:D255)</f>
        <v>0</v>
      </c>
      <c r="E256" s="1821" t="e">
        <f t="shared" si="19"/>
        <v>#DIV/0!</v>
      </c>
      <c r="F256" s="1820">
        <f>SUM(F247:F255)</f>
        <v>0</v>
      </c>
      <c r="G256" s="1820">
        <f t="shared" si="23"/>
        <v>0</v>
      </c>
      <c r="H256" s="1820">
        <f>SUM(H247:H255)</f>
        <v>0</v>
      </c>
      <c r="I256" s="1821" t="e">
        <f t="shared" si="20"/>
        <v>#DIV/0!</v>
      </c>
      <c r="J256" s="1820">
        <f>SUM(J247:J255)</f>
        <v>0</v>
      </c>
      <c r="K256" s="1820">
        <f t="shared" si="21"/>
        <v>0</v>
      </c>
      <c r="L256" s="1821">
        <f t="shared" si="22"/>
        <v>0</v>
      </c>
      <c r="M256" s="1822"/>
    </row>
    <row r="257" spans="1:13" ht="15.75" customHeight="1">
      <c r="A257" s="2207">
        <f t="shared" si="18"/>
        <v>252</v>
      </c>
      <c r="B257" s="2518" t="s">
        <v>3762</v>
      </c>
      <c r="C257" s="2519"/>
      <c r="D257" s="1820">
        <f>D245+D256</f>
        <v>0</v>
      </c>
      <c r="E257" s="1821" t="e">
        <f t="shared" si="19"/>
        <v>#DIV/0!</v>
      </c>
      <c r="F257" s="1820">
        <f>F245+F256</f>
        <v>0</v>
      </c>
      <c r="G257" s="1820">
        <f t="shared" si="23"/>
        <v>0</v>
      </c>
      <c r="H257" s="1820">
        <f>H245+H256</f>
        <v>0</v>
      </c>
      <c r="I257" s="1821" t="e">
        <f t="shared" si="20"/>
        <v>#DIV/0!</v>
      </c>
      <c r="J257" s="1820">
        <f>J245+J256</f>
        <v>0</v>
      </c>
      <c r="K257" s="1820">
        <f t="shared" si="21"/>
        <v>0</v>
      </c>
      <c r="L257" s="1821">
        <f t="shared" si="22"/>
        <v>0</v>
      </c>
      <c r="M257" s="1822"/>
    </row>
    <row r="258" spans="1:13" ht="16.5">
      <c r="A258" s="1830" t="s">
        <v>3635</v>
      </c>
      <c r="B258" s="1811"/>
      <c r="C258" s="1811"/>
      <c r="D258" s="1831"/>
      <c r="E258" s="1831"/>
      <c r="F258" s="1831"/>
      <c r="G258" s="1832"/>
      <c r="H258" s="1832"/>
      <c r="I258" s="1832"/>
      <c r="J258" s="1832"/>
      <c r="K258" s="1832"/>
      <c r="L258" s="1832"/>
    </row>
    <row r="259" spans="1:13" ht="16.5">
      <c r="A259" s="1807">
        <v>1</v>
      </c>
      <c r="B259" s="1808" t="s">
        <v>3636</v>
      </c>
      <c r="C259" s="1808"/>
      <c r="D259" s="1833"/>
      <c r="E259" s="1833"/>
      <c r="F259" s="1833"/>
      <c r="G259" s="1832"/>
      <c r="H259" s="1832"/>
      <c r="I259" s="1832"/>
      <c r="J259" s="1832"/>
      <c r="K259" s="1832"/>
      <c r="L259" s="1832"/>
    </row>
    <row r="260" spans="1:13" ht="16.5">
      <c r="A260" s="1807">
        <v>2</v>
      </c>
      <c r="B260" s="1808" t="s">
        <v>3637</v>
      </c>
      <c r="C260" s="1805"/>
      <c r="D260" s="1834"/>
      <c r="E260" s="1834"/>
      <c r="F260" s="1834"/>
      <c r="G260" s="1834"/>
      <c r="H260" s="1834"/>
      <c r="I260" s="1834"/>
      <c r="J260" s="1832"/>
      <c r="K260" s="1832"/>
      <c r="L260" s="1832"/>
    </row>
    <row r="261" spans="1:13" ht="16.5">
      <c r="A261" s="1807">
        <v>3</v>
      </c>
      <c r="B261" s="1503" t="s">
        <v>3638</v>
      </c>
      <c r="C261" s="1835"/>
      <c r="D261" s="1836"/>
      <c r="E261" s="1836"/>
      <c r="F261" s="1836"/>
      <c r="G261" s="1836"/>
      <c r="H261" s="1834"/>
      <c r="I261" s="1834"/>
      <c r="J261" s="1832"/>
      <c r="K261" s="1832"/>
      <c r="L261" s="1832"/>
    </row>
    <row r="262" spans="1:13" ht="16.5">
      <c r="A262" s="1807" t="s">
        <v>3622</v>
      </c>
      <c r="B262" s="1812" t="s">
        <v>3639</v>
      </c>
      <c r="C262" s="1812"/>
      <c r="D262" s="1837"/>
      <c r="E262" s="1837"/>
      <c r="F262" s="1832"/>
      <c r="G262" s="1832"/>
      <c r="H262" s="1832"/>
      <c r="I262" s="1832"/>
      <c r="J262" s="1832"/>
      <c r="K262" s="1832"/>
      <c r="L262" s="1832"/>
    </row>
    <row r="263" spans="1:13" ht="16.5">
      <c r="A263" s="1809">
        <v>5</v>
      </c>
      <c r="B263" s="1804" t="s">
        <v>3640</v>
      </c>
      <c r="C263" s="1804"/>
    </row>
    <row r="264" spans="1:13" ht="16.5">
      <c r="A264" s="1809">
        <v>6</v>
      </c>
      <c r="B264" s="1804" t="s">
        <v>3641</v>
      </c>
      <c r="C264" s="1804"/>
    </row>
    <row r="265" spans="1:13" ht="16.5">
      <c r="A265" s="1809">
        <v>7</v>
      </c>
      <c r="B265" s="2149" t="s">
        <v>7062</v>
      </c>
      <c r="C265" s="1804"/>
    </row>
    <row r="266" spans="1:13" ht="16.5">
      <c r="A266" s="1809">
        <v>8</v>
      </c>
      <c r="B266" s="1804" t="s">
        <v>3262</v>
      </c>
      <c r="C266" s="1804"/>
    </row>
    <row r="267" spans="1:13" ht="16.5">
      <c r="A267" s="1809">
        <v>9</v>
      </c>
      <c r="B267" s="1804" t="s">
        <v>3642</v>
      </c>
      <c r="C267" s="1804"/>
    </row>
    <row r="268" spans="1:13" ht="16.5">
      <c r="A268" s="1809">
        <v>10</v>
      </c>
      <c r="B268" s="1804" t="s">
        <v>3643</v>
      </c>
      <c r="C268" s="1804"/>
    </row>
    <row r="269" spans="1:13" ht="16.5">
      <c r="A269" s="1804"/>
      <c r="B269" s="1804" t="s">
        <v>3623</v>
      </c>
      <c r="C269" s="1804"/>
    </row>
    <row r="270" spans="1:13">
      <c r="A270" s="1804"/>
      <c r="B270" s="1804"/>
      <c r="C270" s="1804"/>
    </row>
    <row r="271" spans="1:13">
      <c r="A271" s="1804"/>
      <c r="B271" s="1804"/>
      <c r="C271" s="1804"/>
    </row>
    <row r="272" spans="1:13">
      <c r="A272" s="1804"/>
      <c r="B272" s="1804"/>
      <c r="C272" s="1804"/>
    </row>
    <row r="273" spans="1:3">
      <c r="A273" s="1804"/>
      <c r="B273" s="1804"/>
      <c r="C273" s="1804"/>
    </row>
    <row r="274" spans="1:3">
      <c r="A274" s="1804"/>
      <c r="B274" s="1804"/>
      <c r="C274" s="1804"/>
    </row>
    <row r="275" spans="1:3">
      <c r="A275" s="1804"/>
      <c r="B275" s="1804"/>
      <c r="C275" s="1804"/>
    </row>
  </sheetData>
  <mergeCells count="18">
    <mergeCell ref="A3:A5"/>
    <mergeCell ref="B3:C4"/>
    <mergeCell ref="D3:G3"/>
    <mergeCell ref="H3:J3"/>
    <mergeCell ref="K3:L3"/>
    <mergeCell ref="B5:C5"/>
    <mergeCell ref="B6:B11"/>
    <mergeCell ref="B12:B81"/>
    <mergeCell ref="B82:B98"/>
    <mergeCell ref="B100:B109"/>
    <mergeCell ref="B110:B202"/>
    <mergeCell ref="B257:C257"/>
    <mergeCell ref="B246:C246"/>
    <mergeCell ref="B203:B229"/>
    <mergeCell ref="B230:B243"/>
    <mergeCell ref="B244:C244"/>
    <mergeCell ref="B245:C245"/>
    <mergeCell ref="B247:B256"/>
  </mergeCells>
  <phoneticPr fontId="29" type="noConversion"/>
  <printOptions horizontalCentered="1"/>
  <pageMargins left="0.19685039370078741" right="0.19685039370078741" top="0.39370078740157483" bottom="0.35433070866141736" header="0.35433070866141736" footer="0.15748031496062992"/>
  <pageSetup paperSize="9" scale="49" fitToHeight="6" orientation="portrait" horizontalDpi="4294967295" verticalDpi="4294967295" r:id="rId1"/>
  <headerFooter alignWithMargins="0">
    <oddFooter>&amp;C&amp;P+18&amp;R&amp;"Times New Roman,標準"&amp;A</oddFooter>
  </headerFooter>
  <rowBreaks count="2" manualBreakCount="2">
    <brk id="109" max="16383" man="1"/>
    <brk id="229"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Z54"/>
  <sheetViews>
    <sheetView showGridLines="0" zoomScaleNormal="100" workbookViewId="0">
      <pane xSplit="2" ySplit="7" topLeftCell="C41" activePane="bottomRight" state="frozen"/>
      <selection pane="topRight"/>
      <selection pane="bottomLeft"/>
      <selection pane="bottomRight"/>
    </sheetView>
  </sheetViews>
  <sheetFormatPr defaultRowHeight="14.25"/>
  <cols>
    <col min="1" max="1" width="5.125" style="1" customWidth="1"/>
    <col min="2" max="2" width="23.5" style="1" customWidth="1"/>
    <col min="3" max="3" width="12.625" style="1" customWidth="1"/>
    <col min="4" max="4" width="11.25" style="1" customWidth="1"/>
    <col min="5" max="5" width="12.375" style="1" customWidth="1"/>
    <col min="6" max="6" width="12.25" style="1" customWidth="1"/>
    <col min="7" max="7" width="11.25" style="1" customWidth="1"/>
    <col min="8" max="8" width="12.375" style="1" customWidth="1"/>
    <col min="9" max="9" width="12.75" style="1" customWidth="1"/>
    <col min="10" max="10" width="12.375" style="1" customWidth="1"/>
    <col min="11" max="11" width="12.125" style="1" customWidth="1"/>
    <col min="12" max="12" width="12.625" style="1" customWidth="1"/>
    <col min="13" max="13" width="12.25" style="1" customWidth="1"/>
    <col min="14" max="14" width="13.125" style="1" customWidth="1"/>
    <col min="15" max="16" width="9.25" style="1" customWidth="1"/>
    <col min="17" max="17" width="13.125" style="1" customWidth="1"/>
    <col min="18" max="19" width="9.25" style="1" customWidth="1"/>
    <col min="20" max="20" width="13.875" style="1" customWidth="1"/>
    <col min="21" max="21" width="10.5" style="1" customWidth="1"/>
    <col min="22" max="22" width="10.375" style="1" customWidth="1"/>
    <col min="23" max="23" width="14.625" style="1" customWidth="1"/>
    <col min="24" max="24" width="10.125" style="1" customWidth="1"/>
    <col min="25" max="25" width="10.5" style="1" customWidth="1"/>
    <col min="26" max="26" width="13.25" style="1" customWidth="1"/>
    <col min="27" max="27" width="12.5" style="1" customWidth="1"/>
    <col min="28" max="29" width="9.25" style="1" customWidth="1"/>
    <col min="30" max="16384" width="9" style="1"/>
  </cols>
  <sheetData>
    <row r="1" spans="1:52">
      <c r="A1" s="105" t="str">
        <f>表03!A1</f>
        <v xml:space="preserve"> 保險股份有限公司    年度(月)報表</v>
      </c>
    </row>
    <row r="2" spans="1:52">
      <c r="A2" s="2270" t="s">
        <v>337</v>
      </c>
      <c r="S2" s="3"/>
      <c r="T2" s="3"/>
      <c r="AA2" s="70" t="s">
        <v>338</v>
      </c>
    </row>
    <row r="3" spans="1:52" s="5" customFormat="1" ht="16.5" customHeight="1">
      <c r="A3" s="2875" t="s">
        <v>339</v>
      </c>
      <c r="B3" s="2875" t="s">
        <v>86</v>
      </c>
      <c r="C3" s="2893" t="s">
        <v>340</v>
      </c>
      <c r="D3" s="2893"/>
      <c r="E3" s="2893"/>
      <c r="F3" s="2893"/>
      <c r="G3" s="2893"/>
      <c r="H3" s="2893"/>
      <c r="I3" s="2893"/>
      <c r="J3" s="2893"/>
      <c r="K3" s="2893"/>
      <c r="L3" s="2893"/>
      <c r="M3" s="2893"/>
      <c r="N3" s="2894"/>
      <c r="O3" s="2862" t="s">
        <v>341</v>
      </c>
      <c r="P3" s="2893"/>
      <c r="Q3" s="2893"/>
      <c r="R3" s="2893"/>
      <c r="S3" s="2893"/>
      <c r="T3" s="2893"/>
      <c r="U3" s="2893"/>
      <c r="V3" s="2893"/>
      <c r="W3" s="2893"/>
      <c r="X3" s="2893"/>
      <c r="Y3" s="2893"/>
      <c r="Z3" s="2894"/>
      <c r="AA3" s="2898" t="s">
        <v>342</v>
      </c>
    </row>
    <row r="4" spans="1:52" s="71" customFormat="1" ht="16.5">
      <c r="A4" s="2876"/>
      <c r="B4" s="2876"/>
      <c r="C4" s="2911" t="s">
        <v>1696</v>
      </c>
      <c r="D4" s="2911"/>
      <c r="E4" s="2911"/>
      <c r="F4" s="2911"/>
      <c r="G4" s="2911"/>
      <c r="H4" s="2911"/>
      <c r="I4" s="2891" t="s">
        <v>1697</v>
      </c>
      <c r="J4" s="2891"/>
      <c r="K4" s="2892"/>
      <c r="L4" s="2895" t="s">
        <v>1698</v>
      </c>
      <c r="M4" s="2891"/>
      <c r="N4" s="2892"/>
      <c r="O4" s="2895" t="s">
        <v>1696</v>
      </c>
      <c r="P4" s="2891"/>
      <c r="Q4" s="2891"/>
      <c r="R4" s="2891"/>
      <c r="S4" s="2891"/>
      <c r="T4" s="2892"/>
      <c r="U4" s="2895" t="s">
        <v>1697</v>
      </c>
      <c r="V4" s="2896"/>
      <c r="W4" s="2897"/>
      <c r="X4" s="2895" t="s">
        <v>1698</v>
      </c>
      <c r="Y4" s="2891"/>
      <c r="Z4" s="2892"/>
      <c r="AA4" s="2899"/>
    </row>
    <row r="5" spans="1:52" s="71" customFormat="1">
      <c r="A5" s="2876"/>
      <c r="B5" s="2876"/>
      <c r="C5" s="2908" t="s">
        <v>751</v>
      </c>
      <c r="D5" s="2909"/>
      <c r="E5" s="2910"/>
      <c r="F5" s="2905" t="s">
        <v>752</v>
      </c>
      <c r="G5" s="2906"/>
      <c r="H5" s="2907"/>
      <c r="I5" s="2898" t="s">
        <v>343</v>
      </c>
      <c r="J5" s="2898" t="s">
        <v>344</v>
      </c>
      <c r="K5" s="2898" t="s">
        <v>195</v>
      </c>
      <c r="L5" s="2898" t="s">
        <v>345</v>
      </c>
      <c r="M5" s="2898" t="s">
        <v>344</v>
      </c>
      <c r="N5" s="2898" t="s">
        <v>195</v>
      </c>
      <c r="O5" s="2908" t="s">
        <v>751</v>
      </c>
      <c r="P5" s="2909"/>
      <c r="Q5" s="2910"/>
      <c r="R5" s="2905" t="s">
        <v>752</v>
      </c>
      <c r="S5" s="2906"/>
      <c r="T5" s="2907"/>
      <c r="U5" s="2898" t="s">
        <v>345</v>
      </c>
      <c r="V5" s="2898" t="s">
        <v>344</v>
      </c>
      <c r="W5" s="2898" t="s">
        <v>195</v>
      </c>
      <c r="X5" s="2898" t="s">
        <v>345</v>
      </c>
      <c r="Y5" s="2898" t="s">
        <v>344</v>
      </c>
      <c r="Z5" s="2898" t="s">
        <v>195</v>
      </c>
      <c r="AA5" s="2903" t="s">
        <v>346</v>
      </c>
    </row>
    <row r="6" spans="1:52" s="73" customFormat="1" ht="28.5">
      <c r="A6" s="2876"/>
      <c r="B6" s="2876"/>
      <c r="C6" s="72" t="s">
        <v>347</v>
      </c>
      <c r="D6" s="2268" t="s">
        <v>348</v>
      </c>
      <c r="E6" s="2268" t="s">
        <v>357</v>
      </c>
      <c r="F6" s="2267" t="s">
        <v>349</v>
      </c>
      <c r="G6" s="2267" t="s">
        <v>348</v>
      </c>
      <c r="H6" s="2267" t="s">
        <v>357</v>
      </c>
      <c r="I6" s="2899"/>
      <c r="J6" s="2899"/>
      <c r="K6" s="2899"/>
      <c r="L6" s="2899"/>
      <c r="M6" s="2899"/>
      <c r="N6" s="2899"/>
      <c r="O6" s="72" t="s">
        <v>349</v>
      </c>
      <c r="P6" s="2268" t="s">
        <v>348</v>
      </c>
      <c r="Q6" s="2268" t="s">
        <v>357</v>
      </c>
      <c r="R6" s="2267" t="s">
        <v>349</v>
      </c>
      <c r="S6" s="2267" t="s">
        <v>348</v>
      </c>
      <c r="T6" s="2267" t="s">
        <v>357</v>
      </c>
      <c r="U6" s="2899"/>
      <c r="V6" s="2899"/>
      <c r="W6" s="2899"/>
      <c r="X6" s="2899"/>
      <c r="Y6" s="2899"/>
      <c r="Z6" s="2899"/>
      <c r="AA6" s="2903"/>
    </row>
    <row r="7" spans="1:52" s="47" customFormat="1">
      <c r="A7" s="2877"/>
      <c r="B7" s="2877"/>
      <c r="C7" s="74" t="s">
        <v>317</v>
      </c>
      <c r="D7" s="75" t="s">
        <v>385</v>
      </c>
      <c r="E7" s="75" t="s">
        <v>350</v>
      </c>
      <c r="F7" s="75" t="s">
        <v>319</v>
      </c>
      <c r="G7" s="75" t="s">
        <v>386</v>
      </c>
      <c r="H7" s="75" t="s">
        <v>351</v>
      </c>
      <c r="I7" s="75" t="s">
        <v>321</v>
      </c>
      <c r="J7" s="75" t="s">
        <v>387</v>
      </c>
      <c r="K7" s="76" t="s">
        <v>352</v>
      </c>
      <c r="L7" s="77" t="s">
        <v>353</v>
      </c>
      <c r="M7" s="77" t="s">
        <v>354</v>
      </c>
      <c r="N7" s="76" t="s">
        <v>355</v>
      </c>
      <c r="O7" s="74" t="s">
        <v>356</v>
      </c>
      <c r="P7" s="75" t="s">
        <v>201</v>
      </c>
      <c r="Q7" s="75" t="s">
        <v>202</v>
      </c>
      <c r="R7" s="75" t="s">
        <v>203</v>
      </c>
      <c r="S7" s="75" t="s">
        <v>204</v>
      </c>
      <c r="T7" s="75" t="s">
        <v>205</v>
      </c>
      <c r="U7" s="75" t="s">
        <v>206</v>
      </c>
      <c r="V7" s="75" t="s">
        <v>207</v>
      </c>
      <c r="W7" s="76" t="s">
        <v>208</v>
      </c>
      <c r="X7" s="77" t="s">
        <v>209</v>
      </c>
      <c r="Y7" s="77" t="s">
        <v>210</v>
      </c>
      <c r="Z7" s="76" t="s">
        <v>211</v>
      </c>
      <c r="AA7" s="2904"/>
    </row>
    <row r="8" spans="1:52" ht="15.75" customHeight="1">
      <c r="A8" s="375">
        <v>1</v>
      </c>
      <c r="B8" s="337" t="s">
        <v>664</v>
      </c>
      <c r="C8" s="376">
        <f t="shared" ref="C8:AA8" si="0">SUM(C9:C38)</f>
        <v>0</v>
      </c>
      <c r="D8" s="376">
        <f t="shared" si="0"/>
        <v>0</v>
      </c>
      <c r="E8" s="376">
        <f t="shared" si="0"/>
        <v>0</v>
      </c>
      <c r="F8" s="376">
        <f>SUM(F9:F38)</f>
        <v>0</v>
      </c>
      <c r="G8" s="376">
        <f>SUM(G9:G38)</f>
        <v>0</v>
      </c>
      <c r="H8" s="376">
        <f t="shared" si="0"/>
        <v>0</v>
      </c>
      <c r="I8" s="376">
        <f t="shared" si="0"/>
        <v>0</v>
      </c>
      <c r="J8" s="376">
        <f t="shared" si="0"/>
        <v>0</v>
      </c>
      <c r="K8" s="376">
        <f t="shared" si="0"/>
        <v>0</v>
      </c>
      <c r="L8" s="376">
        <f t="shared" si="0"/>
        <v>0</v>
      </c>
      <c r="M8" s="376">
        <f t="shared" si="0"/>
        <v>0</v>
      </c>
      <c r="N8" s="376">
        <f t="shared" si="0"/>
        <v>0</v>
      </c>
      <c r="O8" s="376">
        <f t="shared" si="0"/>
        <v>0</v>
      </c>
      <c r="P8" s="376">
        <f t="shared" si="0"/>
        <v>0</v>
      </c>
      <c r="Q8" s="376">
        <f t="shared" si="0"/>
        <v>0</v>
      </c>
      <c r="R8" s="376">
        <f t="shared" si="0"/>
        <v>0</v>
      </c>
      <c r="S8" s="376">
        <f t="shared" si="0"/>
        <v>0</v>
      </c>
      <c r="T8" s="376">
        <f t="shared" si="0"/>
        <v>0</v>
      </c>
      <c r="U8" s="376">
        <f t="shared" si="0"/>
        <v>0</v>
      </c>
      <c r="V8" s="376">
        <f t="shared" si="0"/>
        <v>0</v>
      </c>
      <c r="W8" s="376">
        <f>SUM(W9:W38)</f>
        <v>0</v>
      </c>
      <c r="X8" s="376">
        <f t="shared" si="0"/>
        <v>0</v>
      </c>
      <c r="Y8" s="376">
        <f t="shared" si="0"/>
        <v>0</v>
      </c>
      <c r="Z8" s="376">
        <f t="shared" si="0"/>
        <v>0</v>
      </c>
      <c r="AA8" s="376">
        <f t="shared" si="0"/>
        <v>0</v>
      </c>
      <c r="AB8" s="13"/>
      <c r="AC8" s="13"/>
      <c r="AD8" s="13"/>
      <c r="AE8" s="13"/>
      <c r="AF8" s="13"/>
      <c r="AG8" s="13"/>
      <c r="AH8" s="13"/>
      <c r="AI8" s="13"/>
      <c r="AJ8" s="13"/>
      <c r="AK8" s="13"/>
      <c r="AL8" s="13"/>
      <c r="AM8" s="13"/>
      <c r="AN8" s="13"/>
      <c r="AO8" s="13"/>
      <c r="AP8" s="13"/>
      <c r="AQ8" s="13"/>
      <c r="AR8" s="13"/>
      <c r="AS8" s="13"/>
      <c r="AT8" s="13"/>
      <c r="AU8" s="13"/>
      <c r="AV8" s="13"/>
      <c r="AW8" s="13"/>
      <c r="AX8" s="13"/>
      <c r="AY8" s="13"/>
      <c r="AZ8" s="13"/>
    </row>
    <row r="9" spans="1:52" ht="15.75" customHeight="1">
      <c r="A9" s="375">
        <f>A8+1</f>
        <v>2</v>
      </c>
      <c r="B9" s="337" t="s">
        <v>611</v>
      </c>
      <c r="C9" s="377"/>
      <c r="D9" s="377"/>
      <c r="E9" s="378">
        <f t="shared" ref="E9:E38" si="1">C9-D9</f>
        <v>0</v>
      </c>
      <c r="F9" s="377"/>
      <c r="G9" s="377"/>
      <c r="H9" s="379">
        <f t="shared" ref="H9:H38" si="2">F9-G9</f>
        <v>0</v>
      </c>
      <c r="I9" s="377"/>
      <c r="J9" s="377"/>
      <c r="K9" s="378">
        <f t="shared" ref="K9:K38" si="3">I9+J9</f>
        <v>0</v>
      </c>
      <c r="L9" s="377"/>
      <c r="M9" s="377"/>
      <c r="N9" s="378">
        <f t="shared" ref="N9:N38" si="4">L9+M9</f>
        <v>0</v>
      </c>
      <c r="O9" s="377"/>
      <c r="P9" s="377"/>
      <c r="Q9" s="376">
        <f t="shared" ref="Q9:Q38" si="5">O9-P9</f>
        <v>0</v>
      </c>
      <c r="R9" s="377"/>
      <c r="S9" s="377"/>
      <c r="T9" s="376">
        <f t="shared" ref="T9:T38" si="6">R9-S9</f>
        <v>0</v>
      </c>
      <c r="U9" s="377"/>
      <c r="V9" s="377"/>
      <c r="W9" s="376">
        <f t="shared" ref="W9:W38" si="7">U9+V9</f>
        <v>0</v>
      </c>
      <c r="X9" s="377"/>
      <c r="Y9" s="377"/>
      <c r="Z9" s="377">
        <f t="shared" ref="Z9:Z38" si="8">X9+Y9</f>
        <v>0</v>
      </c>
      <c r="AA9" s="377">
        <f>E9+K9-N9+Q9+W9-Z9</f>
        <v>0</v>
      </c>
      <c r="AB9" s="13"/>
      <c r="AC9" s="13"/>
      <c r="AD9" s="13"/>
      <c r="AE9" s="13"/>
      <c r="AF9" s="13"/>
      <c r="AG9" s="13"/>
      <c r="AH9" s="13"/>
      <c r="AI9" s="13"/>
      <c r="AJ9" s="13"/>
      <c r="AK9" s="13"/>
      <c r="AL9" s="13"/>
      <c r="AM9" s="13"/>
      <c r="AN9" s="13"/>
      <c r="AO9" s="13"/>
      <c r="AP9" s="13"/>
      <c r="AQ9" s="13"/>
      <c r="AR9" s="13"/>
      <c r="AS9" s="13"/>
      <c r="AT9" s="13"/>
      <c r="AU9" s="13"/>
      <c r="AV9" s="13"/>
      <c r="AW9" s="13"/>
      <c r="AX9" s="13"/>
      <c r="AY9" s="13"/>
      <c r="AZ9" s="13"/>
    </row>
    <row r="10" spans="1:52" ht="15.75" customHeight="1">
      <c r="A10" s="375">
        <f t="shared" ref="A10:A48" si="9">A9+1</f>
        <v>3</v>
      </c>
      <c r="B10" s="323" t="s">
        <v>612</v>
      </c>
      <c r="C10" s="377"/>
      <c r="D10" s="377"/>
      <c r="E10" s="378">
        <f t="shared" si="1"/>
        <v>0</v>
      </c>
      <c r="F10" s="377"/>
      <c r="G10" s="377"/>
      <c r="H10" s="379">
        <f t="shared" si="2"/>
        <v>0</v>
      </c>
      <c r="I10" s="377"/>
      <c r="J10" s="377"/>
      <c r="K10" s="378">
        <f t="shared" si="3"/>
        <v>0</v>
      </c>
      <c r="L10" s="377"/>
      <c r="M10" s="377"/>
      <c r="N10" s="378">
        <f t="shared" si="4"/>
        <v>0</v>
      </c>
      <c r="O10" s="377"/>
      <c r="P10" s="377"/>
      <c r="Q10" s="376">
        <f t="shared" si="5"/>
        <v>0</v>
      </c>
      <c r="R10" s="377"/>
      <c r="S10" s="377"/>
      <c r="T10" s="376">
        <f t="shared" si="6"/>
        <v>0</v>
      </c>
      <c r="U10" s="377"/>
      <c r="V10" s="377"/>
      <c r="W10" s="376">
        <f t="shared" si="7"/>
        <v>0</v>
      </c>
      <c r="X10" s="377"/>
      <c r="Y10" s="377"/>
      <c r="Z10" s="377">
        <f t="shared" si="8"/>
        <v>0</v>
      </c>
      <c r="AA10" s="377">
        <f t="shared" ref="AA10:AA47" si="10">E10+K10-N10+Q10+W10-Z10</f>
        <v>0</v>
      </c>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row>
    <row r="11" spans="1:52" ht="15.75" customHeight="1">
      <c r="A11" s="375">
        <f t="shared" si="9"/>
        <v>4</v>
      </c>
      <c r="B11" s="323" t="s">
        <v>613</v>
      </c>
      <c r="C11" s="377"/>
      <c r="D11" s="377"/>
      <c r="E11" s="378">
        <f t="shared" si="1"/>
        <v>0</v>
      </c>
      <c r="F11" s="377"/>
      <c r="G11" s="377"/>
      <c r="H11" s="379">
        <f t="shared" si="2"/>
        <v>0</v>
      </c>
      <c r="I11" s="377"/>
      <c r="J11" s="377"/>
      <c r="K11" s="378">
        <f t="shared" si="3"/>
        <v>0</v>
      </c>
      <c r="L11" s="377"/>
      <c r="M11" s="377"/>
      <c r="N11" s="378">
        <f t="shared" si="4"/>
        <v>0</v>
      </c>
      <c r="O11" s="377"/>
      <c r="P11" s="377"/>
      <c r="Q11" s="376">
        <f t="shared" si="5"/>
        <v>0</v>
      </c>
      <c r="R11" s="377"/>
      <c r="S11" s="377"/>
      <c r="T11" s="376">
        <f t="shared" si="6"/>
        <v>0</v>
      </c>
      <c r="U11" s="377"/>
      <c r="V11" s="377"/>
      <c r="W11" s="376">
        <f t="shared" si="7"/>
        <v>0</v>
      </c>
      <c r="X11" s="377"/>
      <c r="Y11" s="377"/>
      <c r="Z11" s="377">
        <f t="shared" si="8"/>
        <v>0</v>
      </c>
      <c r="AA11" s="377">
        <f t="shared" si="10"/>
        <v>0</v>
      </c>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row>
    <row r="12" spans="1:52" ht="15.75" customHeight="1">
      <c r="A12" s="375">
        <f t="shared" si="9"/>
        <v>5</v>
      </c>
      <c r="B12" s="323" t="s">
        <v>614</v>
      </c>
      <c r="C12" s="377"/>
      <c r="D12" s="377"/>
      <c r="E12" s="378">
        <f t="shared" si="1"/>
        <v>0</v>
      </c>
      <c r="F12" s="377"/>
      <c r="G12" s="377"/>
      <c r="H12" s="379">
        <f t="shared" si="2"/>
        <v>0</v>
      </c>
      <c r="I12" s="377"/>
      <c r="J12" s="377"/>
      <c r="K12" s="378">
        <f t="shared" si="3"/>
        <v>0</v>
      </c>
      <c r="L12" s="377"/>
      <c r="M12" s="377"/>
      <c r="N12" s="378">
        <f t="shared" si="4"/>
        <v>0</v>
      </c>
      <c r="O12" s="377"/>
      <c r="P12" s="377"/>
      <c r="Q12" s="376">
        <f t="shared" si="5"/>
        <v>0</v>
      </c>
      <c r="R12" s="377"/>
      <c r="S12" s="377"/>
      <c r="T12" s="376">
        <f t="shared" si="6"/>
        <v>0</v>
      </c>
      <c r="U12" s="377"/>
      <c r="V12" s="377"/>
      <c r="W12" s="376">
        <f t="shared" si="7"/>
        <v>0</v>
      </c>
      <c r="X12" s="377"/>
      <c r="Y12" s="377"/>
      <c r="Z12" s="377">
        <f t="shared" si="8"/>
        <v>0</v>
      </c>
      <c r="AA12" s="377">
        <f t="shared" si="10"/>
        <v>0</v>
      </c>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row>
    <row r="13" spans="1:52" ht="15.75" customHeight="1">
      <c r="A13" s="375">
        <f t="shared" si="9"/>
        <v>6</v>
      </c>
      <c r="B13" s="323" t="s">
        <v>615</v>
      </c>
      <c r="C13" s="377"/>
      <c r="D13" s="377"/>
      <c r="E13" s="378">
        <f t="shared" si="1"/>
        <v>0</v>
      </c>
      <c r="F13" s="377"/>
      <c r="G13" s="377"/>
      <c r="H13" s="379">
        <f t="shared" si="2"/>
        <v>0</v>
      </c>
      <c r="I13" s="377"/>
      <c r="J13" s="377"/>
      <c r="K13" s="378">
        <f t="shared" si="3"/>
        <v>0</v>
      </c>
      <c r="L13" s="377"/>
      <c r="M13" s="377"/>
      <c r="N13" s="378">
        <f t="shared" si="4"/>
        <v>0</v>
      </c>
      <c r="O13" s="377"/>
      <c r="P13" s="377"/>
      <c r="Q13" s="376">
        <f t="shared" si="5"/>
        <v>0</v>
      </c>
      <c r="R13" s="377"/>
      <c r="S13" s="377"/>
      <c r="T13" s="376">
        <f t="shared" si="6"/>
        <v>0</v>
      </c>
      <c r="U13" s="377"/>
      <c r="V13" s="377"/>
      <c r="W13" s="376">
        <f t="shared" si="7"/>
        <v>0</v>
      </c>
      <c r="X13" s="377"/>
      <c r="Y13" s="377"/>
      <c r="Z13" s="377">
        <f t="shared" si="8"/>
        <v>0</v>
      </c>
      <c r="AA13" s="377">
        <f t="shared" si="10"/>
        <v>0</v>
      </c>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row>
    <row r="14" spans="1:52" ht="15.75" customHeight="1">
      <c r="A14" s="375">
        <f t="shared" si="9"/>
        <v>7</v>
      </c>
      <c r="B14" s="323" t="s">
        <v>616</v>
      </c>
      <c r="C14" s="377"/>
      <c r="D14" s="377"/>
      <c r="E14" s="378">
        <f t="shared" si="1"/>
        <v>0</v>
      </c>
      <c r="F14" s="377"/>
      <c r="G14" s="377"/>
      <c r="H14" s="379">
        <f t="shared" si="2"/>
        <v>0</v>
      </c>
      <c r="I14" s="377"/>
      <c r="J14" s="377"/>
      <c r="K14" s="378">
        <f t="shared" si="3"/>
        <v>0</v>
      </c>
      <c r="L14" s="377"/>
      <c r="M14" s="377"/>
      <c r="N14" s="378">
        <f t="shared" si="4"/>
        <v>0</v>
      </c>
      <c r="O14" s="377"/>
      <c r="P14" s="377"/>
      <c r="Q14" s="376">
        <f t="shared" si="5"/>
        <v>0</v>
      </c>
      <c r="R14" s="377"/>
      <c r="S14" s="377"/>
      <c r="T14" s="376">
        <f t="shared" si="6"/>
        <v>0</v>
      </c>
      <c r="U14" s="377"/>
      <c r="V14" s="377"/>
      <c r="W14" s="376">
        <f t="shared" si="7"/>
        <v>0</v>
      </c>
      <c r="X14" s="377"/>
      <c r="Y14" s="377"/>
      <c r="Z14" s="377">
        <f t="shared" si="8"/>
        <v>0</v>
      </c>
      <c r="AA14" s="377">
        <f t="shared" si="10"/>
        <v>0</v>
      </c>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row>
    <row r="15" spans="1:52" ht="15.75" customHeight="1">
      <c r="A15" s="375">
        <f t="shared" si="9"/>
        <v>8</v>
      </c>
      <c r="B15" s="323" t="s">
        <v>617</v>
      </c>
      <c r="C15" s="377"/>
      <c r="D15" s="377"/>
      <c r="E15" s="378">
        <f t="shared" si="1"/>
        <v>0</v>
      </c>
      <c r="F15" s="377"/>
      <c r="G15" s="377"/>
      <c r="H15" s="379">
        <f t="shared" si="2"/>
        <v>0</v>
      </c>
      <c r="I15" s="377"/>
      <c r="J15" s="377"/>
      <c r="K15" s="378">
        <f t="shared" si="3"/>
        <v>0</v>
      </c>
      <c r="L15" s="377"/>
      <c r="M15" s="377"/>
      <c r="N15" s="378">
        <f t="shared" si="4"/>
        <v>0</v>
      </c>
      <c r="O15" s="377"/>
      <c r="P15" s="377"/>
      <c r="Q15" s="376">
        <f t="shared" si="5"/>
        <v>0</v>
      </c>
      <c r="R15" s="377"/>
      <c r="S15" s="377"/>
      <c r="T15" s="376">
        <f t="shared" si="6"/>
        <v>0</v>
      </c>
      <c r="U15" s="377"/>
      <c r="V15" s="377"/>
      <c r="W15" s="376">
        <f t="shared" si="7"/>
        <v>0</v>
      </c>
      <c r="X15" s="377"/>
      <c r="Y15" s="377"/>
      <c r="Z15" s="377">
        <f t="shared" si="8"/>
        <v>0</v>
      </c>
      <c r="AA15" s="377">
        <f t="shared" si="10"/>
        <v>0</v>
      </c>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row>
    <row r="16" spans="1:52" ht="15.75" customHeight="1">
      <c r="A16" s="375">
        <f t="shared" si="9"/>
        <v>9</v>
      </c>
      <c r="B16" s="323" t="s">
        <v>618</v>
      </c>
      <c r="C16" s="377"/>
      <c r="D16" s="377"/>
      <c r="E16" s="378">
        <f t="shared" si="1"/>
        <v>0</v>
      </c>
      <c r="F16" s="377"/>
      <c r="G16" s="377"/>
      <c r="H16" s="379">
        <f t="shared" si="2"/>
        <v>0</v>
      </c>
      <c r="I16" s="377"/>
      <c r="J16" s="377"/>
      <c r="K16" s="378">
        <f t="shared" si="3"/>
        <v>0</v>
      </c>
      <c r="L16" s="377"/>
      <c r="M16" s="377"/>
      <c r="N16" s="378">
        <f t="shared" si="4"/>
        <v>0</v>
      </c>
      <c r="O16" s="377"/>
      <c r="P16" s="377"/>
      <c r="Q16" s="376">
        <f t="shared" si="5"/>
        <v>0</v>
      </c>
      <c r="R16" s="377"/>
      <c r="S16" s="377"/>
      <c r="T16" s="376">
        <f t="shared" si="6"/>
        <v>0</v>
      </c>
      <c r="U16" s="377"/>
      <c r="V16" s="377"/>
      <c r="W16" s="376">
        <f t="shared" si="7"/>
        <v>0</v>
      </c>
      <c r="X16" s="377"/>
      <c r="Y16" s="377"/>
      <c r="Z16" s="377">
        <f t="shared" si="8"/>
        <v>0</v>
      </c>
      <c r="AA16" s="377">
        <f t="shared" si="10"/>
        <v>0</v>
      </c>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row>
    <row r="17" spans="1:52" ht="15.75" customHeight="1">
      <c r="A17" s="375">
        <f t="shared" si="9"/>
        <v>10</v>
      </c>
      <c r="B17" s="323" t="s">
        <v>619</v>
      </c>
      <c r="C17" s="377"/>
      <c r="D17" s="377"/>
      <c r="E17" s="378">
        <f t="shared" si="1"/>
        <v>0</v>
      </c>
      <c r="F17" s="377"/>
      <c r="G17" s="377"/>
      <c r="H17" s="379">
        <f t="shared" si="2"/>
        <v>0</v>
      </c>
      <c r="I17" s="377"/>
      <c r="J17" s="377"/>
      <c r="K17" s="378">
        <f t="shared" si="3"/>
        <v>0</v>
      </c>
      <c r="L17" s="377"/>
      <c r="M17" s="377"/>
      <c r="N17" s="378">
        <f t="shared" si="4"/>
        <v>0</v>
      </c>
      <c r="O17" s="377"/>
      <c r="P17" s="377"/>
      <c r="Q17" s="376">
        <f t="shared" si="5"/>
        <v>0</v>
      </c>
      <c r="R17" s="377"/>
      <c r="S17" s="377"/>
      <c r="T17" s="376">
        <f t="shared" si="6"/>
        <v>0</v>
      </c>
      <c r="U17" s="377"/>
      <c r="V17" s="377"/>
      <c r="W17" s="376">
        <f t="shared" si="7"/>
        <v>0</v>
      </c>
      <c r="X17" s="377"/>
      <c r="Y17" s="377"/>
      <c r="Z17" s="377">
        <f t="shared" si="8"/>
        <v>0</v>
      </c>
      <c r="AA17" s="377">
        <f t="shared" si="10"/>
        <v>0</v>
      </c>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row>
    <row r="18" spans="1:52" ht="15.75" customHeight="1">
      <c r="A18" s="375">
        <f t="shared" si="9"/>
        <v>11</v>
      </c>
      <c r="B18" s="323" t="s">
        <v>620</v>
      </c>
      <c r="C18" s="377"/>
      <c r="D18" s="377"/>
      <c r="E18" s="378">
        <f t="shared" si="1"/>
        <v>0</v>
      </c>
      <c r="F18" s="377"/>
      <c r="G18" s="377"/>
      <c r="H18" s="379">
        <f t="shared" si="2"/>
        <v>0</v>
      </c>
      <c r="I18" s="377"/>
      <c r="J18" s="377"/>
      <c r="K18" s="378">
        <f t="shared" si="3"/>
        <v>0</v>
      </c>
      <c r="L18" s="377"/>
      <c r="M18" s="377"/>
      <c r="N18" s="378">
        <f t="shared" si="4"/>
        <v>0</v>
      </c>
      <c r="O18" s="377"/>
      <c r="P18" s="377"/>
      <c r="Q18" s="376">
        <f t="shared" si="5"/>
        <v>0</v>
      </c>
      <c r="R18" s="377"/>
      <c r="S18" s="377"/>
      <c r="T18" s="376">
        <f t="shared" si="6"/>
        <v>0</v>
      </c>
      <c r="U18" s="377"/>
      <c r="V18" s="377"/>
      <c r="W18" s="376">
        <f t="shared" si="7"/>
        <v>0</v>
      </c>
      <c r="X18" s="377"/>
      <c r="Y18" s="377"/>
      <c r="Z18" s="377">
        <f t="shared" si="8"/>
        <v>0</v>
      </c>
      <c r="AA18" s="377">
        <f t="shared" si="10"/>
        <v>0</v>
      </c>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row>
    <row r="19" spans="1:52" ht="15.75" customHeight="1">
      <c r="A19" s="375">
        <f t="shared" si="9"/>
        <v>12</v>
      </c>
      <c r="B19" s="323" t="s">
        <v>621</v>
      </c>
      <c r="C19" s="377"/>
      <c r="D19" s="377"/>
      <c r="E19" s="378">
        <f t="shared" si="1"/>
        <v>0</v>
      </c>
      <c r="F19" s="377"/>
      <c r="G19" s="377"/>
      <c r="H19" s="379">
        <f t="shared" si="2"/>
        <v>0</v>
      </c>
      <c r="I19" s="377"/>
      <c r="J19" s="377"/>
      <c r="K19" s="378">
        <f t="shared" si="3"/>
        <v>0</v>
      </c>
      <c r="L19" s="377"/>
      <c r="M19" s="377"/>
      <c r="N19" s="378">
        <f t="shared" si="4"/>
        <v>0</v>
      </c>
      <c r="O19" s="377"/>
      <c r="P19" s="377"/>
      <c r="Q19" s="376">
        <f t="shared" si="5"/>
        <v>0</v>
      </c>
      <c r="R19" s="377"/>
      <c r="S19" s="377"/>
      <c r="T19" s="376">
        <f t="shared" si="6"/>
        <v>0</v>
      </c>
      <c r="U19" s="377"/>
      <c r="V19" s="377"/>
      <c r="W19" s="376">
        <f t="shared" si="7"/>
        <v>0</v>
      </c>
      <c r="X19" s="377"/>
      <c r="Y19" s="377"/>
      <c r="Z19" s="377">
        <f t="shared" si="8"/>
        <v>0</v>
      </c>
      <c r="AA19" s="377">
        <f t="shared" si="10"/>
        <v>0</v>
      </c>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row>
    <row r="20" spans="1:52" ht="15.75" customHeight="1">
      <c r="A20" s="375">
        <f t="shared" si="9"/>
        <v>13</v>
      </c>
      <c r="B20" s="323" t="s">
        <v>622</v>
      </c>
      <c r="C20" s="377"/>
      <c r="D20" s="377"/>
      <c r="E20" s="378">
        <f t="shared" si="1"/>
        <v>0</v>
      </c>
      <c r="F20" s="377"/>
      <c r="G20" s="377"/>
      <c r="H20" s="379">
        <f t="shared" si="2"/>
        <v>0</v>
      </c>
      <c r="I20" s="377"/>
      <c r="J20" s="377"/>
      <c r="K20" s="378">
        <f t="shared" si="3"/>
        <v>0</v>
      </c>
      <c r="L20" s="377"/>
      <c r="M20" s="377"/>
      <c r="N20" s="378">
        <f t="shared" si="4"/>
        <v>0</v>
      </c>
      <c r="O20" s="377"/>
      <c r="P20" s="377"/>
      <c r="Q20" s="376">
        <f t="shared" si="5"/>
        <v>0</v>
      </c>
      <c r="R20" s="377"/>
      <c r="S20" s="377"/>
      <c r="T20" s="376">
        <f t="shared" si="6"/>
        <v>0</v>
      </c>
      <c r="U20" s="377"/>
      <c r="V20" s="377"/>
      <c r="W20" s="376">
        <f t="shared" si="7"/>
        <v>0</v>
      </c>
      <c r="X20" s="377"/>
      <c r="Y20" s="377"/>
      <c r="Z20" s="377">
        <f t="shared" si="8"/>
        <v>0</v>
      </c>
      <c r="AA20" s="377">
        <f t="shared" si="10"/>
        <v>0</v>
      </c>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row>
    <row r="21" spans="1:52" ht="15.75" customHeight="1">
      <c r="A21" s="375">
        <f t="shared" si="9"/>
        <v>14</v>
      </c>
      <c r="B21" s="323" t="s">
        <v>623</v>
      </c>
      <c r="C21" s="377"/>
      <c r="D21" s="377"/>
      <c r="E21" s="378">
        <f t="shared" si="1"/>
        <v>0</v>
      </c>
      <c r="F21" s="377"/>
      <c r="G21" s="377"/>
      <c r="H21" s="379">
        <f t="shared" si="2"/>
        <v>0</v>
      </c>
      <c r="I21" s="377"/>
      <c r="J21" s="377"/>
      <c r="K21" s="378">
        <f t="shared" si="3"/>
        <v>0</v>
      </c>
      <c r="L21" s="377"/>
      <c r="M21" s="377"/>
      <c r="N21" s="378">
        <f t="shared" si="4"/>
        <v>0</v>
      </c>
      <c r="O21" s="377"/>
      <c r="P21" s="377"/>
      <c r="Q21" s="376">
        <f t="shared" si="5"/>
        <v>0</v>
      </c>
      <c r="R21" s="377"/>
      <c r="S21" s="377"/>
      <c r="T21" s="376">
        <f t="shared" si="6"/>
        <v>0</v>
      </c>
      <c r="U21" s="377"/>
      <c r="V21" s="377"/>
      <c r="W21" s="376">
        <f t="shared" si="7"/>
        <v>0</v>
      </c>
      <c r="X21" s="377"/>
      <c r="Y21" s="377"/>
      <c r="Z21" s="377">
        <f t="shared" si="8"/>
        <v>0</v>
      </c>
      <c r="AA21" s="377">
        <f t="shared" si="10"/>
        <v>0</v>
      </c>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row>
    <row r="22" spans="1:52" ht="15.75" customHeight="1">
      <c r="A22" s="375">
        <f t="shared" si="9"/>
        <v>15</v>
      </c>
      <c r="B22" s="323" t="s">
        <v>624</v>
      </c>
      <c r="C22" s="377"/>
      <c r="D22" s="377"/>
      <c r="E22" s="378">
        <f t="shared" si="1"/>
        <v>0</v>
      </c>
      <c r="F22" s="377"/>
      <c r="G22" s="377"/>
      <c r="H22" s="379">
        <f t="shared" si="2"/>
        <v>0</v>
      </c>
      <c r="I22" s="377"/>
      <c r="J22" s="377"/>
      <c r="K22" s="378">
        <f t="shared" si="3"/>
        <v>0</v>
      </c>
      <c r="L22" s="377"/>
      <c r="M22" s="377"/>
      <c r="N22" s="378">
        <f t="shared" si="4"/>
        <v>0</v>
      </c>
      <c r="O22" s="377"/>
      <c r="P22" s="377"/>
      <c r="Q22" s="376">
        <f t="shared" si="5"/>
        <v>0</v>
      </c>
      <c r="R22" s="377"/>
      <c r="S22" s="377"/>
      <c r="T22" s="376">
        <f t="shared" si="6"/>
        <v>0</v>
      </c>
      <c r="U22" s="377"/>
      <c r="V22" s="377"/>
      <c r="W22" s="376">
        <f t="shared" si="7"/>
        <v>0</v>
      </c>
      <c r="X22" s="377"/>
      <c r="Y22" s="377"/>
      <c r="Z22" s="377">
        <f t="shared" si="8"/>
        <v>0</v>
      </c>
      <c r="AA22" s="377">
        <f t="shared" si="10"/>
        <v>0</v>
      </c>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row>
    <row r="23" spans="1:52" ht="15.75" customHeight="1">
      <c r="A23" s="375">
        <f t="shared" si="9"/>
        <v>16</v>
      </c>
      <c r="B23" s="323" t="s">
        <v>625</v>
      </c>
      <c r="C23" s="377"/>
      <c r="D23" s="377"/>
      <c r="E23" s="378">
        <f t="shared" si="1"/>
        <v>0</v>
      </c>
      <c r="F23" s="377"/>
      <c r="G23" s="377"/>
      <c r="H23" s="379">
        <f t="shared" si="2"/>
        <v>0</v>
      </c>
      <c r="I23" s="377"/>
      <c r="J23" s="377"/>
      <c r="K23" s="378">
        <f t="shared" si="3"/>
        <v>0</v>
      </c>
      <c r="L23" s="377"/>
      <c r="M23" s="377"/>
      <c r="N23" s="378">
        <f t="shared" si="4"/>
        <v>0</v>
      </c>
      <c r="O23" s="377"/>
      <c r="P23" s="377"/>
      <c r="Q23" s="376">
        <f t="shared" si="5"/>
        <v>0</v>
      </c>
      <c r="R23" s="377"/>
      <c r="S23" s="377"/>
      <c r="T23" s="376">
        <f t="shared" si="6"/>
        <v>0</v>
      </c>
      <c r="U23" s="377"/>
      <c r="V23" s="377"/>
      <c r="W23" s="376">
        <f t="shared" si="7"/>
        <v>0</v>
      </c>
      <c r="X23" s="377"/>
      <c r="Y23" s="377"/>
      <c r="Z23" s="377">
        <f t="shared" si="8"/>
        <v>0</v>
      </c>
      <c r="AA23" s="377">
        <f t="shared" si="10"/>
        <v>0</v>
      </c>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row>
    <row r="24" spans="1:52" ht="15.75" customHeight="1">
      <c r="A24" s="375">
        <f t="shared" si="9"/>
        <v>17</v>
      </c>
      <c r="B24" s="323" t="s">
        <v>626</v>
      </c>
      <c r="C24" s="377"/>
      <c r="D24" s="377"/>
      <c r="E24" s="378">
        <f t="shared" si="1"/>
        <v>0</v>
      </c>
      <c r="F24" s="377"/>
      <c r="G24" s="377"/>
      <c r="H24" s="379">
        <f t="shared" si="2"/>
        <v>0</v>
      </c>
      <c r="I24" s="377"/>
      <c r="J24" s="377"/>
      <c r="K24" s="378">
        <f t="shared" si="3"/>
        <v>0</v>
      </c>
      <c r="L24" s="377"/>
      <c r="M24" s="377"/>
      <c r="N24" s="378">
        <f t="shared" si="4"/>
        <v>0</v>
      </c>
      <c r="O24" s="377"/>
      <c r="P24" s="377"/>
      <c r="Q24" s="376">
        <f t="shared" si="5"/>
        <v>0</v>
      </c>
      <c r="R24" s="377"/>
      <c r="S24" s="377"/>
      <c r="T24" s="376">
        <f t="shared" si="6"/>
        <v>0</v>
      </c>
      <c r="U24" s="377"/>
      <c r="V24" s="377"/>
      <c r="W24" s="376">
        <f t="shared" si="7"/>
        <v>0</v>
      </c>
      <c r="X24" s="377"/>
      <c r="Y24" s="377"/>
      <c r="Z24" s="377">
        <f t="shared" si="8"/>
        <v>0</v>
      </c>
      <c r="AA24" s="377">
        <f t="shared" si="10"/>
        <v>0</v>
      </c>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row>
    <row r="25" spans="1:52" ht="15.75" customHeight="1">
      <c r="A25" s="375">
        <f t="shared" si="9"/>
        <v>18</v>
      </c>
      <c r="B25" s="323" t="s">
        <v>627</v>
      </c>
      <c r="C25" s="377"/>
      <c r="D25" s="377"/>
      <c r="E25" s="378">
        <f t="shared" si="1"/>
        <v>0</v>
      </c>
      <c r="F25" s="377"/>
      <c r="G25" s="377"/>
      <c r="H25" s="379">
        <f t="shared" si="2"/>
        <v>0</v>
      </c>
      <c r="I25" s="377"/>
      <c r="J25" s="377"/>
      <c r="K25" s="378">
        <f t="shared" si="3"/>
        <v>0</v>
      </c>
      <c r="L25" s="377"/>
      <c r="M25" s="377"/>
      <c r="N25" s="378">
        <f t="shared" si="4"/>
        <v>0</v>
      </c>
      <c r="O25" s="377"/>
      <c r="P25" s="377"/>
      <c r="Q25" s="376">
        <f t="shared" si="5"/>
        <v>0</v>
      </c>
      <c r="R25" s="377"/>
      <c r="S25" s="377"/>
      <c r="T25" s="376">
        <f t="shared" si="6"/>
        <v>0</v>
      </c>
      <c r="U25" s="377"/>
      <c r="V25" s="377"/>
      <c r="W25" s="376">
        <f t="shared" si="7"/>
        <v>0</v>
      </c>
      <c r="X25" s="377"/>
      <c r="Y25" s="377"/>
      <c r="Z25" s="377">
        <f t="shared" si="8"/>
        <v>0</v>
      </c>
      <c r="AA25" s="377">
        <f t="shared" si="10"/>
        <v>0</v>
      </c>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row>
    <row r="26" spans="1:52" ht="15.75" customHeight="1">
      <c r="A26" s="375">
        <f t="shared" si="9"/>
        <v>19</v>
      </c>
      <c r="B26" s="323" t="s">
        <v>628</v>
      </c>
      <c r="C26" s="377"/>
      <c r="D26" s="377"/>
      <c r="E26" s="378">
        <f t="shared" si="1"/>
        <v>0</v>
      </c>
      <c r="F26" s="377"/>
      <c r="G26" s="377"/>
      <c r="H26" s="379">
        <f t="shared" si="2"/>
        <v>0</v>
      </c>
      <c r="I26" s="377"/>
      <c r="J26" s="377"/>
      <c r="K26" s="378">
        <f t="shared" si="3"/>
        <v>0</v>
      </c>
      <c r="L26" s="377"/>
      <c r="M26" s="377"/>
      <c r="N26" s="378">
        <f t="shared" si="4"/>
        <v>0</v>
      </c>
      <c r="O26" s="377"/>
      <c r="P26" s="377"/>
      <c r="Q26" s="376">
        <f t="shared" si="5"/>
        <v>0</v>
      </c>
      <c r="R26" s="377"/>
      <c r="S26" s="377"/>
      <c r="T26" s="376">
        <f t="shared" si="6"/>
        <v>0</v>
      </c>
      <c r="U26" s="377"/>
      <c r="V26" s="377"/>
      <c r="W26" s="376">
        <f t="shared" si="7"/>
        <v>0</v>
      </c>
      <c r="X26" s="377"/>
      <c r="Y26" s="377"/>
      <c r="Z26" s="377">
        <f t="shared" si="8"/>
        <v>0</v>
      </c>
      <c r="AA26" s="377">
        <f t="shared" si="10"/>
        <v>0</v>
      </c>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row>
    <row r="27" spans="1:52" ht="15.75" customHeight="1">
      <c r="A27" s="375">
        <f t="shared" si="9"/>
        <v>20</v>
      </c>
      <c r="B27" s="323" t="s">
        <v>629</v>
      </c>
      <c r="C27" s="377"/>
      <c r="D27" s="377"/>
      <c r="E27" s="378">
        <f t="shared" si="1"/>
        <v>0</v>
      </c>
      <c r="F27" s="377"/>
      <c r="G27" s="377"/>
      <c r="H27" s="379">
        <f t="shared" si="2"/>
        <v>0</v>
      </c>
      <c r="I27" s="377"/>
      <c r="J27" s="377"/>
      <c r="K27" s="378">
        <f t="shared" si="3"/>
        <v>0</v>
      </c>
      <c r="L27" s="377"/>
      <c r="M27" s="377"/>
      <c r="N27" s="378">
        <f t="shared" si="4"/>
        <v>0</v>
      </c>
      <c r="O27" s="377"/>
      <c r="P27" s="377"/>
      <c r="Q27" s="376">
        <f t="shared" si="5"/>
        <v>0</v>
      </c>
      <c r="R27" s="377"/>
      <c r="S27" s="377"/>
      <c r="T27" s="376">
        <f t="shared" si="6"/>
        <v>0</v>
      </c>
      <c r="U27" s="377"/>
      <c r="V27" s="377"/>
      <c r="W27" s="376">
        <f t="shared" si="7"/>
        <v>0</v>
      </c>
      <c r="X27" s="377"/>
      <c r="Y27" s="377"/>
      <c r="Z27" s="377">
        <f t="shared" si="8"/>
        <v>0</v>
      </c>
      <c r="AA27" s="377">
        <f t="shared" si="10"/>
        <v>0</v>
      </c>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row>
    <row r="28" spans="1:52" ht="15.75" customHeight="1">
      <c r="A28" s="375">
        <f t="shared" si="9"/>
        <v>21</v>
      </c>
      <c r="B28" s="323" t="s">
        <v>630</v>
      </c>
      <c r="C28" s="377"/>
      <c r="D28" s="377"/>
      <c r="E28" s="378">
        <f t="shared" si="1"/>
        <v>0</v>
      </c>
      <c r="F28" s="377"/>
      <c r="G28" s="377"/>
      <c r="H28" s="379">
        <f t="shared" si="2"/>
        <v>0</v>
      </c>
      <c r="I28" s="377"/>
      <c r="J28" s="377"/>
      <c r="K28" s="378">
        <f t="shared" si="3"/>
        <v>0</v>
      </c>
      <c r="L28" s="377"/>
      <c r="M28" s="377"/>
      <c r="N28" s="378">
        <f t="shared" si="4"/>
        <v>0</v>
      </c>
      <c r="O28" s="377"/>
      <c r="P28" s="377"/>
      <c r="Q28" s="376">
        <f t="shared" si="5"/>
        <v>0</v>
      </c>
      <c r="R28" s="377"/>
      <c r="S28" s="377"/>
      <c r="T28" s="376">
        <f t="shared" si="6"/>
        <v>0</v>
      </c>
      <c r="U28" s="377"/>
      <c r="V28" s="377"/>
      <c r="W28" s="376">
        <f t="shared" si="7"/>
        <v>0</v>
      </c>
      <c r="X28" s="377"/>
      <c r="Y28" s="377"/>
      <c r="Z28" s="377">
        <f t="shared" si="8"/>
        <v>0</v>
      </c>
      <c r="AA28" s="377">
        <f t="shared" si="10"/>
        <v>0</v>
      </c>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row>
    <row r="29" spans="1:52" ht="15.75" customHeight="1">
      <c r="A29" s="375">
        <f t="shared" si="9"/>
        <v>22</v>
      </c>
      <c r="B29" s="323" t="s">
        <v>631</v>
      </c>
      <c r="C29" s="377"/>
      <c r="D29" s="377"/>
      <c r="E29" s="378">
        <f t="shared" si="1"/>
        <v>0</v>
      </c>
      <c r="F29" s="377"/>
      <c r="G29" s="377"/>
      <c r="H29" s="379">
        <f t="shared" si="2"/>
        <v>0</v>
      </c>
      <c r="I29" s="377"/>
      <c r="J29" s="377"/>
      <c r="K29" s="378">
        <f t="shared" si="3"/>
        <v>0</v>
      </c>
      <c r="L29" s="377"/>
      <c r="M29" s="377"/>
      <c r="N29" s="378">
        <f t="shared" si="4"/>
        <v>0</v>
      </c>
      <c r="O29" s="377"/>
      <c r="P29" s="377"/>
      <c r="Q29" s="376">
        <f t="shared" si="5"/>
        <v>0</v>
      </c>
      <c r="R29" s="377"/>
      <c r="S29" s="377"/>
      <c r="T29" s="376">
        <f t="shared" si="6"/>
        <v>0</v>
      </c>
      <c r="U29" s="377"/>
      <c r="V29" s="377"/>
      <c r="W29" s="376">
        <f t="shared" si="7"/>
        <v>0</v>
      </c>
      <c r="X29" s="377"/>
      <c r="Y29" s="377"/>
      <c r="Z29" s="377">
        <f t="shared" si="8"/>
        <v>0</v>
      </c>
      <c r="AA29" s="377">
        <f t="shared" si="10"/>
        <v>0</v>
      </c>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row>
    <row r="30" spans="1:52" ht="15.75" customHeight="1">
      <c r="A30" s="375">
        <f t="shared" si="9"/>
        <v>23</v>
      </c>
      <c r="B30" s="323" t="s">
        <v>632</v>
      </c>
      <c r="C30" s="377"/>
      <c r="D30" s="377"/>
      <c r="E30" s="378">
        <f t="shared" si="1"/>
        <v>0</v>
      </c>
      <c r="F30" s="377"/>
      <c r="G30" s="377"/>
      <c r="H30" s="379">
        <f t="shared" si="2"/>
        <v>0</v>
      </c>
      <c r="I30" s="377"/>
      <c r="J30" s="377"/>
      <c r="K30" s="378">
        <f t="shared" si="3"/>
        <v>0</v>
      </c>
      <c r="L30" s="377"/>
      <c r="M30" s="377"/>
      <c r="N30" s="378">
        <f t="shared" si="4"/>
        <v>0</v>
      </c>
      <c r="O30" s="377"/>
      <c r="P30" s="377"/>
      <c r="Q30" s="376">
        <f t="shared" si="5"/>
        <v>0</v>
      </c>
      <c r="R30" s="377"/>
      <c r="S30" s="377"/>
      <c r="T30" s="376">
        <f t="shared" si="6"/>
        <v>0</v>
      </c>
      <c r="U30" s="377"/>
      <c r="V30" s="377"/>
      <c r="W30" s="376">
        <f t="shared" si="7"/>
        <v>0</v>
      </c>
      <c r="X30" s="377"/>
      <c r="Y30" s="377"/>
      <c r="Z30" s="377">
        <f t="shared" si="8"/>
        <v>0</v>
      </c>
      <c r="AA30" s="377">
        <f t="shared" si="10"/>
        <v>0</v>
      </c>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row>
    <row r="31" spans="1:52" ht="15.75" customHeight="1">
      <c r="A31" s="375">
        <f t="shared" si="9"/>
        <v>24</v>
      </c>
      <c r="B31" s="323" t="s">
        <v>633</v>
      </c>
      <c r="C31" s="377"/>
      <c r="D31" s="377"/>
      <c r="E31" s="378">
        <f t="shared" si="1"/>
        <v>0</v>
      </c>
      <c r="F31" s="377"/>
      <c r="G31" s="377"/>
      <c r="H31" s="379">
        <f t="shared" si="2"/>
        <v>0</v>
      </c>
      <c r="I31" s="377"/>
      <c r="J31" s="377"/>
      <c r="K31" s="378">
        <f t="shared" si="3"/>
        <v>0</v>
      </c>
      <c r="L31" s="377"/>
      <c r="M31" s="377"/>
      <c r="N31" s="378">
        <f t="shared" si="4"/>
        <v>0</v>
      </c>
      <c r="O31" s="377"/>
      <c r="P31" s="377"/>
      <c r="Q31" s="376">
        <f t="shared" si="5"/>
        <v>0</v>
      </c>
      <c r="R31" s="377"/>
      <c r="S31" s="377"/>
      <c r="T31" s="376">
        <f t="shared" si="6"/>
        <v>0</v>
      </c>
      <c r="U31" s="377"/>
      <c r="V31" s="377"/>
      <c r="W31" s="376">
        <f t="shared" si="7"/>
        <v>0</v>
      </c>
      <c r="X31" s="377"/>
      <c r="Y31" s="377"/>
      <c r="Z31" s="377">
        <f t="shared" si="8"/>
        <v>0</v>
      </c>
      <c r="AA31" s="377">
        <f t="shared" si="10"/>
        <v>0</v>
      </c>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row>
    <row r="32" spans="1:52" ht="15.75" customHeight="1">
      <c r="A32" s="375">
        <f t="shared" si="9"/>
        <v>25</v>
      </c>
      <c r="B32" s="323" t="s">
        <v>634</v>
      </c>
      <c r="C32" s="377"/>
      <c r="D32" s="377"/>
      <c r="E32" s="378">
        <f t="shared" si="1"/>
        <v>0</v>
      </c>
      <c r="F32" s="377"/>
      <c r="G32" s="377"/>
      <c r="H32" s="379">
        <f t="shared" si="2"/>
        <v>0</v>
      </c>
      <c r="I32" s="377"/>
      <c r="J32" s="377"/>
      <c r="K32" s="378">
        <f t="shared" si="3"/>
        <v>0</v>
      </c>
      <c r="L32" s="377"/>
      <c r="M32" s="377"/>
      <c r="N32" s="378">
        <f t="shared" si="4"/>
        <v>0</v>
      </c>
      <c r="O32" s="377"/>
      <c r="P32" s="377"/>
      <c r="Q32" s="376">
        <f t="shared" si="5"/>
        <v>0</v>
      </c>
      <c r="R32" s="377"/>
      <c r="S32" s="377"/>
      <c r="T32" s="376">
        <f t="shared" si="6"/>
        <v>0</v>
      </c>
      <c r="U32" s="377"/>
      <c r="V32" s="377"/>
      <c r="W32" s="376">
        <f t="shared" si="7"/>
        <v>0</v>
      </c>
      <c r="X32" s="377"/>
      <c r="Y32" s="377"/>
      <c r="Z32" s="377">
        <f t="shared" si="8"/>
        <v>0</v>
      </c>
      <c r="AA32" s="377">
        <f t="shared" si="10"/>
        <v>0</v>
      </c>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row>
    <row r="33" spans="1:52" ht="15.75" customHeight="1">
      <c r="A33" s="375">
        <f t="shared" si="9"/>
        <v>26</v>
      </c>
      <c r="B33" s="351" t="s">
        <v>635</v>
      </c>
      <c r="C33" s="377"/>
      <c r="D33" s="377"/>
      <c r="E33" s="378">
        <f t="shared" si="1"/>
        <v>0</v>
      </c>
      <c r="F33" s="377"/>
      <c r="G33" s="377"/>
      <c r="H33" s="379">
        <f t="shared" si="2"/>
        <v>0</v>
      </c>
      <c r="I33" s="377"/>
      <c r="J33" s="377"/>
      <c r="K33" s="378">
        <f t="shared" si="3"/>
        <v>0</v>
      </c>
      <c r="L33" s="377"/>
      <c r="M33" s="377"/>
      <c r="N33" s="378">
        <f t="shared" si="4"/>
        <v>0</v>
      </c>
      <c r="O33" s="377"/>
      <c r="P33" s="377"/>
      <c r="Q33" s="376">
        <f t="shared" si="5"/>
        <v>0</v>
      </c>
      <c r="R33" s="377"/>
      <c r="S33" s="377"/>
      <c r="T33" s="376">
        <f t="shared" si="6"/>
        <v>0</v>
      </c>
      <c r="U33" s="377"/>
      <c r="V33" s="377"/>
      <c r="W33" s="376">
        <f t="shared" si="7"/>
        <v>0</v>
      </c>
      <c r="X33" s="377"/>
      <c r="Y33" s="377"/>
      <c r="Z33" s="377">
        <f t="shared" si="8"/>
        <v>0</v>
      </c>
      <c r="AA33" s="377">
        <f t="shared" si="10"/>
        <v>0</v>
      </c>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row>
    <row r="34" spans="1:52" ht="15.75" customHeight="1">
      <c r="A34" s="375">
        <f t="shared" si="9"/>
        <v>27</v>
      </c>
      <c r="B34" s="323" t="s">
        <v>636</v>
      </c>
      <c r="C34" s="377"/>
      <c r="D34" s="377"/>
      <c r="E34" s="378">
        <f t="shared" si="1"/>
        <v>0</v>
      </c>
      <c r="F34" s="377"/>
      <c r="G34" s="377"/>
      <c r="H34" s="379">
        <f t="shared" si="2"/>
        <v>0</v>
      </c>
      <c r="I34" s="377"/>
      <c r="J34" s="377"/>
      <c r="K34" s="378">
        <f t="shared" si="3"/>
        <v>0</v>
      </c>
      <c r="L34" s="377"/>
      <c r="M34" s="377"/>
      <c r="N34" s="378">
        <f t="shared" si="4"/>
        <v>0</v>
      </c>
      <c r="O34" s="377"/>
      <c r="P34" s="377"/>
      <c r="Q34" s="376">
        <f t="shared" si="5"/>
        <v>0</v>
      </c>
      <c r="R34" s="377"/>
      <c r="S34" s="377"/>
      <c r="T34" s="376">
        <f t="shared" si="6"/>
        <v>0</v>
      </c>
      <c r="U34" s="377"/>
      <c r="V34" s="377"/>
      <c r="W34" s="376">
        <f t="shared" si="7"/>
        <v>0</v>
      </c>
      <c r="X34" s="377"/>
      <c r="Y34" s="377"/>
      <c r="Z34" s="377">
        <f t="shared" si="8"/>
        <v>0</v>
      </c>
      <c r="AA34" s="377">
        <f t="shared" si="10"/>
        <v>0</v>
      </c>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row>
    <row r="35" spans="1:52" ht="15.75" customHeight="1">
      <c r="A35" s="375">
        <f t="shared" si="9"/>
        <v>28</v>
      </c>
      <c r="B35" s="323" t="s">
        <v>637</v>
      </c>
      <c r="C35" s="377"/>
      <c r="D35" s="377"/>
      <c r="E35" s="378">
        <f t="shared" si="1"/>
        <v>0</v>
      </c>
      <c r="F35" s="377"/>
      <c r="G35" s="377"/>
      <c r="H35" s="379">
        <f t="shared" si="2"/>
        <v>0</v>
      </c>
      <c r="I35" s="377"/>
      <c r="J35" s="377"/>
      <c r="K35" s="378">
        <f t="shared" si="3"/>
        <v>0</v>
      </c>
      <c r="L35" s="377"/>
      <c r="M35" s="377"/>
      <c r="N35" s="378">
        <f t="shared" si="4"/>
        <v>0</v>
      </c>
      <c r="O35" s="377"/>
      <c r="P35" s="377"/>
      <c r="Q35" s="376">
        <f t="shared" si="5"/>
        <v>0</v>
      </c>
      <c r="R35" s="377"/>
      <c r="S35" s="377"/>
      <c r="T35" s="376">
        <f t="shared" si="6"/>
        <v>0</v>
      </c>
      <c r="U35" s="377"/>
      <c r="V35" s="377"/>
      <c r="W35" s="376">
        <f t="shared" si="7"/>
        <v>0</v>
      </c>
      <c r="X35" s="377"/>
      <c r="Y35" s="377"/>
      <c r="Z35" s="377">
        <f t="shared" si="8"/>
        <v>0</v>
      </c>
      <c r="AA35" s="377">
        <f t="shared" si="10"/>
        <v>0</v>
      </c>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row>
    <row r="36" spans="1:52" ht="15.75" customHeight="1">
      <c r="A36" s="375">
        <f t="shared" si="9"/>
        <v>29</v>
      </c>
      <c r="B36" s="323" t="s">
        <v>638</v>
      </c>
      <c r="C36" s="377"/>
      <c r="D36" s="377"/>
      <c r="E36" s="378">
        <f t="shared" si="1"/>
        <v>0</v>
      </c>
      <c r="F36" s="377"/>
      <c r="G36" s="377"/>
      <c r="H36" s="379">
        <f t="shared" si="2"/>
        <v>0</v>
      </c>
      <c r="I36" s="377"/>
      <c r="J36" s="377"/>
      <c r="K36" s="378">
        <f t="shared" si="3"/>
        <v>0</v>
      </c>
      <c r="L36" s="377"/>
      <c r="M36" s="377"/>
      <c r="N36" s="378">
        <f t="shared" si="4"/>
        <v>0</v>
      </c>
      <c r="O36" s="377"/>
      <c r="P36" s="377"/>
      <c r="Q36" s="376">
        <f t="shared" si="5"/>
        <v>0</v>
      </c>
      <c r="R36" s="377"/>
      <c r="S36" s="377"/>
      <c r="T36" s="376">
        <f t="shared" si="6"/>
        <v>0</v>
      </c>
      <c r="U36" s="377"/>
      <c r="V36" s="377"/>
      <c r="W36" s="376">
        <f t="shared" si="7"/>
        <v>0</v>
      </c>
      <c r="X36" s="377"/>
      <c r="Y36" s="377"/>
      <c r="Z36" s="377">
        <f t="shared" si="8"/>
        <v>0</v>
      </c>
      <c r="AA36" s="377">
        <f t="shared" si="10"/>
        <v>0</v>
      </c>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row>
    <row r="37" spans="1:52" ht="15.75" customHeight="1">
      <c r="A37" s="375">
        <f t="shared" si="9"/>
        <v>30</v>
      </c>
      <c r="B37" s="323" t="s">
        <v>639</v>
      </c>
      <c r="C37" s="377"/>
      <c r="D37" s="377"/>
      <c r="E37" s="378">
        <f t="shared" si="1"/>
        <v>0</v>
      </c>
      <c r="F37" s="377"/>
      <c r="G37" s="377"/>
      <c r="H37" s="379">
        <f t="shared" si="2"/>
        <v>0</v>
      </c>
      <c r="I37" s="377"/>
      <c r="J37" s="377"/>
      <c r="K37" s="378">
        <f t="shared" si="3"/>
        <v>0</v>
      </c>
      <c r="L37" s="377"/>
      <c r="M37" s="377"/>
      <c r="N37" s="378">
        <f t="shared" si="4"/>
        <v>0</v>
      </c>
      <c r="O37" s="377"/>
      <c r="P37" s="377"/>
      <c r="Q37" s="376">
        <f t="shared" si="5"/>
        <v>0</v>
      </c>
      <c r="R37" s="377"/>
      <c r="S37" s="377"/>
      <c r="T37" s="376">
        <f t="shared" si="6"/>
        <v>0</v>
      </c>
      <c r="U37" s="377"/>
      <c r="V37" s="377"/>
      <c r="W37" s="376">
        <f t="shared" si="7"/>
        <v>0</v>
      </c>
      <c r="X37" s="377"/>
      <c r="Y37" s="377"/>
      <c r="Z37" s="377">
        <f t="shared" si="8"/>
        <v>0</v>
      </c>
      <c r="AA37" s="377">
        <f t="shared" si="10"/>
        <v>0</v>
      </c>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row>
    <row r="38" spans="1:52" ht="15.75" customHeight="1">
      <c r="A38" s="375">
        <f t="shared" si="9"/>
        <v>31</v>
      </c>
      <c r="B38" s="323" t="s">
        <v>655</v>
      </c>
      <c r="C38" s="377"/>
      <c r="D38" s="377"/>
      <c r="E38" s="378">
        <f t="shared" si="1"/>
        <v>0</v>
      </c>
      <c r="F38" s="377"/>
      <c r="G38" s="377"/>
      <c r="H38" s="379">
        <f t="shared" si="2"/>
        <v>0</v>
      </c>
      <c r="I38" s="377"/>
      <c r="J38" s="377"/>
      <c r="K38" s="378">
        <f t="shared" si="3"/>
        <v>0</v>
      </c>
      <c r="L38" s="377"/>
      <c r="M38" s="377"/>
      <c r="N38" s="378">
        <f t="shared" si="4"/>
        <v>0</v>
      </c>
      <c r="O38" s="377"/>
      <c r="P38" s="377"/>
      <c r="Q38" s="376">
        <f t="shared" si="5"/>
        <v>0</v>
      </c>
      <c r="R38" s="377"/>
      <c r="S38" s="377"/>
      <c r="T38" s="376">
        <f t="shared" si="6"/>
        <v>0</v>
      </c>
      <c r="U38" s="377"/>
      <c r="V38" s="377"/>
      <c r="W38" s="376">
        <f t="shared" si="7"/>
        <v>0</v>
      </c>
      <c r="X38" s="377"/>
      <c r="Y38" s="377"/>
      <c r="Z38" s="377">
        <f t="shared" si="8"/>
        <v>0</v>
      </c>
      <c r="AA38" s="377">
        <f t="shared" si="10"/>
        <v>0</v>
      </c>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row>
    <row r="39" spans="1:52" ht="15.75" customHeight="1">
      <c r="A39" s="375">
        <f t="shared" si="9"/>
        <v>32</v>
      </c>
      <c r="B39" s="320" t="s">
        <v>640</v>
      </c>
      <c r="C39" s="380">
        <f>SUM(C40:C47)</f>
        <v>0</v>
      </c>
      <c r="D39" s="380">
        <f t="shared" ref="D39:AA39" si="11">SUM(D40:D47)</f>
        <v>0</v>
      </c>
      <c r="E39" s="380">
        <f t="shared" si="11"/>
        <v>0</v>
      </c>
      <c r="F39" s="380">
        <f>SUM(F40:F47)</f>
        <v>0</v>
      </c>
      <c r="G39" s="380">
        <f>SUM(G40:G47)</f>
        <v>0</v>
      </c>
      <c r="H39" s="380">
        <f t="shared" si="11"/>
        <v>0</v>
      </c>
      <c r="I39" s="380">
        <f t="shared" si="11"/>
        <v>0</v>
      </c>
      <c r="J39" s="380">
        <f t="shared" si="11"/>
        <v>0</v>
      </c>
      <c r="K39" s="380">
        <f t="shared" si="11"/>
        <v>0</v>
      </c>
      <c r="L39" s="380">
        <f t="shared" si="11"/>
        <v>0</v>
      </c>
      <c r="M39" s="380">
        <f t="shared" si="11"/>
        <v>0</v>
      </c>
      <c r="N39" s="380">
        <f t="shared" si="11"/>
        <v>0</v>
      </c>
      <c r="O39" s="380">
        <f t="shared" si="11"/>
        <v>0</v>
      </c>
      <c r="P39" s="380">
        <f t="shared" si="11"/>
        <v>0</v>
      </c>
      <c r="Q39" s="380">
        <f t="shared" si="11"/>
        <v>0</v>
      </c>
      <c r="R39" s="380">
        <f t="shared" si="11"/>
        <v>0</v>
      </c>
      <c r="S39" s="380">
        <f t="shared" si="11"/>
        <v>0</v>
      </c>
      <c r="T39" s="380">
        <f t="shared" si="11"/>
        <v>0</v>
      </c>
      <c r="U39" s="380">
        <f t="shared" si="11"/>
        <v>0</v>
      </c>
      <c r="V39" s="380">
        <f t="shared" si="11"/>
        <v>0</v>
      </c>
      <c r="W39" s="380">
        <f>SUM(W40:W47)</f>
        <v>0</v>
      </c>
      <c r="X39" s="380">
        <f t="shared" si="11"/>
        <v>0</v>
      </c>
      <c r="Y39" s="380">
        <f t="shared" si="11"/>
        <v>0</v>
      </c>
      <c r="Z39" s="380">
        <f t="shared" si="11"/>
        <v>0</v>
      </c>
      <c r="AA39" s="380">
        <f t="shared" si="11"/>
        <v>0</v>
      </c>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row>
    <row r="40" spans="1:52" ht="15.75" customHeight="1">
      <c r="A40" s="375">
        <f t="shared" si="9"/>
        <v>33</v>
      </c>
      <c r="B40" s="323" t="s">
        <v>644</v>
      </c>
      <c r="C40" s="377"/>
      <c r="D40" s="377"/>
      <c r="E40" s="380">
        <f t="shared" ref="E40:E47" si="12">SUM(C40-D40)</f>
        <v>0</v>
      </c>
      <c r="F40" s="377"/>
      <c r="G40" s="377"/>
      <c r="H40" s="379">
        <f>F40-G40</f>
        <v>0</v>
      </c>
      <c r="I40" s="377"/>
      <c r="J40" s="377"/>
      <c r="K40" s="378">
        <f t="shared" ref="K40:K47" si="13">I40+J40</f>
        <v>0</v>
      </c>
      <c r="L40" s="377"/>
      <c r="M40" s="377"/>
      <c r="N40" s="378">
        <f t="shared" ref="N40:N47" si="14">L40+M40</f>
        <v>0</v>
      </c>
      <c r="O40" s="377"/>
      <c r="P40" s="377"/>
      <c r="Q40" s="376">
        <f t="shared" ref="Q40:Q47" si="15">O40-P40</f>
        <v>0</v>
      </c>
      <c r="R40" s="377"/>
      <c r="S40" s="377"/>
      <c r="T40" s="376">
        <f t="shared" ref="T40:T47" si="16">R40-S40</f>
        <v>0</v>
      </c>
      <c r="U40" s="377"/>
      <c r="V40" s="377"/>
      <c r="W40" s="376">
        <f t="shared" ref="W40:W47" si="17">U40+V40</f>
        <v>0</v>
      </c>
      <c r="X40" s="377"/>
      <c r="Y40" s="377"/>
      <c r="Z40" s="377">
        <f t="shared" ref="Z40:Z47" si="18">X40+Y40</f>
        <v>0</v>
      </c>
      <c r="AA40" s="377">
        <f t="shared" si="10"/>
        <v>0</v>
      </c>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row>
    <row r="41" spans="1:52" ht="15.75" customHeight="1">
      <c r="A41" s="375">
        <f t="shared" si="9"/>
        <v>34</v>
      </c>
      <c r="B41" s="323" t="s">
        <v>645</v>
      </c>
      <c r="C41" s="377"/>
      <c r="D41" s="377"/>
      <c r="E41" s="380">
        <f t="shared" si="12"/>
        <v>0</v>
      </c>
      <c r="F41" s="377"/>
      <c r="G41" s="377"/>
      <c r="H41" s="379">
        <f t="shared" ref="H41:H47" si="19">F41-G41</f>
        <v>0</v>
      </c>
      <c r="I41" s="377"/>
      <c r="J41" s="377"/>
      <c r="K41" s="378">
        <f t="shared" si="13"/>
        <v>0</v>
      </c>
      <c r="L41" s="377"/>
      <c r="M41" s="377"/>
      <c r="N41" s="378">
        <f t="shared" si="14"/>
        <v>0</v>
      </c>
      <c r="O41" s="377"/>
      <c r="P41" s="377"/>
      <c r="Q41" s="376">
        <f t="shared" si="15"/>
        <v>0</v>
      </c>
      <c r="R41" s="377"/>
      <c r="S41" s="377"/>
      <c r="T41" s="376">
        <f t="shared" si="16"/>
        <v>0</v>
      </c>
      <c r="U41" s="377"/>
      <c r="V41" s="377"/>
      <c r="W41" s="376">
        <f t="shared" si="17"/>
        <v>0</v>
      </c>
      <c r="X41" s="377"/>
      <c r="Y41" s="377"/>
      <c r="Z41" s="377">
        <f t="shared" si="18"/>
        <v>0</v>
      </c>
      <c r="AA41" s="377">
        <f t="shared" si="10"/>
        <v>0</v>
      </c>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row>
    <row r="42" spans="1:52" ht="15.75" customHeight="1">
      <c r="A42" s="375">
        <f t="shared" si="9"/>
        <v>35</v>
      </c>
      <c r="B42" s="323" t="s">
        <v>646</v>
      </c>
      <c r="C42" s="377"/>
      <c r="D42" s="377"/>
      <c r="E42" s="380">
        <f t="shared" si="12"/>
        <v>0</v>
      </c>
      <c r="F42" s="377"/>
      <c r="G42" s="377"/>
      <c r="H42" s="379">
        <f t="shared" si="19"/>
        <v>0</v>
      </c>
      <c r="I42" s="377"/>
      <c r="J42" s="377"/>
      <c r="K42" s="378">
        <f t="shared" si="13"/>
        <v>0</v>
      </c>
      <c r="L42" s="377"/>
      <c r="M42" s="377"/>
      <c r="N42" s="378">
        <f t="shared" si="14"/>
        <v>0</v>
      </c>
      <c r="O42" s="377"/>
      <c r="P42" s="377"/>
      <c r="Q42" s="376">
        <f t="shared" si="15"/>
        <v>0</v>
      </c>
      <c r="R42" s="377"/>
      <c r="S42" s="377"/>
      <c r="T42" s="376">
        <f t="shared" si="16"/>
        <v>0</v>
      </c>
      <c r="U42" s="377"/>
      <c r="V42" s="377"/>
      <c r="W42" s="376">
        <f t="shared" si="17"/>
        <v>0</v>
      </c>
      <c r="X42" s="377"/>
      <c r="Y42" s="377"/>
      <c r="Z42" s="377">
        <f t="shared" si="18"/>
        <v>0</v>
      </c>
      <c r="AA42" s="377">
        <f t="shared" si="10"/>
        <v>0</v>
      </c>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row>
    <row r="43" spans="1:52" ht="15.75" customHeight="1">
      <c r="A43" s="375">
        <f t="shared" si="9"/>
        <v>36</v>
      </c>
      <c r="B43" s="323" t="s">
        <v>647</v>
      </c>
      <c r="C43" s="377"/>
      <c r="D43" s="377"/>
      <c r="E43" s="380">
        <f t="shared" si="12"/>
        <v>0</v>
      </c>
      <c r="F43" s="377"/>
      <c r="G43" s="377"/>
      <c r="H43" s="379">
        <f t="shared" si="19"/>
        <v>0</v>
      </c>
      <c r="I43" s="377"/>
      <c r="J43" s="377"/>
      <c r="K43" s="378">
        <f t="shared" si="13"/>
        <v>0</v>
      </c>
      <c r="L43" s="377"/>
      <c r="M43" s="377"/>
      <c r="N43" s="378">
        <f t="shared" si="14"/>
        <v>0</v>
      </c>
      <c r="O43" s="377"/>
      <c r="P43" s="377"/>
      <c r="Q43" s="376">
        <f t="shared" si="15"/>
        <v>0</v>
      </c>
      <c r="R43" s="377"/>
      <c r="S43" s="377"/>
      <c r="T43" s="376">
        <f t="shared" si="16"/>
        <v>0</v>
      </c>
      <c r="U43" s="377"/>
      <c r="V43" s="377"/>
      <c r="W43" s="376">
        <f t="shared" si="17"/>
        <v>0</v>
      </c>
      <c r="X43" s="377"/>
      <c r="Y43" s="377"/>
      <c r="Z43" s="377">
        <f t="shared" si="18"/>
        <v>0</v>
      </c>
      <c r="AA43" s="377">
        <f t="shared" si="10"/>
        <v>0</v>
      </c>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row>
    <row r="44" spans="1:52" ht="15.75" customHeight="1">
      <c r="A44" s="375">
        <f t="shared" si="9"/>
        <v>37</v>
      </c>
      <c r="B44" s="323" t="s">
        <v>648</v>
      </c>
      <c r="C44" s="377"/>
      <c r="D44" s="377"/>
      <c r="E44" s="380">
        <f t="shared" si="12"/>
        <v>0</v>
      </c>
      <c r="F44" s="377"/>
      <c r="G44" s="377"/>
      <c r="H44" s="379">
        <f t="shared" si="19"/>
        <v>0</v>
      </c>
      <c r="I44" s="377"/>
      <c r="J44" s="377"/>
      <c r="K44" s="378">
        <f t="shared" si="13"/>
        <v>0</v>
      </c>
      <c r="L44" s="377"/>
      <c r="M44" s="377"/>
      <c r="N44" s="378">
        <f t="shared" si="14"/>
        <v>0</v>
      </c>
      <c r="O44" s="377"/>
      <c r="P44" s="377"/>
      <c r="Q44" s="376">
        <f t="shared" si="15"/>
        <v>0</v>
      </c>
      <c r="R44" s="377"/>
      <c r="S44" s="377"/>
      <c r="T44" s="376">
        <f t="shared" si="16"/>
        <v>0</v>
      </c>
      <c r="U44" s="377"/>
      <c r="V44" s="377"/>
      <c r="W44" s="376">
        <f t="shared" si="17"/>
        <v>0</v>
      </c>
      <c r="X44" s="377"/>
      <c r="Y44" s="377"/>
      <c r="Z44" s="377">
        <f t="shared" si="18"/>
        <v>0</v>
      </c>
      <c r="AA44" s="377">
        <f t="shared" si="10"/>
        <v>0</v>
      </c>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row>
    <row r="45" spans="1:52" ht="15.75" customHeight="1">
      <c r="A45" s="375">
        <f t="shared" si="9"/>
        <v>38</v>
      </c>
      <c r="B45" s="323" t="s">
        <v>649</v>
      </c>
      <c r="C45" s="377"/>
      <c r="D45" s="377"/>
      <c r="E45" s="380">
        <f t="shared" si="12"/>
        <v>0</v>
      </c>
      <c r="F45" s="377"/>
      <c r="G45" s="377"/>
      <c r="H45" s="379">
        <f t="shared" si="19"/>
        <v>0</v>
      </c>
      <c r="I45" s="377"/>
      <c r="J45" s="377"/>
      <c r="K45" s="378">
        <f t="shared" si="13"/>
        <v>0</v>
      </c>
      <c r="L45" s="377"/>
      <c r="M45" s="377"/>
      <c r="N45" s="378">
        <f t="shared" si="14"/>
        <v>0</v>
      </c>
      <c r="O45" s="377"/>
      <c r="P45" s="377"/>
      <c r="Q45" s="376">
        <f t="shared" si="15"/>
        <v>0</v>
      </c>
      <c r="R45" s="377"/>
      <c r="S45" s="377"/>
      <c r="T45" s="376">
        <f t="shared" si="16"/>
        <v>0</v>
      </c>
      <c r="U45" s="377"/>
      <c r="V45" s="377"/>
      <c r="W45" s="376">
        <f t="shared" si="17"/>
        <v>0</v>
      </c>
      <c r="X45" s="377"/>
      <c r="Y45" s="377"/>
      <c r="Z45" s="377">
        <f t="shared" si="18"/>
        <v>0</v>
      </c>
      <c r="AA45" s="377">
        <f t="shared" si="10"/>
        <v>0</v>
      </c>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row>
    <row r="46" spans="1:52" ht="15.75" customHeight="1">
      <c r="A46" s="375">
        <f t="shared" si="9"/>
        <v>39</v>
      </c>
      <c r="B46" s="323" t="s">
        <v>650</v>
      </c>
      <c r="C46" s="377"/>
      <c r="D46" s="377"/>
      <c r="E46" s="380">
        <f t="shared" si="12"/>
        <v>0</v>
      </c>
      <c r="F46" s="377"/>
      <c r="G46" s="377"/>
      <c r="H46" s="379">
        <f t="shared" si="19"/>
        <v>0</v>
      </c>
      <c r="I46" s="377"/>
      <c r="J46" s="377"/>
      <c r="K46" s="378">
        <f t="shared" si="13"/>
        <v>0</v>
      </c>
      <c r="L46" s="377"/>
      <c r="M46" s="377"/>
      <c r="N46" s="378">
        <f t="shared" si="14"/>
        <v>0</v>
      </c>
      <c r="O46" s="377"/>
      <c r="P46" s="377"/>
      <c r="Q46" s="376">
        <f t="shared" si="15"/>
        <v>0</v>
      </c>
      <c r="R46" s="377"/>
      <c r="S46" s="377"/>
      <c r="T46" s="376">
        <f t="shared" si="16"/>
        <v>0</v>
      </c>
      <c r="U46" s="377"/>
      <c r="V46" s="377"/>
      <c r="W46" s="376">
        <f t="shared" si="17"/>
        <v>0</v>
      </c>
      <c r="X46" s="377"/>
      <c r="Y46" s="377"/>
      <c r="Z46" s="377">
        <f t="shared" si="18"/>
        <v>0</v>
      </c>
      <c r="AA46" s="377">
        <f t="shared" si="10"/>
        <v>0</v>
      </c>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row>
    <row r="47" spans="1:52" ht="15.75" customHeight="1">
      <c r="A47" s="375">
        <f t="shared" si="9"/>
        <v>40</v>
      </c>
      <c r="B47" s="323" t="s">
        <v>651</v>
      </c>
      <c r="C47" s="377"/>
      <c r="D47" s="377"/>
      <c r="E47" s="380">
        <f t="shared" si="12"/>
        <v>0</v>
      </c>
      <c r="F47" s="377"/>
      <c r="G47" s="377"/>
      <c r="H47" s="379">
        <f t="shared" si="19"/>
        <v>0</v>
      </c>
      <c r="I47" s="377"/>
      <c r="J47" s="377"/>
      <c r="K47" s="378">
        <f t="shared" si="13"/>
        <v>0</v>
      </c>
      <c r="L47" s="377"/>
      <c r="M47" s="377"/>
      <c r="N47" s="378">
        <f t="shared" si="14"/>
        <v>0</v>
      </c>
      <c r="O47" s="377"/>
      <c r="P47" s="377"/>
      <c r="Q47" s="376">
        <f t="shared" si="15"/>
        <v>0</v>
      </c>
      <c r="R47" s="377"/>
      <c r="S47" s="377"/>
      <c r="T47" s="376">
        <f t="shared" si="16"/>
        <v>0</v>
      </c>
      <c r="U47" s="377"/>
      <c r="V47" s="377"/>
      <c r="W47" s="376">
        <f t="shared" si="17"/>
        <v>0</v>
      </c>
      <c r="X47" s="377"/>
      <c r="Y47" s="377"/>
      <c r="Z47" s="377">
        <f t="shared" si="18"/>
        <v>0</v>
      </c>
      <c r="AA47" s="377">
        <f t="shared" si="10"/>
        <v>0</v>
      </c>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row>
    <row r="48" spans="1:52" ht="15.75" customHeight="1">
      <c r="A48" s="375">
        <f t="shared" si="9"/>
        <v>41</v>
      </c>
      <c r="B48" s="2252" t="s">
        <v>641</v>
      </c>
      <c r="C48" s="381">
        <f>C39+C8</f>
        <v>0</v>
      </c>
      <c r="D48" s="381">
        <f>D39+D8</f>
        <v>0</v>
      </c>
      <c r="E48" s="381">
        <f>E39+E8</f>
        <v>0</v>
      </c>
      <c r="F48" s="381">
        <f>F39+F8</f>
        <v>0</v>
      </c>
      <c r="G48" s="381">
        <f>G39+G8</f>
        <v>0</v>
      </c>
      <c r="H48" s="381">
        <f t="shared" ref="H48:N48" si="20">H39+H8</f>
        <v>0</v>
      </c>
      <c r="I48" s="381">
        <f t="shared" si="20"/>
        <v>0</v>
      </c>
      <c r="J48" s="381">
        <f t="shared" si="20"/>
        <v>0</v>
      </c>
      <c r="K48" s="381">
        <f t="shared" si="20"/>
        <v>0</v>
      </c>
      <c r="L48" s="381">
        <f t="shared" si="20"/>
        <v>0</v>
      </c>
      <c r="M48" s="381">
        <f t="shared" si="20"/>
        <v>0</v>
      </c>
      <c r="N48" s="381">
        <f t="shared" si="20"/>
        <v>0</v>
      </c>
      <c r="O48" s="381">
        <f>O8+O39</f>
        <v>0</v>
      </c>
      <c r="P48" s="381">
        <f>P8+P39</f>
        <v>0</v>
      </c>
      <c r="Q48" s="381">
        <f>Q39+Q8</f>
        <v>0</v>
      </c>
      <c r="R48" s="381">
        <f>R8+R39</f>
        <v>0</v>
      </c>
      <c r="S48" s="381">
        <f>S8+S39</f>
        <v>0</v>
      </c>
      <c r="T48" s="381">
        <f t="shared" ref="T48:Z48" si="21">T39+T8</f>
        <v>0</v>
      </c>
      <c r="U48" s="381">
        <f t="shared" si="21"/>
        <v>0</v>
      </c>
      <c r="V48" s="381">
        <f t="shared" si="21"/>
        <v>0</v>
      </c>
      <c r="W48" s="381">
        <f t="shared" si="21"/>
        <v>0</v>
      </c>
      <c r="X48" s="381">
        <f t="shared" si="21"/>
        <v>0</v>
      </c>
      <c r="Y48" s="381">
        <f t="shared" si="21"/>
        <v>0</v>
      </c>
      <c r="Z48" s="381">
        <f t="shared" si="21"/>
        <v>0</v>
      </c>
      <c r="AA48" s="381">
        <f>AA39+AA8</f>
        <v>0</v>
      </c>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row>
    <row r="49" spans="1:25">
      <c r="A49" s="2269" t="s">
        <v>325</v>
      </c>
      <c r="B49" s="10"/>
      <c r="C49" s="10"/>
      <c r="D49" s="10"/>
      <c r="E49" s="10"/>
      <c r="F49" s="10"/>
      <c r="G49" s="307"/>
      <c r="H49" s="10"/>
      <c r="I49" s="10"/>
      <c r="J49" s="10"/>
      <c r="K49" s="10"/>
      <c r="L49" s="10"/>
      <c r="M49" s="10"/>
      <c r="N49" s="10"/>
      <c r="O49" s="2269"/>
      <c r="P49" s="2269"/>
      <c r="Q49" s="2269"/>
      <c r="R49" s="2269"/>
      <c r="S49" s="2269"/>
      <c r="T49" s="2269"/>
      <c r="U49" s="2269"/>
      <c r="V49" s="2269"/>
      <c r="W49" s="2269"/>
      <c r="X49" s="2269"/>
    </row>
    <row r="50" spans="1:25">
      <c r="A50" s="79">
        <v>1</v>
      </c>
      <c r="B50" s="2900" t="s">
        <v>690</v>
      </c>
      <c r="C50" s="2900"/>
      <c r="D50" s="2900"/>
      <c r="E50" s="2900"/>
      <c r="F50" s="2900"/>
      <c r="G50" s="2900"/>
      <c r="H50" s="2900"/>
      <c r="I50" s="2900"/>
      <c r="J50" s="2900"/>
      <c r="K50" s="2900"/>
      <c r="L50" s="2900"/>
      <c r="M50" s="2900"/>
      <c r="N50" s="2900"/>
      <c r="O50" s="2901"/>
      <c r="P50" s="2901"/>
      <c r="Q50" s="2901"/>
      <c r="R50" s="2901"/>
      <c r="S50" s="2901"/>
      <c r="T50" s="2901"/>
      <c r="U50" s="2901"/>
      <c r="V50" s="2901"/>
      <c r="W50" s="2901"/>
      <c r="X50" s="2269"/>
      <c r="Y50" s="2"/>
    </row>
    <row r="51" spans="1:25">
      <c r="A51" s="88">
        <v>2</v>
      </c>
      <c r="B51" s="1" t="s">
        <v>266</v>
      </c>
      <c r="O51" s="2269"/>
      <c r="P51" s="2269"/>
      <c r="Q51" s="2269"/>
      <c r="R51" s="2269"/>
      <c r="S51" s="2269"/>
      <c r="T51" s="2269"/>
      <c r="U51" s="2269"/>
      <c r="V51" s="2269"/>
      <c r="W51" s="2269"/>
      <c r="X51" s="2269"/>
      <c r="Y51" s="2"/>
    </row>
    <row r="52" spans="1:25">
      <c r="A52" s="79">
        <v>3</v>
      </c>
      <c r="B52" s="2902" t="s">
        <v>691</v>
      </c>
      <c r="C52" s="2902"/>
      <c r="D52" s="2902"/>
      <c r="E52" s="2902"/>
      <c r="F52" s="2902"/>
      <c r="G52" s="2902"/>
      <c r="H52" s="2902"/>
      <c r="I52" s="2902"/>
      <c r="J52" s="2902"/>
      <c r="K52" s="2902"/>
      <c r="L52" s="2902"/>
      <c r="M52" s="2902"/>
      <c r="N52" s="2902"/>
      <c r="O52" s="2902"/>
      <c r="P52" s="2902"/>
      <c r="Q52" s="2902"/>
      <c r="R52" s="2902"/>
      <c r="S52" s="2902"/>
      <c r="T52" s="2902"/>
      <c r="U52" s="2902"/>
      <c r="V52" s="2902"/>
      <c r="W52" s="2902"/>
      <c r="X52" s="2902"/>
      <c r="Y52" s="2902"/>
    </row>
    <row r="53" spans="1:25">
      <c r="A53" s="509">
        <v>4</v>
      </c>
      <c r="B53" s="50" t="s">
        <v>2273</v>
      </c>
    </row>
    <row r="54" spans="1:25">
      <c r="A54" s="509">
        <v>5</v>
      </c>
      <c r="B54" s="50" t="s">
        <v>310</v>
      </c>
    </row>
  </sheetData>
  <mergeCells count="30">
    <mergeCell ref="AA3:AA4"/>
    <mergeCell ref="B3:B7"/>
    <mergeCell ref="V5:V6"/>
    <mergeCell ref="W5:W6"/>
    <mergeCell ref="X5:X6"/>
    <mergeCell ref="Y5:Y6"/>
    <mergeCell ref="N5:N6"/>
    <mergeCell ref="X4:Z4"/>
    <mergeCell ref="C3:N3"/>
    <mergeCell ref="I5:I6"/>
    <mergeCell ref="C4:H4"/>
    <mergeCell ref="B50:W50"/>
    <mergeCell ref="B52:Y52"/>
    <mergeCell ref="Z5:Z6"/>
    <mergeCell ref="AA5:AA7"/>
    <mergeCell ref="L5:L6"/>
    <mergeCell ref="M5:M6"/>
    <mergeCell ref="R5:T5"/>
    <mergeCell ref="O5:Q5"/>
    <mergeCell ref="F5:H5"/>
    <mergeCell ref="C5:E5"/>
    <mergeCell ref="A3:A7"/>
    <mergeCell ref="I4:K4"/>
    <mergeCell ref="O3:Z3"/>
    <mergeCell ref="U4:W4"/>
    <mergeCell ref="J5:J6"/>
    <mergeCell ref="K5:K6"/>
    <mergeCell ref="U5:U6"/>
    <mergeCell ref="L4:N4"/>
    <mergeCell ref="O4:T4"/>
  </mergeCells>
  <phoneticPr fontId="29" type="noConversion"/>
  <printOptions horizontalCentered="1" gridLinesSet="0"/>
  <pageMargins left="0.15748031496062992" right="0.15748031496062992" top="0.39370078740157483" bottom="0.39370078740157483" header="0" footer="0"/>
  <pageSetup paperSize="9" scale="44" orientation="landscape" horizontalDpi="4294967295" verticalDpi="4294967295" r:id="rId1"/>
  <headerFooter alignWithMargins="0">
    <oddFooter>&amp;C&amp;"Times New Roman,標準"110&amp;R&amp;"Times New Roman,標準"&amp;A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AZ28"/>
  <sheetViews>
    <sheetView showGridLines="0" view="pageBreakPreview" zoomScaleNormal="85" zoomScaleSheetLayoutView="100" workbookViewId="0">
      <pane xSplit="2" ySplit="7" topLeftCell="C8" activePane="bottomRight" state="frozen"/>
      <selection pane="topRight"/>
      <selection pane="bottomLeft"/>
      <selection pane="bottomRight"/>
    </sheetView>
  </sheetViews>
  <sheetFormatPr defaultRowHeight="14.25"/>
  <cols>
    <col min="1" max="1" width="5.125" style="1" customWidth="1"/>
    <col min="2" max="2" width="19.125" style="1" customWidth="1"/>
    <col min="3" max="3" width="11.75" style="1" customWidth="1"/>
    <col min="4" max="4" width="10.125" style="1" customWidth="1"/>
    <col min="5" max="5" width="11.5" style="1" customWidth="1"/>
    <col min="6" max="6" width="11.25" style="1" customWidth="1"/>
    <col min="7" max="7" width="11.5" style="1" customWidth="1"/>
    <col min="8" max="8" width="11.375" style="1" customWidth="1"/>
    <col min="9" max="9" width="10.125" style="1" customWidth="1"/>
    <col min="10" max="10" width="11.625" style="1" customWidth="1"/>
    <col min="11" max="11" width="11.75" style="1" customWidth="1"/>
    <col min="12" max="12" width="10.25" style="1" customWidth="1"/>
    <col min="13" max="13" width="11.375" style="1" customWidth="1"/>
    <col min="14" max="14" width="13.875" style="1" customWidth="1"/>
    <col min="15" max="16" width="9.25" style="1" customWidth="1"/>
    <col min="17" max="17" width="13.75" style="1" customWidth="1"/>
    <col min="18" max="18" width="9.25" style="1" customWidth="1"/>
    <col min="19" max="19" width="12" style="1" customWidth="1"/>
    <col min="20" max="20" width="13.875" style="1" customWidth="1"/>
    <col min="21" max="21" width="9.25" style="1" customWidth="1"/>
    <col min="22" max="22" width="10.75" style="1" customWidth="1"/>
    <col min="23" max="23" width="14.125" style="1" customWidth="1"/>
    <col min="24" max="24" width="9.25" style="1" customWidth="1"/>
    <col min="25" max="25" width="10" style="1" customWidth="1"/>
    <col min="26" max="26" width="13.375" style="1" customWidth="1"/>
    <col min="27" max="27" width="14.125" style="1" customWidth="1"/>
    <col min="28" max="16384" width="9" style="1"/>
  </cols>
  <sheetData>
    <row r="1" spans="1:52">
      <c r="A1" s="105" t="str">
        <f>表03!A1</f>
        <v xml:space="preserve"> 保險股份有限公司    年度(月)報表</v>
      </c>
    </row>
    <row r="2" spans="1:52">
      <c r="A2" s="2270" t="s">
        <v>212</v>
      </c>
      <c r="O2" s="3"/>
      <c r="P2" s="3"/>
      <c r="Q2" s="3"/>
      <c r="AA2" s="1077" t="s">
        <v>338</v>
      </c>
    </row>
    <row r="3" spans="1:52" s="5" customFormat="1" ht="16.5" customHeight="1">
      <c r="A3" s="2875" t="s">
        <v>339</v>
      </c>
      <c r="B3" s="2875" t="s">
        <v>86</v>
      </c>
      <c r="C3" s="2893" t="s">
        <v>340</v>
      </c>
      <c r="D3" s="2893"/>
      <c r="E3" s="2893"/>
      <c r="F3" s="2893"/>
      <c r="G3" s="2893"/>
      <c r="H3" s="2893"/>
      <c r="I3" s="2893"/>
      <c r="J3" s="2893"/>
      <c r="K3" s="2893"/>
      <c r="L3" s="2893"/>
      <c r="M3" s="2893"/>
      <c r="N3" s="2894"/>
      <c r="O3" s="2862" t="s">
        <v>341</v>
      </c>
      <c r="P3" s="2893"/>
      <c r="Q3" s="2893"/>
      <c r="R3" s="2893"/>
      <c r="S3" s="2893"/>
      <c r="T3" s="2893"/>
      <c r="U3" s="2893"/>
      <c r="V3" s="2893"/>
      <c r="W3" s="2893"/>
      <c r="X3" s="2893"/>
      <c r="Y3" s="2893"/>
      <c r="Z3" s="2894"/>
      <c r="AA3" s="2898" t="s">
        <v>342</v>
      </c>
    </row>
    <row r="4" spans="1:52" s="5" customFormat="1" ht="16.5">
      <c r="A4" s="2876"/>
      <c r="B4" s="2876"/>
      <c r="C4" s="2911" t="s">
        <v>1696</v>
      </c>
      <c r="D4" s="2911"/>
      <c r="E4" s="2911"/>
      <c r="F4" s="2911"/>
      <c r="G4" s="2911"/>
      <c r="H4" s="2911"/>
      <c r="I4" s="2891" t="s">
        <v>1697</v>
      </c>
      <c r="J4" s="2891"/>
      <c r="K4" s="2892"/>
      <c r="L4" s="2895" t="s">
        <v>1698</v>
      </c>
      <c r="M4" s="2891"/>
      <c r="N4" s="2892"/>
      <c r="O4" s="2895" t="s">
        <v>1696</v>
      </c>
      <c r="P4" s="2891"/>
      <c r="Q4" s="2891"/>
      <c r="R4" s="2891"/>
      <c r="S4" s="2891"/>
      <c r="T4" s="2892"/>
      <c r="U4" s="2895" t="s">
        <v>1697</v>
      </c>
      <c r="V4" s="2912"/>
      <c r="W4" s="2913"/>
      <c r="X4" s="2895" t="s">
        <v>1698</v>
      </c>
      <c r="Y4" s="2891"/>
      <c r="Z4" s="2892"/>
      <c r="AA4" s="2899"/>
    </row>
    <row r="5" spans="1:52" s="71" customFormat="1" ht="14.25" customHeight="1">
      <c r="A5" s="2876"/>
      <c r="B5" s="2876"/>
      <c r="C5" s="2908" t="s">
        <v>1481</v>
      </c>
      <c r="D5" s="2909"/>
      <c r="E5" s="2910"/>
      <c r="F5" s="2905" t="s">
        <v>1482</v>
      </c>
      <c r="G5" s="2906"/>
      <c r="H5" s="2907"/>
      <c r="I5" s="2898" t="s">
        <v>213</v>
      </c>
      <c r="J5" s="2898" t="s">
        <v>344</v>
      </c>
      <c r="K5" s="2898" t="s">
        <v>195</v>
      </c>
      <c r="L5" s="2898" t="s">
        <v>214</v>
      </c>
      <c r="M5" s="2898" t="s">
        <v>344</v>
      </c>
      <c r="N5" s="2898" t="s">
        <v>195</v>
      </c>
      <c r="O5" s="2908" t="s">
        <v>198</v>
      </c>
      <c r="P5" s="2909"/>
      <c r="Q5" s="2910"/>
      <c r="R5" s="2905" t="s">
        <v>199</v>
      </c>
      <c r="S5" s="2906"/>
      <c r="T5" s="2907"/>
      <c r="U5" s="2898" t="s">
        <v>214</v>
      </c>
      <c r="V5" s="2898" t="s">
        <v>344</v>
      </c>
      <c r="W5" s="2898" t="s">
        <v>195</v>
      </c>
      <c r="X5" s="2898" t="s">
        <v>214</v>
      </c>
      <c r="Y5" s="2898" t="s">
        <v>344</v>
      </c>
      <c r="Z5" s="2898" t="s">
        <v>195</v>
      </c>
      <c r="AA5" s="2903" t="s">
        <v>566</v>
      </c>
    </row>
    <row r="6" spans="1:52" s="73" customFormat="1" ht="28.5">
      <c r="A6" s="2876"/>
      <c r="B6" s="2876"/>
      <c r="C6" s="72" t="s">
        <v>215</v>
      </c>
      <c r="D6" s="2268" t="s">
        <v>216</v>
      </c>
      <c r="E6" s="2268" t="s">
        <v>357</v>
      </c>
      <c r="F6" s="2267" t="s">
        <v>349</v>
      </c>
      <c r="G6" s="2267" t="s">
        <v>216</v>
      </c>
      <c r="H6" s="2267" t="s">
        <v>357</v>
      </c>
      <c r="I6" s="2899"/>
      <c r="J6" s="2899"/>
      <c r="K6" s="2899"/>
      <c r="L6" s="2899"/>
      <c r="M6" s="2899"/>
      <c r="N6" s="2899"/>
      <c r="O6" s="72" t="s">
        <v>349</v>
      </c>
      <c r="P6" s="2268" t="s">
        <v>216</v>
      </c>
      <c r="Q6" s="2268" t="s">
        <v>357</v>
      </c>
      <c r="R6" s="2267" t="s">
        <v>349</v>
      </c>
      <c r="S6" s="2267" t="s">
        <v>216</v>
      </c>
      <c r="T6" s="2267" t="s">
        <v>357</v>
      </c>
      <c r="U6" s="2899"/>
      <c r="V6" s="2899"/>
      <c r="W6" s="2899"/>
      <c r="X6" s="2899"/>
      <c r="Y6" s="2899"/>
      <c r="Z6" s="2899"/>
      <c r="AA6" s="2903"/>
    </row>
    <row r="7" spans="1:52" s="47" customFormat="1">
      <c r="A7" s="2877"/>
      <c r="B7" s="2877"/>
      <c r="C7" s="74" t="s">
        <v>317</v>
      </c>
      <c r="D7" s="75" t="s">
        <v>385</v>
      </c>
      <c r="E7" s="75" t="s">
        <v>217</v>
      </c>
      <c r="F7" s="75" t="s">
        <v>319</v>
      </c>
      <c r="G7" s="75" t="s">
        <v>386</v>
      </c>
      <c r="H7" s="75" t="s">
        <v>218</v>
      </c>
      <c r="I7" s="75" t="s">
        <v>321</v>
      </c>
      <c r="J7" s="75" t="s">
        <v>387</v>
      </c>
      <c r="K7" s="76" t="s">
        <v>219</v>
      </c>
      <c r="L7" s="77" t="s">
        <v>220</v>
      </c>
      <c r="M7" s="77" t="s">
        <v>221</v>
      </c>
      <c r="N7" s="76" t="s">
        <v>355</v>
      </c>
      <c r="O7" s="74" t="s">
        <v>334</v>
      </c>
      <c r="P7" s="75" t="s">
        <v>222</v>
      </c>
      <c r="Q7" s="75" t="s">
        <v>223</v>
      </c>
      <c r="R7" s="75" t="s">
        <v>203</v>
      </c>
      <c r="S7" s="75" t="s">
        <v>204</v>
      </c>
      <c r="T7" s="75" t="s">
        <v>224</v>
      </c>
      <c r="U7" s="75" t="s">
        <v>206</v>
      </c>
      <c r="V7" s="75" t="s">
        <v>207</v>
      </c>
      <c r="W7" s="76" t="s">
        <v>225</v>
      </c>
      <c r="X7" s="77" t="s">
        <v>209</v>
      </c>
      <c r="Y7" s="77" t="s">
        <v>210</v>
      </c>
      <c r="Z7" s="76" t="s">
        <v>226</v>
      </c>
      <c r="AA7" s="2904"/>
    </row>
    <row r="8" spans="1:52" ht="22.5" customHeight="1">
      <c r="A8" s="374">
        <v>1</v>
      </c>
      <c r="B8" s="49" t="s">
        <v>137</v>
      </c>
      <c r="C8" s="305">
        <f t="shared" ref="C8:AA8" si="0">SUM(C9:C15)</f>
        <v>0</v>
      </c>
      <c r="D8" s="305">
        <f t="shared" si="0"/>
        <v>0</v>
      </c>
      <c r="E8" s="305">
        <f t="shared" si="0"/>
        <v>0</v>
      </c>
      <c r="F8" s="305">
        <f t="shared" si="0"/>
        <v>0</v>
      </c>
      <c r="G8" s="305">
        <f t="shared" si="0"/>
        <v>0</v>
      </c>
      <c r="H8" s="305">
        <f t="shared" si="0"/>
        <v>0</v>
      </c>
      <c r="I8" s="305">
        <f t="shared" si="0"/>
        <v>0</v>
      </c>
      <c r="J8" s="305">
        <f t="shared" si="0"/>
        <v>0</v>
      </c>
      <c r="K8" s="305">
        <f t="shared" si="0"/>
        <v>0</v>
      </c>
      <c r="L8" s="305">
        <f t="shared" si="0"/>
        <v>0</v>
      </c>
      <c r="M8" s="305">
        <f t="shared" si="0"/>
        <v>0</v>
      </c>
      <c r="N8" s="305">
        <f t="shared" si="0"/>
        <v>0</v>
      </c>
      <c r="O8" s="305">
        <f t="shared" si="0"/>
        <v>0</v>
      </c>
      <c r="P8" s="305">
        <f t="shared" si="0"/>
        <v>0</v>
      </c>
      <c r="Q8" s="305">
        <f t="shared" si="0"/>
        <v>0</v>
      </c>
      <c r="R8" s="305">
        <f t="shared" si="0"/>
        <v>0</v>
      </c>
      <c r="S8" s="305">
        <f t="shared" si="0"/>
        <v>0</v>
      </c>
      <c r="T8" s="305">
        <f t="shared" si="0"/>
        <v>0</v>
      </c>
      <c r="U8" s="305">
        <f t="shared" si="0"/>
        <v>0</v>
      </c>
      <c r="V8" s="305">
        <f t="shared" si="0"/>
        <v>0</v>
      </c>
      <c r="W8" s="305">
        <f t="shared" si="0"/>
        <v>0</v>
      </c>
      <c r="X8" s="305">
        <f t="shared" si="0"/>
        <v>0</v>
      </c>
      <c r="Y8" s="305">
        <f t="shared" si="0"/>
        <v>0</v>
      </c>
      <c r="Z8" s="305">
        <f t="shared" si="0"/>
        <v>0</v>
      </c>
      <c r="AA8" s="305">
        <f t="shared" si="0"/>
        <v>0</v>
      </c>
      <c r="AB8" s="487"/>
      <c r="AC8" s="487"/>
      <c r="AD8" s="487"/>
      <c r="AE8" s="487"/>
      <c r="AF8" s="487"/>
      <c r="AG8" s="487"/>
      <c r="AH8" s="487"/>
      <c r="AI8" s="487"/>
      <c r="AJ8" s="487"/>
      <c r="AK8" s="487"/>
      <c r="AL8" s="487"/>
      <c r="AM8" s="487"/>
      <c r="AN8" s="487"/>
      <c r="AO8" s="487"/>
      <c r="AP8" s="487"/>
      <c r="AQ8" s="487"/>
      <c r="AR8" s="487"/>
      <c r="AS8" s="487"/>
      <c r="AT8" s="487"/>
      <c r="AU8" s="487"/>
      <c r="AV8" s="487"/>
      <c r="AW8" s="487"/>
      <c r="AX8" s="487"/>
      <c r="AY8" s="487"/>
      <c r="AZ8" s="487"/>
    </row>
    <row r="9" spans="1:52" ht="22.5" customHeight="1">
      <c r="A9" s="374">
        <v>2</v>
      </c>
      <c r="B9" s="49" t="s">
        <v>390</v>
      </c>
      <c r="C9" s="305"/>
      <c r="D9" s="305"/>
      <c r="E9" s="305">
        <f t="shared" ref="E9:E21" si="1">C9-D9</f>
        <v>0</v>
      </c>
      <c r="F9" s="305"/>
      <c r="G9" s="305"/>
      <c r="H9" s="305">
        <f t="shared" ref="H9:H21" si="2">F9-G9</f>
        <v>0</v>
      </c>
      <c r="I9" s="305"/>
      <c r="J9" s="305"/>
      <c r="K9" s="305">
        <f t="shared" ref="K9:K22" si="3">I9+J9</f>
        <v>0</v>
      </c>
      <c r="L9" s="305"/>
      <c r="M9" s="305"/>
      <c r="N9" s="305">
        <f t="shared" ref="N9:N21" si="4">L9+M9</f>
        <v>0</v>
      </c>
      <c r="O9" s="305"/>
      <c r="P9" s="305"/>
      <c r="Q9" s="305">
        <f t="shared" ref="Q9:Q21" si="5">O9-P9</f>
        <v>0</v>
      </c>
      <c r="R9" s="305"/>
      <c r="S9" s="305"/>
      <c r="T9" s="305">
        <f t="shared" ref="T9:T21" si="6">R9-S9</f>
        <v>0</v>
      </c>
      <c r="U9" s="305"/>
      <c r="V9" s="305"/>
      <c r="W9" s="305">
        <f t="shared" ref="W9:W21" si="7">SUM(U9:V9)</f>
        <v>0</v>
      </c>
      <c r="X9" s="305"/>
      <c r="Y9" s="305"/>
      <c r="Z9" s="305">
        <f t="shared" ref="Z9:Z15" si="8">X9+Y9</f>
        <v>0</v>
      </c>
      <c r="AA9" s="305">
        <f t="shared" ref="AA9:AA15" si="9">E9+K9-N9+Q9+W9-Z9</f>
        <v>0</v>
      </c>
      <c r="AB9" s="487"/>
      <c r="AC9" s="487"/>
      <c r="AD9" s="487"/>
      <c r="AE9" s="487"/>
      <c r="AF9" s="487"/>
      <c r="AG9" s="487"/>
      <c r="AH9" s="487"/>
      <c r="AI9" s="487"/>
      <c r="AJ9" s="487"/>
      <c r="AK9" s="487"/>
      <c r="AL9" s="487"/>
      <c r="AM9" s="487"/>
      <c r="AN9" s="487"/>
      <c r="AO9" s="487"/>
      <c r="AP9" s="487"/>
      <c r="AQ9" s="487"/>
      <c r="AR9" s="487"/>
      <c r="AS9" s="487"/>
      <c r="AT9" s="487"/>
      <c r="AU9" s="487"/>
      <c r="AV9" s="487"/>
      <c r="AW9" s="487"/>
      <c r="AX9" s="487"/>
      <c r="AY9" s="487"/>
      <c r="AZ9" s="487"/>
    </row>
    <row r="10" spans="1:52" ht="22.5" customHeight="1">
      <c r="A10" s="374">
        <v>3</v>
      </c>
      <c r="B10" s="49" t="s">
        <v>391</v>
      </c>
      <c r="C10" s="305"/>
      <c r="D10" s="305"/>
      <c r="E10" s="305">
        <f t="shared" si="1"/>
        <v>0</v>
      </c>
      <c r="F10" s="305"/>
      <c r="G10" s="305"/>
      <c r="H10" s="305">
        <f t="shared" si="2"/>
        <v>0</v>
      </c>
      <c r="I10" s="305"/>
      <c r="J10" s="305"/>
      <c r="K10" s="305">
        <f t="shared" si="3"/>
        <v>0</v>
      </c>
      <c r="L10" s="305"/>
      <c r="M10" s="305"/>
      <c r="N10" s="305">
        <f t="shared" si="4"/>
        <v>0</v>
      </c>
      <c r="O10" s="305"/>
      <c r="P10" s="305"/>
      <c r="Q10" s="305">
        <f t="shared" si="5"/>
        <v>0</v>
      </c>
      <c r="R10" s="305"/>
      <c r="S10" s="305"/>
      <c r="T10" s="305">
        <f t="shared" si="6"/>
        <v>0</v>
      </c>
      <c r="U10" s="305"/>
      <c r="V10" s="305"/>
      <c r="W10" s="305">
        <f t="shared" si="7"/>
        <v>0</v>
      </c>
      <c r="X10" s="305"/>
      <c r="Y10" s="305"/>
      <c r="Z10" s="305">
        <f t="shared" si="8"/>
        <v>0</v>
      </c>
      <c r="AA10" s="305">
        <f t="shared" si="9"/>
        <v>0</v>
      </c>
      <c r="AB10" s="487"/>
      <c r="AC10" s="487"/>
      <c r="AD10" s="487"/>
      <c r="AE10" s="487"/>
      <c r="AF10" s="487"/>
      <c r="AG10" s="487"/>
      <c r="AH10" s="487"/>
      <c r="AI10" s="487"/>
      <c r="AJ10" s="487"/>
      <c r="AK10" s="487"/>
      <c r="AL10" s="487"/>
      <c r="AM10" s="487"/>
      <c r="AN10" s="487"/>
      <c r="AO10" s="487"/>
      <c r="AP10" s="487"/>
      <c r="AQ10" s="487"/>
      <c r="AR10" s="487"/>
      <c r="AS10" s="487"/>
      <c r="AT10" s="487"/>
      <c r="AU10" s="487"/>
      <c r="AV10" s="487"/>
      <c r="AW10" s="487"/>
      <c r="AX10" s="487"/>
      <c r="AY10" s="487"/>
      <c r="AZ10" s="487"/>
    </row>
    <row r="11" spans="1:52" ht="22.5" customHeight="1">
      <c r="A11" s="374">
        <v>4</v>
      </c>
      <c r="B11" s="49" t="s">
        <v>1699</v>
      </c>
      <c r="C11" s="305"/>
      <c r="D11" s="305"/>
      <c r="E11" s="305">
        <f t="shared" si="1"/>
        <v>0</v>
      </c>
      <c r="F11" s="305"/>
      <c r="G11" s="305"/>
      <c r="H11" s="305">
        <f t="shared" si="2"/>
        <v>0</v>
      </c>
      <c r="I11" s="305"/>
      <c r="J11" s="305"/>
      <c r="K11" s="305">
        <f t="shared" si="3"/>
        <v>0</v>
      </c>
      <c r="L11" s="305"/>
      <c r="M11" s="305"/>
      <c r="N11" s="305">
        <f t="shared" si="4"/>
        <v>0</v>
      </c>
      <c r="O11" s="305"/>
      <c r="P11" s="305"/>
      <c r="Q11" s="305">
        <f t="shared" si="5"/>
        <v>0</v>
      </c>
      <c r="R11" s="305">
        <v>0</v>
      </c>
      <c r="S11" s="305">
        <v>0</v>
      </c>
      <c r="T11" s="305">
        <f t="shared" si="6"/>
        <v>0</v>
      </c>
      <c r="U11" s="305"/>
      <c r="V11" s="305"/>
      <c r="W11" s="305">
        <f t="shared" si="7"/>
        <v>0</v>
      </c>
      <c r="X11" s="305"/>
      <c r="Y11" s="305"/>
      <c r="Z11" s="305">
        <f t="shared" si="8"/>
        <v>0</v>
      </c>
      <c r="AA11" s="305">
        <f t="shared" si="9"/>
        <v>0</v>
      </c>
      <c r="AB11" s="487"/>
      <c r="AC11" s="487"/>
      <c r="AD11" s="487"/>
      <c r="AE11" s="487"/>
      <c r="AF11" s="487"/>
      <c r="AG11" s="487"/>
      <c r="AH11" s="487"/>
      <c r="AI11" s="487"/>
      <c r="AJ11" s="487"/>
      <c r="AK11" s="487"/>
      <c r="AL11" s="487"/>
      <c r="AM11" s="487"/>
      <c r="AN11" s="487"/>
      <c r="AO11" s="487"/>
      <c r="AP11" s="487"/>
      <c r="AQ11" s="487"/>
      <c r="AR11" s="487"/>
      <c r="AS11" s="487"/>
      <c r="AT11" s="487"/>
      <c r="AU11" s="487"/>
      <c r="AV11" s="487"/>
      <c r="AW11" s="487"/>
      <c r="AX11" s="487"/>
      <c r="AY11" s="487"/>
      <c r="AZ11" s="487"/>
    </row>
    <row r="12" spans="1:52" ht="22.5" customHeight="1">
      <c r="A12" s="374">
        <v>5</v>
      </c>
      <c r="B12" s="49" t="s">
        <v>392</v>
      </c>
      <c r="C12" s="305">
        <v>0</v>
      </c>
      <c r="D12" s="305">
        <v>0</v>
      </c>
      <c r="E12" s="305">
        <f t="shared" si="1"/>
        <v>0</v>
      </c>
      <c r="F12" s="305">
        <v>0</v>
      </c>
      <c r="G12" s="305"/>
      <c r="H12" s="305">
        <f t="shared" si="2"/>
        <v>0</v>
      </c>
      <c r="I12" s="305">
        <v>0</v>
      </c>
      <c r="J12" s="305">
        <v>0</v>
      </c>
      <c r="K12" s="305">
        <f t="shared" si="3"/>
        <v>0</v>
      </c>
      <c r="L12" s="305">
        <v>0</v>
      </c>
      <c r="M12" s="305">
        <v>0</v>
      </c>
      <c r="N12" s="305">
        <f t="shared" si="4"/>
        <v>0</v>
      </c>
      <c r="O12" s="305"/>
      <c r="P12" s="305"/>
      <c r="Q12" s="305">
        <f t="shared" si="5"/>
        <v>0</v>
      </c>
      <c r="R12" s="305">
        <v>0</v>
      </c>
      <c r="S12" s="305">
        <v>0</v>
      </c>
      <c r="T12" s="305">
        <f t="shared" si="6"/>
        <v>0</v>
      </c>
      <c r="U12" s="305"/>
      <c r="V12" s="305"/>
      <c r="W12" s="305">
        <f t="shared" si="7"/>
        <v>0</v>
      </c>
      <c r="X12" s="305"/>
      <c r="Y12" s="305"/>
      <c r="Z12" s="305">
        <f t="shared" si="8"/>
        <v>0</v>
      </c>
      <c r="AA12" s="305">
        <f t="shared" si="9"/>
        <v>0</v>
      </c>
      <c r="AB12" s="487"/>
      <c r="AC12" s="487"/>
      <c r="AD12" s="487"/>
      <c r="AE12" s="487"/>
      <c r="AF12" s="487"/>
      <c r="AG12" s="487"/>
      <c r="AH12" s="487"/>
      <c r="AI12" s="487"/>
      <c r="AJ12" s="487"/>
      <c r="AK12" s="487"/>
      <c r="AL12" s="487"/>
      <c r="AM12" s="487"/>
      <c r="AN12" s="487"/>
      <c r="AO12" s="487"/>
      <c r="AP12" s="487"/>
      <c r="AQ12" s="487"/>
      <c r="AR12" s="487"/>
      <c r="AS12" s="487"/>
      <c r="AT12" s="487"/>
      <c r="AU12" s="487"/>
      <c r="AV12" s="487"/>
      <c r="AW12" s="487"/>
      <c r="AX12" s="487"/>
      <c r="AY12" s="487"/>
      <c r="AZ12" s="487"/>
    </row>
    <row r="13" spans="1:52" ht="22.5" customHeight="1">
      <c r="A13" s="374">
        <v>6</v>
      </c>
      <c r="B13" s="49" t="s">
        <v>393</v>
      </c>
      <c r="C13" s="305">
        <v>0</v>
      </c>
      <c r="D13" s="305">
        <v>0</v>
      </c>
      <c r="E13" s="305">
        <f t="shared" si="1"/>
        <v>0</v>
      </c>
      <c r="F13" s="305">
        <v>0</v>
      </c>
      <c r="G13" s="305"/>
      <c r="H13" s="305">
        <f t="shared" si="2"/>
        <v>0</v>
      </c>
      <c r="I13" s="305">
        <v>0</v>
      </c>
      <c r="J13" s="305">
        <v>0</v>
      </c>
      <c r="K13" s="305">
        <f t="shared" si="3"/>
        <v>0</v>
      </c>
      <c r="L13" s="305">
        <v>0</v>
      </c>
      <c r="M13" s="305">
        <v>0</v>
      </c>
      <c r="N13" s="305">
        <f t="shared" si="4"/>
        <v>0</v>
      </c>
      <c r="O13" s="305"/>
      <c r="P13" s="305"/>
      <c r="Q13" s="305">
        <f t="shared" si="5"/>
        <v>0</v>
      </c>
      <c r="R13" s="305">
        <v>0</v>
      </c>
      <c r="S13" s="305">
        <v>0</v>
      </c>
      <c r="T13" s="305">
        <f t="shared" si="6"/>
        <v>0</v>
      </c>
      <c r="U13" s="305"/>
      <c r="V13" s="305"/>
      <c r="W13" s="305">
        <f t="shared" si="7"/>
        <v>0</v>
      </c>
      <c r="X13" s="305"/>
      <c r="Y13" s="305"/>
      <c r="Z13" s="305">
        <f t="shared" si="8"/>
        <v>0</v>
      </c>
      <c r="AA13" s="305">
        <f t="shared" si="9"/>
        <v>0</v>
      </c>
      <c r="AB13" s="487"/>
      <c r="AC13" s="487"/>
      <c r="AD13" s="487"/>
      <c r="AE13" s="487"/>
      <c r="AF13" s="487"/>
      <c r="AG13" s="487"/>
      <c r="AH13" s="487"/>
      <c r="AI13" s="487"/>
      <c r="AJ13" s="487"/>
      <c r="AK13" s="487"/>
      <c r="AL13" s="487"/>
      <c r="AM13" s="487"/>
      <c r="AN13" s="487"/>
      <c r="AO13" s="487"/>
      <c r="AP13" s="487"/>
      <c r="AQ13" s="487"/>
      <c r="AR13" s="487"/>
      <c r="AS13" s="487"/>
      <c r="AT13" s="487"/>
      <c r="AU13" s="487"/>
      <c r="AV13" s="487"/>
      <c r="AW13" s="487"/>
      <c r="AX13" s="487"/>
      <c r="AY13" s="487"/>
      <c r="AZ13" s="487"/>
    </row>
    <row r="14" spans="1:52" ht="22.5" customHeight="1">
      <c r="A14" s="374">
        <v>7</v>
      </c>
      <c r="B14" s="49" t="s">
        <v>1475</v>
      </c>
      <c r="C14" s="305"/>
      <c r="D14" s="305"/>
      <c r="E14" s="305">
        <f t="shared" si="1"/>
        <v>0</v>
      </c>
      <c r="F14" s="305"/>
      <c r="G14" s="305"/>
      <c r="H14" s="305">
        <f t="shared" si="2"/>
        <v>0</v>
      </c>
      <c r="I14" s="305"/>
      <c r="J14" s="305"/>
      <c r="K14" s="305">
        <f t="shared" si="3"/>
        <v>0</v>
      </c>
      <c r="L14" s="305"/>
      <c r="M14" s="305"/>
      <c r="N14" s="305">
        <f t="shared" si="4"/>
        <v>0</v>
      </c>
      <c r="O14" s="305"/>
      <c r="P14" s="305"/>
      <c r="Q14" s="305">
        <f t="shared" si="5"/>
        <v>0</v>
      </c>
      <c r="R14" s="305"/>
      <c r="S14" s="305"/>
      <c r="T14" s="305">
        <f t="shared" si="6"/>
        <v>0</v>
      </c>
      <c r="U14" s="305"/>
      <c r="V14" s="305"/>
      <c r="W14" s="305">
        <f>SUM(U14:V14)</f>
        <v>0</v>
      </c>
      <c r="X14" s="305"/>
      <c r="Y14" s="305"/>
      <c r="Z14" s="305">
        <f t="shared" si="8"/>
        <v>0</v>
      </c>
      <c r="AA14" s="305">
        <f t="shared" si="9"/>
        <v>0</v>
      </c>
      <c r="AB14" s="487"/>
      <c r="AC14" s="487"/>
      <c r="AD14" s="487"/>
      <c r="AE14" s="487"/>
      <c r="AF14" s="487"/>
      <c r="AG14" s="487"/>
      <c r="AH14" s="487"/>
      <c r="AI14" s="487"/>
      <c r="AJ14" s="487"/>
      <c r="AK14" s="487"/>
      <c r="AL14" s="487"/>
      <c r="AM14" s="487"/>
      <c r="AN14" s="487"/>
      <c r="AO14" s="487"/>
      <c r="AP14" s="487"/>
      <c r="AQ14" s="487"/>
      <c r="AR14" s="487"/>
      <c r="AS14" s="487"/>
      <c r="AT14" s="487"/>
      <c r="AU14" s="487"/>
      <c r="AV14" s="487"/>
      <c r="AW14" s="487"/>
      <c r="AX14" s="487"/>
      <c r="AY14" s="487"/>
      <c r="AZ14" s="487"/>
    </row>
    <row r="15" spans="1:52" ht="22.5" customHeight="1">
      <c r="A15" s="374">
        <v>8</v>
      </c>
      <c r="B15" s="49" t="s">
        <v>1476</v>
      </c>
      <c r="C15" s="305"/>
      <c r="D15" s="305"/>
      <c r="E15" s="305">
        <f t="shared" si="1"/>
        <v>0</v>
      </c>
      <c r="F15" s="305"/>
      <c r="G15" s="305"/>
      <c r="H15" s="305">
        <f t="shared" si="2"/>
        <v>0</v>
      </c>
      <c r="I15" s="305"/>
      <c r="J15" s="305"/>
      <c r="K15" s="305">
        <f t="shared" si="3"/>
        <v>0</v>
      </c>
      <c r="L15" s="305"/>
      <c r="M15" s="305"/>
      <c r="N15" s="305">
        <f t="shared" si="4"/>
        <v>0</v>
      </c>
      <c r="O15" s="305"/>
      <c r="P15" s="305"/>
      <c r="Q15" s="305">
        <f t="shared" si="5"/>
        <v>0</v>
      </c>
      <c r="R15" s="305"/>
      <c r="S15" s="305"/>
      <c r="T15" s="305">
        <f t="shared" si="6"/>
        <v>0</v>
      </c>
      <c r="U15" s="305"/>
      <c r="V15" s="305"/>
      <c r="W15" s="305">
        <f>SUM(U15:V15)</f>
        <v>0</v>
      </c>
      <c r="X15" s="305"/>
      <c r="Y15" s="305"/>
      <c r="Z15" s="305">
        <f t="shared" si="8"/>
        <v>0</v>
      </c>
      <c r="AA15" s="305">
        <f t="shared" si="9"/>
        <v>0</v>
      </c>
      <c r="AB15" s="487"/>
      <c r="AC15" s="487"/>
      <c r="AD15" s="487"/>
      <c r="AE15" s="487"/>
      <c r="AF15" s="487"/>
      <c r="AG15" s="487"/>
      <c r="AH15" s="487"/>
      <c r="AI15" s="487"/>
      <c r="AJ15" s="487"/>
      <c r="AK15" s="487"/>
      <c r="AL15" s="487"/>
      <c r="AM15" s="487"/>
      <c r="AN15" s="487"/>
      <c r="AO15" s="487"/>
      <c r="AP15" s="487"/>
      <c r="AQ15" s="487"/>
      <c r="AR15" s="487"/>
      <c r="AS15" s="487"/>
      <c r="AT15" s="487"/>
      <c r="AU15" s="487"/>
      <c r="AV15" s="487"/>
      <c r="AW15" s="487"/>
      <c r="AX15" s="487"/>
      <c r="AY15" s="487"/>
      <c r="AZ15" s="487"/>
    </row>
    <row r="16" spans="1:52" ht="22.5" customHeight="1">
      <c r="A16" s="374">
        <v>9</v>
      </c>
      <c r="B16" s="49" t="s">
        <v>143</v>
      </c>
      <c r="C16" s="305">
        <f>SUM(C17:C21)</f>
        <v>0</v>
      </c>
      <c r="D16" s="305">
        <f t="shared" ref="D16:AA16" si="10">SUM(D17:D21)</f>
        <v>0</v>
      </c>
      <c r="E16" s="305">
        <f t="shared" si="10"/>
        <v>0</v>
      </c>
      <c r="F16" s="305">
        <f>SUM(F17:F21)</f>
        <v>0</v>
      </c>
      <c r="G16" s="305">
        <f>SUM(G17:G21)</f>
        <v>0</v>
      </c>
      <c r="H16" s="305">
        <f t="shared" si="10"/>
        <v>0</v>
      </c>
      <c r="I16" s="305">
        <f t="shared" si="10"/>
        <v>0</v>
      </c>
      <c r="J16" s="305">
        <f t="shared" si="10"/>
        <v>0</v>
      </c>
      <c r="K16" s="305">
        <f t="shared" si="10"/>
        <v>0</v>
      </c>
      <c r="L16" s="305">
        <f t="shared" si="10"/>
        <v>0</v>
      </c>
      <c r="M16" s="305">
        <f t="shared" si="10"/>
        <v>0</v>
      </c>
      <c r="N16" s="305">
        <f t="shared" si="10"/>
        <v>0</v>
      </c>
      <c r="O16" s="305">
        <f t="shared" si="10"/>
        <v>0</v>
      </c>
      <c r="P16" s="305">
        <f t="shared" si="10"/>
        <v>0</v>
      </c>
      <c r="Q16" s="305">
        <f t="shared" si="10"/>
        <v>0</v>
      </c>
      <c r="R16" s="305">
        <f t="shared" si="10"/>
        <v>0</v>
      </c>
      <c r="S16" s="305">
        <f t="shared" si="10"/>
        <v>0</v>
      </c>
      <c r="T16" s="305">
        <f t="shared" si="10"/>
        <v>0</v>
      </c>
      <c r="U16" s="305">
        <f t="shared" si="10"/>
        <v>0</v>
      </c>
      <c r="V16" s="305">
        <f t="shared" si="10"/>
        <v>0</v>
      </c>
      <c r="W16" s="305">
        <f t="shared" si="10"/>
        <v>0</v>
      </c>
      <c r="X16" s="305">
        <f t="shared" si="10"/>
        <v>0</v>
      </c>
      <c r="Y16" s="305">
        <f t="shared" si="10"/>
        <v>0</v>
      </c>
      <c r="Z16" s="305">
        <f t="shared" si="10"/>
        <v>0</v>
      </c>
      <c r="AA16" s="305">
        <f t="shared" si="10"/>
        <v>0</v>
      </c>
      <c r="AB16" s="487"/>
      <c r="AC16" s="487"/>
      <c r="AD16" s="487"/>
      <c r="AE16" s="487"/>
      <c r="AF16" s="487"/>
      <c r="AG16" s="487"/>
      <c r="AH16" s="487"/>
      <c r="AI16" s="487"/>
      <c r="AJ16" s="487"/>
      <c r="AK16" s="487"/>
      <c r="AL16" s="487"/>
      <c r="AM16" s="487"/>
      <c r="AN16" s="487"/>
      <c r="AO16" s="487"/>
      <c r="AP16" s="487"/>
      <c r="AQ16" s="487"/>
      <c r="AR16" s="487"/>
      <c r="AS16" s="487"/>
      <c r="AT16" s="487"/>
      <c r="AU16" s="487"/>
      <c r="AV16" s="487"/>
      <c r="AW16" s="487"/>
      <c r="AX16" s="487"/>
      <c r="AY16" s="487"/>
      <c r="AZ16" s="487"/>
    </row>
    <row r="17" spans="1:52" ht="22.5" customHeight="1">
      <c r="A17" s="374">
        <v>10</v>
      </c>
      <c r="B17" s="49" t="s">
        <v>1700</v>
      </c>
      <c r="C17" s="305"/>
      <c r="D17" s="305"/>
      <c r="E17" s="305">
        <f t="shared" si="1"/>
        <v>0</v>
      </c>
      <c r="F17" s="305"/>
      <c r="G17" s="305"/>
      <c r="H17" s="305">
        <f t="shared" si="2"/>
        <v>0</v>
      </c>
      <c r="I17" s="305"/>
      <c r="J17" s="305"/>
      <c r="K17" s="305">
        <f t="shared" si="3"/>
        <v>0</v>
      </c>
      <c r="L17" s="305"/>
      <c r="M17" s="305"/>
      <c r="N17" s="305">
        <f t="shared" si="4"/>
        <v>0</v>
      </c>
      <c r="O17" s="305"/>
      <c r="P17" s="305"/>
      <c r="Q17" s="305">
        <f t="shared" si="5"/>
        <v>0</v>
      </c>
      <c r="R17" s="305">
        <v>0</v>
      </c>
      <c r="S17" s="305">
        <v>0</v>
      </c>
      <c r="T17" s="305">
        <f t="shared" si="6"/>
        <v>0</v>
      </c>
      <c r="U17" s="305"/>
      <c r="V17" s="305"/>
      <c r="W17" s="305">
        <f t="shared" si="7"/>
        <v>0</v>
      </c>
      <c r="X17" s="305"/>
      <c r="Y17" s="305"/>
      <c r="Z17" s="305">
        <f>X17+Y17</f>
        <v>0</v>
      </c>
      <c r="AA17" s="305">
        <f>E17+K17-N17+Q17+W17-Z17</f>
        <v>0</v>
      </c>
      <c r="AB17" s="487"/>
      <c r="AC17" s="487"/>
      <c r="AD17" s="487"/>
      <c r="AE17" s="487"/>
      <c r="AF17" s="487"/>
      <c r="AG17" s="487"/>
      <c r="AH17" s="487"/>
      <c r="AI17" s="487"/>
      <c r="AJ17" s="487"/>
      <c r="AK17" s="487"/>
      <c r="AL17" s="487"/>
      <c r="AM17" s="487"/>
      <c r="AN17" s="487"/>
      <c r="AO17" s="487"/>
      <c r="AP17" s="487"/>
      <c r="AQ17" s="487"/>
      <c r="AR17" s="487"/>
      <c r="AS17" s="487"/>
      <c r="AT17" s="487"/>
      <c r="AU17" s="487"/>
      <c r="AV17" s="487"/>
      <c r="AW17" s="487"/>
      <c r="AX17" s="487"/>
      <c r="AY17" s="487"/>
      <c r="AZ17" s="487"/>
    </row>
    <row r="18" spans="1:52" ht="22.5" customHeight="1">
      <c r="A18" s="374">
        <v>11</v>
      </c>
      <c r="B18" s="49" t="s">
        <v>1701</v>
      </c>
      <c r="C18" s="305"/>
      <c r="D18" s="305"/>
      <c r="E18" s="305">
        <f t="shared" si="1"/>
        <v>0</v>
      </c>
      <c r="F18" s="305"/>
      <c r="G18" s="305"/>
      <c r="H18" s="305">
        <f t="shared" si="2"/>
        <v>0</v>
      </c>
      <c r="I18" s="305"/>
      <c r="J18" s="305"/>
      <c r="K18" s="305">
        <f t="shared" si="3"/>
        <v>0</v>
      </c>
      <c r="L18" s="305"/>
      <c r="M18" s="305"/>
      <c r="N18" s="305">
        <f t="shared" si="4"/>
        <v>0</v>
      </c>
      <c r="O18" s="305"/>
      <c r="P18" s="305"/>
      <c r="Q18" s="305">
        <f t="shared" si="5"/>
        <v>0</v>
      </c>
      <c r="R18" s="305">
        <v>0</v>
      </c>
      <c r="S18" s="305">
        <v>0</v>
      </c>
      <c r="T18" s="305">
        <f t="shared" si="6"/>
        <v>0</v>
      </c>
      <c r="U18" s="305"/>
      <c r="V18" s="305"/>
      <c r="W18" s="305">
        <f t="shared" si="7"/>
        <v>0</v>
      </c>
      <c r="X18" s="305"/>
      <c r="Y18" s="305"/>
      <c r="Z18" s="305">
        <f>X18+Y18</f>
        <v>0</v>
      </c>
      <c r="AA18" s="305">
        <f>E18+K18-N18+Q18+W18-Z18</f>
        <v>0</v>
      </c>
      <c r="AB18" s="487"/>
      <c r="AC18" s="487"/>
      <c r="AD18" s="487"/>
      <c r="AE18" s="487"/>
      <c r="AF18" s="487"/>
      <c r="AG18" s="487"/>
      <c r="AH18" s="487"/>
      <c r="AI18" s="487"/>
      <c r="AJ18" s="487"/>
      <c r="AK18" s="487"/>
      <c r="AL18" s="487"/>
      <c r="AM18" s="487"/>
      <c r="AN18" s="487"/>
      <c r="AO18" s="487"/>
      <c r="AP18" s="487"/>
      <c r="AQ18" s="487"/>
      <c r="AR18" s="487"/>
      <c r="AS18" s="487"/>
      <c r="AT18" s="487"/>
      <c r="AU18" s="487"/>
      <c r="AV18" s="487"/>
      <c r="AW18" s="487"/>
      <c r="AX18" s="487"/>
      <c r="AY18" s="487"/>
      <c r="AZ18" s="487"/>
    </row>
    <row r="19" spans="1:52" ht="22.5" customHeight="1">
      <c r="A19" s="374">
        <v>12</v>
      </c>
      <c r="B19" s="49" t="s">
        <v>1702</v>
      </c>
      <c r="C19" s="305"/>
      <c r="D19" s="305"/>
      <c r="E19" s="305">
        <f t="shared" si="1"/>
        <v>0</v>
      </c>
      <c r="F19" s="305"/>
      <c r="G19" s="305"/>
      <c r="H19" s="305">
        <f t="shared" si="2"/>
        <v>0</v>
      </c>
      <c r="I19" s="305"/>
      <c r="J19" s="305"/>
      <c r="K19" s="305">
        <f t="shared" si="3"/>
        <v>0</v>
      </c>
      <c r="L19" s="305"/>
      <c r="M19" s="305"/>
      <c r="N19" s="305">
        <f t="shared" si="4"/>
        <v>0</v>
      </c>
      <c r="O19" s="305"/>
      <c r="P19" s="305"/>
      <c r="Q19" s="305">
        <f t="shared" si="5"/>
        <v>0</v>
      </c>
      <c r="R19" s="305">
        <v>0</v>
      </c>
      <c r="S19" s="305">
        <v>0</v>
      </c>
      <c r="T19" s="305">
        <f t="shared" si="6"/>
        <v>0</v>
      </c>
      <c r="U19" s="305"/>
      <c r="V19" s="305"/>
      <c r="W19" s="305">
        <f t="shared" si="7"/>
        <v>0</v>
      </c>
      <c r="X19" s="305"/>
      <c r="Y19" s="305"/>
      <c r="Z19" s="305">
        <f>X19+Y19</f>
        <v>0</v>
      </c>
      <c r="AA19" s="305">
        <f>E19+K19-N19+Q19+W19-Z19</f>
        <v>0</v>
      </c>
      <c r="AB19" s="487"/>
      <c r="AC19" s="487"/>
      <c r="AD19" s="487"/>
      <c r="AE19" s="487"/>
      <c r="AF19" s="487"/>
      <c r="AG19" s="487"/>
      <c r="AH19" s="487"/>
      <c r="AI19" s="487"/>
      <c r="AJ19" s="487"/>
      <c r="AK19" s="487"/>
      <c r="AL19" s="487"/>
      <c r="AM19" s="487"/>
      <c r="AN19" s="487"/>
      <c r="AO19" s="487"/>
      <c r="AP19" s="487"/>
      <c r="AQ19" s="487"/>
      <c r="AR19" s="487"/>
      <c r="AS19" s="487"/>
      <c r="AT19" s="487"/>
      <c r="AU19" s="487"/>
      <c r="AV19" s="487"/>
      <c r="AW19" s="487"/>
      <c r="AX19" s="487"/>
      <c r="AY19" s="487"/>
      <c r="AZ19" s="487"/>
    </row>
    <row r="20" spans="1:52" ht="22.5" customHeight="1">
      <c r="A20" s="374">
        <v>13</v>
      </c>
      <c r="B20" s="49" t="s">
        <v>1703</v>
      </c>
      <c r="C20" s="305"/>
      <c r="D20" s="305"/>
      <c r="E20" s="305">
        <f t="shared" si="1"/>
        <v>0</v>
      </c>
      <c r="F20" s="305">
        <v>0</v>
      </c>
      <c r="G20" s="305"/>
      <c r="H20" s="305">
        <f t="shared" si="2"/>
        <v>0</v>
      </c>
      <c r="I20" s="305"/>
      <c r="J20" s="305"/>
      <c r="K20" s="305">
        <f t="shared" si="3"/>
        <v>0</v>
      </c>
      <c r="L20" s="305"/>
      <c r="M20" s="305"/>
      <c r="N20" s="305">
        <f t="shared" si="4"/>
        <v>0</v>
      </c>
      <c r="O20" s="305"/>
      <c r="P20" s="305"/>
      <c r="Q20" s="305">
        <f t="shared" si="5"/>
        <v>0</v>
      </c>
      <c r="R20" s="305">
        <v>0</v>
      </c>
      <c r="S20" s="305">
        <v>0</v>
      </c>
      <c r="T20" s="305">
        <f t="shared" si="6"/>
        <v>0</v>
      </c>
      <c r="U20" s="305"/>
      <c r="V20" s="305"/>
      <c r="W20" s="305">
        <f t="shared" si="7"/>
        <v>0</v>
      </c>
      <c r="X20" s="305"/>
      <c r="Y20" s="305"/>
      <c r="Z20" s="305">
        <f>X20+Y20</f>
        <v>0</v>
      </c>
      <c r="AA20" s="305">
        <f>E20+K20-N20+Q20+W20-Z20</f>
        <v>0</v>
      </c>
      <c r="AB20" s="487"/>
      <c r="AC20" s="487"/>
      <c r="AD20" s="487"/>
      <c r="AE20" s="487"/>
      <c r="AF20" s="487"/>
      <c r="AG20" s="487"/>
      <c r="AH20" s="487"/>
      <c r="AI20" s="487"/>
      <c r="AJ20" s="487"/>
      <c r="AK20" s="487"/>
      <c r="AL20" s="487"/>
      <c r="AM20" s="487"/>
      <c r="AN20" s="487"/>
      <c r="AO20" s="487"/>
      <c r="AP20" s="487"/>
      <c r="AQ20" s="487"/>
      <c r="AR20" s="487"/>
      <c r="AS20" s="487"/>
      <c r="AT20" s="487"/>
      <c r="AU20" s="487"/>
      <c r="AV20" s="487"/>
      <c r="AW20" s="487"/>
      <c r="AX20" s="487"/>
      <c r="AY20" s="487"/>
      <c r="AZ20" s="487"/>
    </row>
    <row r="21" spans="1:52" ht="22.5" customHeight="1">
      <c r="A21" s="374">
        <v>14</v>
      </c>
      <c r="B21" s="49" t="s">
        <v>1704</v>
      </c>
      <c r="C21" s="305"/>
      <c r="D21" s="305"/>
      <c r="E21" s="305">
        <f t="shared" si="1"/>
        <v>0</v>
      </c>
      <c r="F21" s="305">
        <v>0</v>
      </c>
      <c r="G21" s="305"/>
      <c r="H21" s="305">
        <f t="shared" si="2"/>
        <v>0</v>
      </c>
      <c r="I21" s="305"/>
      <c r="J21" s="305"/>
      <c r="K21" s="305">
        <f t="shared" si="3"/>
        <v>0</v>
      </c>
      <c r="L21" s="305"/>
      <c r="M21" s="305"/>
      <c r="N21" s="305">
        <f t="shared" si="4"/>
        <v>0</v>
      </c>
      <c r="O21" s="305"/>
      <c r="P21" s="305"/>
      <c r="Q21" s="305">
        <f t="shared" si="5"/>
        <v>0</v>
      </c>
      <c r="R21" s="305">
        <v>0</v>
      </c>
      <c r="S21" s="305">
        <v>0</v>
      </c>
      <c r="T21" s="305">
        <f t="shared" si="6"/>
        <v>0</v>
      </c>
      <c r="U21" s="305"/>
      <c r="V21" s="305"/>
      <c r="W21" s="305">
        <f t="shared" si="7"/>
        <v>0</v>
      </c>
      <c r="X21" s="305"/>
      <c r="Y21" s="305"/>
      <c r="Z21" s="305">
        <f>X21+Y21</f>
        <v>0</v>
      </c>
      <c r="AA21" s="305">
        <f>E21+K21-N21+Q21+W21-Z21</f>
        <v>0</v>
      </c>
      <c r="AB21" s="487"/>
      <c r="AC21" s="487"/>
      <c r="AD21" s="487"/>
      <c r="AE21" s="487"/>
      <c r="AF21" s="487"/>
      <c r="AG21" s="487"/>
      <c r="AH21" s="487"/>
      <c r="AI21" s="487"/>
      <c r="AJ21" s="487"/>
      <c r="AK21" s="487"/>
      <c r="AL21" s="487"/>
      <c r="AM21" s="487"/>
      <c r="AN21" s="487"/>
      <c r="AO21" s="487"/>
      <c r="AP21" s="487"/>
      <c r="AQ21" s="487"/>
      <c r="AR21" s="487"/>
      <c r="AS21" s="487"/>
      <c r="AT21" s="487"/>
      <c r="AU21" s="487"/>
      <c r="AV21" s="487"/>
      <c r="AW21" s="487"/>
      <c r="AX21" s="487"/>
      <c r="AY21" s="487"/>
      <c r="AZ21" s="487"/>
    </row>
    <row r="22" spans="1:52" ht="22.5" customHeight="1">
      <c r="A22" s="374">
        <v>15</v>
      </c>
      <c r="B22" s="2249" t="s">
        <v>394</v>
      </c>
      <c r="C22" s="305">
        <f t="shared" ref="C22:J22" si="11">C8+C16</f>
        <v>0</v>
      </c>
      <c r="D22" s="305">
        <f t="shared" si="11"/>
        <v>0</v>
      </c>
      <c r="E22" s="305">
        <f t="shared" si="11"/>
        <v>0</v>
      </c>
      <c r="F22" s="305">
        <f>F8+F16</f>
        <v>0</v>
      </c>
      <c r="G22" s="305">
        <f>G8+G16</f>
        <v>0</v>
      </c>
      <c r="H22" s="305">
        <f t="shared" si="11"/>
        <v>0</v>
      </c>
      <c r="I22" s="305">
        <f t="shared" si="11"/>
        <v>0</v>
      </c>
      <c r="J22" s="305">
        <f t="shared" si="11"/>
        <v>0</v>
      </c>
      <c r="K22" s="305">
        <f t="shared" si="3"/>
        <v>0</v>
      </c>
      <c r="L22" s="305">
        <f t="shared" ref="L22:AA22" si="12">L8+L16</f>
        <v>0</v>
      </c>
      <c r="M22" s="305">
        <f t="shared" si="12"/>
        <v>0</v>
      </c>
      <c r="N22" s="305">
        <f t="shared" si="12"/>
        <v>0</v>
      </c>
      <c r="O22" s="305">
        <f t="shared" si="12"/>
        <v>0</v>
      </c>
      <c r="P22" s="305">
        <f t="shared" si="12"/>
        <v>0</v>
      </c>
      <c r="Q22" s="305">
        <f t="shared" si="12"/>
        <v>0</v>
      </c>
      <c r="R22" s="305">
        <f t="shared" si="12"/>
        <v>0</v>
      </c>
      <c r="S22" s="305">
        <f t="shared" si="12"/>
        <v>0</v>
      </c>
      <c r="T22" s="305">
        <f t="shared" si="12"/>
        <v>0</v>
      </c>
      <c r="U22" s="305">
        <f t="shared" si="12"/>
        <v>0</v>
      </c>
      <c r="V22" s="305">
        <f t="shared" si="12"/>
        <v>0</v>
      </c>
      <c r="W22" s="305">
        <f t="shared" si="12"/>
        <v>0</v>
      </c>
      <c r="X22" s="305">
        <f t="shared" si="12"/>
        <v>0</v>
      </c>
      <c r="Y22" s="305">
        <f t="shared" si="12"/>
        <v>0</v>
      </c>
      <c r="Z22" s="305">
        <f t="shared" si="12"/>
        <v>0</v>
      </c>
      <c r="AA22" s="305">
        <f t="shared" si="12"/>
        <v>0</v>
      </c>
      <c r="AB22" s="487"/>
      <c r="AC22" s="487"/>
      <c r="AD22" s="487"/>
      <c r="AE22" s="487"/>
      <c r="AF22" s="487"/>
      <c r="AG22" s="487"/>
      <c r="AH22" s="487"/>
      <c r="AI22" s="487"/>
      <c r="AJ22" s="487"/>
      <c r="AK22" s="487"/>
      <c r="AL22" s="487"/>
      <c r="AM22" s="487"/>
      <c r="AN22" s="487"/>
      <c r="AO22" s="487"/>
      <c r="AP22" s="487"/>
      <c r="AQ22" s="487"/>
      <c r="AR22" s="487"/>
      <c r="AS22" s="487"/>
      <c r="AT22" s="487"/>
      <c r="AU22" s="487"/>
      <c r="AV22" s="487"/>
      <c r="AW22" s="487"/>
      <c r="AX22" s="487"/>
      <c r="AY22" s="487"/>
      <c r="AZ22" s="487"/>
    </row>
    <row r="23" spans="1:52">
      <c r="A23" s="2269" t="s">
        <v>396</v>
      </c>
      <c r="B23" s="10"/>
      <c r="C23" s="10"/>
      <c r="D23" s="10"/>
      <c r="E23" s="10"/>
      <c r="F23" s="10"/>
      <c r="G23" s="10"/>
      <c r="H23" s="10"/>
      <c r="I23" s="10"/>
      <c r="J23" s="10"/>
      <c r="K23" s="10"/>
      <c r="L23" s="10"/>
      <c r="M23" s="10"/>
      <c r="N23" s="2269"/>
      <c r="O23" s="2269"/>
      <c r="P23" s="2269"/>
      <c r="Q23" s="2269"/>
      <c r="R23" s="2269"/>
      <c r="S23" s="306"/>
      <c r="T23" s="2269"/>
      <c r="U23" s="2269"/>
      <c r="V23" s="2269"/>
    </row>
    <row r="24" spans="1:52">
      <c r="A24" s="79">
        <v>1</v>
      </c>
      <c r="B24" s="2902" t="s">
        <v>687</v>
      </c>
      <c r="C24" s="2902"/>
      <c r="D24" s="2902"/>
      <c r="E24" s="2902"/>
      <c r="F24" s="2902"/>
      <c r="G24" s="2902"/>
      <c r="H24" s="2902"/>
      <c r="I24" s="2902"/>
      <c r="J24" s="2902"/>
      <c r="K24" s="2902"/>
      <c r="L24" s="2902"/>
      <c r="M24" s="2902"/>
      <c r="N24" s="2902"/>
      <c r="O24" s="2902"/>
      <c r="P24" s="2902"/>
      <c r="Q24" s="2902"/>
      <c r="R24" s="2902"/>
      <c r="S24" s="2902"/>
      <c r="T24" s="2902"/>
      <c r="U24" s="2902"/>
      <c r="V24" s="2902"/>
      <c r="W24" s="2902"/>
    </row>
    <row r="25" spans="1:52">
      <c r="A25" s="509">
        <v>2</v>
      </c>
      <c r="B25" s="50" t="s">
        <v>148</v>
      </c>
    </row>
    <row r="26" spans="1:52">
      <c r="A26" s="509">
        <v>3</v>
      </c>
      <c r="B26" s="50" t="s">
        <v>310</v>
      </c>
    </row>
    <row r="27" spans="1:52">
      <c r="A27" s="1166">
        <v>4</v>
      </c>
      <c r="B27" s="1078" t="s">
        <v>1483</v>
      </c>
    </row>
    <row r="28" spans="1:52">
      <c r="A28" s="509">
        <v>5</v>
      </c>
      <c r="B28" s="36" t="s">
        <v>1474</v>
      </c>
    </row>
  </sheetData>
  <mergeCells count="29">
    <mergeCell ref="AA3:AA4"/>
    <mergeCell ref="C5:E5"/>
    <mergeCell ref="F5:H5"/>
    <mergeCell ref="C4:H4"/>
    <mergeCell ref="O5:Q5"/>
    <mergeCell ref="O4:T4"/>
    <mergeCell ref="M5:M6"/>
    <mergeCell ref="N5:N6"/>
    <mergeCell ref="R5:T5"/>
    <mergeCell ref="AA5:AA7"/>
    <mergeCell ref="O3:Z3"/>
    <mergeCell ref="B24:W24"/>
    <mergeCell ref="X4:Z4"/>
    <mergeCell ref="Y5:Y6"/>
    <mergeCell ref="Z5:Z6"/>
    <mergeCell ref="K5:K6"/>
    <mergeCell ref="L5:L6"/>
    <mergeCell ref="U5:U6"/>
    <mergeCell ref="V5:V6"/>
    <mergeCell ref="W5:W6"/>
    <mergeCell ref="X5:X6"/>
    <mergeCell ref="U4:W4"/>
    <mergeCell ref="A3:A7"/>
    <mergeCell ref="B3:B7"/>
    <mergeCell ref="I5:I6"/>
    <mergeCell ref="J5:J6"/>
    <mergeCell ref="C3:N3"/>
    <mergeCell ref="I4:K4"/>
    <mergeCell ref="L4:N4"/>
  </mergeCells>
  <phoneticPr fontId="29" type="noConversion"/>
  <printOptions horizontalCentered="1" gridLinesSet="0"/>
  <pageMargins left="0.15748031496062992" right="0.15748031496062992" top="0.39370078740157483" bottom="0.39370078740157483" header="0" footer="0"/>
  <pageSetup paperSize="9" scale="46" orientation="landscape" horizontalDpi="4294967295" verticalDpi="4294967295" r:id="rId1"/>
  <headerFooter alignWithMargins="0">
    <oddFooter>&amp;C&amp;"Times New Roman,標準"111&amp;R&amp;"Times New Roman,標準"&amp;A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82"/>
  <sheetViews>
    <sheetView view="pageBreakPreview" zoomScale="115" zoomScaleNormal="85" zoomScaleSheetLayoutView="115" workbookViewId="0">
      <pane xSplit="2" ySplit="5" topLeftCell="C6" activePane="bottomRight" state="frozen"/>
      <selection pane="topRight"/>
      <selection pane="bottomLeft"/>
      <selection pane="bottomRight"/>
    </sheetView>
  </sheetViews>
  <sheetFormatPr defaultColWidth="8" defaultRowHeight="14.25"/>
  <cols>
    <col min="1" max="1" width="3.625" style="80" customWidth="1"/>
    <col min="2" max="2" width="24" style="80" customWidth="1"/>
    <col min="3" max="4" width="11.125" style="80" customWidth="1"/>
    <col min="5" max="5" width="7.375" style="80" customWidth="1"/>
    <col min="6" max="6" width="6.125" style="80" customWidth="1"/>
    <col min="7" max="7" width="7.25" style="80" customWidth="1"/>
    <col min="8" max="8" width="10" style="80" customWidth="1"/>
    <col min="9" max="9" width="10.875" style="80" customWidth="1"/>
    <col min="10" max="10" width="8.625" style="80" customWidth="1"/>
    <col min="11" max="11" width="11.125" style="81" customWidth="1"/>
    <col min="12" max="12" width="10.5" style="81" customWidth="1"/>
    <col min="13" max="13" width="13.5" style="81" customWidth="1"/>
    <col min="14" max="14" width="13.125" style="81" customWidth="1"/>
    <col min="15" max="15" width="8.75" style="81" customWidth="1"/>
    <col min="16" max="16" width="9.75" style="81" customWidth="1"/>
    <col min="17" max="17" width="10.375" style="81" customWidth="1"/>
    <col min="18" max="19" width="10" style="81" customWidth="1"/>
    <col min="20" max="20" width="9.875" style="81" customWidth="1"/>
    <col min="21" max="21" width="11.125" style="81" customWidth="1"/>
    <col min="22" max="22" width="10.375" style="81" customWidth="1"/>
    <col min="23" max="24" width="8.875" style="81" customWidth="1"/>
    <col min="25" max="25" width="13.125" style="81" customWidth="1"/>
    <col min="26" max="26" width="12.875" style="81" customWidth="1"/>
    <col min="27" max="27" width="10.375" style="81" customWidth="1"/>
    <col min="28" max="28" width="10.625" style="81" customWidth="1"/>
    <col min="29" max="31" width="9.875" style="81" customWidth="1"/>
    <col min="32" max="32" width="9.75" style="81" customWidth="1"/>
    <col min="33" max="16384" width="8" style="80"/>
  </cols>
  <sheetData>
    <row r="1" spans="1:32">
      <c r="A1" s="105" t="str">
        <f>表03!A1</f>
        <v xml:space="preserve"> 保險股份有限公司    年度(月)報表</v>
      </c>
      <c r="K1" s="80"/>
      <c r="L1" s="80"/>
      <c r="M1" s="80"/>
      <c r="N1" s="80"/>
      <c r="O1" s="80"/>
      <c r="P1" s="80"/>
      <c r="Q1" s="80"/>
      <c r="R1" s="80"/>
      <c r="S1" s="80"/>
      <c r="T1" s="80"/>
      <c r="U1" s="80"/>
      <c r="V1" s="80"/>
      <c r="W1" s="80"/>
      <c r="X1" s="80"/>
      <c r="Y1" s="80"/>
      <c r="Z1" s="80"/>
      <c r="AA1" s="80"/>
      <c r="AB1" s="80"/>
      <c r="AC1" s="80"/>
      <c r="AD1" s="80"/>
      <c r="AE1" s="80"/>
      <c r="AF1" s="80"/>
    </row>
    <row r="2" spans="1:32">
      <c r="A2" s="80" t="s">
        <v>754</v>
      </c>
      <c r="AF2" s="4" t="s">
        <v>755</v>
      </c>
    </row>
    <row r="3" spans="1:32" ht="16.5" customHeight="1">
      <c r="A3" s="2875" t="s">
        <v>753</v>
      </c>
      <c r="B3" s="2875" t="s">
        <v>86</v>
      </c>
      <c r="C3" s="2855" t="s">
        <v>756</v>
      </c>
      <c r="D3" s="2858"/>
      <c r="E3" s="2858"/>
      <c r="F3" s="2858"/>
      <c r="G3" s="2858"/>
      <c r="H3" s="2858"/>
      <c r="I3" s="2858"/>
      <c r="J3" s="2858"/>
      <c r="K3" s="2858"/>
      <c r="L3" s="2858"/>
      <c r="M3" s="2858"/>
      <c r="N3" s="2858"/>
      <c r="O3" s="2858"/>
      <c r="P3" s="2858"/>
      <c r="Q3" s="2858"/>
      <c r="R3" s="2858"/>
      <c r="S3" s="2858"/>
      <c r="T3" s="2918" t="s">
        <v>757</v>
      </c>
      <c r="U3" s="2918"/>
      <c r="V3" s="2918"/>
      <c r="W3" s="2918"/>
      <c r="X3" s="2918"/>
      <c r="Y3" s="2918"/>
      <c r="Z3" s="2918"/>
      <c r="AA3" s="2918"/>
      <c r="AB3" s="2918"/>
      <c r="AC3" s="2858" t="s">
        <v>758</v>
      </c>
      <c r="AD3" s="2858"/>
      <c r="AE3" s="2858"/>
      <c r="AF3" s="2859"/>
    </row>
    <row r="4" spans="1:32" ht="71.25">
      <c r="A4" s="2914"/>
      <c r="B4" s="2916"/>
      <c r="C4" s="6" t="s">
        <v>759</v>
      </c>
      <c r="D4" s="82" t="s">
        <v>1169</v>
      </c>
      <c r="E4" s="6" t="s">
        <v>760</v>
      </c>
      <c r="F4" s="82" t="s">
        <v>761</v>
      </c>
      <c r="G4" s="6" t="s">
        <v>762</v>
      </c>
      <c r="H4" s="733" t="s">
        <v>1195</v>
      </c>
      <c r="I4" s="295" t="s">
        <v>1196</v>
      </c>
      <c r="J4" s="2261" t="s">
        <v>1081</v>
      </c>
      <c r="K4" s="733" t="s">
        <v>1197</v>
      </c>
      <c r="L4" s="295" t="s">
        <v>1198</v>
      </c>
      <c r="M4" s="733" t="s">
        <v>1199</v>
      </c>
      <c r="N4" s="295" t="s">
        <v>1200</v>
      </c>
      <c r="O4" s="669" t="s">
        <v>1082</v>
      </c>
      <c r="P4" s="295" t="s">
        <v>1201</v>
      </c>
      <c r="Q4" s="295" t="s">
        <v>1202</v>
      </c>
      <c r="R4" s="295" t="s">
        <v>1203</v>
      </c>
      <c r="S4" s="670" t="s">
        <v>1204</v>
      </c>
      <c r="T4" s="671" t="s">
        <v>1205</v>
      </c>
      <c r="U4" s="671" t="s">
        <v>1206</v>
      </c>
      <c r="V4" s="672" t="s">
        <v>1083</v>
      </c>
      <c r="W4" s="6" t="s">
        <v>1084</v>
      </c>
      <c r="X4" s="6" t="s">
        <v>1085</v>
      </c>
      <c r="Y4" s="2268" t="s">
        <v>1207</v>
      </c>
      <c r="Z4" s="2268" t="s">
        <v>1208</v>
      </c>
      <c r="AA4" s="673" t="s">
        <v>1209</v>
      </c>
      <c r="AB4" s="673" t="s">
        <v>1204</v>
      </c>
      <c r="AC4" s="673" t="s">
        <v>1210</v>
      </c>
      <c r="AD4" s="673" t="s">
        <v>1211</v>
      </c>
      <c r="AE4" s="673" t="s">
        <v>1209</v>
      </c>
      <c r="AF4" s="673" t="s">
        <v>1204</v>
      </c>
    </row>
    <row r="5" spans="1:32" s="206" customFormat="1" ht="73.5" customHeight="1">
      <c r="A5" s="2915"/>
      <c r="B5" s="2917"/>
      <c r="C5" s="2271" t="s">
        <v>66</v>
      </c>
      <c r="D5" s="2271" t="s">
        <v>763</v>
      </c>
      <c r="E5" s="2271" t="s">
        <v>764</v>
      </c>
      <c r="F5" s="51" t="s">
        <v>765</v>
      </c>
      <c r="G5" s="2271" t="s">
        <v>766</v>
      </c>
      <c r="H5" s="674" t="s">
        <v>1086</v>
      </c>
      <c r="I5" s="674" t="s">
        <v>1212</v>
      </c>
      <c r="J5" s="2271" t="s">
        <v>1213</v>
      </c>
      <c r="K5" s="674" t="s">
        <v>1087</v>
      </c>
      <c r="L5" s="2271" t="s">
        <v>1214</v>
      </c>
      <c r="M5" s="674" t="s">
        <v>1088</v>
      </c>
      <c r="N5" s="2271" t="s">
        <v>1215</v>
      </c>
      <c r="O5" s="675" t="s">
        <v>1216</v>
      </c>
      <c r="P5" s="2271" t="s">
        <v>1089</v>
      </c>
      <c r="Q5" s="675" t="s">
        <v>1217</v>
      </c>
      <c r="R5" s="2271" t="s">
        <v>1090</v>
      </c>
      <c r="S5" s="51" t="s">
        <v>1218</v>
      </c>
      <c r="T5" s="674" t="s">
        <v>1091</v>
      </c>
      <c r="U5" s="674" t="s">
        <v>1219</v>
      </c>
      <c r="V5" s="674" t="s">
        <v>1092</v>
      </c>
      <c r="W5" s="2271" t="s">
        <v>1220</v>
      </c>
      <c r="X5" s="674" t="s">
        <v>1221</v>
      </c>
      <c r="Y5" s="674" t="s">
        <v>1093</v>
      </c>
      <c r="Z5" s="2271" t="s">
        <v>1222</v>
      </c>
      <c r="AA5" s="44" t="s">
        <v>1094</v>
      </c>
      <c r="AB5" s="2271" t="s">
        <v>1223</v>
      </c>
      <c r="AC5" s="2271" t="s">
        <v>1095</v>
      </c>
      <c r="AD5" s="2271" t="s">
        <v>1224</v>
      </c>
      <c r="AE5" s="2271" t="s">
        <v>1096</v>
      </c>
      <c r="AF5" s="2271" t="s">
        <v>1225</v>
      </c>
    </row>
    <row r="6" spans="1:32" ht="15" customHeight="1">
      <c r="A6" s="21">
        <v>1</v>
      </c>
      <c r="B6" s="22" t="s">
        <v>767</v>
      </c>
      <c r="C6" s="658">
        <f>SUM(C7:C36)</f>
        <v>0</v>
      </c>
      <c r="D6" s="658">
        <f>SUM(D7:D36)</f>
        <v>0</v>
      </c>
      <c r="E6" s="659"/>
      <c r="F6" s="659"/>
      <c r="G6" s="659"/>
      <c r="H6" s="658">
        <f t="shared" ref="H6:AE6" si="0">SUM(H7:H36)</f>
        <v>0</v>
      </c>
      <c r="I6" s="658">
        <f t="shared" si="0"/>
        <v>0</v>
      </c>
      <c r="J6" s="658">
        <f t="shared" si="0"/>
        <v>0</v>
      </c>
      <c r="K6" s="658">
        <f t="shared" si="0"/>
        <v>0</v>
      </c>
      <c r="L6" s="658">
        <f t="shared" si="0"/>
        <v>0</v>
      </c>
      <c r="M6" s="658">
        <f t="shared" si="0"/>
        <v>0</v>
      </c>
      <c r="N6" s="658">
        <f t="shared" si="0"/>
        <v>0</v>
      </c>
      <c r="O6" s="658">
        <f t="shared" si="0"/>
        <v>0</v>
      </c>
      <c r="P6" s="658">
        <f t="shared" si="0"/>
        <v>0</v>
      </c>
      <c r="Q6" s="660">
        <f t="shared" si="0"/>
        <v>0</v>
      </c>
      <c r="R6" s="660">
        <f t="shared" si="0"/>
        <v>0</v>
      </c>
      <c r="S6" s="658">
        <f t="shared" si="0"/>
        <v>0</v>
      </c>
      <c r="T6" s="658">
        <f t="shared" si="0"/>
        <v>0</v>
      </c>
      <c r="U6" s="658">
        <f t="shared" si="0"/>
        <v>0</v>
      </c>
      <c r="V6" s="658">
        <f t="shared" si="0"/>
        <v>0</v>
      </c>
      <c r="W6" s="658">
        <f t="shared" si="0"/>
        <v>0</v>
      </c>
      <c r="X6" s="658"/>
      <c r="Y6" s="658">
        <f t="shared" si="0"/>
        <v>0</v>
      </c>
      <c r="Z6" s="658">
        <f t="shared" si="0"/>
        <v>0</v>
      </c>
      <c r="AA6" s="658">
        <f t="shared" si="0"/>
        <v>0</v>
      </c>
      <c r="AB6" s="658">
        <f t="shared" si="0"/>
        <v>0</v>
      </c>
      <c r="AC6" s="658">
        <f t="shared" si="0"/>
        <v>0</v>
      </c>
      <c r="AD6" s="658">
        <f t="shared" si="0"/>
        <v>0</v>
      </c>
      <c r="AE6" s="658">
        <f t="shared" si="0"/>
        <v>0</v>
      </c>
      <c r="AF6" s="658">
        <f>AB6+S6</f>
        <v>0</v>
      </c>
    </row>
    <row r="7" spans="1:32">
      <c r="A7" s="21">
        <f>A6+1</f>
        <v>2</v>
      </c>
      <c r="B7" s="22" t="s">
        <v>768</v>
      </c>
      <c r="C7" s="658"/>
      <c r="D7" s="658"/>
      <c r="E7" s="659"/>
      <c r="F7" s="659"/>
      <c r="G7" s="659">
        <f t="shared" ref="G7:G19" si="1">E7-F7</f>
        <v>0</v>
      </c>
      <c r="H7" s="658"/>
      <c r="I7" s="658"/>
      <c r="J7" s="658"/>
      <c r="K7" s="658"/>
      <c r="L7" s="658"/>
      <c r="M7" s="658"/>
      <c r="N7" s="658"/>
      <c r="O7" s="658">
        <f>ROUND(IF(G7&lt;0,-C7*G7*0.3,0)*0.8,0)</f>
        <v>0</v>
      </c>
      <c r="P7" s="658">
        <f>-K7-M7</f>
        <v>0</v>
      </c>
      <c r="Q7" s="658">
        <f>O7-L7-N7</f>
        <v>0</v>
      </c>
      <c r="R7" s="658">
        <f>H7+P7</f>
        <v>0</v>
      </c>
      <c r="S7" s="658">
        <f>I7+Q7</f>
        <v>0</v>
      </c>
      <c r="T7" s="658"/>
      <c r="U7" s="658"/>
      <c r="V7" s="658"/>
      <c r="W7" s="658"/>
      <c r="X7" s="658"/>
      <c r="Y7" s="658"/>
      <c r="Z7" s="658"/>
      <c r="AA7" s="658">
        <f>T7-Y7</f>
        <v>0</v>
      </c>
      <c r="AB7" s="658">
        <f>U7+W7-Z7</f>
        <v>0</v>
      </c>
      <c r="AC7" s="658">
        <f>P7-Y7</f>
        <v>0</v>
      </c>
      <c r="AD7" s="658">
        <f>Q7+W7-Z7</f>
        <v>0</v>
      </c>
      <c r="AE7" s="658">
        <f t="shared" ref="AE7:AE46" si="2">R7+AA7</f>
        <v>0</v>
      </c>
      <c r="AF7" s="658">
        <f t="shared" ref="AF7:AF46" si="3">S7+AB7</f>
        <v>0</v>
      </c>
    </row>
    <row r="8" spans="1:32">
      <c r="A8" s="21">
        <f t="shared" ref="A8:A46" si="4">A7+1</f>
        <v>3</v>
      </c>
      <c r="B8" s="23" t="s">
        <v>769</v>
      </c>
      <c r="C8" s="658"/>
      <c r="D8" s="658"/>
      <c r="E8" s="659"/>
      <c r="F8" s="659"/>
      <c r="G8" s="659">
        <f t="shared" si="1"/>
        <v>0</v>
      </c>
      <c r="H8" s="658"/>
      <c r="I8" s="658"/>
      <c r="J8" s="658"/>
      <c r="K8" s="658"/>
      <c r="L8" s="658"/>
      <c r="M8" s="658"/>
      <c r="N8" s="658"/>
      <c r="O8" s="658">
        <f t="shared" ref="O8:O45" si="5">ROUND(IF(G8&lt;0,-C8*G8*0.3,0)*0.8,0)</f>
        <v>0</v>
      </c>
      <c r="P8" s="658">
        <f t="shared" ref="P8:P36" si="6">-K8-M8</f>
        <v>0</v>
      </c>
      <c r="Q8" s="658">
        <f t="shared" ref="Q8:Q46" si="7">O8-L8-N8</f>
        <v>0</v>
      </c>
      <c r="R8" s="658">
        <f t="shared" ref="R8:S46" si="8">H8+P8</f>
        <v>0</v>
      </c>
      <c r="S8" s="658">
        <f t="shared" si="8"/>
        <v>0</v>
      </c>
      <c r="T8" s="658"/>
      <c r="U8" s="658"/>
      <c r="V8" s="658"/>
      <c r="W8" s="658"/>
      <c r="X8" s="658"/>
      <c r="Y8" s="658"/>
      <c r="Z8" s="658"/>
      <c r="AA8" s="658">
        <f t="shared" ref="AA8:AA46" si="9">T8-Y8</f>
        <v>0</v>
      </c>
      <c r="AB8" s="658">
        <f t="shared" ref="AB8:AB46" si="10">U8+W8-Z8</f>
        <v>0</v>
      </c>
      <c r="AC8" s="658">
        <f t="shared" ref="AC8:AC46" si="11">P8-Y8</f>
        <v>0</v>
      </c>
      <c r="AD8" s="658">
        <f t="shared" ref="AD8:AD46" si="12">Q8+W8-Z8</f>
        <v>0</v>
      </c>
      <c r="AE8" s="658">
        <f>R8+AA8</f>
        <v>0</v>
      </c>
      <c r="AF8" s="658">
        <f>S8+AB8</f>
        <v>0</v>
      </c>
    </row>
    <row r="9" spans="1:32">
      <c r="A9" s="21">
        <f t="shared" si="4"/>
        <v>4</v>
      </c>
      <c r="B9" s="23" t="s">
        <v>770</v>
      </c>
      <c r="C9" s="658"/>
      <c r="D9" s="658"/>
      <c r="E9" s="659"/>
      <c r="F9" s="659"/>
      <c r="G9" s="659">
        <f t="shared" si="1"/>
        <v>0</v>
      </c>
      <c r="H9" s="658"/>
      <c r="I9" s="658"/>
      <c r="J9" s="658"/>
      <c r="K9" s="658"/>
      <c r="L9" s="658"/>
      <c r="M9" s="658"/>
      <c r="N9" s="658"/>
      <c r="O9" s="658">
        <f t="shared" si="5"/>
        <v>0</v>
      </c>
      <c r="P9" s="658">
        <f t="shared" si="6"/>
        <v>0</v>
      </c>
      <c r="Q9" s="658">
        <f t="shared" si="7"/>
        <v>0</v>
      </c>
      <c r="R9" s="658">
        <f t="shared" si="8"/>
        <v>0</v>
      </c>
      <c r="S9" s="658">
        <f t="shared" si="8"/>
        <v>0</v>
      </c>
      <c r="T9" s="658"/>
      <c r="U9" s="658"/>
      <c r="V9" s="658"/>
      <c r="W9" s="658"/>
      <c r="X9" s="658"/>
      <c r="Y9" s="658"/>
      <c r="Z9" s="658"/>
      <c r="AA9" s="658">
        <f t="shared" si="9"/>
        <v>0</v>
      </c>
      <c r="AB9" s="658">
        <f t="shared" si="10"/>
        <v>0</v>
      </c>
      <c r="AC9" s="658">
        <f t="shared" si="11"/>
        <v>0</v>
      </c>
      <c r="AD9" s="658">
        <f t="shared" si="12"/>
        <v>0</v>
      </c>
      <c r="AE9" s="658">
        <f t="shared" si="2"/>
        <v>0</v>
      </c>
      <c r="AF9" s="658">
        <f t="shared" si="3"/>
        <v>0</v>
      </c>
    </row>
    <row r="10" spans="1:32" ht="17.25" customHeight="1">
      <c r="A10" s="21">
        <f t="shared" si="4"/>
        <v>5</v>
      </c>
      <c r="B10" s="23" t="s">
        <v>771</v>
      </c>
      <c r="C10" s="658"/>
      <c r="D10" s="658"/>
      <c r="E10" s="659"/>
      <c r="F10" s="659"/>
      <c r="G10" s="659">
        <f t="shared" si="1"/>
        <v>0</v>
      </c>
      <c r="H10" s="658"/>
      <c r="I10" s="658"/>
      <c r="J10" s="658"/>
      <c r="K10" s="658"/>
      <c r="L10" s="658"/>
      <c r="M10" s="658"/>
      <c r="N10" s="658"/>
      <c r="O10" s="658">
        <f t="shared" si="5"/>
        <v>0</v>
      </c>
      <c r="P10" s="658">
        <f t="shared" si="6"/>
        <v>0</v>
      </c>
      <c r="Q10" s="658">
        <f t="shared" si="7"/>
        <v>0</v>
      </c>
      <c r="R10" s="658">
        <f t="shared" si="8"/>
        <v>0</v>
      </c>
      <c r="S10" s="658">
        <f t="shared" si="8"/>
        <v>0</v>
      </c>
      <c r="T10" s="658"/>
      <c r="U10" s="658"/>
      <c r="V10" s="658"/>
      <c r="W10" s="658"/>
      <c r="X10" s="658"/>
      <c r="Y10" s="658"/>
      <c r="Z10" s="658"/>
      <c r="AA10" s="658">
        <f t="shared" si="9"/>
        <v>0</v>
      </c>
      <c r="AB10" s="658">
        <f t="shared" si="10"/>
        <v>0</v>
      </c>
      <c r="AC10" s="658">
        <f t="shared" si="11"/>
        <v>0</v>
      </c>
      <c r="AD10" s="658">
        <f t="shared" si="12"/>
        <v>0</v>
      </c>
      <c r="AE10" s="658">
        <f t="shared" si="2"/>
        <v>0</v>
      </c>
      <c r="AF10" s="658">
        <f t="shared" si="3"/>
        <v>0</v>
      </c>
    </row>
    <row r="11" spans="1:32">
      <c r="A11" s="21">
        <f t="shared" si="4"/>
        <v>6</v>
      </c>
      <c r="B11" s="23" t="s">
        <v>772</v>
      </c>
      <c r="C11" s="658"/>
      <c r="D11" s="658"/>
      <c r="E11" s="659"/>
      <c r="F11" s="659"/>
      <c r="G11" s="659">
        <f t="shared" si="1"/>
        <v>0</v>
      </c>
      <c r="H11" s="658"/>
      <c r="I11" s="658"/>
      <c r="J11" s="658"/>
      <c r="K11" s="658"/>
      <c r="L11" s="658"/>
      <c r="M11" s="658"/>
      <c r="N11" s="658"/>
      <c r="O11" s="658">
        <f t="shared" si="5"/>
        <v>0</v>
      </c>
      <c r="P11" s="658">
        <f t="shared" si="6"/>
        <v>0</v>
      </c>
      <c r="Q11" s="658">
        <f t="shared" si="7"/>
        <v>0</v>
      </c>
      <c r="R11" s="658">
        <f t="shared" si="8"/>
        <v>0</v>
      </c>
      <c r="S11" s="658">
        <f t="shared" si="8"/>
        <v>0</v>
      </c>
      <c r="T11" s="658"/>
      <c r="U11" s="658"/>
      <c r="V11" s="658"/>
      <c r="W11" s="658"/>
      <c r="X11" s="658"/>
      <c r="Y11" s="658"/>
      <c r="Z11" s="658"/>
      <c r="AA11" s="658">
        <f t="shared" si="9"/>
        <v>0</v>
      </c>
      <c r="AB11" s="658">
        <f t="shared" si="10"/>
        <v>0</v>
      </c>
      <c r="AC11" s="658">
        <f t="shared" si="11"/>
        <v>0</v>
      </c>
      <c r="AD11" s="658">
        <f t="shared" si="12"/>
        <v>0</v>
      </c>
      <c r="AE11" s="658">
        <f t="shared" si="2"/>
        <v>0</v>
      </c>
      <c r="AF11" s="658">
        <f t="shared" si="3"/>
        <v>0</v>
      </c>
    </row>
    <row r="12" spans="1:32">
      <c r="A12" s="21">
        <f t="shared" si="4"/>
        <v>7</v>
      </c>
      <c r="B12" s="23" t="s">
        <v>773</v>
      </c>
      <c r="C12" s="658"/>
      <c r="D12" s="658"/>
      <c r="E12" s="659"/>
      <c r="F12" s="659"/>
      <c r="G12" s="659">
        <f t="shared" si="1"/>
        <v>0</v>
      </c>
      <c r="H12" s="658"/>
      <c r="I12" s="658"/>
      <c r="J12" s="658"/>
      <c r="K12" s="658"/>
      <c r="L12" s="658"/>
      <c r="M12" s="658"/>
      <c r="N12" s="658"/>
      <c r="O12" s="658">
        <f t="shared" si="5"/>
        <v>0</v>
      </c>
      <c r="P12" s="658">
        <f t="shared" si="6"/>
        <v>0</v>
      </c>
      <c r="Q12" s="658">
        <f t="shared" si="7"/>
        <v>0</v>
      </c>
      <c r="R12" s="658">
        <f t="shared" si="8"/>
        <v>0</v>
      </c>
      <c r="S12" s="658">
        <f t="shared" si="8"/>
        <v>0</v>
      </c>
      <c r="T12" s="658"/>
      <c r="U12" s="658"/>
      <c r="V12" s="658"/>
      <c r="W12" s="658"/>
      <c r="X12" s="658"/>
      <c r="Y12" s="658"/>
      <c r="Z12" s="658"/>
      <c r="AA12" s="658">
        <f t="shared" si="9"/>
        <v>0</v>
      </c>
      <c r="AB12" s="658">
        <f t="shared" si="10"/>
        <v>0</v>
      </c>
      <c r="AC12" s="658">
        <f t="shared" si="11"/>
        <v>0</v>
      </c>
      <c r="AD12" s="658">
        <f t="shared" si="12"/>
        <v>0</v>
      </c>
      <c r="AE12" s="658">
        <f t="shared" si="2"/>
        <v>0</v>
      </c>
      <c r="AF12" s="658">
        <f t="shared" si="3"/>
        <v>0</v>
      </c>
    </row>
    <row r="13" spans="1:32">
      <c r="A13" s="21">
        <f t="shared" si="4"/>
        <v>8</v>
      </c>
      <c r="B13" s="23" t="s">
        <v>774</v>
      </c>
      <c r="C13" s="658"/>
      <c r="D13" s="658"/>
      <c r="E13" s="659"/>
      <c r="F13" s="659"/>
      <c r="G13" s="659">
        <f t="shared" si="1"/>
        <v>0</v>
      </c>
      <c r="H13" s="658"/>
      <c r="I13" s="658"/>
      <c r="J13" s="658"/>
      <c r="K13" s="658"/>
      <c r="L13" s="658"/>
      <c r="M13" s="658"/>
      <c r="N13" s="658"/>
      <c r="O13" s="658">
        <f t="shared" si="5"/>
        <v>0</v>
      </c>
      <c r="P13" s="658">
        <f t="shared" si="6"/>
        <v>0</v>
      </c>
      <c r="Q13" s="658">
        <f t="shared" si="7"/>
        <v>0</v>
      </c>
      <c r="R13" s="658">
        <f t="shared" si="8"/>
        <v>0</v>
      </c>
      <c r="S13" s="658">
        <f t="shared" si="8"/>
        <v>0</v>
      </c>
      <c r="T13" s="658"/>
      <c r="U13" s="658"/>
      <c r="V13" s="658"/>
      <c r="W13" s="658"/>
      <c r="X13" s="658"/>
      <c r="Y13" s="658"/>
      <c r="Z13" s="658"/>
      <c r="AA13" s="658">
        <f t="shared" si="9"/>
        <v>0</v>
      </c>
      <c r="AB13" s="658">
        <f t="shared" si="10"/>
        <v>0</v>
      </c>
      <c r="AC13" s="658">
        <f t="shared" si="11"/>
        <v>0</v>
      </c>
      <c r="AD13" s="658">
        <f t="shared" si="12"/>
        <v>0</v>
      </c>
      <c r="AE13" s="658">
        <f t="shared" si="2"/>
        <v>0</v>
      </c>
      <c r="AF13" s="658">
        <f t="shared" si="3"/>
        <v>0</v>
      </c>
    </row>
    <row r="14" spans="1:32">
      <c r="A14" s="21">
        <f t="shared" si="4"/>
        <v>9</v>
      </c>
      <c r="B14" s="23" t="s">
        <v>775</v>
      </c>
      <c r="C14" s="658"/>
      <c r="D14" s="658"/>
      <c r="E14" s="659"/>
      <c r="F14" s="659"/>
      <c r="G14" s="659">
        <f t="shared" si="1"/>
        <v>0</v>
      </c>
      <c r="H14" s="658"/>
      <c r="I14" s="658"/>
      <c r="J14" s="658"/>
      <c r="K14" s="658"/>
      <c r="L14" s="658"/>
      <c r="M14" s="658"/>
      <c r="N14" s="658"/>
      <c r="O14" s="658">
        <f t="shared" si="5"/>
        <v>0</v>
      </c>
      <c r="P14" s="658">
        <f t="shared" si="6"/>
        <v>0</v>
      </c>
      <c r="Q14" s="658">
        <f t="shared" si="7"/>
        <v>0</v>
      </c>
      <c r="R14" s="658">
        <f t="shared" si="8"/>
        <v>0</v>
      </c>
      <c r="S14" s="658">
        <f t="shared" si="8"/>
        <v>0</v>
      </c>
      <c r="T14" s="658"/>
      <c r="U14" s="658"/>
      <c r="V14" s="658"/>
      <c r="W14" s="658"/>
      <c r="X14" s="658"/>
      <c r="Y14" s="658"/>
      <c r="Z14" s="658"/>
      <c r="AA14" s="658">
        <f t="shared" si="9"/>
        <v>0</v>
      </c>
      <c r="AB14" s="658">
        <f t="shared" si="10"/>
        <v>0</v>
      </c>
      <c r="AC14" s="658">
        <f t="shared" si="11"/>
        <v>0</v>
      </c>
      <c r="AD14" s="658">
        <f t="shared" si="12"/>
        <v>0</v>
      </c>
      <c r="AE14" s="658">
        <f t="shared" si="2"/>
        <v>0</v>
      </c>
      <c r="AF14" s="658">
        <f t="shared" si="3"/>
        <v>0</v>
      </c>
    </row>
    <row r="15" spans="1:32">
      <c r="A15" s="21">
        <f t="shared" si="4"/>
        <v>10</v>
      </c>
      <c r="B15" s="23" t="s">
        <v>776</v>
      </c>
      <c r="C15" s="658"/>
      <c r="D15" s="658"/>
      <c r="E15" s="659"/>
      <c r="F15" s="659"/>
      <c r="G15" s="659">
        <f t="shared" si="1"/>
        <v>0</v>
      </c>
      <c r="H15" s="658"/>
      <c r="I15" s="658"/>
      <c r="J15" s="658"/>
      <c r="K15" s="658"/>
      <c r="L15" s="658"/>
      <c r="M15" s="658"/>
      <c r="N15" s="658"/>
      <c r="O15" s="658">
        <f t="shared" si="5"/>
        <v>0</v>
      </c>
      <c r="P15" s="658">
        <f t="shared" si="6"/>
        <v>0</v>
      </c>
      <c r="Q15" s="658">
        <f t="shared" si="7"/>
        <v>0</v>
      </c>
      <c r="R15" s="658">
        <f t="shared" si="8"/>
        <v>0</v>
      </c>
      <c r="S15" s="658">
        <f t="shared" si="8"/>
        <v>0</v>
      </c>
      <c r="T15" s="658"/>
      <c r="U15" s="658"/>
      <c r="V15" s="658"/>
      <c r="W15" s="658"/>
      <c r="X15" s="658"/>
      <c r="Y15" s="658"/>
      <c r="Z15" s="658"/>
      <c r="AA15" s="658">
        <f t="shared" si="9"/>
        <v>0</v>
      </c>
      <c r="AB15" s="658">
        <f t="shared" si="10"/>
        <v>0</v>
      </c>
      <c r="AC15" s="658">
        <f t="shared" si="11"/>
        <v>0</v>
      </c>
      <c r="AD15" s="658">
        <f t="shared" si="12"/>
        <v>0</v>
      </c>
      <c r="AE15" s="658">
        <f t="shared" si="2"/>
        <v>0</v>
      </c>
      <c r="AF15" s="658">
        <f t="shared" si="3"/>
        <v>0</v>
      </c>
    </row>
    <row r="16" spans="1:32">
      <c r="A16" s="21">
        <f t="shared" si="4"/>
        <v>11</v>
      </c>
      <c r="B16" s="23" t="s">
        <v>777</v>
      </c>
      <c r="C16" s="658"/>
      <c r="D16" s="658"/>
      <c r="E16" s="659"/>
      <c r="F16" s="659"/>
      <c r="G16" s="659">
        <f t="shared" si="1"/>
        <v>0</v>
      </c>
      <c r="H16" s="658"/>
      <c r="I16" s="658"/>
      <c r="J16" s="658"/>
      <c r="K16" s="658"/>
      <c r="L16" s="658"/>
      <c r="M16" s="658"/>
      <c r="N16" s="658"/>
      <c r="O16" s="658">
        <f t="shared" si="5"/>
        <v>0</v>
      </c>
      <c r="P16" s="658">
        <f t="shared" si="6"/>
        <v>0</v>
      </c>
      <c r="Q16" s="658">
        <f t="shared" si="7"/>
        <v>0</v>
      </c>
      <c r="R16" s="658">
        <f t="shared" si="8"/>
        <v>0</v>
      </c>
      <c r="S16" s="658">
        <f t="shared" si="8"/>
        <v>0</v>
      </c>
      <c r="T16" s="658"/>
      <c r="U16" s="658"/>
      <c r="V16" s="658"/>
      <c r="W16" s="658"/>
      <c r="X16" s="658"/>
      <c r="Y16" s="658"/>
      <c r="Z16" s="658"/>
      <c r="AA16" s="658">
        <f t="shared" si="9"/>
        <v>0</v>
      </c>
      <c r="AB16" s="658">
        <f t="shared" si="10"/>
        <v>0</v>
      </c>
      <c r="AC16" s="658">
        <f t="shared" si="11"/>
        <v>0</v>
      </c>
      <c r="AD16" s="658">
        <f t="shared" si="12"/>
        <v>0</v>
      </c>
      <c r="AE16" s="658">
        <f t="shared" si="2"/>
        <v>0</v>
      </c>
      <c r="AF16" s="658">
        <f t="shared" si="3"/>
        <v>0</v>
      </c>
    </row>
    <row r="17" spans="1:32">
      <c r="A17" s="21">
        <f t="shared" si="4"/>
        <v>12</v>
      </c>
      <c r="B17" s="23" t="s">
        <v>778</v>
      </c>
      <c r="C17" s="658"/>
      <c r="D17" s="658"/>
      <c r="E17" s="659"/>
      <c r="F17" s="659"/>
      <c r="G17" s="659">
        <f t="shared" si="1"/>
        <v>0</v>
      </c>
      <c r="H17" s="658"/>
      <c r="I17" s="658"/>
      <c r="J17" s="658"/>
      <c r="K17" s="658"/>
      <c r="L17" s="658"/>
      <c r="M17" s="658"/>
      <c r="N17" s="658"/>
      <c r="O17" s="658">
        <f t="shared" si="5"/>
        <v>0</v>
      </c>
      <c r="P17" s="658">
        <f t="shared" si="6"/>
        <v>0</v>
      </c>
      <c r="Q17" s="658">
        <f t="shared" si="7"/>
        <v>0</v>
      </c>
      <c r="R17" s="658">
        <f t="shared" si="8"/>
        <v>0</v>
      </c>
      <c r="S17" s="658">
        <f t="shared" si="8"/>
        <v>0</v>
      </c>
      <c r="T17" s="658"/>
      <c r="U17" s="658"/>
      <c r="V17" s="658"/>
      <c r="W17" s="658"/>
      <c r="X17" s="658"/>
      <c r="Y17" s="658"/>
      <c r="Z17" s="658"/>
      <c r="AA17" s="658">
        <f t="shared" si="9"/>
        <v>0</v>
      </c>
      <c r="AB17" s="658">
        <f t="shared" si="10"/>
        <v>0</v>
      </c>
      <c r="AC17" s="658">
        <f t="shared" si="11"/>
        <v>0</v>
      </c>
      <c r="AD17" s="658">
        <f t="shared" si="12"/>
        <v>0</v>
      </c>
      <c r="AE17" s="658">
        <f t="shared" si="2"/>
        <v>0</v>
      </c>
      <c r="AF17" s="658">
        <f t="shared" si="3"/>
        <v>0</v>
      </c>
    </row>
    <row r="18" spans="1:32">
      <c r="A18" s="21">
        <f t="shared" si="4"/>
        <v>13</v>
      </c>
      <c r="B18" s="23" t="s">
        <v>779</v>
      </c>
      <c r="C18" s="658"/>
      <c r="D18" s="658"/>
      <c r="E18" s="659"/>
      <c r="F18" s="659"/>
      <c r="G18" s="659">
        <f t="shared" si="1"/>
        <v>0</v>
      </c>
      <c r="H18" s="658"/>
      <c r="I18" s="658"/>
      <c r="J18" s="658"/>
      <c r="K18" s="658"/>
      <c r="L18" s="658"/>
      <c r="M18" s="658"/>
      <c r="N18" s="658"/>
      <c r="O18" s="661">
        <f t="shared" si="5"/>
        <v>0</v>
      </c>
      <c r="P18" s="658">
        <f t="shared" si="6"/>
        <v>0</v>
      </c>
      <c r="Q18" s="658">
        <f t="shared" si="7"/>
        <v>0</v>
      </c>
      <c r="R18" s="658">
        <f t="shared" si="8"/>
        <v>0</v>
      </c>
      <c r="S18" s="658">
        <f t="shared" si="8"/>
        <v>0</v>
      </c>
      <c r="T18" s="658"/>
      <c r="U18" s="658"/>
      <c r="V18" s="658"/>
      <c r="W18" s="658"/>
      <c r="X18" s="658"/>
      <c r="Y18" s="658"/>
      <c r="Z18" s="658"/>
      <c r="AA18" s="658">
        <f t="shared" si="9"/>
        <v>0</v>
      </c>
      <c r="AB18" s="658">
        <f t="shared" si="10"/>
        <v>0</v>
      </c>
      <c r="AC18" s="658">
        <f t="shared" si="11"/>
        <v>0</v>
      </c>
      <c r="AD18" s="658">
        <f t="shared" si="12"/>
        <v>0</v>
      </c>
      <c r="AE18" s="658">
        <f t="shared" si="2"/>
        <v>0</v>
      </c>
      <c r="AF18" s="658">
        <f t="shared" si="3"/>
        <v>0</v>
      </c>
    </row>
    <row r="19" spans="1:32">
      <c r="A19" s="21">
        <f t="shared" si="4"/>
        <v>14</v>
      </c>
      <c r="B19" s="23" t="s">
        <v>780</v>
      </c>
      <c r="C19" s="658"/>
      <c r="D19" s="658"/>
      <c r="E19" s="659"/>
      <c r="F19" s="659"/>
      <c r="G19" s="659">
        <f t="shared" si="1"/>
        <v>0</v>
      </c>
      <c r="H19" s="658"/>
      <c r="I19" s="658"/>
      <c r="J19" s="658"/>
      <c r="K19" s="658"/>
      <c r="L19" s="658"/>
      <c r="M19" s="658"/>
      <c r="N19" s="658"/>
      <c r="O19" s="658">
        <f t="shared" si="5"/>
        <v>0</v>
      </c>
      <c r="P19" s="658">
        <f t="shared" si="6"/>
        <v>0</v>
      </c>
      <c r="Q19" s="658">
        <f t="shared" si="7"/>
        <v>0</v>
      </c>
      <c r="R19" s="658">
        <f t="shared" si="8"/>
        <v>0</v>
      </c>
      <c r="S19" s="658">
        <f t="shared" si="8"/>
        <v>0</v>
      </c>
      <c r="T19" s="658"/>
      <c r="U19" s="658"/>
      <c r="V19" s="658"/>
      <c r="W19" s="658"/>
      <c r="X19" s="658"/>
      <c r="Y19" s="658"/>
      <c r="Z19" s="658"/>
      <c r="AA19" s="658">
        <f t="shared" si="9"/>
        <v>0</v>
      </c>
      <c r="AB19" s="658">
        <f t="shared" si="10"/>
        <v>0</v>
      </c>
      <c r="AC19" s="658">
        <f t="shared" si="11"/>
        <v>0</v>
      </c>
      <c r="AD19" s="658">
        <f t="shared" si="12"/>
        <v>0</v>
      </c>
      <c r="AE19" s="658">
        <f t="shared" si="2"/>
        <v>0</v>
      </c>
      <c r="AF19" s="658">
        <f t="shared" si="3"/>
        <v>0</v>
      </c>
    </row>
    <row r="20" spans="1:32">
      <c r="A20" s="21">
        <f t="shared" si="4"/>
        <v>15</v>
      </c>
      <c r="B20" s="23" t="s">
        <v>781</v>
      </c>
      <c r="C20" s="658"/>
      <c r="D20" s="658"/>
      <c r="E20" s="662"/>
      <c r="F20" s="662"/>
      <c r="G20" s="662"/>
      <c r="H20" s="663"/>
      <c r="I20" s="663"/>
      <c r="J20" s="663"/>
      <c r="K20" s="663"/>
      <c r="L20" s="663"/>
      <c r="M20" s="663"/>
      <c r="N20" s="663"/>
      <c r="O20" s="663">
        <f t="shared" si="5"/>
        <v>0</v>
      </c>
      <c r="P20" s="658">
        <f t="shared" si="6"/>
        <v>0</v>
      </c>
      <c r="Q20" s="663"/>
      <c r="R20" s="663"/>
      <c r="S20" s="663"/>
      <c r="T20" s="663"/>
      <c r="U20" s="663"/>
      <c r="V20" s="658"/>
      <c r="W20" s="663"/>
      <c r="X20" s="663"/>
      <c r="Y20" s="663"/>
      <c r="Z20" s="663"/>
      <c r="AA20" s="663"/>
      <c r="AB20" s="663"/>
      <c r="AC20" s="658">
        <f t="shared" si="11"/>
        <v>0</v>
      </c>
      <c r="AD20" s="663"/>
      <c r="AE20" s="658">
        <f t="shared" si="2"/>
        <v>0</v>
      </c>
      <c r="AF20" s="663"/>
    </row>
    <row r="21" spans="1:32">
      <c r="A21" s="21">
        <f t="shared" si="4"/>
        <v>16</v>
      </c>
      <c r="B21" s="23" t="s">
        <v>782</v>
      </c>
      <c r="C21" s="658"/>
      <c r="D21" s="658"/>
      <c r="E21" s="664"/>
      <c r="F21" s="664"/>
      <c r="G21" s="664"/>
      <c r="H21" s="663"/>
      <c r="I21" s="663"/>
      <c r="J21" s="663"/>
      <c r="K21" s="663"/>
      <c r="L21" s="663"/>
      <c r="M21" s="663"/>
      <c r="N21" s="663"/>
      <c r="O21" s="663">
        <f t="shared" si="5"/>
        <v>0</v>
      </c>
      <c r="P21" s="658">
        <f t="shared" si="6"/>
        <v>0</v>
      </c>
      <c r="Q21" s="663"/>
      <c r="R21" s="663"/>
      <c r="S21" s="663"/>
      <c r="T21" s="663"/>
      <c r="U21" s="663"/>
      <c r="V21" s="658"/>
      <c r="W21" s="663"/>
      <c r="X21" s="663"/>
      <c r="Y21" s="663"/>
      <c r="Z21" s="663"/>
      <c r="AA21" s="663"/>
      <c r="AB21" s="663"/>
      <c r="AC21" s="658">
        <f t="shared" si="11"/>
        <v>0</v>
      </c>
      <c r="AD21" s="663"/>
      <c r="AE21" s="658">
        <f t="shared" si="2"/>
        <v>0</v>
      </c>
      <c r="AF21" s="663"/>
    </row>
    <row r="22" spans="1:32">
      <c r="A22" s="21">
        <f t="shared" si="4"/>
        <v>17</v>
      </c>
      <c r="B22" s="23" t="s">
        <v>783</v>
      </c>
      <c r="C22" s="658"/>
      <c r="D22" s="658"/>
      <c r="E22" s="664"/>
      <c r="F22" s="664"/>
      <c r="G22" s="664"/>
      <c r="H22" s="663"/>
      <c r="I22" s="663"/>
      <c r="J22" s="663"/>
      <c r="K22" s="663"/>
      <c r="L22" s="663"/>
      <c r="M22" s="663"/>
      <c r="N22" s="663"/>
      <c r="O22" s="663">
        <f t="shared" si="5"/>
        <v>0</v>
      </c>
      <c r="P22" s="658">
        <f t="shared" si="6"/>
        <v>0</v>
      </c>
      <c r="Q22" s="663"/>
      <c r="R22" s="663"/>
      <c r="S22" s="663"/>
      <c r="T22" s="663"/>
      <c r="U22" s="663"/>
      <c r="V22" s="658"/>
      <c r="W22" s="663"/>
      <c r="X22" s="663"/>
      <c r="Y22" s="663"/>
      <c r="Z22" s="663"/>
      <c r="AA22" s="663"/>
      <c r="AB22" s="663"/>
      <c r="AC22" s="658">
        <f t="shared" si="11"/>
        <v>0</v>
      </c>
      <c r="AD22" s="663"/>
      <c r="AE22" s="658">
        <f t="shared" si="2"/>
        <v>0</v>
      </c>
      <c r="AF22" s="663"/>
    </row>
    <row r="23" spans="1:32">
      <c r="A23" s="21">
        <f t="shared" si="4"/>
        <v>18</v>
      </c>
      <c r="B23" s="23" t="s">
        <v>784</v>
      </c>
      <c r="C23" s="658"/>
      <c r="D23" s="658"/>
      <c r="E23" s="659"/>
      <c r="F23" s="659"/>
      <c r="G23" s="659">
        <f t="shared" ref="G23:G30" si="13">E23-F23</f>
        <v>0</v>
      </c>
      <c r="H23" s="658"/>
      <c r="I23" s="658"/>
      <c r="J23" s="658"/>
      <c r="K23" s="658"/>
      <c r="L23" s="658"/>
      <c r="M23" s="658"/>
      <c r="N23" s="658"/>
      <c r="O23" s="658">
        <f t="shared" si="5"/>
        <v>0</v>
      </c>
      <c r="P23" s="658">
        <f t="shared" si="6"/>
        <v>0</v>
      </c>
      <c r="Q23" s="658">
        <f t="shared" si="7"/>
        <v>0</v>
      </c>
      <c r="R23" s="658">
        <f t="shared" si="8"/>
        <v>0</v>
      </c>
      <c r="S23" s="658">
        <f t="shared" si="8"/>
        <v>0</v>
      </c>
      <c r="T23" s="658"/>
      <c r="U23" s="658"/>
      <c r="V23" s="658"/>
      <c r="W23" s="658"/>
      <c r="X23" s="658"/>
      <c r="Y23" s="658"/>
      <c r="Z23" s="658"/>
      <c r="AA23" s="658">
        <f t="shared" si="9"/>
        <v>0</v>
      </c>
      <c r="AB23" s="658">
        <f t="shared" si="10"/>
        <v>0</v>
      </c>
      <c r="AC23" s="658">
        <f t="shared" si="11"/>
        <v>0</v>
      </c>
      <c r="AD23" s="658">
        <f t="shared" si="12"/>
        <v>0</v>
      </c>
      <c r="AE23" s="658">
        <f t="shared" si="2"/>
        <v>0</v>
      </c>
      <c r="AF23" s="658">
        <f t="shared" si="3"/>
        <v>0</v>
      </c>
    </row>
    <row r="24" spans="1:32">
      <c r="A24" s="21">
        <f t="shared" si="4"/>
        <v>19</v>
      </c>
      <c r="B24" s="23" t="s">
        <v>785</v>
      </c>
      <c r="C24" s="658"/>
      <c r="D24" s="658"/>
      <c r="E24" s="659"/>
      <c r="F24" s="659"/>
      <c r="G24" s="659">
        <f t="shared" si="13"/>
        <v>0</v>
      </c>
      <c r="H24" s="658"/>
      <c r="I24" s="658"/>
      <c r="J24" s="658"/>
      <c r="K24" s="658"/>
      <c r="L24" s="658"/>
      <c r="M24" s="658"/>
      <c r="N24" s="658"/>
      <c r="O24" s="658">
        <f t="shared" si="5"/>
        <v>0</v>
      </c>
      <c r="P24" s="658">
        <f t="shared" si="6"/>
        <v>0</v>
      </c>
      <c r="Q24" s="658">
        <f t="shared" si="7"/>
        <v>0</v>
      </c>
      <c r="R24" s="658">
        <f t="shared" si="8"/>
        <v>0</v>
      </c>
      <c r="S24" s="658">
        <f t="shared" si="8"/>
        <v>0</v>
      </c>
      <c r="T24" s="658"/>
      <c r="U24" s="658"/>
      <c r="V24" s="658"/>
      <c r="W24" s="658"/>
      <c r="X24" s="658"/>
      <c r="Y24" s="658"/>
      <c r="Z24" s="658"/>
      <c r="AA24" s="658">
        <f t="shared" si="9"/>
        <v>0</v>
      </c>
      <c r="AB24" s="658">
        <f t="shared" si="10"/>
        <v>0</v>
      </c>
      <c r="AC24" s="658">
        <f t="shared" si="11"/>
        <v>0</v>
      </c>
      <c r="AD24" s="658">
        <f t="shared" si="12"/>
        <v>0</v>
      </c>
      <c r="AE24" s="658">
        <f t="shared" si="2"/>
        <v>0</v>
      </c>
      <c r="AF24" s="658">
        <f t="shared" si="3"/>
        <v>0</v>
      </c>
    </row>
    <row r="25" spans="1:32" ht="14.25" customHeight="1">
      <c r="A25" s="21">
        <f t="shared" si="4"/>
        <v>20</v>
      </c>
      <c r="B25" s="23" t="s">
        <v>786</v>
      </c>
      <c r="C25" s="658"/>
      <c r="D25" s="658"/>
      <c r="E25" s="659"/>
      <c r="F25" s="659"/>
      <c r="G25" s="659">
        <f t="shared" si="13"/>
        <v>0</v>
      </c>
      <c r="H25" s="658"/>
      <c r="I25" s="658"/>
      <c r="J25" s="658"/>
      <c r="K25" s="658"/>
      <c r="L25" s="658"/>
      <c r="M25" s="658"/>
      <c r="N25" s="658"/>
      <c r="O25" s="658">
        <f t="shared" si="5"/>
        <v>0</v>
      </c>
      <c r="P25" s="658">
        <f t="shared" si="6"/>
        <v>0</v>
      </c>
      <c r="Q25" s="658">
        <f t="shared" si="7"/>
        <v>0</v>
      </c>
      <c r="R25" s="658">
        <f t="shared" si="8"/>
        <v>0</v>
      </c>
      <c r="S25" s="658">
        <f t="shared" si="8"/>
        <v>0</v>
      </c>
      <c r="T25" s="658"/>
      <c r="U25" s="658"/>
      <c r="V25" s="658"/>
      <c r="W25" s="658"/>
      <c r="X25" s="658"/>
      <c r="Y25" s="658"/>
      <c r="Z25" s="658"/>
      <c r="AA25" s="658">
        <f t="shared" si="9"/>
        <v>0</v>
      </c>
      <c r="AB25" s="658">
        <f t="shared" si="10"/>
        <v>0</v>
      </c>
      <c r="AC25" s="658">
        <f t="shared" si="11"/>
        <v>0</v>
      </c>
      <c r="AD25" s="658">
        <f t="shared" si="12"/>
        <v>0</v>
      </c>
      <c r="AE25" s="658">
        <f t="shared" si="2"/>
        <v>0</v>
      </c>
      <c r="AF25" s="658">
        <f t="shared" si="3"/>
        <v>0</v>
      </c>
    </row>
    <row r="26" spans="1:32">
      <c r="A26" s="21">
        <f t="shared" si="4"/>
        <v>21</v>
      </c>
      <c r="B26" s="23" t="s">
        <v>787</v>
      </c>
      <c r="C26" s="658"/>
      <c r="D26" s="658"/>
      <c r="E26" s="662"/>
      <c r="F26" s="662"/>
      <c r="G26" s="662"/>
      <c r="H26" s="663"/>
      <c r="I26" s="663"/>
      <c r="J26" s="663"/>
      <c r="K26" s="663"/>
      <c r="L26" s="663"/>
      <c r="M26" s="663"/>
      <c r="N26" s="663"/>
      <c r="O26" s="663">
        <f t="shared" si="5"/>
        <v>0</v>
      </c>
      <c r="P26" s="658">
        <f t="shared" si="6"/>
        <v>0</v>
      </c>
      <c r="Q26" s="663"/>
      <c r="R26" s="663"/>
      <c r="S26" s="663"/>
      <c r="T26" s="663"/>
      <c r="U26" s="663"/>
      <c r="V26" s="658"/>
      <c r="W26" s="663"/>
      <c r="X26" s="663"/>
      <c r="Y26" s="663"/>
      <c r="Z26" s="663"/>
      <c r="AA26" s="663"/>
      <c r="AB26" s="663"/>
      <c r="AC26" s="665"/>
      <c r="AD26" s="658">
        <f t="shared" si="12"/>
        <v>0</v>
      </c>
      <c r="AE26" s="658">
        <f t="shared" si="2"/>
        <v>0</v>
      </c>
      <c r="AF26" s="658">
        <f t="shared" si="3"/>
        <v>0</v>
      </c>
    </row>
    <row r="27" spans="1:32">
      <c r="A27" s="21">
        <f t="shared" si="4"/>
        <v>22</v>
      </c>
      <c r="B27" s="23" t="s">
        <v>788</v>
      </c>
      <c r="C27" s="658"/>
      <c r="D27" s="658"/>
      <c r="E27" s="659"/>
      <c r="F27" s="659"/>
      <c r="G27" s="659">
        <f t="shared" si="13"/>
        <v>0</v>
      </c>
      <c r="H27" s="658"/>
      <c r="I27" s="658"/>
      <c r="J27" s="658"/>
      <c r="K27" s="658"/>
      <c r="L27" s="658"/>
      <c r="M27" s="658"/>
      <c r="N27" s="658"/>
      <c r="O27" s="658">
        <f t="shared" si="5"/>
        <v>0</v>
      </c>
      <c r="P27" s="658">
        <f t="shared" si="6"/>
        <v>0</v>
      </c>
      <c r="Q27" s="658">
        <f t="shared" si="7"/>
        <v>0</v>
      </c>
      <c r="R27" s="658">
        <f t="shared" si="8"/>
        <v>0</v>
      </c>
      <c r="S27" s="658">
        <f t="shared" si="8"/>
        <v>0</v>
      </c>
      <c r="T27" s="658"/>
      <c r="U27" s="658"/>
      <c r="V27" s="658"/>
      <c r="W27" s="658"/>
      <c r="X27" s="658"/>
      <c r="Y27" s="658"/>
      <c r="Z27" s="658"/>
      <c r="AA27" s="658">
        <f t="shared" si="9"/>
        <v>0</v>
      </c>
      <c r="AB27" s="658">
        <f t="shared" si="10"/>
        <v>0</v>
      </c>
      <c r="AC27" s="658">
        <f t="shared" si="11"/>
        <v>0</v>
      </c>
      <c r="AD27" s="658">
        <f t="shared" si="12"/>
        <v>0</v>
      </c>
      <c r="AE27" s="658">
        <f t="shared" si="2"/>
        <v>0</v>
      </c>
      <c r="AF27" s="658">
        <f t="shared" si="3"/>
        <v>0</v>
      </c>
    </row>
    <row r="28" spans="1:32">
      <c r="A28" s="21">
        <f t="shared" si="4"/>
        <v>23</v>
      </c>
      <c r="B28" s="23" t="s">
        <v>789</v>
      </c>
      <c r="C28" s="658"/>
      <c r="D28" s="658"/>
      <c r="E28" s="659"/>
      <c r="F28" s="659"/>
      <c r="G28" s="659">
        <f t="shared" si="13"/>
        <v>0</v>
      </c>
      <c r="H28" s="658"/>
      <c r="I28" s="658"/>
      <c r="J28" s="658"/>
      <c r="K28" s="658"/>
      <c r="L28" s="658"/>
      <c r="M28" s="658"/>
      <c r="N28" s="658"/>
      <c r="O28" s="661">
        <f t="shared" si="5"/>
        <v>0</v>
      </c>
      <c r="P28" s="658">
        <f t="shared" si="6"/>
        <v>0</v>
      </c>
      <c r="Q28" s="658">
        <f t="shared" si="7"/>
        <v>0</v>
      </c>
      <c r="R28" s="658">
        <f t="shared" si="8"/>
        <v>0</v>
      </c>
      <c r="S28" s="658">
        <f t="shared" si="8"/>
        <v>0</v>
      </c>
      <c r="T28" s="658"/>
      <c r="U28" s="658"/>
      <c r="V28" s="658"/>
      <c r="W28" s="658"/>
      <c r="X28" s="658"/>
      <c r="Y28" s="658"/>
      <c r="Z28" s="658"/>
      <c r="AA28" s="658">
        <f t="shared" si="9"/>
        <v>0</v>
      </c>
      <c r="AB28" s="658">
        <f t="shared" si="10"/>
        <v>0</v>
      </c>
      <c r="AC28" s="658">
        <f t="shared" si="11"/>
        <v>0</v>
      </c>
      <c r="AD28" s="658">
        <f t="shared" si="12"/>
        <v>0</v>
      </c>
      <c r="AE28" s="658">
        <f t="shared" si="2"/>
        <v>0</v>
      </c>
      <c r="AF28" s="658">
        <f t="shared" si="3"/>
        <v>0</v>
      </c>
    </row>
    <row r="29" spans="1:32">
      <c r="A29" s="21">
        <f t="shared" si="4"/>
        <v>24</v>
      </c>
      <c r="B29" s="23" t="s">
        <v>790</v>
      </c>
      <c r="C29" s="658"/>
      <c r="D29" s="658"/>
      <c r="E29" s="659"/>
      <c r="F29" s="659"/>
      <c r="G29" s="659">
        <f t="shared" si="13"/>
        <v>0</v>
      </c>
      <c r="H29" s="658"/>
      <c r="I29" s="658"/>
      <c r="J29" s="658"/>
      <c r="K29" s="658"/>
      <c r="L29" s="658"/>
      <c r="M29" s="658"/>
      <c r="N29" s="658"/>
      <c r="O29" s="658">
        <f t="shared" si="5"/>
        <v>0</v>
      </c>
      <c r="P29" s="658">
        <f t="shared" si="6"/>
        <v>0</v>
      </c>
      <c r="Q29" s="658">
        <f t="shared" si="7"/>
        <v>0</v>
      </c>
      <c r="R29" s="658">
        <f t="shared" si="8"/>
        <v>0</v>
      </c>
      <c r="S29" s="658">
        <f t="shared" si="8"/>
        <v>0</v>
      </c>
      <c r="T29" s="658"/>
      <c r="U29" s="658"/>
      <c r="V29" s="658"/>
      <c r="W29" s="658"/>
      <c r="X29" s="658"/>
      <c r="Y29" s="658"/>
      <c r="Z29" s="658"/>
      <c r="AA29" s="658">
        <f t="shared" si="9"/>
        <v>0</v>
      </c>
      <c r="AB29" s="658">
        <f t="shared" si="10"/>
        <v>0</v>
      </c>
      <c r="AC29" s="658">
        <f t="shared" si="11"/>
        <v>0</v>
      </c>
      <c r="AD29" s="658">
        <f t="shared" si="12"/>
        <v>0</v>
      </c>
      <c r="AE29" s="658">
        <f t="shared" si="2"/>
        <v>0</v>
      </c>
      <c r="AF29" s="658">
        <f t="shared" si="3"/>
        <v>0</v>
      </c>
    </row>
    <row r="30" spans="1:32">
      <c r="A30" s="21">
        <f t="shared" si="4"/>
        <v>25</v>
      </c>
      <c r="B30" s="23" t="s">
        <v>791</v>
      </c>
      <c r="C30" s="658"/>
      <c r="D30" s="658"/>
      <c r="E30" s="659"/>
      <c r="F30" s="659"/>
      <c r="G30" s="659">
        <f t="shared" si="13"/>
        <v>0</v>
      </c>
      <c r="H30" s="658"/>
      <c r="I30" s="658"/>
      <c r="J30" s="658"/>
      <c r="K30" s="658"/>
      <c r="L30" s="658"/>
      <c r="M30" s="658"/>
      <c r="N30" s="658"/>
      <c r="O30" s="658">
        <f t="shared" si="5"/>
        <v>0</v>
      </c>
      <c r="P30" s="658">
        <f t="shared" si="6"/>
        <v>0</v>
      </c>
      <c r="Q30" s="658">
        <f t="shared" si="7"/>
        <v>0</v>
      </c>
      <c r="R30" s="658">
        <f t="shared" si="8"/>
        <v>0</v>
      </c>
      <c r="S30" s="658">
        <f t="shared" si="8"/>
        <v>0</v>
      </c>
      <c r="T30" s="658"/>
      <c r="U30" s="658"/>
      <c r="V30" s="658"/>
      <c r="W30" s="658"/>
      <c r="X30" s="658"/>
      <c r="Y30" s="658"/>
      <c r="Z30" s="658"/>
      <c r="AA30" s="658">
        <f t="shared" si="9"/>
        <v>0</v>
      </c>
      <c r="AB30" s="658">
        <f t="shared" si="10"/>
        <v>0</v>
      </c>
      <c r="AC30" s="658">
        <f t="shared" si="11"/>
        <v>0</v>
      </c>
      <c r="AD30" s="658">
        <f t="shared" si="12"/>
        <v>0</v>
      </c>
      <c r="AE30" s="658">
        <f t="shared" si="2"/>
        <v>0</v>
      </c>
      <c r="AF30" s="658">
        <f t="shared" si="3"/>
        <v>0</v>
      </c>
    </row>
    <row r="31" spans="1:32">
      <c r="A31" s="21">
        <f t="shared" si="4"/>
        <v>26</v>
      </c>
      <c r="B31" s="26" t="s">
        <v>792</v>
      </c>
      <c r="C31" s="658"/>
      <c r="D31" s="658"/>
      <c r="E31" s="659"/>
      <c r="F31" s="659"/>
      <c r="G31" s="659">
        <v>-0.153</v>
      </c>
      <c r="H31" s="658"/>
      <c r="I31" s="658"/>
      <c r="J31" s="658"/>
      <c r="K31" s="658"/>
      <c r="L31" s="658"/>
      <c r="M31" s="658"/>
      <c r="N31" s="658"/>
      <c r="O31" s="658">
        <f t="shared" si="5"/>
        <v>0</v>
      </c>
      <c r="P31" s="658">
        <f t="shared" si="6"/>
        <v>0</v>
      </c>
      <c r="Q31" s="658">
        <f t="shared" si="7"/>
        <v>0</v>
      </c>
      <c r="R31" s="658">
        <f t="shared" si="8"/>
        <v>0</v>
      </c>
      <c r="S31" s="658">
        <f t="shared" si="8"/>
        <v>0</v>
      </c>
      <c r="T31" s="658"/>
      <c r="U31" s="658"/>
      <c r="V31" s="658"/>
      <c r="W31" s="658"/>
      <c r="X31" s="658"/>
      <c r="Y31" s="658"/>
      <c r="Z31" s="658"/>
      <c r="AA31" s="658">
        <f t="shared" si="9"/>
        <v>0</v>
      </c>
      <c r="AB31" s="658">
        <f t="shared" si="10"/>
        <v>0</v>
      </c>
      <c r="AC31" s="658">
        <f t="shared" si="11"/>
        <v>0</v>
      </c>
      <c r="AD31" s="658">
        <f t="shared" si="12"/>
        <v>0</v>
      </c>
      <c r="AE31" s="658">
        <f t="shared" si="2"/>
        <v>0</v>
      </c>
      <c r="AF31" s="658">
        <f t="shared" si="3"/>
        <v>0</v>
      </c>
    </row>
    <row r="32" spans="1:32">
      <c r="A32" s="21">
        <f t="shared" si="4"/>
        <v>27</v>
      </c>
      <c r="B32" s="23" t="s">
        <v>793</v>
      </c>
      <c r="C32" s="658"/>
      <c r="D32" s="658"/>
      <c r="E32" s="659"/>
      <c r="F32" s="659"/>
      <c r="G32" s="659">
        <f>E32-F32</f>
        <v>0</v>
      </c>
      <c r="H32" s="658"/>
      <c r="I32" s="658"/>
      <c r="J32" s="658"/>
      <c r="K32" s="658"/>
      <c r="L32" s="658"/>
      <c r="M32" s="658"/>
      <c r="N32" s="658"/>
      <c r="O32" s="658">
        <f t="shared" si="5"/>
        <v>0</v>
      </c>
      <c r="P32" s="658">
        <f t="shared" si="6"/>
        <v>0</v>
      </c>
      <c r="Q32" s="658">
        <f t="shared" si="7"/>
        <v>0</v>
      </c>
      <c r="R32" s="658">
        <f t="shared" si="8"/>
        <v>0</v>
      </c>
      <c r="S32" s="658">
        <f t="shared" si="8"/>
        <v>0</v>
      </c>
      <c r="T32" s="658"/>
      <c r="U32" s="658"/>
      <c r="V32" s="658"/>
      <c r="W32" s="658"/>
      <c r="X32" s="658"/>
      <c r="Y32" s="658"/>
      <c r="Z32" s="658"/>
      <c r="AA32" s="658">
        <f t="shared" si="9"/>
        <v>0</v>
      </c>
      <c r="AB32" s="658">
        <f t="shared" si="10"/>
        <v>0</v>
      </c>
      <c r="AC32" s="658">
        <f t="shared" si="11"/>
        <v>0</v>
      </c>
      <c r="AD32" s="658">
        <f t="shared" si="12"/>
        <v>0</v>
      </c>
      <c r="AE32" s="658">
        <f t="shared" si="2"/>
        <v>0</v>
      </c>
      <c r="AF32" s="658">
        <f t="shared" si="3"/>
        <v>0</v>
      </c>
    </row>
    <row r="33" spans="1:32">
      <c r="A33" s="21">
        <f t="shared" si="4"/>
        <v>28</v>
      </c>
      <c r="B33" s="23" t="s">
        <v>794</v>
      </c>
      <c r="C33" s="658"/>
      <c r="D33" s="658"/>
      <c r="E33" s="659"/>
      <c r="F33" s="659"/>
      <c r="G33" s="659">
        <f>E33-F33</f>
        <v>0</v>
      </c>
      <c r="H33" s="658"/>
      <c r="I33" s="658"/>
      <c r="J33" s="658"/>
      <c r="K33" s="658"/>
      <c r="L33" s="658"/>
      <c r="M33" s="658"/>
      <c r="N33" s="658"/>
      <c r="O33" s="658">
        <f t="shared" si="5"/>
        <v>0</v>
      </c>
      <c r="P33" s="658">
        <f t="shared" si="6"/>
        <v>0</v>
      </c>
      <c r="Q33" s="658">
        <f t="shared" si="7"/>
        <v>0</v>
      </c>
      <c r="R33" s="658">
        <f t="shared" si="8"/>
        <v>0</v>
      </c>
      <c r="S33" s="658">
        <f t="shared" si="8"/>
        <v>0</v>
      </c>
      <c r="T33" s="658"/>
      <c r="U33" s="658"/>
      <c r="V33" s="658"/>
      <c r="W33" s="658"/>
      <c r="X33" s="658"/>
      <c r="Y33" s="658"/>
      <c r="Z33" s="658"/>
      <c r="AA33" s="658">
        <f t="shared" si="9"/>
        <v>0</v>
      </c>
      <c r="AB33" s="658">
        <f t="shared" si="10"/>
        <v>0</v>
      </c>
      <c r="AC33" s="658">
        <f t="shared" si="11"/>
        <v>0</v>
      </c>
      <c r="AD33" s="658">
        <f t="shared" si="12"/>
        <v>0</v>
      </c>
      <c r="AE33" s="658">
        <f t="shared" si="2"/>
        <v>0</v>
      </c>
      <c r="AF33" s="658">
        <f t="shared" si="3"/>
        <v>0</v>
      </c>
    </row>
    <row r="34" spans="1:32">
      <c r="A34" s="21">
        <f t="shared" si="4"/>
        <v>29</v>
      </c>
      <c r="B34" s="23" t="s">
        <v>795</v>
      </c>
      <c r="C34" s="658"/>
      <c r="D34" s="658"/>
      <c r="E34" s="659"/>
      <c r="F34" s="659"/>
      <c r="G34" s="659">
        <v>-0.153</v>
      </c>
      <c r="H34" s="658"/>
      <c r="I34" s="658"/>
      <c r="J34" s="658"/>
      <c r="K34" s="658"/>
      <c r="L34" s="658"/>
      <c r="M34" s="658"/>
      <c r="N34" s="658"/>
      <c r="O34" s="658">
        <f t="shared" si="5"/>
        <v>0</v>
      </c>
      <c r="P34" s="658">
        <f t="shared" si="6"/>
        <v>0</v>
      </c>
      <c r="Q34" s="658">
        <f t="shared" si="7"/>
        <v>0</v>
      </c>
      <c r="R34" s="658">
        <f t="shared" si="8"/>
        <v>0</v>
      </c>
      <c r="S34" s="658">
        <f t="shared" si="8"/>
        <v>0</v>
      </c>
      <c r="T34" s="658"/>
      <c r="U34" s="658"/>
      <c r="V34" s="658"/>
      <c r="W34" s="658"/>
      <c r="X34" s="658"/>
      <c r="Y34" s="658"/>
      <c r="Z34" s="658"/>
      <c r="AA34" s="658">
        <f t="shared" si="9"/>
        <v>0</v>
      </c>
      <c r="AB34" s="658">
        <f t="shared" si="10"/>
        <v>0</v>
      </c>
      <c r="AC34" s="658">
        <f t="shared" si="11"/>
        <v>0</v>
      </c>
      <c r="AD34" s="658">
        <f t="shared" si="12"/>
        <v>0</v>
      </c>
      <c r="AE34" s="658">
        <f t="shared" si="2"/>
        <v>0</v>
      </c>
      <c r="AF34" s="658">
        <f t="shared" si="3"/>
        <v>0</v>
      </c>
    </row>
    <row r="35" spans="1:32">
      <c r="A35" s="21">
        <f t="shared" si="4"/>
        <v>30</v>
      </c>
      <c r="B35" s="23" t="s">
        <v>359</v>
      </c>
      <c r="C35" s="658"/>
      <c r="D35" s="658"/>
      <c r="E35" s="662"/>
      <c r="F35" s="662"/>
      <c r="G35" s="662"/>
      <c r="H35" s="663"/>
      <c r="I35" s="663"/>
      <c r="J35" s="663"/>
      <c r="K35" s="663"/>
      <c r="L35" s="663"/>
      <c r="M35" s="663"/>
      <c r="N35" s="663"/>
      <c r="O35" s="663">
        <f t="shared" si="5"/>
        <v>0</v>
      </c>
      <c r="P35" s="658">
        <f t="shared" si="6"/>
        <v>0</v>
      </c>
      <c r="Q35" s="663"/>
      <c r="R35" s="663"/>
      <c r="S35" s="663"/>
      <c r="T35" s="665"/>
      <c r="U35" s="665"/>
      <c r="V35" s="658"/>
      <c r="W35" s="665"/>
      <c r="X35" s="665"/>
      <c r="Y35" s="665"/>
      <c r="Z35" s="665"/>
      <c r="AA35" s="665"/>
      <c r="AB35" s="665"/>
      <c r="AC35" s="665"/>
      <c r="AD35" s="658">
        <f t="shared" si="12"/>
        <v>0</v>
      </c>
      <c r="AE35" s="658">
        <f t="shared" si="2"/>
        <v>0</v>
      </c>
      <c r="AF35" s="658">
        <f t="shared" si="3"/>
        <v>0</v>
      </c>
    </row>
    <row r="36" spans="1:32">
      <c r="A36" s="21">
        <f t="shared" si="4"/>
        <v>31</v>
      </c>
      <c r="B36" s="23" t="s">
        <v>796</v>
      </c>
      <c r="C36" s="658"/>
      <c r="D36" s="658"/>
      <c r="E36" s="659"/>
      <c r="F36" s="659"/>
      <c r="G36" s="659">
        <f>E36-F36</f>
        <v>0</v>
      </c>
      <c r="H36" s="658"/>
      <c r="I36" s="658"/>
      <c r="J36" s="658"/>
      <c r="K36" s="658"/>
      <c r="L36" s="658"/>
      <c r="M36" s="658"/>
      <c r="N36" s="658"/>
      <c r="O36" s="658">
        <f t="shared" si="5"/>
        <v>0</v>
      </c>
      <c r="P36" s="658">
        <f t="shared" si="6"/>
        <v>0</v>
      </c>
      <c r="Q36" s="658">
        <f t="shared" si="7"/>
        <v>0</v>
      </c>
      <c r="R36" s="658">
        <f t="shared" si="8"/>
        <v>0</v>
      </c>
      <c r="S36" s="658">
        <f t="shared" si="8"/>
        <v>0</v>
      </c>
      <c r="T36" s="658"/>
      <c r="U36" s="658"/>
      <c r="V36" s="658"/>
      <c r="W36" s="658"/>
      <c r="X36" s="658"/>
      <c r="Y36" s="658"/>
      <c r="Z36" s="658"/>
      <c r="AA36" s="658">
        <f t="shared" si="9"/>
        <v>0</v>
      </c>
      <c r="AB36" s="658">
        <f t="shared" si="10"/>
        <v>0</v>
      </c>
      <c r="AC36" s="658">
        <f t="shared" si="11"/>
        <v>0</v>
      </c>
      <c r="AD36" s="658">
        <f t="shared" si="12"/>
        <v>0</v>
      </c>
      <c r="AE36" s="658">
        <f t="shared" si="2"/>
        <v>0</v>
      </c>
      <c r="AF36" s="658">
        <f t="shared" si="3"/>
        <v>0</v>
      </c>
    </row>
    <row r="37" spans="1:32">
      <c r="A37" s="21">
        <f t="shared" si="4"/>
        <v>32</v>
      </c>
      <c r="B37" s="498" t="s">
        <v>797</v>
      </c>
      <c r="C37" s="658">
        <f>SUM(C38:C45)</f>
        <v>0</v>
      </c>
      <c r="D37" s="658">
        <f>SUM(D38:D45)</f>
        <v>0</v>
      </c>
      <c r="E37" s="659"/>
      <c r="F37" s="659"/>
      <c r="G37" s="659"/>
      <c r="H37" s="658">
        <f t="shared" ref="H37:Z37" si="14">SUM(H38:H45)</f>
        <v>0</v>
      </c>
      <c r="I37" s="658"/>
      <c r="J37" s="658">
        <f t="shared" si="14"/>
        <v>0</v>
      </c>
      <c r="K37" s="658">
        <f t="shared" si="14"/>
        <v>0</v>
      </c>
      <c r="L37" s="658"/>
      <c r="M37" s="658">
        <f t="shared" si="14"/>
        <v>0</v>
      </c>
      <c r="N37" s="658"/>
      <c r="O37" s="658">
        <f t="shared" si="5"/>
        <v>0</v>
      </c>
      <c r="P37" s="658">
        <f>SUM(P38:P45)</f>
        <v>0</v>
      </c>
      <c r="Q37" s="658">
        <f t="shared" si="7"/>
        <v>0</v>
      </c>
      <c r="R37" s="658">
        <f t="shared" si="8"/>
        <v>0</v>
      </c>
      <c r="S37" s="658">
        <f t="shared" si="8"/>
        <v>0</v>
      </c>
      <c r="T37" s="658">
        <f t="shared" si="14"/>
        <v>0</v>
      </c>
      <c r="U37" s="658">
        <f t="shared" si="14"/>
        <v>0</v>
      </c>
      <c r="V37" s="658">
        <f t="shared" si="14"/>
        <v>0</v>
      </c>
      <c r="W37" s="658">
        <f t="shared" si="14"/>
        <v>0</v>
      </c>
      <c r="X37" s="658"/>
      <c r="Y37" s="658">
        <f t="shared" si="14"/>
        <v>0</v>
      </c>
      <c r="Z37" s="658">
        <f t="shared" si="14"/>
        <v>0</v>
      </c>
      <c r="AA37" s="658">
        <f t="shared" si="9"/>
        <v>0</v>
      </c>
      <c r="AB37" s="658">
        <f t="shared" si="10"/>
        <v>0</v>
      </c>
      <c r="AC37" s="658">
        <f t="shared" si="11"/>
        <v>0</v>
      </c>
      <c r="AD37" s="658">
        <f t="shared" si="12"/>
        <v>0</v>
      </c>
      <c r="AE37" s="658">
        <f t="shared" si="2"/>
        <v>0</v>
      </c>
      <c r="AF37" s="658">
        <f t="shared" si="3"/>
        <v>0</v>
      </c>
    </row>
    <row r="38" spans="1:32">
      <c r="A38" s="21">
        <f t="shared" si="4"/>
        <v>33</v>
      </c>
      <c r="B38" s="23" t="s">
        <v>798</v>
      </c>
      <c r="C38" s="658"/>
      <c r="D38" s="658"/>
      <c r="E38" s="659"/>
      <c r="F38" s="659"/>
      <c r="G38" s="659">
        <f t="shared" ref="G38:G45" si="15">E38-F38</f>
        <v>0</v>
      </c>
      <c r="H38" s="658"/>
      <c r="I38" s="658"/>
      <c r="J38" s="658"/>
      <c r="K38" s="658"/>
      <c r="L38" s="658"/>
      <c r="M38" s="658"/>
      <c r="N38" s="658"/>
      <c r="O38" s="658">
        <f t="shared" si="5"/>
        <v>0</v>
      </c>
      <c r="P38" s="658">
        <f t="shared" ref="P38:P45" si="16">-K38-M38</f>
        <v>0</v>
      </c>
      <c r="Q38" s="658">
        <f t="shared" si="7"/>
        <v>0</v>
      </c>
      <c r="R38" s="658">
        <f t="shared" si="8"/>
        <v>0</v>
      </c>
      <c r="S38" s="658">
        <f t="shared" si="8"/>
        <v>0</v>
      </c>
      <c r="T38" s="658"/>
      <c r="U38" s="658"/>
      <c r="V38" s="658"/>
      <c r="W38" s="658">
        <f t="shared" ref="W38:W44" si="17">ROUND(V38*0.01,0)</f>
        <v>0</v>
      </c>
      <c r="X38" s="658"/>
      <c r="Y38" s="658"/>
      <c r="Z38" s="658"/>
      <c r="AA38" s="658">
        <f t="shared" si="9"/>
        <v>0</v>
      </c>
      <c r="AB38" s="658">
        <f t="shared" si="10"/>
        <v>0</v>
      </c>
      <c r="AC38" s="658">
        <f t="shared" si="11"/>
        <v>0</v>
      </c>
      <c r="AD38" s="658">
        <f t="shared" si="12"/>
        <v>0</v>
      </c>
      <c r="AE38" s="658">
        <f t="shared" si="2"/>
        <v>0</v>
      </c>
      <c r="AF38" s="658">
        <f t="shared" si="3"/>
        <v>0</v>
      </c>
    </row>
    <row r="39" spans="1:32">
      <c r="A39" s="21">
        <f t="shared" si="4"/>
        <v>34</v>
      </c>
      <c r="B39" s="23" t="s">
        <v>799</v>
      </c>
      <c r="C39" s="658"/>
      <c r="D39" s="658"/>
      <c r="E39" s="659"/>
      <c r="F39" s="659"/>
      <c r="G39" s="659">
        <f t="shared" si="15"/>
        <v>0</v>
      </c>
      <c r="H39" s="658"/>
      <c r="I39" s="658"/>
      <c r="J39" s="658"/>
      <c r="K39" s="658"/>
      <c r="L39" s="658"/>
      <c r="M39" s="658"/>
      <c r="N39" s="658"/>
      <c r="O39" s="658">
        <f t="shared" si="5"/>
        <v>0</v>
      </c>
      <c r="P39" s="658">
        <f t="shared" si="16"/>
        <v>0</v>
      </c>
      <c r="Q39" s="658">
        <f t="shared" si="7"/>
        <v>0</v>
      </c>
      <c r="R39" s="658">
        <f t="shared" si="8"/>
        <v>0</v>
      </c>
      <c r="S39" s="658">
        <f t="shared" si="8"/>
        <v>0</v>
      </c>
      <c r="T39" s="658"/>
      <c r="U39" s="658"/>
      <c r="V39" s="658"/>
      <c r="W39" s="658">
        <f t="shared" si="17"/>
        <v>0</v>
      </c>
      <c r="X39" s="658"/>
      <c r="Y39" s="658"/>
      <c r="Z39" s="658"/>
      <c r="AA39" s="658">
        <f t="shared" si="9"/>
        <v>0</v>
      </c>
      <c r="AB39" s="658">
        <f t="shared" si="10"/>
        <v>0</v>
      </c>
      <c r="AC39" s="658">
        <f t="shared" si="11"/>
        <v>0</v>
      </c>
      <c r="AD39" s="658">
        <f t="shared" si="12"/>
        <v>0</v>
      </c>
      <c r="AE39" s="658">
        <f t="shared" si="2"/>
        <v>0</v>
      </c>
      <c r="AF39" s="658">
        <f t="shared" si="3"/>
        <v>0</v>
      </c>
    </row>
    <row r="40" spans="1:32">
      <c r="A40" s="21">
        <f t="shared" si="4"/>
        <v>35</v>
      </c>
      <c r="B40" s="23" t="s">
        <v>800</v>
      </c>
      <c r="C40" s="658"/>
      <c r="D40" s="658"/>
      <c r="E40" s="659"/>
      <c r="F40" s="659"/>
      <c r="G40" s="659">
        <f t="shared" si="15"/>
        <v>0</v>
      </c>
      <c r="H40" s="658"/>
      <c r="I40" s="658"/>
      <c r="J40" s="658"/>
      <c r="K40" s="658"/>
      <c r="L40" s="658"/>
      <c r="M40" s="658"/>
      <c r="N40" s="658"/>
      <c r="O40" s="658">
        <f t="shared" si="5"/>
        <v>0</v>
      </c>
      <c r="P40" s="658">
        <f t="shared" si="16"/>
        <v>0</v>
      </c>
      <c r="Q40" s="658">
        <f t="shared" si="7"/>
        <v>0</v>
      </c>
      <c r="R40" s="658">
        <f t="shared" si="8"/>
        <v>0</v>
      </c>
      <c r="S40" s="658">
        <f t="shared" si="8"/>
        <v>0</v>
      </c>
      <c r="T40" s="658"/>
      <c r="U40" s="658"/>
      <c r="V40" s="658"/>
      <c r="W40" s="658">
        <f t="shared" si="17"/>
        <v>0</v>
      </c>
      <c r="X40" s="658"/>
      <c r="Y40" s="658"/>
      <c r="Z40" s="658"/>
      <c r="AA40" s="658">
        <f t="shared" si="9"/>
        <v>0</v>
      </c>
      <c r="AB40" s="658">
        <f t="shared" si="10"/>
        <v>0</v>
      </c>
      <c r="AC40" s="658">
        <f t="shared" si="11"/>
        <v>0</v>
      </c>
      <c r="AD40" s="658">
        <f t="shared" si="12"/>
        <v>0</v>
      </c>
      <c r="AE40" s="658">
        <f t="shared" si="2"/>
        <v>0</v>
      </c>
      <c r="AF40" s="658">
        <f t="shared" si="3"/>
        <v>0</v>
      </c>
    </row>
    <row r="41" spans="1:32">
      <c r="A41" s="21">
        <f t="shared" si="4"/>
        <v>36</v>
      </c>
      <c r="B41" s="23" t="s">
        <v>801</v>
      </c>
      <c r="C41" s="658"/>
      <c r="D41" s="658"/>
      <c r="E41" s="659"/>
      <c r="F41" s="659"/>
      <c r="G41" s="659">
        <f t="shared" si="15"/>
        <v>0</v>
      </c>
      <c r="H41" s="658"/>
      <c r="I41" s="658"/>
      <c r="J41" s="658"/>
      <c r="K41" s="658"/>
      <c r="L41" s="658"/>
      <c r="M41" s="658"/>
      <c r="N41" s="658"/>
      <c r="O41" s="658">
        <f t="shared" si="5"/>
        <v>0</v>
      </c>
      <c r="P41" s="658">
        <f t="shared" si="16"/>
        <v>0</v>
      </c>
      <c r="Q41" s="658">
        <f t="shared" si="7"/>
        <v>0</v>
      </c>
      <c r="R41" s="658">
        <f t="shared" si="8"/>
        <v>0</v>
      </c>
      <c r="S41" s="658">
        <f t="shared" si="8"/>
        <v>0</v>
      </c>
      <c r="T41" s="658"/>
      <c r="U41" s="658"/>
      <c r="V41" s="658"/>
      <c r="W41" s="658">
        <f t="shared" si="17"/>
        <v>0</v>
      </c>
      <c r="X41" s="658"/>
      <c r="Y41" s="658"/>
      <c r="Z41" s="658"/>
      <c r="AA41" s="658">
        <f t="shared" si="9"/>
        <v>0</v>
      </c>
      <c r="AB41" s="658">
        <f t="shared" si="10"/>
        <v>0</v>
      </c>
      <c r="AC41" s="658">
        <f t="shared" si="11"/>
        <v>0</v>
      </c>
      <c r="AD41" s="658">
        <f t="shared" si="12"/>
        <v>0</v>
      </c>
      <c r="AE41" s="658">
        <f t="shared" si="2"/>
        <v>0</v>
      </c>
      <c r="AF41" s="658">
        <f t="shared" si="3"/>
        <v>0</v>
      </c>
    </row>
    <row r="42" spans="1:32">
      <c r="A42" s="21">
        <f t="shared" si="4"/>
        <v>37</v>
      </c>
      <c r="B42" s="23" t="s">
        <v>802</v>
      </c>
      <c r="C42" s="658"/>
      <c r="D42" s="658"/>
      <c r="E42" s="659"/>
      <c r="F42" s="659"/>
      <c r="G42" s="659">
        <f t="shared" si="15"/>
        <v>0</v>
      </c>
      <c r="H42" s="658"/>
      <c r="I42" s="658"/>
      <c r="J42" s="658"/>
      <c r="K42" s="658"/>
      <c r="L42" s="658"/>
      <c r="M42" s="658"/>
      <c r="N42" s="658"/>
      <c r="O42" s="658">
        <f t="shared" si="5"/>
        <v>0</v>
      </c>
      <c r="P42" s="658">
        <f t="shared" si="16"/>
        <v>0</v>
      </c>
      <c r="Q42" s="658">
        <f t="shared" si="7"/>
        <v>0</v>
      </c>
      <c r="R42" s="658">
        <f t="shared" si="8"/>
        <v>0</v>
      </c>
      <c r="S42" s="658">
        <f t="shared" si="8"/>
        <v>0</v>
      </c>
      <c r="T42" s="658"/>
      <c r="U42" s="658"/>
      <c r="V42" s="658"/>
      <c r="W42" s="658">
        <f t="shared" si="17"/>
        <v>0</v>
      </c>
      <c r="X42" s="658"/>
      <c r="Y42" s="658"/>
      <c r="Z42" s="658"/>
      <c r="AA42" s="658">
        <f t="shared" si="9"/>
        <v>0</v>
      </c>
      <c r="AB42" s="658">
        <f t="shared" si="10"/>
        <v>0</v>
      </c>
      <c r="AC42" s="658">
        <f t="shared" si="11"/>
        <v>0</v>
      </c>
      <c r="AD42" s="658">
        <f t="shared" si="12"/>
        <v>0</v>
      </c>
      <c r="AE42" s="658">
        <f t="shared" si="2"/>
        <v>0</v>
      </c>
      <c r="AF42" s="658">
        <f t="shared" si="3"/>
        <v>0</v>
      </c>
    </row>
    <row r="43" spans="1:32">
      <c r="A43" s="21">
        <f t="shared" si="4"/>
        <v>38</v>
      </c>
      <c r="B43" s="23" t="s">
        <v>803</v>
      </c>
      <c r="C43" s="658"/>
      <c r="D43" s="658"/>
      <c r="E43" s="659"/>
      <c r="F43" s="659"/>
      <c r="G43" s="659">
        <f t="shared" si="15"/>
        <v>0</v>
      </c>
      <c r="H43" s="658"/>
      <c r="I43" s="658"/>
      <c r="J43" s="658"/>
      <c r="K43" s="658"/>
      <c r="L43" s="658"/>
      <c r="M43" s="658"/>
      <c r="N43" s="658"/>
      <c r="O43" s="658">
        <f t="shared" si="5"/>
        <v>0</v>
      </c>
      <c r="P43" s="658">
        <f t="shared" si="16"/>
        <v>0</v>
      </c>
      <c r="Q43" s="658">
        <f t="shared" si="7"/>
        <v>0</v>
      </c>
      <c r="R43" s="658">
        <f t="shared" si="8"/>
        <v>0</v>
      </c>
      <c r="S43" s="658">
        <f t="shared" si="8"/>
        <v>0</v>
      </c>
      <c r="T43" s="658"/>
      <c r="U43" s="658"/>
      <c r="V43" s="658"/>
      <c r="W43" s="658">
        <f t="shared" si="17"/>
        <v>0</v>
      </c>
      <c r="X43" s="658"/>
      <c r="Y43" s="658"/>
      <c r="Z43" s="658"/>
      <c r="AA43" s="658">
        <f t="shared" si="9"/>
        <v>0</v>
      </c>
      <c r="AB43" s="658">
        <f t="shared" si="10"/>
        <v>0</v>
      </c>
      <c r="AC43" s="658">
        <f t="shared" si="11"/>
        <v>0</v>
      </c>
      <c r="AD43" s="658">
        <f t="shared" si="12"/>
        <v>0</v>
      </c>
      <c r="AE43" s="658">
        <f t="shared" si="2"/>
        <v>0</v>
      </c>
      <c r="AF43" s="658">
        <f t="shared" si="3"/>
        <v>0</v>
      </c>
    </row>
    <row r="44" spans="1:32">
      <c r="A44" s="21">
        <f t="shared" si="4"/>
        <v>39</v>
      </c>
      <c r="B44" s="23" t="s">
        <v>804</v>
      </c>
      <c r="C44" s="658"/>
      <c r="D44" s="658"/>
      <c r="E44" s="659"/>
      <c r="F44" s="659"/>
      <c r="G44" s="659">
        <f t="shared" si="15"/>
        <v>0</v>
      </c>
      <c r="H44" s="658"/>
      <c r="I44" s="658"/>
      <c r="J44" s="658"/>
      <c r="K44" s="658"/>
      <c r="L44" s="658"/>
      <c r="M44" s="658"/>
      <c r="N44" s="658"/>
      <c r="O44" s="658">
        <f t="shared" si="5"/>
        <v>0</v>
      </c>
      <c r="P44" s="658">
        <f t="shared" si="16"/>
        <v>0</v>
      </c>
      <c r="Q44" s="658">
        <f t="shared" si="7"/>
        <v>0</v>
      </c>
      <c r="R44" s="658">
        <f t="shared" si="8"/>
        <v>0</v>
      </c>
      <c r="S44" s="658">
        <f t="shared" si="8"/>
        <v>0</v>
      </c>
      <c r="T44" s="658"/>
      <c r="U44" s="658"/>
      <c r="V44" s="658"/>
      <c r="W44" s="658">
        <f t="shared" si="17"/>
        <v>0</v>
      </c>
      <c r="X44" s="658"/>
      <c r="Y44" s="658"/>
      <c r="Z44" s="658"/>
      <c r="AA44" s="658">
        <f t="shared" si="9"/>
        <v>0</v>
      </c>
      <c r="AB44" s="658">
        <f t="shared" si="10"/>
        <v>0</v>
      </c>
      <c r="AC44" s="658">
        <f t="shared" si="11"/>
        <v>0</v>
      </c>
      <c r="AD44" s="658">
        <f t="shared" si="12"/>
        <v>0</v>
      </c>
      <c r="AE44" s="658">
        <f t="shared" si="2"/>
        <v>0</v>
      </c>
      <c r="AF44" s="658">
        <f t="shared" si="3"/>
        <v>0</v>
      </c>
    </row>
    <row r="45" spans="1:32">
      <c r="A45" s="21">
        <f t="shared" si="4"/>
        <v>40</v>
      </c>
      <c r="B45" s="23" t="s">
        <v>805</v>
      </c>
      <c r="C45" s="658"/>
      <c r="D45" s="658"/>
      <c r="E45" s="659"/>
      <c r="F45" s="659"/>
      <c r="G45" s="659">
        <f t="shared" si="15"/>
        <v>0</v>
      </c>
      <c r="H45" s="658"/>
      <c r="I45" s="658"/>
      <c r="J45" s="658"/>
      <c r="K45" s="658"/>
      <c r="L45" s="658"/>
      <c r="M45" s="658"/>
      <c r="N45" s="658"/>
      <c r="O45" s="658">
        <f t="shared" si="5"/>
        <v>0</v>
      </c>
      <c r="P45" s="658">
        <f t="shared" si="16"/>
        <v>0</v>
      </c>
      <c r="Q45" s="658">
        <f t="shared" si="7"/>
        <v>0</v>
      </c>
      <c r="R45" s="658">
        <f t="shared" si="8"/>
        <v>0</v>
      </c>
      <c r="S45" s="658">
        <f t="shared" si="8"/>
        <v>0</v>
      </c>
      <c r="T45" s="658"/>
      <c r="U45" s="658"/>
      <c r="V45" s="658"/>
      <c r="W45" s="658"/>
      <c r="X45" s="658"/>
      <c r="Y45" s="658"/>
      <c r="Z45" s="658"/>
      <c r="AA45" s="658">
        <f t="shared" si="9"/>
        <v>0</v>
      </c>
      <c r="AB45" s="658">
        <f t="shared" si="10"/>
        <v>0</v>
      </c>
      <c r="AC45" s="658">
        <f t="shared" si="11"/>
        <v>0</v>
      </c>
      <c r="AD45" s="658">
        <f t="shared" si="12"/>
        <v>0</v>
      </c>
      <c r="AE45" s="658">
        <f t="shared" si="2"/>
        <v>0</v>
      </c>
      <c r="AF45" s="658">
        <f t="shared" si="3"/>
        <v>0</v>
      </c>
    </row>
    <row r="46" spans="1:32">
      <c r="A46" s="21">
        <f t="shared" si="4"/>
        <v>41</v>
      </c>
      <c r="B46" s="2249" t="s">
        <v>806</v>
      </c>
      <c r="C46" s="658">
        <f>C37+C6</f>
        <v>0</v>
      </c>
      <c r="D46" s="658">
        <f>D37+D6</f>
        <v>0</v>
      </c>
      <c r="E46" s="659"/>
      <c r="F46" s="666"/>
      <c r="G46" s="659"/>
      <c r="H46" s="658">
        <f t="shared" ref="H46:Z46" si="18">H37+H6</f>
        <v>0</v>
      </c>
      <c r="I46" s="658"/>
      <c r="J46" s="658">
        <f t="shared" si="18"/>
        <v>0</v>
      </c>
      <c r="K46" s="658">
        <f t="shared" si="18"/>
        <v>0</v>
      </c>
      <c r="L46" s="658"/>
      <c r="M46" s="658">
        <f t="shared" si="18"/>
        <v>0</v>
      </c>
      <c r="N46" s="658"/>
      <c r="O46" s="658">
        <f t="shared" si="18"/>
        <v>0</v>
      </c>
      <c r="P46" s="658">
        <f>P37+P6</f>
        <v>0</v>
      </c>
      <c r="Q46" s="658">
        <f t="shared" si="7"/>
        <v>0</v>
      </c>
      <c r="R46" s="658">
        <f t="shared" si="8"/>
        <v>0</v>
      </c>
      <c r="S46" s="658">
        <f t="shared" si="8"/>
        <v>0</v>
      </c>
      <c r="T46" s="658">
        <f t="shared" si="18"/>
        <v>0</v>
      </c>
      <c r="U46" s="658">
        <f t="shared" si="18"/>
        <v>0</v>
      </c>
      <c r="V46" s="658">
        <f t="shared" si="18"/>
        <v>0</v>
      </c>
      <c r="W46" s="658">
        <f t="shared" si="18"/>
        <v>0</v>
      </c>
      <c r="X46" s="658"/>
      <c r="Y46" s="658">
        <f t="shared" si="18"/>
        <v>0</v>
      </c>
      <c r="Z46" s="658">
        <f t="shared" si="18"/>
        <v>0</v>
      </c>
      <c r="AA46" s="658">
        <f t="shared" si="9"/>
        <v>0</v>
      </c>
      <c r="AB46" s="658">
        <f t="shared" si="10"/>
        <v>0</v>
      </c>
      <c r="AC46" s="658">
        <f t="shared" si="11"/>
        <v>0</v>
      </c>
      <c r="AD46" s="658">
        <f t="shared" si="12"/>
        <v>0</v>
      </c>
      <c r="AE46" s="658">
        <f t="shared" si="2"/>
        <v>0</v>
      </c>
      <c r="AF46" s="658">
        <f t="shared" si="3"/>
        <v>0</v>
      </c>
    </row>
    <row r="47" spans="1:32">
      <c r="A47" s="2269" t="s">
        <v>807</v>
      </c>
      <c r="F47" s="667"/>
    </row>
    <row r="48" spans="1:32">
      <c r="A48" s="83">
        <v>1</v>
      </c>
      <c r="B48" s="80" t="s">
        <v>808</v>
      </c>
      <c r="C48" s="84"/>
      <c r="D48" s="84"/>
      <c r="E48" s="84"/>
      <c r="F48" s="668"/>
      <c r="G48" s="84"/>
      <c r="H48" s="84"/>
      <c r="I48" s="84"/>
      <c r="J48" s="84"/>
      <c r="K48" s="84"/>
      <c r="L48" s="84"/>
      <c r="M48" s="84"/>
      <c r="N48" s="84"/>
      <c r="O48" s="84"/>
      <c r="P48" s="84"/>
      <c r="Q48" s="84"/>
      <c r="R48" s="84"/>
      <c r="S48" s="84"/>
      <c r="T48" s="84"/>
      <c r="U48" s="84"/>
      <c r="V48" s="85"/>
      <c r="W48" s="84"/>
      <c r="X48" s="84"/>
    </row>
    <row r="49" spans="1:24">
      <c r="A49" s="83">
        <v>2</v>
      </c>
      <c r="B49" s="80" t="s">
        <v>809</v>
      </c>
      <c r="C49" s="1"/>
      <c r="D49" s="1"/>
      <c r="E49" s="1"/>
      <c r="F49" s="667"/>
      <c r="G49" s="1"/>
      <c r="H49" s="1"/>
      <c r="I49" s="1"/>
      <c r="J49" s="1"/>
      <c r="K49" s="1"/>
      <c r="L49" s="1"/>
      <c r="M49" s="1"/>
      <c r="N49" s="1"/>
      <c r="O49" s="1"/>
      <c r="P49" s="1"/>
      <c r="Q49" s="1"/>
      <c r="R49" s="1"/>
      <c r="S49" s="1"/>
      <c r="T49" s="1"/>
      <c r="U49" s="1"/>
      <c r="V49" s="1"/>
      <c r="W49" s="1"/>
      <c r="X49" s="1"/>
    </row>
    <row r="50" spans="1:24">
      <c r="A50" s="83">
        <v>3</v>
      </c>
      <c r="B50" s="524" t="s">
        <v>810</v>
      </c>
      <c r="C50" s="1"/>
      <c r="D50" s="1"/>
      <c r="E50" s="1"/>
      <c r="F50" s="667"/>
      <c r="G50" s="1"/>
      <c r="H50" s="1"/>
      <c r="I50" s="1"/>
      <c r="J50" s="1"/>
      <c r="K50" s="1"/>
      <c r="L50" s="1"/>
      <c r="M50" s="1"/>
      <c r="N50" s="1"/>
      <c r="O50" s="1"/>
      <c r="P50" s="1"/>
      <c r="Q50" s="1"/>
      <c r="R50" s="1"/>
      <c r="S50" s="1"/>
      <c r="T50" s="1"/>
      <c r="U50" s="1"/>
      <c r="V50" s="1"/>
      <c r="W50" s="1"/>
      <c r="X50" s="1"/>
    </row>
    <row r="51" spans="1:24">
      <c r="A51" s="83">
        <v>4</v>
      </c>
      <c r="B51" s="1" t="s">
        <v>1230</v>
      </c>
      <c r="C51" s="2"/>
      <c r="D51" s="2"/>
      <c r="E51" s="2"/>
      <c r="F51" s="667"/>
      <c r="G51" s="2"/>
      <c r="H51" s="2"/>
      <c r="I51" s="2"/>
      <c r="J51" s="2"/>
      <c r="K51" s="2"/>
      <c r="L51" s="2"/>
      <c r="M51" s="2"/>
      <c r="N51" s="2"/>
      <c r="O51" s="2"/>
      <c r="P51" s="2"/>
      <c r="Q51" s="2"/>
      <c r="R51" s="2"/>
      <c r="S51" s="2"/>
      <c r="T51" s="2"/>
      <c r="U51" s="2"/>
      <c r="V51" s="2"/>
      <c r="W51" s="2"/>
      <c r="X51" s="2"/>
    </row>
    <row r="52" spans="1:24">
      <c r="A52" s="83">
        <v>5</v>
      </c>
      <c r="B52" s="2270" t="s">
        <v>1231</v>
      </c>
      <c r="F52" s="667"/>
      <c r="I52" s="2"/>
      <c r="J52" s="2"/>
      <c r="K52" s="2"/>
      <c r="L52" s="2"/>
      <c r="M52" s="2"/>
      <c r="N52" s="2"/>
      <c r="O52" s="2"/>
      <c r="P52" s="2"/>
      <c r="Q52" s="2"/>
      <c r="R52" s="2"/>
      <c r="S52" s="2"/>
      <c r="T52" s="2"/>
      <c r="U52" s="2"/>
      <c r="V52" s="2"/>
      <c r="W52" s="2"/>
      <c r="X52" s="2"/>
    </row>
    <row r="53" spans="1:24">
      <c r="A53" s="83">
        <v>6</v>
      </c>
      <c r="B53" s="2270" t="s">
        <v>811</v>
      </c>
      <c r="F53" s="667"/>
    </row>
    <row r="54" spans="1:24">
      <c r="A54" s="83">
        <v>7</v>
      </c>
      <c r="B54" s="2" t="s">
        <v>812</v>
      </c>
      <c r="F54" s="667"/>
    </row>
    <row r="55" spans="1:24">
      <c r="A55" s="83">
        <v>8</v>
      </c>
      <c r="B55" s="2" t="s">
        <v>813</v>
      </c>
      <c r="F55" s="667"/>
    </row>
    <row r="56" spans="1:24">
      <c r="A56" s="83">
        <v>9</v>
      </c>
      <c r="B56" s="2" t="s">
        <v>1232</v>
      </c>
      <c r="F56" s="667"/>
    </row>
    <row r="57" spans="1:24">
      <c r="F57" s="667"/>
    </row>
    <row r="58" spans="1:24">
      <c r="F58" s="667"/>
    </row>
    <row r="59" spans="1:24">
      <c r="F59" s="667"/>
    </row>
    <row r="60" spans="1:24">
      <c r="F60" s="667"/>
    </row>
    <row r="61" spans="1:24">
      <c r="F61" s="667"/>
    </row>
    <row r="62" spans="1:24">
      <c r="F62" s="667"/>
    </row>
    <row r="63" spans="1:24">
      <c r="F63" s="667"/>
    </row>
    <row r="64" spans="1:24">
      <c r="F64" s="667"/>
    </row>
    <row r="65" spans="6:6">
      <c r="F65" s="667"/>
    </row>
    <row r="66" spans="6:6">
      <c r="F66" s="667"/>
    </row>
    <row r="67" spans="6:6">
      <c r="F67" s="667"/>
    </row>
    <row r="68" spans="6:6">
      <c r="F68" s="667"/>
    </row>
    <row r="69" spans="6:6">
      <c r="F69" s="667"/>
    </row>
    <row r="70" spans="6:6">
      <c r="F70" s="667"/>
    </row>
    <row r="71" spans="6:6">
      <c r="F71" s="667"/>
    </row>
    <row r="72" spans="6:6">
      <c r="F72" s="667"/>
    </row>
    <row r="73" spans="6:6">
      <c r="F73" s="667"/>
    </row>
    <row r="74" spans="6:6">
      <c r="F74" s="667"/>
    </row>
    <row r="75" spans="6:6">
      <c r="F75" s="667"/>
    </row>
    <row r="76" spans="6:6">
      <c r="F76" s="667"/>
    </row>
    <row r="77" spans="6:6">
      <c r="F77" s="667"/>
    </row>
    <row r="78" spans="6:6">
      <c r="F78" s="667"/>
    </row>
    <row r="79" spans="6:6">
      <c r="F79" s="667"/>
    </row>
    <row r="80" spans="6:6">
      <c r="F80" s="667"/>
    </row>
    <row r="81" spans="6:6">
      <c r="F81" s="667"/>
    </row>
    <row r="82" spans="6:6">
      <c r="F82" s="667"/>
    </row>
  </sheetData>
  <mergeCells count="5">
    <mergeCell ref="A3:A5"/>
    <mergeCell ref="B3:B5"/>
    <mergeCell ref="C3:S3"/>
    <mergeCell ref="T3:AB3"/>
    <mergeCell ref="AC3:AF3"/>
  </mergeCells>
  <phoneticPr fontId="26" type="noConversion"/>
  <printOptions horizontalCentered="1"/>
  <pageMargins left="0.15748031496062992" right="0.15748031496062992" top="0.39370078740157483" bottom="0.39370078740157483" header="0.31496062992125984" footer="0.19685039370078741"/>
  <pageSetup paperSize="9" scale="43" fitToHeight="2" orientation="landscape" horizontalDpi="4294967295" verticalDpi="4294967295" r:id="rId1"/>
  <headerFooter alignWithMargins="0">
    <oddFooter>&amp;C&amp;"Times New Roman,標準"111&amp;R&amp;"Times New Roman,標準"&amp;A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8"/>
  <sheetViews>
    <sheetView view="pageBreakPreview" zoomScale="110" zoomScaleNormal="85" zoomScaleSheetLayoutView="110" workbookViewId="0"/>
  </sheetViews>
  <sheetFormatPr defaultColWidth="8" defaultRowHeight="14.25"/>
  <cols>
    <col min="1" max="1" width="5.5" style="78" customWidth="1"/>
    <col min="2" max="2" width="24" style="78" customWidth="1"/>
    <col min="3" max="4" width="10.5" style="78" customWidth="1"/>
    <col min="5" max="5" width="7.375" style="78" customWidth="1"/>
    <col min="6" max="6" width="6" style="78" customWidth="1"/>
    <col min="7" max="7" width="7.25" style="78" customWidth="1"/>
    <col min="8" max="8" width="9.5" style="78" customWidth="1"/>
    <col min="9" max="9" width="10.25" style="78" customWidth="1"/>
    <col min="10" max="10" width="8.625" style="78" customWidth="1"/>
    <col min="11" max="11" width="10.875" style="86" customWidth="1"/>
    <col min="12" max="12" width="10.25" style="86" customWidth="1"/>
    <col min="13" max="13" width="11.75" style="86" customWidth="1"/>
    <col min="14" max="14" width="11.25" style="86" customWidth="1"/>
    <col min="15" max="15" width="8.75" style="86" customWidth="1"/>
    <col min="16" max="17" width="9.875" style="86" customWidth="1"/>
    <col min="18" max="18" width="9.25" style="86" customWidth="1"/>
    <col min="19" max="19" width="8.875" style="86" customWidth="1"/>
    <col min="20" max="20" width="10.375" style="86" customWidth="1"/>
    <col min="21" max="21" width="8.75" style="86" customWidth="1"/>
    <col min="22" max="22" width="10.5" style="86" customWidth="1"/>
    <col min="23" max="24" width="12.125" style="86" customWidth="1"/>
    <col min="25" max="25" width="12.5" style="86" customWidth="1"/>
    <col min="26" max="26" width="11.25" style="86" customWidth="1"/>
    <col min="27" max="32" width="9.5" style="86" customWidth="1"/>
    <col min="33" max="16384" width="8" style="78"/>
  </cols>
  <sheetData>
    <row r="1" spans="1:32">
      <c r="A1" s="105" t="str">
        <f>表03!A1</f>
        <v xml:space="preserve"> 保險股份有限公司    年度(月)報表</v>
      </c>
      <c r="K1" s="78"/>
      <c r="L1" s="78"/>
      <c r="M1" s="78"/>
      <c r="N1" s="78"/>
      <c r="O1" s="78"/>
      <c r="P1" s="78"/>
      <c r="Q1" s="78"/>
      <c r="R1" s="78"/>
      <c r="S1" s="78"/>
      <c r="T1" s="78"/>
      <c r="U1" s="78"/>
      <c r="V1" s="78"/>
      <c r="W1" s="78"/>
      <c r="X1" s="78"/>
      <c r="Y1" s="78"/>
      <c r="Z1" s="78"/>
      <c r="AA1" s="78"/>
      <c r="AB1" s="78"/>
      <c r="AC1" s="78"/>
      <c r="AD1" s="78"/>
      <c r="AE1" s="78"/>
      <c r="AF1" s="78"/>
    </row>
    <row r="2" spans="1:32">
      <c r="A2" s="78" t="s">
        <v>267</v>
      </c>
      <c r="AF2" s="87" t="s">
        <v>172</v>
      </c>
    </row>
    <row r="3" spans="1:32" ht="16.5" customHeight="1">
      <c r="A3" s="2875" t="s">
        <v>183</v>
      </c>
      <c r="B3" s="2875" t="s">
        <v>86</v>
      </c>
      <c r="C3" s="2855" t="s">
        <v>238</v>
      </c>
      <c r="D3" s="2858"/>
      <c r="E3" s="2858"/>
      <c r="F3" s="2858"/>
      <c r="G3" s="2858"/>
      <c r="H3" s="2858"/>
      <c r="I3" s="2858"/>
      <c r="J3" s="2858"/>
      <c r="K3" s="2858"/>
      <c r="L3" s="2858"/>
      <c r="M3" s="2858"/>
      <c r="N3" s="2858"/>
      <c r="O3" s="2858"/>
      <c r="P3" s="2858"/>
      <c r="Q3" s="2858"/>
      <c r="R3" s="2858"/>
      <c r="S3" s="2262"/>
      <c r="T3" s="2918" t="s">
        <v>239</v>
      </c>
      <c r="U3" s="2918"/>
      <c r="V3" s="2918"/>
      <c r="W3" s="2918"/>
      <c r="X3" s="2918"/>
      <c r="Y3" s="2918"/>
      <c r="Z3" s="2918"/>
      <c r="AA3" s="2918"/>
      <c r="AB3" s="2918"/>
      <c r="AC3" s="2265"/>
      <c r="AD3" s="2858" t="s">
        <v>407</v>
      </c>
      <c r="AE3" s="2858"/>
      <c r="AF3" s="2859"/>
    </row>
    <row r="4" spans="1:32" ht="85.5">
      <c r="A4" s="2914"/>
      <c r="B4" s="2916"/>
      <c r="C4" s="6" t="s">
        <v>408</v>
      </c>
      <c r="D4" s="82" t="s">
        <v>1169</v>
      </c>
      <c r="E4" s="6" t="s">
        <v>409</v>
      </c>
      <c r="F4" s="82" t="s">
        <v>410</v>
      </c>
      <c r="G4" s="6" t="s">
        <v>397</v>
      </c>
      <c r="H4" s="733" t="s">
        <v>1195</v>
      </c>
      <c r="I4" s="295" t="s">
        <v>1196</v>
      </c>
      <c r="J4" s="2261" t="s">
        <v>1081</v>
      </c>
      <c r="K4" s="733" t="s">
        <v>1197</v>
      </c>
      <c r="L4" s="295" t="s">
        <v>1198</v>
      </c>
      <c r="M4" s="733" t="s">
        <v>1199</v>
      </c>
      <c r="N4" s="295" t="s">
        <v>1200</v>
      </c>
      <c r="O4" s="669" t="s">
        <v>1082</v>
      </c>
      <c r="P4" s="295" t="s">
        <v>1201</v>
      </c>
      <c r="Q4" s="295" t="s">
        <v>1202</v>
      </c>
      <c r="R4" s="295" t="s">
        <v>1203</v>
      </c>
      <c r="S4" s="670" t="s">
        <v>1204</v>
      </c>
      <c r="T4" s="671" t="s">
        <v>1205</v>
      </c>
      <c r="U4" s="671" t="s">
        <v>1206</v>
      </c>
      <c r="V4" s="672" t="s">
        <v>1083</v>
      </c>
      <c r="W4" s="6" t="s">
        <v>1084</v>
      </c>
      <c r="X4" s="6" t="s">
        <v>1085</v>
      </c>
      <c r="Y4" s="2268" t="s">
        <v>1207</v>
      </c>
      <c r="Z4" s="2268" t="s">
        <v>1208</v>
      </c>
      <c r="AA4" s="673" t="s">
        <v>1209</v>
      </c>
      <c r="AB4" s="673" t="s">
        <v>1204</v>
      </c>
      <c r="AC4" s="673" t="s">
        <v>1210</v>
      </c>
      <c r="AD4" s="673" t="s">
        <v>1211</v>
      </c>
      <c r="AE4" s="673" t="s">
        <v>1209</v>
      </c>
      <c r="AF4" s="673" t="s">
        <v>1204</v>
      </c>
    </row>
    <row r="5" spans="1:32" ht="42" customHeight="1">
      <c r="A5" s="2915"/>
      <c r="B5" s="2917"/>
      <c r="C5" s="2271" t="s">
        <v>66</v>
      </c>
      <c r="D5" s="2271" t="s">
        <v>763</v>
      </c>
      <c r="E5" s="2271" t="s">
        <v>764</v>
      </c>
      <c r="F5" s="51" t="s">
        <v>765</v>
      </c>
      <c r="G5" s="2271" t="s">
        <v>766</v>
      </c>
      <c r="H5" s="674" t="s">
        <v>1086</v>
      </c>
      <c r="I5" s="674" t="s">
        <v>321</v>
      </c>
      <c r="J5" s="2271" t="s">
        <v>470</v>
      </c>
      <c r="K5" s="674" t="s">
        <v>1087</v>
      </c>
      <c r="L5" s="2271" t="s">
        <v>464</v>
      </c>
      <c r="M5" s="674" t="s">
        <v>1088</v>
      </c>
      <c r="N5" s="2271" t="s">
        <v>465</v>
      </c>
      <c r="O5" s="675" t="s">
        <v>1216</v>
      </c>
      <c r="P5" s="2271" t="s">
        <v>1089</v>
      </c>
      <c r="Q5" s="675" t="s">
        <v>1217</v>
      </c>
      <c r="R5" s="2271" t="s">
        <v>1090</v>
      </c>
      <c r="S5" s="51" t="s">
        <v>1218</v>
      </c>
      <c r="T5" s="674" t="s">
        <v>1091</v>
      </c>
      <c r="U5" s="674" t="s">
        <v>480</v>
      </c>
      <c r="V5" s="674" t="s">
        <v>1092</v>
      </c>
      <c r="W5" s="2271" t="s">
        <v>1069</v>
      </c>
      <c r="X5" s="674" t="s">
        <v>189</v>
      </c>
      <c r="Y5" s="674" t="s">
        <v>1093</v>
      </c>
      <c r="Z5" s="2271" t="s">
        <v>492</v>
      </c>
      <c r="AA5" s="44" t="s">
        <v>1094</v>
      </c>
      <c r="AB5" s="2271" t="s">
        <v>1223</v>
      </c>
      <c r="AC5" s="2271" t="s">
        <v>1095</v>
      </c>
      <c r="AD5" s="2271" t="s">
        <v>1224</v>
      </c>
      <c r="AE5" s="2271" t="s">
        <v>1096</v>
      </c>
      <c r="AF5" s="2271" t="s">
        <v>1225</v>
      </c>
    </row>
    <row r="6" spans="1:32" ht="20.25" customHeight="1">
      <c r="A6" s="65">
        <v>1</v>
      </c>
      <c r="B6" s="49" t="s">
        <v>814</v>
      </c>
      <c r="C6" s="658">
        <f>SUM(C7:C13)</f>
        <v>0</v>
      </c>
      <c r="D6" s="658">
        <f>SUM(D7:D13)</f>
        <v>0</v>
      </c>
      <c r="E6" s="676"/>
      <c r="F6" s="677"/>
      <c r="G6" s="677"/>
      <c r="H6" s="658">
        <f t="shared" ref="H6:W6" si="0">SUM(H7:H13)</f>
        <v>0</v>
      </c>
      <c r="I6" s="658">
        <f t="shared" si="0"/>
        <v>0</v>
      </c>
      <c r="J6" s="658">
        <f t="shared" si="0"/>
        <v>0</v>
      </c>
      <c r="K6" s="658">
        <f t="shared" si="0"/>
        <v>0</v>
      </c>
      <c r="L6" s="658">
        <f t="shared" si="0"/>
        <v>0</v>
      </c>
      <c r="M6" s="658">
        <f t="shared" si="0"/>
        <v>0</v>
      </c>
      <c r="N6" s="658">
        <f t="shared" si="0"/>
        <v>0</v>
      </c>
      <c r="O6" s="658">
        <f t="shared" si="0"/>
        <v>0</v>
      </c>
      <c r="P6" s="658">
        <f t="shared" si="0"/>
        <v>0</v>
      </c>
      <c r="Q6" s="658">
        <f t="shared" si="0"/>
        <v>0</v>
      </c>
      <c r="R6" s="658">
        <f t="shared" si="0"/>
        <v>0</v>
      </c>
      <c r="S6" s="658">
        <f t="shared" si="0"/>
        <v>0</v>
      </c>
      <c r="T6" s="658">
        <f t="shared" si="0"/>
        <v>0</v>
      </c>
      <c r="U6" s="658">
        <f t="shared" si="0"/>
        <v>0</v>
      </c>
      <c r="V6" s="658">
        <f t="shared" si="0"/>
        <v>0</v>
      </c>
      <c r="W6" s="658">
        <f t="shared" si="0"/>
        <v>0</v>
      </c>
      <c r="X6" s="658"/>
      <c r="Y6" s="658">
        <f t="shared" ref="Y6:AF6" si="1">SUM(Y7:Y13)</f>
        <v>0</v>
      </c>
      <c r="Z6" s="658">
        <f t="shared" si="1"/>
        <v>0</v>
      </c>
      <c r="AA6" s="658">
        <f t="shared" si="1"/>
        <v>0</v>
      </c>
      <c r="AB6" s="658">
        <f t="shared" si="1"/>
        <v>0</v>
      </c>
      <c r="AC6" s="658">
        <f t="shared" si="1"/>
        <v>0</v>
      </c>
      <c r="AD6" s="658">
        <f t="shared" si="1"/>
        <v>0</v>
      </c>
      <c r="AE6" s="658">
        <f t="shared" si="1"/>
        <v>0</v>
      </c>
      <c r="AF6" s="658">
        <f t="shared" si="1"/>
        <v>0</v>
      </c>
    </row>
    <row r="7" spans="1:32" ht="20.25" customHeight="1">
      <c r="A7" s="65">
        <v>2</v>
      </c>
      <c r="B7" s="49" t="s">
        <v>390</v>
      </c>
      <c r="C7" s="658"/>
      <c r="D7" s="658"/>
      <c r="E7" s="676"/>
      <c r="F7" s="677"/>
      <c r="G7" s="659"/>
      <c r="H7" s="658"/>
      <c r="I7" s="658"/>
      <c r="J7" s="658"/>
      <c r="K7" s="678"/>
      <c r="L7" s="678"/>
      <c r="M7" s="678"/>
      <c r="N7" s="678"/>
      <c r="O7" s="658"/>
      <c r="P7" s="658"/>
      <c r="Q7" s="658"/>
      <c r="R7" s="658"/>
      <c r="S7" s="658"/>
      <c r="T7" s="658"/>
      <c r="U7" s="658"/>
      <c r="V7" s="658"/>
      <c r="W7" s="658"/>
      <c r="X7" s="658"/>
      <c r="Y7" s="658"/>
      <c r="Z7" s="658"/>
      <c r="AA7" s="658"/>
      <c r="AB7" s="658"/>
      <c r="AC7" s="658"/>
      <c r="AD7" s="658"/>
      <c r="AE7" s="658"/>
      <c r="AF7" s="658"/>
    </row>
    <row r="8" spans="1:32" ht="20.25" customHeight="1">
      <c r="A8" s="65">
        <v>3</v>
      </c>
      <c r="B8" s="49" t="s">
        <v>391</v>
      </c>
      <c r="C8" s="658"/>
      <c r="D8" s="658"/>
      <c r="E8" s="676"/>
      <c r="F8" s="677"/>
      <c r="G8" s="659"/>
      <c r="H8" s="658"/>
      <c r="I8" s="658"/>
      <c r="J8" s="658"/>
      <c r="K8" s="678"/>
      <c r="L8" s="678"/>
      <c r="M8" s="678"/>
      <c r="N8" s="678"/>
      <c r="O8" s="658"/>
      <c r="P8" s="658"/>
      <c r="Q8" s="658"/>
      <c r="R8" s="658"/>
      <c r="S8" s="658"/>
      <c r="T8" s="658"/>
      <c r="U8" s="658"/>
      <c r="V8" s="658"/>
      <c r="W8" s="658"/>
      <c r="X8" s="658"/>
      <c r="Y8" s="658"/>
      <c r="Z8" s="658"/>
      <c r="AA8" s="658"/>
      <c r="AB8" s="658"/>
      <c r="AC8" s="658"/>
      <c r="AD8" s="658"/>
      <c r="AE8" s="658"/>
      <c r="AF8" s="658"/>
    </row>
    <row r="9" spans="1:32" ht="20.25" customHeight="1">
      <c r="A9" s="65">
        <v>4</v>
      </c>
      <c r="B9" s="49" t="s">
        <v>1695</v>
      </c>
      <c r="C9" s="658"/>
      <c r="D9" s="658"/>
      <c r="E9" s="676"/>
      <c r="F9" s="677"/>
      <c r="G9" s="659"/>
      <c r="H9" s="658"/>
      <c r="I9" s="658"/>
      <c r="J9" s="658"/>
      <c r="K9" s="658"/>
      <c r="L9" s="658"/>
      <c r="M9" s="678"/>
      <c r="N9" s="678"/>
      <c r="O9" s="658"/>
      <c r="P9" s="658"/>
      <c r="Q9" s="658"/>
      <c r="R9" s="658"/>
      <c r="S9" s="658"/>
      <c r="T9" s="658"/>
      <c r="U9" s="658"/>
      <c r="V9" s="658"/>
      <c r="W9" s="658"/>
      <c r="X9" s="658"/>
      <c r="Y9" s="658"/>
      <c r="Z9" s="658"/>
      <c r="AA9" s="658"/>
      <c r="AB9" s="658"/>
      <c r="AC9" s="658"/>
      <c r="AD9" s="658"/>
      <c r="AE9" s="658"/>
      <c r="AF9" s="658"/>
    </row>
    <row r="10" spans="1:32" ht="20.25" customHeight="1">
      <c r="A10" s="65">
        <v>5</v>
      </c>
      <c r="B10" s="49" t="s">
        <v>392</v>
      </c>
      <c r="C10" s="658"/>
      <c r="D10" s="658"/>
      <c r="E10" s="676"/>
      <c r="F10" s="677"/>
      <c r="G10" s="659"/>
      <c r="H10" s="658"/>
      <c r="I10" s="658"/>
      <c r="J10" s="658"/>
      <c r="K10" s="678"/>
      <c r="L10" s="678"/>
      <c r="M10" s="678"/>
      <c r="N10" s="678"/>
      <c r="O10" s="658"/>
      <c r="P10" s="658"/>
      <c r="Q10" s="658"/>
      <c r="R10" s="658"/>
      <c r="S10" s="658"/>
      <c r="T10" s="658"/>
      <c r="U10" s="658"/>
      <c r="V10" s="658"/>
      <c r="W10" s="658"/>
      <c r="X10" s="658"/>
      <c r="Y10" s="658"/>
      <c r="Z10" s="658"/>
      <c r="AA10" s="658"/>
      <c r="AB10" s="658"/>
      <c r="AC10" s="658"/>
      <c r="AD10" s="658"/>
      <c r="AE10" s="658"/>
      <c r="AF10" s="658"/>
    </row>
    <row r="11" spans="1:32" ht="20.25" customHeight="1">
      <c r="A11" s="65">
        <v>6</v>
      </c>
      <c r="B11" s="49" t="s">
        <v>393</v>
      </c>
      <c r="C11" s="658"/>
      <c r="D11" s="658"/>
      <c r="E11" s="676"/>
      <c r="F11" s="677"/>
      <c r="G11" s="659"/>
      <c r="H11" s="658"/>
      <c r="I11" s="658"/>
      <c r="J11" s="658"/>
      <c r="K11" s="678"/>
      <c r="L11" s="678"/>
      <c r="M11" s="678"/>
      <c r="N11" s="678"/>
      <c r="O11" s="658"/>
      <c r="P11" s="658"/>
      <c r="Q11" s="658"/>
      <c r="R11" s="658"/>
      <c r="S11" s="658"/>
      <c r="T11" s="658"/>
      <c r="U11" s="658"/>
      <c r="V11" s="658"/>
      <c r="W11" s="658"/>
      <c r="X11" s="658"/>
      <c r="Y11" s="658"/>
      <c r="Z11" s="658"/>
      <c r="AA11" s="658"/>
      <c r="AB11" s="658"/>
      <c r="AC11" s="658"/>
      <c r="AD11" s="658"/>
      <c r="AE11" s="658"/>
      <c r="AF11" s="658"/>
    </row>
    <row r="12" spans="1:32" ht="20.25" customHeight="1">
      <c r="A12" s="65">
        <v>7</v>
      </c>
      <c r="B12" s="49" t="s">
        <v>1475</v>
      </c>
      <c r="C12" s="658"/>
      <c r="D12" s="658"/>
      <c r="E12" s="676"/>
      <c r="F12" s="677"/>
      <c r="G12" s="659"/>
      <c r="H12" s="658"/>
      <c r="I12" s="658"/>
      <c r="J12" s="658"/>
      <c r="K12" s="678"/>
      <c r="L12" s="678"/>
      <c r="M12" s="678"/>
      <c r="N12" s="678"/>
      <c r="O12" s="658"/>
      <c r="P12" s="658"/>
      <c r="Q12" s="658"/>
      <c r="R12" s="658"/>
      <c r="S12" s="658"/>
      <c r="T12" s="658"/>
      <c r="U12" s="658"/>
      <c r="V12" s="658"/>
      <c r="W12" s="658"/>
      <c r="X12" s="658"/>
      <c r="Y12" s="658"/>
      <c r="Z12" s="658"/>
      <c r="AA12" s="658"/>
      <c r="AB12" s="658"/>
      <c r="AC12" s="658"/>
      <c r="AD12" s="658"/>
      <c r="AE12" s="658"/>
      <c r="AF12" s="658"/>
    </row>
    <row r="13" spans="1:32" ht="20.25" customHeight="1">
      <c r="A13" s="65">
        <v>8</v>
      </c>
      <c r="B13" s="49" t="s">
        <v>1476</v>
      </c>
      <c r="C13" s="658"/>
      <c r="D13" s="658"/>
      <c r="E13" s="676"/>
      <c r="F13" s="677"/>
      <c r="G13" s="659"/>
      <c r="H13" s="658"/>
      <c r="I13" s="658"/>
      <c r="J13" s="658"/>
      <c r="K13" s="678"/>
      <c r="L13" s="678"/>
      <c r="M13" s="678"/>
      <c r="N13" s="678"/>
      <c r="O13" s="658"/>
      <c r="P13" s="658"/>
      <c r="Q13" s="658"/>
      <c r="R13" s="658"/>
      <c r="S13" s="658"/>
      <c r="T13" s="658"/>
      <c r="U13" s="658"/>
      <c r="V13" s="658"/>
      <c r="W13" s="658"/>
      <c r="X13" s="658"/>
      <c r="Y13" s="658"/>
      <c r="Z13" s="658"/>
      <c r="AA13" s="658"/>
      <c r="AB13" s="658"/>
      <c r="AC13" s="658"/>
      <c r="AD13" s="658"/>
      <c r="AE13" s="658"/>
      <c r="AF13" s="658"/>
    </row>
    <row r="14" spans="1:32" ht="20.25" customHeight="1">
      <c r="A14" s="65">
        <v>9</v>
      </c>
      <c r="B14" s="49" t="s">
        <v>815</v>
      </c>
      <c r="C14" s="658">
        <f>SUM(C15:C19)</f>
        <v>0</v>
      </c>
      <c r="D14" s="658">
        <f>SUM(D15:D19)</f>
        <v>0</v>
      </c>
      <c r="E14" s="676"/>
      <c r="F14" s="677"/>
      <c r="G14" s="659">
        <v>0</v>
      </c>
      <c r="H14" s="658">
        <f t="shared" ref="H14:AF14" si="2">SUM(H15:H19)</f>
        <v>0</v>
      </c>
      <c r="I14" s="658">
        <f t="shared" si="2"/>
        <v>0</v>
      </c>
      <c r="J14" s="658">
        <f t="shared" si="2"/>
        <v>0</v>
      </c>
      <c r="K14" s="658">
        <f t="shared" si="2"/>
        <v>0</v>
      </c>
      <c r="L14" s="658">
        <f t="shared" si="2"/>
        <v>0</v>
      </c>
      <c r="M14" s="658">
        <f t="shared" si="2"/>
        <v>0</v>
      </c>
      <c r="N14" s="658">
        <f t="shared" si="2"/>
        <v>0</v>
      </c>
      <c r="O14" s="658">
        <f t="shared" si="2"/>
        <v>0</v>
      </c>
      <c r="P14" s="658">
        <f t="shared" si="2"/>
        <v>0</v>
      </c>
      <c r="Q14" s="658">
        <f t="shared" si="2"/>
        <v>0</v>
      </c>
      <c r="R14" s="658">
        <f t="shared" si="2"/>
        <v>0</v>
      </c>
      <c r="S14" s="658">
        <f t="shared" si="2"/>
        <v>0</v>
      </c>
      <c r="T14" s="658">
        <f t="shared" si="2"/>
        <v>0</v>
      </c>
      <c r="U14" s="658">
        <f t="shared" si="2"/>
        <v>0</v>
      </c>
      <c r="V14" s="658">
        <f t="shared" si="2"/>
        <v>0</v>
      </c>
      <c r="W14" s="658">
        <f t="shared" si="2"/>
        <v>0</v>
      </c>
      <c r="X14" s="658"/>
      <c r="Y14" s="658">
        <f t="shared" si="2"/>
        <v>0</v>
      </c>
      <c r="Z14" s="658">
        <f t="shared" si="2"/>
        <v>0</v>
      </c>
      <c r="AA14" s="658">
        <f t="shared" si="2"/>
        <v>0</v>
      </c>
      <c r="AB14" s="658">
        <f t="shared" si="2"/>
        <v>0</v>
      </c>
      <c r="AC14" s="658">
        <f t="shared" si="2"/>
        <v>0</v>
      </c>
      <c r="AD14" s="658">
        <f t="shared" si="2"/>
        <v>0</v>
      </c>
      <c r="AE14" s="658">
        <f t="shared" si="2"/>
        <v>0</v>
      </c>
      <c r="AF14" s="658">
        <f t="shared" si="2"/>
        <v>0</v>
      </c>
    </row>
    <row r="15" spans="1:32" ht="20.25" customHeight="1">
      <c r="A15" s="65">
        <v>10</v>
      </c>
      <c r="B15" s="49" t="s">
        <v>1170</v>
      </c>
      <c r="C15" s="658"/>
      <c r="D15" s="658"/>
      <c r="E15" s="676"/>
      <c r="F15" s="658"/>
      <c r="G15" s="659"/>
      <c r="H15" s="658"/>
      <c r="I15" s="658"/>
      <c r="J15" s="658"/>
      <c r="K15" s="678"/>
      <c r="L15" s="678"/>
      <c r="M15" s="678"/>
      <c r="N15" s="678"/>
      <c r="O15" s="658"/>
      <c r="P15" s="658"/>
      <c r="Q15" s="658"/>
      <c r="R15" s="658"/>
      <c r="S15" s="658"/>
      <c r="T15" s="658"/>
      <c r="U15" s="658"/>
      <c r="V15" s="658"/>
      <c r="W15" s="658"/>
      <c r="X15" s="658"/>
      <c r="Y15" s="658"/>
      <c r="Z15" s="658"/>
      <c r="AA15" s="658"/>
      <c r="AB15" s="658"/>
      <c r="AC15" s="658"/>
      <c r="AD15" s="658"/>
      <c r="AE15" s="658"/>
      <c r="AF15" s="658"/>
    </row>
    <row r="16" spans="1:32" ht="20.25" customHeight="1">
      <c r="A16" s="65">
        <v>11</v>
      </c>
      <c r="B16" s="49" t="s">
        <v>1171</v>
      </c>
      <c r="C16" s="658"/>
      <c r="D16" s="658"/>
      <c r="E16" s="676"/>
      <c r="F16" s="658"/>
      <c r="G16" s="659"/>
      <c r="H16" s="658"/>
      <c r="I16" s="658"/>
      <c r="J16" s="658"/>
      <c r="K16" s="679"/>
      <c r="L16" s="679"/>
      <c r="M16" s="679"/>
      <c r="N16" s="679"/>
      <c r="O16" s="658"/>
      <c r="P16" s="658"/>
      <c r="Q16" s="658"/>
      <c r="R16" s="658"/>
      <c r="S16" s="658"/>
      <c r="T16" s="658"/>
      <c r="U16" s="658"/>
      <c r="V16" s="658"/>
      <c r="W16" s="658"/>
      <c r="X16" s="658"/>
      <c r="Y16" s="658"/>
      <c r="Z16" s="658"/>
      <c r="AA16" s="658"/>
      <c r="AB16" s="658"/>
      <c r="AC16" s="658"/>
      <c r="AD16" s="658"/>
      <c r="AE16" s="658"/>
      <c r="AF16" s="658"/>
    </row>
    <row r="17" spans="1:32" ht="20.25" customHeight="1">
      <c r="A17" s="65">
        <v>12</v>
      </c>
      <c r="B17" s="49" t="s">
        <v>1172</v>
      </c>
      <c r="C17" s="658"/>
      <c r="D17" s="658"/>
      <c r="E17" s="676"/>
      <c r="F17" s="658"/>
      <c r="G17" s="659"/>
      <c r="H17" s="658"/>
      <c r="I17" s="658"/>
      <c r="J17" s="658"/>
      <c r="K17" s="679"/>
      <c r="L17" s="679"/>
      <c r="M17" s="679"/>
      <c r="N17" s="679"/>
      <c r="O17" s="658"/>
      <c r="P17" s="658"/>
      <c r="Q17" s="658"/>
      <c r="R17" s="658"/>
      <c r="S17" s="658"/>
      <c r="T17" s="658"/>
      <c r="U17" s="658"/>
      <c r="V17" s="658"/>
      <c r="W17" s="658"/>
      <c r="X17" s="658"/>
      <c r="Y17" s="658"/>
      <c r="Z17" s="658"/>
      <c r="AA17" s="658"/>
      <c r="AB17" s="658"/>
      <c r="AC17" s="658"/>
      <c r="AD17" s="658"/>
      <c r="AE17" s="658"/>
      <c r="AF17" s="658"/>
    </row>
    <row r="18" spans="1:32" ht="20.25" customHeight="1">
      <c r="A18" s="65">
        <v>13</v>
      </c>
      <c r="B18" s="49" t="s">
        <v>1173</v>
      </c>
      <c r="C18" s="658"/>
      <c r="D18" s="658"/>
      <c r="E18" s="676"/>
      <c r="F18" s="658"/>
      <c r="G18" s="659"/>
      <c r="H18" s="658"/>
      <c r="I18" s="658"/>
      <c r="J18" s="658"/>
      <c r="K18" s="679"/>
      <c r="L18" s="679"/>
      <c r="M18" s="679"/>
      <c r="N18" s="679"/>
      <c r="O18" s="658"/>
      <c r="P18" s="658"/>
      <c r="Q18" s="658"/>
      <c r="R18" s="658"/>
      <c r="S18" s="658"/>
      <c r="T18" s="658"/>
      <c r="U18" s="658"/>
      <c r="V18" s="658"/>
      <c r="W18" s="658"/>
      <c r="X18" s="658"/>
      <c r="Y18" s="658"/>
      <c r="Z18" s="658"/>
      <c r="AA18" s="658"/>
      <c r="AB18" s="658"/>
      <c r="AC18" s="658"/>
      <c r="AD18" s="658"/>
      <c r="AE18" s="658"/>
      <c r="AF18" s="658"/>
    </row>
    <row r="19" spans="1:32" ht="20.25" customHeight="1">
      <c r="A19" s="65">
        <v>14</v>
      </c>
      <c r="B19" s="49" t="s">
        <v>1174</v>
      </c>
      <c r="C19" s="658"/>
      <c r="D19" s="658"/>
      <c r="E19" s="676"/>
      <c r="F19" s="658"/>
      <c r="G19" s="659"/>
      <c r="H19" s="658"/>
      <c r="I19" s="658"/>
      <c r="J19" s="658"/>
      <c r="K19" s="679"/>
      <c r="L19" s="679"/>
      <c r="M19" s="679"/>
      <c r="N19" s="679"/>
      <c r="O19" s="658"/>
      <c r="P19" s="658"/>
      <c r="Q19" s="658"/>
      <c r="R19" s="658"/>
      <c r="S19" s="658"/>
      <c r="T19" s="658"/>
      <c r="U19" s="658"/>
      <c r="V19" s="658"/>
      <c r="W19" s="658"/>
      <c r="X19" s="658"/>
      <c r="Y19" s="658"/>
      <c r="Z19" s="658"/>
      <c r="AA19" s="658"/>
      <c r="AB19" s="658"/>
      <c r="AC19" s="658"/>
      <c r="AD19" s="658"/>
      <c r="AE19" s="658"/>
      <c r="AF19" s="658"/>
    </row>
    <row r="20" spans="1:32" ht="20.25" customHeight="1">
      <c r="A20" s="65">
        <v>15</v>
      </c>
      <c r="B20" s="2249" t="s">
        <v>394</v>
      </c>
      <c r="C20" s="658">
        <f>C6+C14</f>
        <v>0</v>
      </c>
      <c r="D20" s="658">
        <f>D6+D14</f>
        <v>0</v>
      </c>
      <c r="E20" s="676"/>
      <c r="F20" s="680"/>
      <c r="G20" s="659">
        <v>0</v>
      </c>
      <c r="H20" s="658">
        <f t="shared" ref="H20:AF20" si="3">H6+H14</f>
        <v>0</v>
      </c>
      <c r="I20" s="658">
        <f t="shared" si="3"/>
        <v>0</v>
      </c>
      <c r="J20" s="658">
        <f t="shared" si="3"/>
        <v>0</v>
      </c>
      <c r="K20" s="658">
        <f t="shared" si="3"/>
        <v>0</v>
      </c>
      <c r="L20" s="658">
        <f t="shared" si="3"/>
        <v>0</v>
      </c>
      <c r="M20" s="658">
        <f t="shared" si="3"/>
        <v>0</v>
      </c>
      <c r="N20" s="658">
        <f t="shared" si="3"/>
        <v>0</v>
      </c>
      <c r="O20" s="658">
        <f t="shared" si="3"/>
        <v>0</v>
      </c>
      <c r="P20" s="658">
        <f t="shared" si="3"/>
        <v>0</v>
      </c>
      <c r="Q20" s="658">
        <f t="shared" si="3"/>
        <v>0</v>
      </c>
      <c r="R20" s="658">
        <f t="shared" si="3"/>
        <v>0</v>
      </c>
      <c r="S20" s="658">
        <f t="shared" si="3"/>
        <v>0</v>
      </c>
      <c r="T20" s="658">
        <f t="shared" si="3"/>
        <v>0</v>
      </c>
      <c r="U20" s="658">
        <f t="shared" si="3"/>
        <v>0</v>
      </c>
      <c r="V20" s="658">
        <f t="shared" si="3"/>
        <v>0</v>
      </c>
      <c r="W20" s="658">
        <f t="shared" si="3"/>
        <v>0</v>
      </c>
      <c r="X20" s="658"/>
      <c r="Y20" s="658">
        <f t="shared" si="3"/>
        <v>0</v>
      </c>
      <c r="Z20" s="658">
        <f t="shared" si="3"/>
        <v>0</v>
      </c>
      <c r="AA20" s="658">
        <f t="shared" si="3"/>
        <v>0</v>
      </c>
      <c r="AB20" s="658">
        <f>AB6+AB14</f>
        <v>0</v>
      </c>
      <c r="AC20" s="658">
        <f>AC6+AC14</f>
        <v>0</v>
      </c>
      <c r="AD20" s="658">
        <f t="shared" si="3"/>
        <v>0</v>
      </c>
      <c r="AE20" s="658">
        <f t="shared" si="3"/>
        <v>0</v>
      </c>
      <c r="AF20" s="658">
        <f t="shared" si="3"/>
        <v>0</v>
      </c>
    </row>
    <row r="21" spans="1:32">
      <c r="A21" s="2269" t="s">
        <v>816</v>
      </c>
    </row>
    <row r="22" spans="1:32">
      <c r="A22" s="88">
        <v>1</v>
      </c>
      <c r="B22" s="78" t="s">
        <v>1484</v>
      </c>
      <c r="C22" s="84"/>
      <c r="D22" s="84"/>
      <c r="E22" s="84"/>
      <c r="F22" s="84"/>
      <c r="G22" s="84"/>
      <c r="H22" s="84"/>
      <c r="I22" s="84"/>
      <c r="J22" s="84"/>
      <c r="K22" s="84"/>
      <c r="L22" s="84"/>
      <c r="M22" s="84"/>
      <c r="N22" s="84"/>
      <c r="O22" s="84"/>
      <c r="P22" s="84"/>
      <c r="Q22" s="84"/>
      <c r="R22" s="84"/>
      <c r="S22" s="84"/>
      <c r="T22" s="84"/>
      <c r="U22" s="84"/>
      <c r="V22" s="85"/>
      <c r="W22" s="84"/>
      <c r="X22" s="84"/>
    </row>
    <row r="23" spans="1:32">
      <c r="A23" s="88">
        <v>2</v>
      </c>
      <c r="B23" s="78" t="s">
        <v>1485</v>
      </c>
      <c r="C23" s="1"/>
      <c r="D23" s="1"/>
      <c r="E23" s="1"/>
      <c r="F23" s="1"/>
      <c r="G23" s="1"/>
      <c r="H23" s="1"/>
      <c r="I23" s="1"/>
      <c r="J23" s="1"/>
      <c r="K23" s="1"/>
      <c r="L23" s="1"/>
      <c r="M23" s="1"/>
      <c r="N23" s="1"/>
      <c r="O23" s="1"/>
      <c r="P23" s="1"/>
      <c r="Q23" s="1"/>
      <c r="R23" s="1"/>
      <c r="S23" s="1"/>
      <c r="T23" s="1"/>
      <c r="U23" s="1"/>
      <c r="V23" s="1"/>
      <c r="W23" s="1"/>
      <c r="X23" s="1"/>
    </row>
    <row r="24" spans="1:32">
      <c r="A24" s="88">
        <v>3</v>
      </c>
      <c r="B24" s="1" t="s">
        <v>1486</v>
      </c>
      <c r="C24" s="2"/>
      <c r="D24" s="2"/>
      <c r="E24" s="2"/>
      <c r="F24" s="2"/>
      <c r="G24" s="2"/>
      <c r="H24" s="2"/>
      <c r="I24" s="2"/>
      <c r="J24" s="2"/>
      <c r="K24" s="2"/>
      <c r="L24" s="2"/>
      <c r="M24" s="2"/>
      <c r="N24" s="2"/>
      <c r="O24" s="2"/>
      <c r="P24" s="2"/>
      <c r="Q24" s="2"/>
      <c r="R24" s="2"/>
      <c r="S24" s="2"/>
      <c r="T24" s="2"/>
      <c r="U24" s="2"/>
      <c r="V24" s="2"/>
      <c r="W24" s="2"/>
      <c r="X24" s="2"/>
    </row>
    <row r="25" spans="1:32">
      <c r="A25" s="88">
        <v>4</v>
      </c>
      <c r="B25" s="2270" t="s">
        <v>1487</v>
      </c>
    </row>
    <row r="26" spans="1:32">
      <c r="A26" s="88">
        <v>5</v>
      </c>
      <c r="B26" s="2" t="s">
        <v>1488</v>
      </c>
    </row>
    <row r="27" spans="1:32">
      <c r="A27" s="88">
        <v>6</v>
      </c>
      <c r="B27" s="1078" t="s">
        <v>1489</v>
      </c>
    </row>
    <row r="28" spans="1:32">
      <c r="A28" s="88">
        <v>7</v>
      </c>
      <c r="B28" s="36" t="s">
        <v>1480</v>
      </c>
    </row>
  </sheetData>
  <mergeCells count="5">
    <mergeCell ref="A3:A5"/>
    <mergeCell ref="B3:B5"/>
    <mergeCell ref="C3:R3"/>
    <mergeCell ref="T3:AB3"/>
    <mergeCell ref="AD3:AF3"/>
  </mergeCells>
  <phoneticPr fontId="26" type="noConversion"/>
  <printOptions horizontalCentered="1"/>
  <pageMargins left="0.15748031496062992" right="0.15748031496062992" top="0.39370078740157483" bottom="0.39370078740157483" header="0.31496062992125984" footer="0.19685039370078741"/>
  <pageSetup paperSize="9" scale="44" fitToHeight="2" orientation="landscape" horizontalDpi="4294967295" verticalDpi="4294967295" r:id="rId1"/>
  <headerFooter alignWithMargins="0">
    <oddFooter>&amp;C&amp;"Times New Roman,標準"112&amp;R&amp;"Times New Roman,標準"&amp;A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9"/>
  <sheetViews>
    <sheetView workbookViewId="0"/>
  </sheetViews>
  <sheetFormatPr defaultColWidth="10.625" defaultRowHeight="14.25" customHeight="1"/>
  <cols>
    <col min="1" max="1" width="3.375" style="736" customWidth="1"/>
    <col min="2" max="2" width="9.75" style="736" customWidth="1"/>
    <col min="3" max="3" width="16" style="736" customWidth="1"/>
    <col min="4" max="4" width="2.375" style="736" customWidth="1"/>
    <col min="5" max="7" width="20.125" style="736" customWidth="1"/>
    <col min="8" max="8" width="15.625" style="736" customWidth="1"/>
    <col min="9" max="16384" width="10.625" style="736"/>
  </cols>
  <sheetData>
    <row r="1" spans="1:8" ht="21">
      <c r="A1" s="735" t="s">
        <v>1070</v>
      </c>
      <c r="E1" s="737"/>
    </row>
    <row r="2" spans="1:8">
      <c r="A2" s="738" t="s">
        <v>1080</v>
      </c>
      <c r="C2" s="738"/>
      <c r="G2" s="739"/>
      <c r="H2" s="739" t="s">
        <v>295</v>
      </c>
    </row>
    <row r="3" spans="1:8" s="741" customFormat="1">
      <c r="A3" s="2922" t="s">
        <v>183</v>
      </c>
      <c r="B3" s="2923" t="s">
        <v>1071</v>
      </c>
      <c r="C3" s="2923"/>
      <c r="D3" s="2923"/>
      <c r="E3" s="740" t="s">
        <v>1072</v>
      </c>
      <c r="F3" s="740" t="s">
        <v>1073</v>
      </c>
      <c r="G3" s="740" t="s">
        <v>1074</v>
      </c>
      <c r="H3" s="740" t="s">
        <v>121</v>
      </c>
    </row>
    <row r="4" spans="1:8" s="741" customFormat="1">
      <c r="A4" s="2922"/>
      <c r="B4" s="2923"/>
      <c r="C4" s="2923"/>
      <c r="D4" s="2923"/>
      <c r="E4" s="742" t="s">
        <v>122</v>
      </c>
      <c r="F4" s="742" t="s">
        <v>187</v>
      </c>
      <c r="G4" s="742" t="s">
        <v>1075</v>
      </c>
      <c r="H4" s="740" t="s">
        <v>309</v>
      </c>
    </row>
    <row r="5" spans="1:8" ht="16.5" customHeight="1">
      <c r="A5" s="743">
        <v>1</v>
      </c>
      <c r="B5" s="2924" t="s">
        <v>2066</v>
      </c>
      <c r="C5" s="2920"/>
      <c r="D5" s="2921"/>
      <c r="E5" s="744"/>
      <c r="F5" s="744"/>
      <c r="G5" s="744"/>
      <c r="H5" s="745"/>
    </row>
    <row r="6" spans="1:8" ht="16.5" customHeight="1">
      <c r="A6" s="743">
        <v>2</v>
      </c>
      <c r="B6" s="2919" t="s">
        <v>1233</v>
      </c>
      <c r="C6" s="2920"/>
      <c r="D6" s="2921"/>
      <c r="E6" s="744"/>
      <c r="F6" s="744"/>
      <c r="G6" s="744"/>
      <c r="H6" s="745"/>
    </row>
    <row r="7" spans="1:8" ht="16.5" customHeight="1">
      <c r="A7" s="743">
        <v>3</v>
      </c>
      <c r="B7" s="2919" t="s">
        <v>1234</v>
      </c>
      <c r="C7" s="2920"/>
      <c r="D7" s="2921"/>
      <c r="E7" s="744"/>
      <c r="F7" s="744"/>
      <c r="G7" s="744"/>
      <c r="H7" s="745"/>
    </row>
    <row r="8" spans="1:8" ht="16.5" customHeight="1">
      <c r="A8" s="743">
        <v>4</v>
      </c>
      <c r="B8" s="2919" t="s">
        <v>1235</v>
      </c>
      <c r="C8" s="2920"/>
      <c r="D8" s="2921"/>
      <c r="E8" s="744"/>
      <c r="F8" s="744"/>
      <c r="G8" s="744"/>
      <c r="H8" s="745"/>
    </row>
    <row r="9" spans="1:8" ht="16.5" customHeight="1">
      <c r="A9" s="743">
        <v>5</v>
      </c>
      <c r="B9" s="2919"/>
      <c r="C9" s="2920"/>
      <c r="D9" s="2921"/>
      <c r="E9" s="744"/>
      <c r="F9" s="744"/>
      <c r="G9" s="744"/>
      <c r="H9" s="745"/>
    </row>
    <row r="10" spans="1:8" ht="16.5" customHeight="1">
      <c r="A10" s="743">
        <v>6</v>
      </c>
      <c r="B10" s="2924"/>
      <c r="C10" s="2925"/>
      <c r="D10" s="2926"/>
      <c r="E10" s="744"/>
      <c r="F10" s="744"/>
      <c r="G10" s="744"/>
      <c r="H10" s="745"/>
    </row>
    <row r="11" spans="1:8" ht="16.5" customHeight="1">
      <c r="A11" s="743">
        <v>7</v>
      </c>
      <c r="B11" s="2924"/>
      <c r="C11" s="2925"/>
      <c r="D11" s="2926"/>
      <c r="E11" s="744"/>
      <c r="F11" s="744"/>
      <c r="G11" s="744"/>
      <c r="H11" s="745"/>
    </row>
    <row r="12" spans="1:8" ht="16.5" customHeight="1">
      <c r="A12" s="743">
        <v>8</v>
      </c>
      <c r="B12" s="2924"/>
      <c r="C12" s="2925"/>
      <c r="D12" s="2926"/>
      <c r="E12" s="744"/>
      <c r="F12" s="744"/>
      <c r="G12" s="744"/>
      <c r="H12" s="745"/>
    </row>
    <row r="13" spans="1:8" ht="16.5" customHeight="1">
      <c r="A13" s="743">
        <v>9</v>
      </c>
      <c r="B13" s="2924"/>
      <c r="C13" s="2925"/>
      <c r="D13" s="2926"/>
      <c r="E13" s="744"/>
      <c r="F13" s="744"/>
      <c r="G13" s="744"/>
      <c r="H13" s="745"/>
    </row>
    <row r="14" spans="1:8" ht="16.5" customHeight="1">
      <c r="A14" s="743">
        <v>10</v>
      </c>
      <c r="B14" s="2924"/>
      <c r="C14" s="2925"/>
      <c r="D14" s="2926"/>
      <c r="E14" s="744"/>
      <c r="F14" s="744"/>
      <c r="G14" s="744"/>
      <c r="H14" s="745"/>
    </row>
    <row r="15" spans="1:8" ht="16.5" customHeight="1">
      <c r="A15" s="743">
        <v>11</v>
      </c>
      <c r="B15" s="2924"/>
      <c r="C15" s="2925"/>
      <c r="D15" s="2926"/>
      <c r="E15" s="744"/>
      <c r="F15" s="744"/>
      <c r="G15" s="744"/>
      <c r="H15" s="745"/>
    </row>
    <row r="16" spans="1:8" ht="16.5" customHeight="1">
      <c r="A16" s="743">
        <v>12</v>
      </c>
      <c r="B16" s="2927" t="s">
        <v>1076</v>
      </c>
      <c r="C16" s="2927"/>
      <c r="D16" s="2927"/>
      <c r="E16" s="744"/>
      <c r="F16" s="744"/>
      <c r="G16" s="744"/>
      <c r="H16" s="745"/>
    </row>
    <row r="17" spans="1:2">
      <c r="A17" s="736" t="s">
        <v>395</v>
      </c>
      <c r="B17" s="746"/>
    </row>
    <row r="18" spans="1:2">
      <c r="A18" s="736">
        <v>1</v>
      </c>
      <c r="B18" s="736" t="s">
        <v>1077</v>
      </c>
    </row>
    <row r="19" spans="1:2" ht="14.25" customHeight="1">
      <c r="B19" s="736" t="s">
        <v>1078</v>
      </c>
    </row>
  </sheetData>
  <mergeCells count="14">
    <mergeCell ref="B15:D15"/>
    <mergeCell ref="B16:D16"/>
    <mergeCell ref="B9:D9"/>
    <mergeCell ref="B10:D10"/>
    <mergeCell ref="B11:D11"/>
    <mergeCell ref="B12:D12"/>
    <mergeCell ref="B13:D13"/>
    <mergeCell ref="B14:D14"/>
    <mergeCell ref="B8:D8"/>
    <mergeCell ref="A3:A4"/>
    <mergeCell ref="B3:D4"/>
    <mergeCell ref="B5:D5"/>
    <mergeCell ref="B6:D6"/>
    <mergeCell ref="B7:D7"/>
  </mergeCells>
  <phoneticPr fontId="26" type="noConversion"/>
  <dataValidations count="1">
    <dataValidation type="decimal" allowBlank="1" showErrorMessage="1" errorTitle="錯誤" error="輸入資料格式錯誤!!" sqref="E5:G16">
      <formula1>-9.99999999999999E+24</formula1>
      <formula2>9.99999999999999E+24</formula2>
    </dataValidation>
  </dataValidations>
  <pageMargins left="0.51181102362204722" right="0.35433070866141736" top="0.39370078740157483" bottom="0.27559055118110237" header="0.15748031496062992" footer="0.23622047244094491"/>
  <pageSetup paperSize="9" scale="87" fitToHeight="2" orientation="portrait" horizontalDpi="4294967295" verticalDpi="4294967295" r:id="rId1"/>
  <headerFooter alignWithMargins="0">
    <oddFooter>&amp;C&amp;P/&amp;N&amp;R&amp;A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C000"/>
    <pageSetUpPr fitToPage="1"/>
  </sheetPr>
  <dimension ref="A1:AA30"/>
  <sheetViews>
    <sheetView zoomScaleNormal="100" workbookViewId="0">
      <selection activeCell="D7" sqref="D7"/>
    </sheetView>
  </sheetViews>
  <sheetFormatPr defaultColWidth="15.625" defaultRowHeight="15.75"/>
  <cols>
    <col min="1" max="1" width="45.625" style="2150" customWidth="1"/>
    <col min="2" max="4" width="30.625" style="2150" customWidth="1"/>
    <col min="5" max="5" width="5.875" style="2150" customWidth="1"/>
    <col min="6" max="6" width="35.125" style="2150" customWidth="1"/>
    <col min="7" max="16384" width="15.625" style="2150"/>
  </cols>
  <sheetData>
    <row r="1" spans="1:9" ht="16.5">
      <c r="A1" s="1639" t="s">
        <v>7075</v>
      </c>
      <c r="B1" s="2404"/>
      <c r="C1" s="2151"/>
      <c r="D1" s="2151"/>
    </row>
    <row r="2" spans="1:9" ht="16.5">
      <c r="A2" s="2152" t="s">
        <v>7299</v>
      </c>
    </row>
    <row r="4" spans="1:9" s="1989" customFormat="1" ht="16.5">
      <c r="A4" s="2491" t="s">
        <v>7297</v>
      </c>
      <c r="B4" s="2492"/>
      <c r="C4" s="2493"/>
      <c r="D4" s="2493"/>
      <c r="E4" s="2493"/>
      <c r="F4" s="2491" t="s">
        <v>7298</v>
      </c>
    </row>
    <row r="5" spans="1:9" ht="16.5">
      <c r="A5" s="2150" t="s">
        <v>7076</v>
      </c>
      <c r="F5" s="2463" t="s">
        <v>7189</v>
      </c>
      <c r="G5" s="1989"/>
      <c r="H5" s="1989"/>
    </row>
    <row r="6" spans="1:9" ht="16.5">
      <c r="A6" s="2153" t="s">
        <v>7077</v>
      </c>
      <c r="B6" s="2154"/>
      <c r="F6" s="2464" t="s">
        <v>7190</v>
      </c>
      <c r="G6" s="2187"/>
      <c r="H6" s="2187"/>
    </row>
    <row r="7" spans="1:9">
      <c r="A7" s="2153"/>
      <c r="B7" s="2154"/>
      <c r="F7" s="1989"/>
      <c r="G7" s="1989"/>
      <c r="H7" s="1989"/>
    </row>
    <row r="8" spans="1:9" ht="16.5">
      <c r="A8" s="2155" t="s">
        <v>7078</v>
      </c>
      <c r="F8" s="1989"/>
      <c r="G8" s="1989"/>
      <c r="H8" s="1989"/>
    </row>
    <row r="9" spans="1:9">
      <c r="F9" s="2463"/>
      <c r="G9" s="2463"/>
      <c r="H9" s="2463"/>
    </row>
    <row r="10" spans="1:9" ht="17.25" thickBot="1">
      <c r="A10" s="2150" t="s">
        <v>7079</v>
      </c>
      <c r="D10" s="2156" t="s">
        <v>3203</v>
      </c>
      <c r="F10" s="2465" t="s">
        <v>7191</v>
      </c>
      <c r="G10" s="2466"/>
      <c r="H10" s="2463" t="s">
        <v>7192</v>
      </c>
    </row>
    <row r="11" spans="1:9" ht="16.5">
      <c r="A11" s="2157" t="s">
        <v>7080</v>
      </c>
      <c r="B11" s="2158" t="s">
        <v>3270</v>
      </c>
      <c r="C11" s="2159" t="s">
        <v>4162</v>
      </c>
      <c r="D11" s="2188" t="s">
        <v>4163</v>
      </c>
      <c r="F11" s="2467" t="s">
        <v>530</v>
      </c>
      <c r="G11" s="2468" t="s">
        <v>7193</v>
      </c>
      <c r="H11" s="2494" t="s">
        <v>7194</v>
      </c>
      <c r="I11" s="2469" t="s">
        <v>7302</v>
      </c>
    </row>
    <row r="12" spans="1:9" ht="18.75">
      <c r="A12" s="2160" t="s">
        <v>7081</v>
      </c>
      <c r="B12" s="2161">
        <f ca="1">'表30-2'!F126</f>
        <v>0</v>
      </c>
      <c r="C12" s="2162" t="e">
        <f ca="1">B12/B$24</f>
        <v>#DIV/0!</v>
      </c>
      <c r="D12" s="2163" t="e">
        <f t="shared" ref="D12:D23" ca="1" si="0">B12/B$25</f>
        <v>#DIV/0!</v>
      </c>
      <c r="F12" s="2470" t="s">
        <v>7195</v>
      </c>
      <c r="G12" s="2471">
        <f>表03!O96</f>
        <v>0</v>
      </c>
      <c r="H12" s="2495"/>
      <c r="I12" s="2498"/>
    </row>
    <row r="13" spans="1:9" ht="19.5" thickBot="1">
      <c r="A13" s="2168" t="s">
        <v>7186</v>
      </c>
      <c r="B13" s="2378">
        <f ca="1">B12-B14</f>
        <v>0</v>
      </c>
      <c r="C13" s="2166">
        <f ca="1">IFERROR(B13/B$24,0)</f>
        <v>0</v>
      </c>
      <c r="D13" s="2167">
        <f ca="1">IFERROR(B13/B$25,0)</f>
        <v>0</v>
      </c>
      <c r="F13" s="2472" t="s">
        <v>7196</v>
      </c>
      <c r="G13" s="2475">
        <f>表03!E104-表03!E99</f>
        <v>0</v>
      </c>
      <c r="H13" s="2496"/>
      <c r="I13" s="2499"/>
    </row>
    <row r="14" spans="1:9" ht="20.25" thickTop="1" thickBot="1">
      <c r="A14" s="2168" t="s">
        <v>7187</v>
      </c>
      <c r="B14" s="2378">
        <f>'表30-2'!F125</f>
        <v>0</v>
      </c>
      <c r="C14" s="2166">
        <f ca="1">IFERROR(B14/B$24,0)</f>
        <v>0</v>
      </c>
      <c r="D14" s="2379">
        <f ca="1">IFERROR(B14/B$25,0)</f>
        <v>0</v>
      </c>
      <c r="F14" s="2473" t="s">
        <v>7197</v>
      </c>
      <c r="G14" s="2474" t="e">
        <f>G12/G13</f>
        <v>#DIV/0!</v>
      </c>
      <c r="H14" s="2497" t="e">
        <f>H12/H13</f>
        <v>#DIV/0!</v>
      </c>
      <c r="I14" s="2500"/>
    </row>
    <row r="15" spans="1:9" ht="18.75">
      <c r="A15" s="2164" t="s">
        <v>7082</v>
      </c>
      <c r="B15" s="2165">
        <f ca="1">'表30-3'!F169</f>
        <v>0</v>
      </c>
      <c r="C15" s="2166" t="e">
        <f t="shared" ref="C15:C23" ca="1" si="1">B15/B$24</f>
        <v>#DIV/0!</v>
      </c>
      <c r="D15" s="2167" t="e">
        <f t="shared" ca="1" si="0"/>
        <v>#DIV/0!</v>
      </c>
      <c r="F15" s="2463"/>
      <c r="G15" s="2463"/>
      <c r="H15" s="2463"/>
    </row>
    <row r="16" spans="1:9" ht="18.75">
      <c r="A16" s="2168" t="s">
        <v>4165</v>
      </c>
      <c r="B16" s="2165">
        <f ca="1">B15-B18-B17</f>
        <v>0</v>
      </c>
      <c r="C16" s="2166" t="e">
        <f t="shared" ca="1" si="1"/>
        <v>#DIV/0!</v>
      </c>
      <c r="D16" s="2167" t="e">
        <f t="shared" ca="1" si="0"/>
        <v>#DIV/0!</v>
      </c>
      <c r="F16" s="2501" t="s">
        <v>7304</v>
      </c>
      <c r="G16" s="2463"/>
      <c r="H16" s="2463"/>
    </row>
    <row r="17" spans="1:27" ht="18.75">
      <c r="A17" s="2168" t="s">
        <v>4166</v>
      </c>
      <c r="B17" s="2165">
        <f>'表30-3'!F161</f>
        <v>0</v>
      </c>
      <c r="C17" s="2166" t="e">
        <f t="shared" ca="1" si="1"/>
        <v>#DIV/0!</v>
      </c>
      <c r="D17" s="2167" t="e">
        <f t="shared" ca="1" si="0"/>
        <v>#DIV/0!</v>
      </c>
      <c r="F17" s="2501" t="s">
        <v>7303</v>
      </c>
    </row>
    <row r="18" spans="1:27" ht="18.75">
      <c r="A18" s="2168" t="s">
        <v>4167</v>
      </c>
      <c r="B18" s="2165">
        <f ca="1">SUM('表30-3'!F26,'表30-3'!F91,'表30-3'!F131,'表30-3'!F40,'表30-3'!F46,,'表30-3'!F112,'表30-3'!F151,'表30-3'!F97,'表30-3'!F137,'表30-3'!F101,'表30-3'!F141)</f>
        <v>0</v>
      </c>
      <c r="C18" s="2166" t="e">
        <f t="shared" ca="1" si="1"/>
        <v>#DIV/0!</v>
      </c>
      <c r="D18" s="2167" t="e">
        <f t="shared" ca="1" si="0"/>
        <v>#DIV/0!</v>
      </c>
    </row>
    <row r="19" spans="1:27" ht="18.75">
      <c r="A19" s="2164" t="s">
        <v>4168</v>
      </c>
      <c r="B19" s="2165">
        <f>'表30-4'!F13</f>
        <v>0</v>
      </c>
      <c r="C19" s="2166" t="e">
        <f t="shared" ca="1" si="1"/>
        <v>#DIV/0!</v>
      </c>
      <c r="D19" s="2167" t="e">
        <f t="shared" ca="1" si="0"/>
        <v>#DIV/0!</v>
      </c>
    </row>
    <row r="20" spans="1:27" ht="18.75">
      <c r="A20" s="2169" t="s">
        <v>7083</v>
      </c>
      <c r="B20" s="2165" t="e">
        <f>'表30-5'!F72</f>
        <v>#DIV/0!</v>
      </c>
      <c r="C20" s="2166" t="e">
        <f t="shared" ca="1" si="1"/>
        <v>#DIV/0!</v>
      </c>
      <c r="D20" s="2167" t="e">
        <f t="shared" ca="1" si="0"/>
        <v>#DIV/0!</v>
      </c>
    </row>
    <row r="21" spans="1:27" ht="18.75">
      <c r="A21" s="2169" t="s">
        <v>7084</v>
      </c>
      <c r="B21" s="2165" t="e">
        <f>'表30-5'!F141</f>
        <v>#DIV/0!</v>
      </c>
      <c r="C21" s="2166" t="e">
        <f t="shared" ca="1" si="1"/>
        <v>#DIV/0!</v>
      </c>
      <c r="D21" s="2167" t="e">
        <f t="shared" ca="1" si="0"/>
        <v>#DIV/0!</v>
      </c>
    </row>
    <row r="22" spans="1:27" ht="18.75">
      <c r="A22" s="2164" t="s">
        <v>7085</v>
      </c>
      <c r="B22" s="2165">
        <f>'表30-6'!F15</f>
        <v>0</v>
      </c>
      <c r="C22" s="2166" t="e">
        <f t="shared" ca="1" si="1"/>
        <v>#DIV/0!</v>
      </c>
      <c r="D22" s="2167" t="e">
        <f t="shared" ca="1" si="0"/>
        <v>#DIV/0!</v>
      </c>
    </row>
    <row r="23" spans="1:27" ht="18.75">
      <c r="A23" s="2170" t="s">
        <v>7086</v>
      </c>
      <c r="B23" s="2171">
        <f>'表30-7'!F8</f>
        <v>0</v>
      </c>
      <c r="C23" s="2172" t="e">
        <f t="shared" ca="1" si="1"/>
        <v>#DIV/0!</v>
      </c>
      <c r="D23" s="2173" t="e">
        <f t="shared" ca="1" si="0"/>
        <v>#DIV/0!</v>
      </c>
    </row>
    <row r="24" spans="1:27" ht="16.5">
      <c r="A24" s="2174" t="s">
        <v>7087</v>
      </c>
      <c r="B24" s="2161" t="e">
        <f ca="1">B12+B15+B19+B20+B21+B22+B23</f>
        <v>#DIV/0!</v>
      </c>
      <c r="C24" s="2175" t="e">
        <f ca="1">C12+C15+C19+C20+C21+C22+C23</f>
        <v>#DIV/0!</v>
      </c>
      <c r="D24" s="2176"/>
    </row>
    <row r="25" spans="1:27" ht="16.5">
      <c r="A25" s="2170" t="s">
        <v>4164</v>
      </c>
      <c r="B25" s="2380" t="e">
        <f ca="1">0.5*(B13+B23+((B16+B22)^2+(B14+B17)^2+B18^2+B19^2+B20^2+B21^2)^0.5)</f>
        <v>#DIV/0!</v>
      </c>
      <c r="C25" s="2177"/>
      <c r="D25" s="2178"/>
    </row>
    <row r="26" spans="1:27" ht="17.25" thickBot="1">
      <c r="A26" s="2179" t="s">
        <v>7088</v>
      </c>
      <c r="B26" s="2180">
        <f>'表30-8'!E23</f>
        <v>0</v>
      </c>
      <c r="C26" s="2181"/>
      <c r="D26" s="2182"/>
    </row>
    <row r="27" spans="1:27" ht="18" thickTop="1" thickBot="1">
      <c r="A27" s="2490" t="s">
        <v>7296</v>
      </c>
      <c r="B27" s="2183" t="e">
        <f ca="1">B26/B25</f>
        <v>#DIV/0!</v>
      </c>
      <c r="C27" s="2184"/>
      <c r="D27" s="2185"/>
    </row>
    <row r="28" spans="1:27">
      <c r="AA28" s="2186"/>
    </row>
    <row r="29" spans="1:27" ht="16.5">
      <c r="A29" s="2187" t="s">
        <v>7089</v>
      </c>
    </row>
    <row r="30" spans="1:27">
      <c r="A30" s="2187"/>
    </row>
  </sheetData>
  <phoneticPr fontId="26" type="noConversion"/>
  <printOptions horizontalCentered="1" verticalCentered="1"/>
  <pageMargins left="0.47244094488188981" right="0.47244094488188981" top="0.39370078740157483" bottom="0.39370078740157483" header="0" footer="0"/>
  <pageSetup paperSize="9" fitToHeight="0" orientation="landscape" cellComments="asDisplayed" horizontalDpi="4294967295" verticalDpi="4294967295" r:id="rId1"/>
  <headerFooter alignWithMargins="0">
    <oddFooter>&amp;C&amp;"Times New Roman,標準"135&amp;R&amp;"Times New Roman,標準"&amp;A</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FFC000"/>
    <pageSetUpPr fitToPage="1"/>
  </sheetPr>
  <dimension ref="A1:G133"/>
  <sheetViews>
    <sheetView zoomScaleNormal="100" zoomScaleSheetLayoutView="110" workbookViewId="0">
      <selection activeCell="B27" sqref="B27"/>
    </sheetView>
  </sheetViews>
  <sheetFormatPr defaultColWidth="15.625" defaultRowHeight="15.75"/>
  <cols>
    <col min="1" max="1" width="5.625" style="2145" customWidth="1"/>
    <col min="2" max="3" width="70.625" style="2107" customWidth="1"/>
    <col min="4" max="4" width="20.625" style="2104" customWidth="1"/>
    <col min="5" max="5" width="20.625" style="2148" customWidth="1"/>
    <col min="6" max="6" width="20.625" style="2104" customWidth="1"/>
    <col min="7" max="7" width="15.625" style="2107" customWidth="1"/>
    <col min="8" max="16384" width="15.625" style="1481"/>
  </cols>
  <sheetData>
    <row r="1" spans="1:7" ht="16.5">
      <c r="A1" s="2400" t="s">
        <v>7066</v>
      </c>
      <c r="C1" s="1483"/>
      <c r="D1" s="1604"/>
      <c r="E1" s="1604"/>
      <c r="F1" s="1604"/>
      <c r="G1" s="1553"/>
    </row>
    <row r="2" spans="1:7" ht="16.5">
      <c r="A2" s="2101" t="s">
        <v>3578</v>
      </c>
      <c r="C2" s="2108"/>
      <c r="D2" s="2102"/>
      <c r="E2" s="2109"/>
      <c r="F2" s="2103" t="s">
        <v>2421</v>
      </c>
      <c r="G2" s="2110"/>
    </row>
    <row r="3" spans="1:7" ht="16.5">
      <c r="A3" s="2928" t="s">
        <v>4074</v>
      </c>
      <c r="B3" s="2929" t="s">
        <v>3225</v>
      </c>
      <c r="C3" s="2929" t="s">
        <v>3226</v>
      </c>
      <c r="D3" s="2272" t="s">
        <v>3227</v>
      </c>
      <c r="E3" s="2111" t="s">
        <v>3240</v>
      </c>
      <c r="F3" s="2272" t="s">
        <v>3270</v>
      </c>
    </row>
    <row r="4" spans="1:7">
      <c r="A4" s="2928"/>
      <c r="B4" s="2929"/>
      <c r="C4" s="2929"/>
      <c r="D4" s="2112" t="s">
        <v>66</v>
      </c>
      <c r="E4" s="2112" t="s">
        <v>385</v>
      </c>
      <c r="F4" s="2112" t="s">
        <v>2056</v>
      </c>
    </row>
    <row r="5" spans="1:7" ht="16.5">
      <c r="A5" s="2113">
        <v>1</v>
      </c>
      <c r="B5" s="2114" t="s">
        <v>6860</v>
      </c>
      <c r="C5" s="2115"/>
      <c r="D5" s="2116">
        <f>D6+D16</f>
        <v>0</v>
      </c>
      <c r="E5" s="2117"/>
      <c r="F5" s="2116">
        <f ca="1">F6+F16</f>
        <v>0</v>
      </c>
    </row>
    <row r="6" spans="1:7" ht="16.5">
      <c r="A6" s="1653">
        <f>A5+1</f>
        <v>2</v>
      </c>
      <c r="B6" s="2118" t="s">
        <v>4107</v>
      </c>
      <c r="C6" s="2119"/>
      <c r="D6" s="2120">
        <f>D7+D11</f>
        <v>0</v>
      </c>
      <c r="E6" s="2121"/>
      <c r="F6" s="2120">
        <f>F7+F11</f>
        <v>0</v>
      </c>
    </row>
    <row r="7" spans="1:7" ht="16.5">
      <c r="A7" s="1653">
        <f t="shared" ref="A7:A70" si="0">A6+1</f>
        <v>3</v>
      </c>
      <c r="B7" s="2122" t="s">
        <v>4108</v>
      </c>
      <c r="C7" s="2119"/>
      <c r="D7" s="2123">
        <f>D8+D9+D10</f>
        <v>0</v>
      </c>
      <c r="E7" s="2121"/>
      <c r="F7" s="2120">
        <f>F8+F9+F10</f>
        <v>0</v>
      </c>
    </row>
    <row r="8" spans="1:7" ht="33">
      <c r="A8" s="1653">
        <f t="shared" si="0"/>
        <v>4</v>
      </c>
      <c r="B8" s="2124" t="s">
        <v>6861</v>
      </c>
      <c r="C8" s="1741" t="s">
        <v>6862</v>
      </c>
      <c r="D8" s="2127">
        <f>'表30-8-7'!G24+'表30-8-7'!H24</f>
        <v>0</v>
      </c>
      <c r="E8" s="2125" t="s">
        <v>4161</v>
      </c>
      <c r="F8" s="2120"/>
    </row>
    <row r="9" spans="1:7" ht="49.5">
      <c r="A9" s="1653">
        <f t="shared" si="0"/>
        <v>5</v>
      </c>
      <c r="B9" s="2124" t="s">
        <v>6863</v>
      </c>
      <c r="C9" s="1741" t="s">
        <v>6864</v>
      </c>
      <c r="D9" s="2127">
        <f>'表10-3'!G8+'表10-3'!H8+'表10-3'!I8-SUM('表30-8-7'!G24:H25)</f>
        <v>0</v>
      </c>
      <c r="E9" s="2125">
        <v>0.61470000000000002</v>
      </c>
      <c r="F9" s="2126">
        <f>ROUND(D9*E9,0)</f>
        <v>0</v>
      </c>
    </row>
    <row r="10" spans="1:7" ht="16.5">
      <c r="A10" s="1653">
        <f t="shared" si="0"/>
        <v>6</v>
      </c>
      <c r="B10" s="2124" t="s">
        <v>6865</v>
      </c>
      <c r="C10" s="1741" t="s">
        <v>4152</v>
      </c>
      <c r="D10" s="2127">
        <f>'表10-3'!G32+'表10-3'!H32+'表10-3'!I32</f>
        <v>0</v>
      </c>
      <c r="E10" s="2125">
        <v>0.35</v>
      </c>
      <c r="F10" s="2126">
        <f>ROUND(D10*E10,0)</f>
        <v>0</v>
      </c>
    </row>
    <row r="11" spans="1:7" ht="16.5">
      <c r="A11" s="1653">
        <f t="shared" si="0"/>
        <v>7</v>
      </c>
      <c r="B11" s="2122" t="s">
        <v>6866</v>
      </c>
      <c r="C11" s="2119"/>
      <c r="D11" s="2123">
        <f>SUM(D12:D13)</f>
        <v>0</v>
      </c>
      <c r="E11" s="2121"/>
      <c r="F11" s="2120">
        <f>F12+F13</f>
        <v>0</v>
      </c>
    </row>
    <row r="12" spans="1:7" ht="16.5">
      <c r="A12" s="1653">
        <f t="shared" si="0"/>
        <v>8</v>
      </c>
      <c r="B12" s="2124" t="s">
        <v>4109</v>
      </c>
      <c r="C12" s="1741" t="s">
        <v>4088</v>
      </c>
      <c r="D12" s="2127">
        <f>'表10-3'!G14+'表10-3'!H14+'表10-3'!G15+'表10-3'!H15+'表10-3'!G16+'表10-3'!H16</f>
        <v>0</v>
      </c>
      <c r="E12" s="2125">
        <v>0.4098</v>
      </c>
      <c r="F12" s="2126">
        <f>ROUND(D12*E12,0)</f>
        <v>0</v>
      </c>
    </row>
    <row r="13" spans="1:7" ht="16.5">
      <c r="A13" s="1653">
        <f t="shared" si="0"/>
        <v>9</v>
      </c>
      <c r="B13" s="2128" t="s">
        <v>6867</v>
      </c>
      <c r="C13" s="2119"/>
      <c r="D13" s="2123">
        <f>D14+D15</f>
        <v>0</v>
      </c>
      <c r="E13" s="2121"/>
      <c r="F13" s="2120">
        <f>F14+F15</f>
        <v>0</v>
      </c>
    </row>
    <row r="14" spans="1:7" ht="16.5">
      <c r="A14" s="1653">
        <f t="shared" si="0"/>
        <v>10</v>
      </c>
      <c r="B14" s="2129" t="s">
        <v>4110</v>
      </c>
      <c r="C14" s="1741" t="s">
        <v>4089</v>
      </c>
      <c r="D14" s="2127">
        <f>'表13-4'!K21</f>
        <v>0</v>
      </c>
      <c r="E14" s="2125">
        <v>0.1</v>
      </c>
      <c r="F14" s="2126">
        <f>ROUND(D14*E14,0)</f>
        <v>0</v>
      </c>
    </row>
    <row r="15" spans="1:7" ht="16.5">
      <c r="A15" s="1653">
        <f t="shared" si="0"/>
        <v>11</v>
      </c>
      <c r="B15" s="2129" t="s">
        <v>6868</v>
      </c>
      <c r="C15" s="1741" t="s">
        <v>4104</v>
      </c>
      <c r="D15" s="2127">
        <f>'表10-3'!G37+'表10-3'!H37</f>
        <v>0</v>
      </c>
      <c r="E15" s="2125">
        <v>0.44669999999999999</v>
      </c>
      <c r="F15" s="2126">
        <f>ROUND(D15*E15,0)</f>
        <v>0</v>
      </c>
    </row>
    <row r="16" spans="1:7" ht="16.5">
      <c r="A16" s="1653">
        <f t="shared" si="0"/>
        <v>12</v>
      </c>
      <c r="B16" s="2118" t="s">
        <v>6869</v>
      </c>
      <c r="C16" s="2119"/>
      <c r="D16" s="2120">
        <f>D17+D18+D24+D40+D43+D46+D47+D55+D58</f>
        <v>0</v>
      </c>
      <c r="E16" s="2130"/>
      <c r="F16" s="2120">
        <f ca="1">F17+F18+F24+F40+F43+F46+F47+F55+F58</f>
        <v>0</v>
      </c>
    </row>
    <row r="17" spans="1:7" ht="16.5">
      <c r="A17" s="1653">
        <f t="shared" si="0"/>
        <v>13</v>
      </c>
      <c r="B17" s="2131" t="s">
        <v>4111</v>
      </c>
      <c r="C17" s="1741" t="s">
        <v>6870</v>
      </c>
      <c r="D17" s="2127">
        <f>'表05-1'!G9+'表05-1'!G173</f>
        <v>0</v>
      </c>
      <c r="E17" s="2125">
        <v>1.1000000000000001E-2</v>
      </c>
      <c r="F17" s="2126">
        <f>ROUND(D17*E17-'表30-9'!F5-'表30-9'!F6-'表30-9'!F7,0)</f>
        <v>0</v>
      </c>
    </row>
    <row r="18" spans="1:7" ht="33">
      <c r="A18" s="1653">
        <f t="shared" si="0"/>
        <v>14</v>
      </c>
      <c r="B18" s="2122" t="s">
        <v>6871</v>
      </c>
      <c r="C18" s="2119"/>
      <c r="D18" s="2123">
        <f>SUM(D19:D20,D23)</f>
        <v>0</v>
      </c>
      <c r="E18" s="2121"/>
      <c r="F18" s="2120">
        <f>SUM(F19:F20,F23)</f>
        <v>0</v>
      </c>
    </row>
    <row r="19" spans="1:7" s="1989" customFormat="1" ht="33">
      <c r="A19" s="1653">
        <f t="shared" si="0"/>
        <v>15</v>
      </c>
      <c r="B19" s="2124" t="s">
        <v>6872</v>
      </c>
      <c r="C19" s="1738" t="s">
        <v>6873</v>
      </c>
      <c r="D19" s="2127">
        <f>'表30-8-7'!F24</f>
        <v>0</v>
      </c>
      <c r="E19" s="2125" t="s">
        <v>4161</v>
      </c>
      <c r="F19" s="2120"/>
      <c r="G19" s="2107"/>
    </row>
    <row r="20" spans="1:7" s="1989" customFormat="1" ht="16.5">
      <c r="A20" s="1653">
        <f t="shared" si="0"/>
        <v>16</v>
      </c>
      <c r="B20" s="2128" t="s">
        <v>6874</v>
      </c>
      <c r="C20" s="1751"/>
      <c r="D20" s="2123">
        <f>D21+D22</f>
        <v>0</v>
      </c>
      <c r="E20" s="2121"/>
      <c r="F20" s="2120">
        <f>F21+F22</f>
        <v>0</v>
      </c>
      <c r="G20" s="2107"/>
    </row>
    <row r="21" spans="1:7" s="1989" customFormat="1" ht="66">
      <c r="A21" s="1653">
        <f t="shared" si="0"/>
        <v>17</v>
      </c>
      <c r="B21" s="2129" t="s">
        <v>6875</v>
      </c>
      <c r="C21" s="1740" t="s">
        <v>6876</v>
      </c>
      <c r="D21" s="2127">
        <f>'表09-2'!D24+'表11-2'!D32-'表30-8-7'!F25</f>
        <v>0</v>
      </c>
      <c r="E21" s="2125">
        <v>0.61470000000000002</v>
      </c>
      <c r="F21" s="2126">
        <f>ROUND(D21*E21,0)</f>
        <v>0</v>
      </c>
      <c r="G21" s="2107"/>
    </row>
    <row r="22" spans="1:7" s="1989" customFormat="1" ht="33">
      <c r="A22" s="1653">
        <f t="shared" si="0"/>
        <v>18</v>
      </c>
      <c r="B22" s="2129" t="s">
        <v>6877</v>
      </c>
      <c r="C22" s="1738" t="s">
        <v>6878</v>
      </c>
      <c r="D22" s="2127">
        <f>'表09-2'!H24+'表11-2'!H32</f>
        <v>0</v>
      </c>
      <c r="E22" s="2125">
        <v>0.35</v>
      </c>
      <c r="F22" s="2126">
        <f>ROUND(D22*E22,0)</f>
        <v>0</v>
      </c>
      <c r="G22" s="2107"/>
    </row>
    <row r="23" spans="1:7" s="1989" customFormat="1" ht="33">
      <c r="A23" s="1653">
        <f t="shared" si="0"/>
        <v>19</v>
      </c>
      <c r="B23" s="2124" t="s">
        <v>4112</v>
      </c>
      <c r="C23" s="1738" t="s">
        <v>6879</v>
      </c>
      <c r="D23" s="2127">
        <f>'表05-1'!G33+'表05-1'!G53+'表05-1'!G175-D19-D20</f>
        <v>0</v>
      </c>
      <c r="E23" s="2125">
        <v>1.0999999999999999E-2</v>
      </c>
      <c r="F23" s="2126">
        <f>ROUND(D23*E23,0)</f>
        <v>0</v>
      </c>
      <c r="G23" s="2107"/>
    </row>
    <row r="24" spans="1:7" ht="16.5">
      <c r="A24" s="1653">
        <f t="shared" si="0"/>
        <v>20</v>
      </c>
      <c r="B24" s="2122" t="s">
        <v>4113</v>
      </c>
      <c r="C24" s="2132"/>
      <c r="D24" s="2123">
        <f>SUM(D25:D30)</f>
        <v>0</v>
      </c>
      <c r="E24" s="2133"/>
      <c r="F24" s="2120">
        <f ca="1">SUM(F25:F30)</f>
        <v>0</v>
      </c>
    </row>
    <row r="25" spans="1:7" ht="49.5">
      <c r="A25" s="1653">
        <f t="shared" si="0"/>
        <v>21</v>
      </c>
      <c r="B25" s="2124" t="s">
        <v>4081</v>
      </c>
      <c r="C25" s="1741" t="s">
        <v>6880</v>
      </c>
      <c r="D25" s="2127">
        <f>'表05-1'!M66-'表30-14-1'!L24</f>
        <v>0</v>
      </c>
      <c r="E25" s="2139">
        <f ca="1">'表30-14'!$J$13</f>
        <v>0.2427</v>
      </c>
      <c r="F25" s="2126">
        <f ca="1">ROUND(D25*E25,0)</f>
        <v>0</v>
      </c>
    </row>
    <row r="26" spans="1:7" ht="49.5">
      <c r="A26" s="1653">
        <f t="shared" si="0"/>
        <v>22</v>
      </c>
      <c r="B26" s="2124" t="s">
        <v>4082</v>
      </c>
      <c r="C26" s="1741" t="s">
        <v>6881</v>
      </c>
      <c r="D26" s="2127">
        <f>'表05-1'!G67-'表30-14-1'!L26</f>
        <v>0</v>
      </c>
      <c r="E26" s="2125">
        <v>8.1000000000000003E-2</v>
      </c>
      <c r="F26" s="2126">
        <f>ROUND(D26*E26-'表30-9'!F8-'表30-9'!F9-'表30-9'!F10,0)</f>
        <v>0</v>
      </c>
    </row>
    <row r="27" spans="1:7" ht="49.5">
      <c r="A27" s="1653">
        <f t="shared" si="0"/>
        <v>23</v>
      </c>
      <c r="B27" s="2124" t="s">
        <v>7248</v>
      </c>
      <c r="C27" s="1741" t="s">
        <v>7249</v>
      </c>
      <c r="D27" s="2127">
        <f>'表05-1'!M68-'表30-14-1'!L28</f>
        <v>0</v>
      </c>
      <c r="E27" s="2139">
        <f ca="1">'表30-14'!$J$14</f>
        <v>0.2427</v>
      </c>
      <c r="F27" s="2126">
        <f ca="1">ROUND(D27*E27,0)</f>
        <v>0</v>
      </c>
    </row>
    <row r="28" spans="1:7" ht="16.5">
      <c r="A28" s="1653">
        <f t="shared" si="0"/>
        <v>24</v>
      </c>
      <c r="B28" s="2124" t="s">
        <v>4114</v>
      </c>
      <c r="C28" s="1741" t="s">
        <v>6882</v>
      </c>
      <c r="D28" s="2127">
        <f>'表05-1'!G70</f>
        <v>0</v>
      </c>
      <c r="E28" s="2125">
        <v>1.4E-2</v>
      </c>
      <c r="F28" s="2126">
        <f>ROUND(D28*E28-'表30-9'!F11-'表30-9'!F12-'表30-9'!F13,0)</f>
        <v>0</v>
      </c>
    </row>
    <row r="29" spans="1:7" ht="16.5">
      <c r="A29" s="1653">
        <f t="shared" si="0"/>
        <v>25</v>
      </c>
      <c r="B29" s="2124" t="s">
        <v>4115</v>
      </c>
      <c r="C29" s="1741" t="s">
        <v>6883</v>
      </c>
      <c r="D29" s="2127">
        <f>'表05-1'!G71</f>
        <v>0</v>
      </c>
      <c r="E29" s="2125">
        <v>0.28129999999999999</v>
      </c>
      <c r="F29" s="2126">
        <f>ROUND(D29*E29,0)</f>
        <v>0</v>
      </c>
    </row>
    <row r="30" spans="1:7" ht="16.5">
      <c r="A30" s="1653">
        <f t="shared" si="0"/>
        <v>26</v>
      </c>
      <c r="B30" s="2128" t="s">
        <v>4116</v>
      </c>
      <c r="C30" s="2132"/>
      <c r="D30" s="2123">
        <f>D31+D32+D33+D34+D35+D36+D37+D38+D39</f>
        <v>0</v>
      </c>
      <c r="E30" s="2134"/>
      <c r="F30" s="2120">
        <f ca="1">F31+F32+F33+F34+F35+F36+F37+F38+F39</f>
        <v>0</v>
      </c>
    </row>
    <row r="31" spans="1:7" ht="49.5">
      <c r="A31" s="1653">
        <f t="shared" si="0"/>
        <v>27</v>
      </c>
      <c r="B31" s="2129" t="s">
        <v>4117</v>
      </c>
      <c r="C31" s="1741" t="s">
        <v>4153</v>
      </c>
      <c r="D31" s="2127">
        <f>'表12-2'!G38+'表30-14-1'!L24</f>
        <v>0</v>
      </c>
      <c r="E31" s="2125">
        <f ca="1">'表30-14'!E19</f>
        <v>0.20199999999999999</v>
      </c>
      <c r="F31" s="2126">
        <f t="shared" ref="F31:F38" ca="1" si="1">ROUND(D31*E31,0)</f>
        <v>0</v>
      </c>
    </row>
    <row r="32" spans="1:7" ht="49.5">
      <c r="A32" s="1653">
        <f t="shared" si="0"/>
        <v>28</v>
      </c>
      <c r="B32" s="2129" t="s">
        <v>4118</v>
      </c>
      <c r="C32" s="1741" t="s">
        <v>6884</v>
      </c>
      <c r="D32" s="2127">
        <f>'表12-2'!D39+'表30-14-1'!L26</f>
        <v>0</v>
      </c>
      <c r="E32" s="2125">
        <v>6.3299999999999995E-2</v>
      </c>
      <c r="F32" s="2126">
        <f t="shared" si="1"/>
        <v>0</v>
      </c>
    </row>
    <row r="33" spans="1:6" ht="49.5">
      <c r="A33" s="1653">
        <f t="shared" si="0"/>
        <v>29</v>
      </c>
      <c r="B33" s="2129" t="s">
        <v>7250</v>
      </c>
      <c r="C33" s="1741" t="s">
        <v>7251</v>
      </c>
      <c r="D33" s="2127">
        <f>'表12-2'!G40+'表30-14-1'!L28</f>
        <v>0</v>
      </c>
      <c r="E33" s="2125">
        <f ca="1">'表30-14'!E20</f>
        <v>0.20199999999999999</v>
      </c>
      <c r="F33" s="2126">
        <f t="shared" ca="1" si="1"/>
        <v>0</v>
      </c>
    </row>
    <row r="34" spans="1:6" ht="16.5">
      <c r="A34" s="1653">
        <f t="shared" si="0"/>
        <v>30</v>
      </c>
      <c r="B34" s="2129" t="s">
        <v>4119</v>
      </c>
      <c r="C34" s="1741" t="s">
        <v>4090</v>
      </c>
      <c r="D34" s="2127">
        <f>'表12-2'!D41</f>
        <v>0</v>
      </c>
      <c r="E34" s="2125">
        <v>1.09E-2</v>
      </c>
      <c r="F34" s="2126">
        <f t="shared" si="1"/>
        <v>0</v>
      </c>
    </row>
    <row r="35" spans="1:6" ht="16.5">
      <c r="A35" s="1653">
        <f t="shared" si="0"/>
        <v>31</v>
      </c>
      <c r="B35" s="2129" t="s">
        <v>6885</v>
      </c>
      <c r="C35" s="1741" t="s">
        <v>4091</v>
      </c>
      <c r="D35" s="2127">
        <f>'表12-2'!D42</f>
        <v>0</v>
      </c>
      <c r="E35" s="2125">
        <v>0.28129999999999999</v>
      </c>
      <c r="F35" s="2126">
        <f t="shared" si="1"/>
        <v>0</v>
      </c>
    </row>
    <row r="36" spans="1:6" ht="16.5">
      <c r="A36" s="1653">
        <f t="shared" si="0"/>
        <v>32</v>
      </c>
      <c r="B36" s="2129" t="s">
        <v>4120</v>
      </c>
      <c r="C36" s="1741" t="s">
        <v>4092</v>
      </c>
      <c r="D36" s="2127">
        <f>'表12-2'!D43</f>
        <v>0</v>
      </c>
      <c r="E36" s="2125">
        <v>0.28129999999999999</v>
      </c>
      <c r="F36" s="2126">
        <f t="shared" si="1"/>
        <v>0</v>
      </c>
    </row>
    <row r="37" spans="1:6" ht="16.5">
      <c r="A37" s="1653">
        <f t="shared" si="0"/>
        <v>33</v>
      </c>
      <c r="B37" s="2129" t="s">
        <v>4121</v>
      </c>
      <c r="C37" s="1741" t="s">
        <v>4154</v>
      </c>
      <c r="D37" s="2127">
        <f>'表12-2'!D44</f>
        <v>0</v>
      </c>
      <c r="E37" s="2125">
        <v>0.28129999999999999</v>
      </c>
      <c r="F37" s="2126">
        <f t="shared" si="1"/>
        <v>0</v>
      </c>
    </row>
    <row r="38" spans="1:6" ht="16.5">
      <c r="A38" s="1653">
        <f t="shared" si="0"/>
        <v>34</v>
      </c>
      <c r="B38" s="2129" t="s">
        <v>6886</v>
      </c>
      <c r="C38" s="1741" t="s">
        <v>6887</v>
      </c>
      <c r="D38" s="2127">
        <f>'表05-1'!G180</f>
        <v>0</v>
      </c>
      <c r="E38" s="2125">
        <v>0.1018</v>
      </c>
      <c r="F38" s="2126">
        <f t="shared" si="1"/>
        <v>0</v>
      </c>
    </row>
    <row r="39" spans="1:6" ht="16.5">
      <c r="A39" s="1653">
        <f t="shared" si="0"/>
        <v>35</v>
      </c>
      <c r="B39" s="2129" t="s">
        <v>6888</v>
      </c>
      <c r="C39" s="1741" t="s">
        <v>6889</v>
      </c>
      <c r="D39" s="2127">
        <f>'表05-1'!G182</f>
        <v>0</v>
      </c>
      <c r="E39" s="2125">
        <v>0.29499999999999998</v>
      </c>
      <c r="F39" s="2126">
        <f>ROUND(D39*E39,0)</f>
        <v>0</v>
      </c>
    </row>
    <row r="40" spans="1:6" ht="16.5">
      <c r="A40" s="1653">
        <f t="shared" si="0"/>
        <v>36</v>
      </c>
      <c r="B40" s="2122" t="s">
        <v>6890</v>
      </c>
      <c r="C40" s="2119"/>
      <c r="D40" s="2120">
        <f>SUM(D41:D42)</f>
        <v>0</v>
      </c>
      <c r="E40" s="2134"/>
      <c r="F40" s="2120">
        <f>SUM(F41:F42)</f>
        <v>0</v>
      </c>
    </row>
    <row r="41" spans="1:6" ht="66">
      <c r="A41" s="1653">
        <f t="shared" si="0"/>
        <v>37</v>
      </c>
      <c r="B41" s="2124" t="s">
        <v>4122</v>
      </c>
      <c r="C41" s="1741" t="s">
        <v>4099</v>
      </c>
      <c r="D41" s="2127">
        <f>'表13-2'!T20+'表13-2'!T21+'表30-8-3'!F18+'表30-8-3'!F19-'表30-8-4'!D11-'表30-8-4'!D12</f>
        <v>0</v>
      </c>
      <c r="E41" s="2125">
        <v>0.12280000000000001</v>
      </c>
      <c r="F41" s="2127">
        <f>ROUND(D41*E41,0)</f>
        <v>0</v>
      </c>
    </row>
    <row r="42" spans="1:6" ht="49.5">
      <c r="A42" s="1653">
        <f t="shared" si="0"/>
        <v>38</v>
      </c>
      <c r="B42" s="2124" t="s">
        <v>6891</v>
      </c>
      <c r="C42" s="1741" t="s">
        <v>6892</v>
      </c>
      <c r="D42" s="2127">
        <f>'表30-8-4'!D11+'表30-8-4'!D12</f>
        <v>0</v>
      </c>
      <c r="E42" s="2121"/>
      <c r="F42" s="2127">
        <f>'表30-8-4'!E11+'表30-8-4'!E12</f>
        <v>0</v>
      </c>
    </row>
    <row r="43" spans="1:6" ht="16.5">
      <c r="A43" s="1653">
        <f t="shared" si="0"/>
        <v>39</v>
      </c>
      <c r="B43" s="2122" t="s">
        <v>6893</v>
      </c>
      <c r="C43" s="2119"/>
      <c r="D43" s="2123">
        <f>SUM(D44:D45)</f>
        <v>0</v>
      </c>
      <c r="E43" s="2121"/>
      <c r="F43" s="2120">
        <f>SUM(F44:F45)</f>
        <v>0</v>
      </c>
    </row>
    <row r="44" spans="1:6" ht="33">
      <c r="A44" s="1653">
        <f t="shared" si="0"/>
        <v>40</v>
      </c>
      <c r="B44" s="1754" t="s">
        <v>4093</v>
      </c>
      <c r="C44" s="1741" t="s">
        <v>6894</v>
      </c>
      <c r="D44" s="2127">
        <f>'表05-1'!G107+'表05-1'!G174+'表05-1'!G221-'表13-4'!L21</f>
        <v>0</v>
      </c>
      <c r="E44" s="2125">
        <v>0.26079999999999998</v>
      </c>
      <c r="F44" s="2126">
        <f>ROUND(D44*E44,0)</f>
        <v>0</v>
      </c>
    </row>
    <row r="45" spans="1:6" ht="33">
      <c r="A45" s="1653">
        <f t="shared" si="0"/>
        <v>41</v>
      </c>
      <c r="B45" s="1754" t="s">
        <v>4123</v>
      </c>
      <c r="C45" s="1741" t="s">
        <v>4094</v>
      </c>
      <c r="D45" s="2127">
        <f>'表13-4'!L21</f>
        <v>0</v>
      </c>
      <c r="E45" s="2125">
        <v>0.1</v>
      </c>
      <c r="F45" s="2126">
        <f>ROUND(D45*E45,0)</f>
        <v>0</v>
      </c>
    </row>
    <row r="46" spans="1:6" ht="16.5">
      <c r="A46" s="1653">
        <f t="shared" si="0"/>
        <v>42</v>
      </c>
      <c r="B46" s="2131" t="s">
        <v>4124</v>
      </c>
      <c r="C46" s="1741" t="s">
        <v>4155</v>
      </c>
      <c r="D46" s="2127">
        <f>表03!H10</f>
        <v>0</v>
      </c>
      <c r="E46" s="2125">
        <v>5.8999999999999997E-2</v>
      </c>
      <c r="F46" s="2126">
        <f>ROUND(D46*E46,0)</f>
        <v>0</v>
      </c>
    </row>
    <row r="47" spans="1:6">
      <c r="A47" s="1653">
        <f t="shared" si="0"/>
        <v>43</v>
      </c>
      <c r="B47" s="1752" t="s">
        <v>4125</v>
      </c>
      <c r="C47" s="2119"/>
      <c r="D47" s="2123">
        <f>SUM(D48:D51)</f>
        <v>0</v>
      </c>
      <c r="E47" s="2121"/>
      <c r="F47" s="2120">
        <f ca="1">SUM(F48:F51)</f>
        <v>0</v>
      </c>
    </row>
    <row r="48" spans="1:6" ht="33">
      <c r="A48" s="1653">
        <f t="shared" si="0"/>
        <v>44</v>
      </c>
      <c r="B48" s="1754" t="s">
        <v>6895</v>
      </c>
      <c r="C48" s="1741" t="s">
        <v>6896</v>
      </c>
      <c r="D48" s="2127">
        <f>'表05-1'!M29-'表30-14-1'!L30</f>
        <v>0</v>
      </c>
      <c r="E48" s="2125">
        <f ca="1">'表30-14'!$J$13</f>
        <v>0.2427</v>
      </c>
      <c r="F48" s="2126">
        <f ca="1">ROUND(D48*E48,0)</f>
        <v>0</v>
      </c>
    </row>
    <row r="49" spans="1:7" ht="33">
      <c r="A49" s="1653">
        <f t="shared" si="0"/>
        <v>45</v>
      </c>
      <c r="B49" s="1754" t="s">
        <v>6897</v>
      </c>
      <c r="C49" s="1741" t="s">
        <v>6898</v>
      </c>
      <c r="D49" s="2127">
        <f>'表05-1'!G30-'表30-14-1'!L32</f>
        <v>0</v>
      </c>
      <c r="E49" s="2125">
        <v>8.1000000000000003E-2</v>
      </c>
      <c r="F49" s="2126">
        <f>ROUND(D49*E49,0)</f>
        <v>0</v>
      </c>
    </row>
    <row r="50" spans="1:7" ht="33">
      <c r="A50" s="1653">
        <f t="shared" si="0"/>
        <v>46</v>
      </c>
      <c r="B50" s="1754" t="s">
        <v>6899</v>
      </c>
      <c r="C50" s="1741" t="s">
        <v>6900</v>
      </c>
      <c r="D50" s="2127">
        <f>'表05-1'!G31-'表30-14-1'!L34</f>
        <v>0</v>
      </c>
      <c r="E50" s="2125">
        <v>0.2165</v>
      </c>
      <c r="F50" s="2126">
        <f>ROUND(D50*E50,0)</f>
        <v>0</v>
      </c>
    </row>
    <row r="51" spans="1:7" ht="16.5">
      <c r="A51" s="1653">
        <f t="shared" si="0"/>
        <v>47</v>
      </c>
      <c r="B51" s="1755" t="s">
        <v>6901</v>
      </c>
      <c r="C51" s="2119"/>
      <c r="D51" s="2123">
        <f>SUM(D52:D54)</f>
        <v>0</v>
      </c>
      <c r="E51" s="1753"/>
      <c r="F51" s="2120">
        <f ca="1">SUM(F52:F54)</f>
        <v>0</v>
      </c>
    </row>
    <row r="52" spans="1:7" ht="33">
      <c r="A52" s="1653">
        <f t="shared" si="0"/>
        <v>48</v>
      </c>
      <c r="B52" s="1756" t="s">
        <v>6902</v>
      </c>
      <c r="C52" s="1741" t="s">
        <v>6903</v>
      </c>
      <c r="D52" s="2127">
        <f>'表05-1'!M183+'表30-14-1'!L30</f>
        <v>0</v>
      </c>
      <c r="E52" s="2125">
        <f ca="1">'表30-14'!E19</f>
        <v>0.20199999999999999</v>
      </c>
      <c r="F52" s="2126">
        <f ca="1">ROUND(D52*E52,0)</f>
        <v>0</v>
      </c>
    </row>
    <row r="53" spans="1:7" ht="33">
      <c r="A53" s="1653">
        <f t="shared" si="0"/>
        <v>49</v>
      </c>
      <c r="B53" s="1756" t="s">
        <v>6904</v>
      </c>
      <c r="C53" s="1741" t="s">
        <v>6905</v>
      </c>
      <c r="D53" s="2127">
        <f>'表05-1'!G184+'表30-14-1'!L32</f>
        <v>0</v>
      </c>
      <c r="E53" s="2125">
        <v>6.3299999999999995E-2</v>
      </c>
      <c r="F53" s="2126">
        <f>ROUND(D53*E53,0)</f>
        <v>0</v>
      </c>
    </row>
    <row r="54" spans="1:7" ht="33">
      <c r="A54" s="1653">
        <f t="shared" si="0"/>
        <v>50</v>
      </c>
      <c r="B54" s="1756" t="s">
        <v>6906</v>
      </c>
      <c r="C54" s="1741" t="s">
        <v>6907</v>
      </c>
      <c r="D54" s="2127">
        <f>'表05-1'!G185+'表30-14-1'!L34</f>
        <v>0</v>
      </c>
      <c r="E54" s="2125">
        <v>0.2009</v>
      </c>
      <c r="F54" s="2126">
        <f>ROUND(D54*E54,0)</f>
        <v>0</v>
      </c>
    </row>
    <row r="55" spans="1:7">
      <c r="A55" s="1653">
        <f t="shared" si="0"/>
        <v>51</v>
      </c>
      <c r="B55" s="1752" t="s">
        <v>4126</v>
      </c>
      <c r="C55" s="2119"/>
      <c r="D55" s="2123">
        <f>SUM(D56:D57)</f>
        <v>0</v>
      </c>
      <c r="E55" s="2136"/>
      <c r="F55" s="2120">
        <f>SUM(F56:F57)</f>
        <v>0</v>
      </c>
    </row>
    <row r="56" spans="1:7" ht="33">
      <c r="A56" s="1653">
        <f t="shared" si="0"/>
        <v>52</v>
      </c>
      <c r="B56" s="1754" t="s">
        <v>6908</v>
      </c>
      <c r="C56" s="1741" t="s">
        <v>6909</v>
      </c>
      <c r="D56" s="2127">
        <f>'表05-1'!G32-'表30-14-1'!L36</f>
        <v>0</v>
      </c>
      <c r="E56" s="2125">
        <v>0.30309999999999998</v>
      </c>
      <c r="F56" s="2126">
        <f>ROUND(D56*E56,0)</f>
        <v>0</v>
      </c>
    </row>
    <row r="57" spans="1:7" ht="33">
      <c r="A57" s="1653">
        <f t="shared" si="0"/>
        <v>53</v>
      </c>
      <c r="B57" s="1754" t="s">
        <v>6910</v>
      </c>
      <c r="C57" s="1741" t="s">
        <v>6911</v>
      </c>
      <c r="D57" s="2127">
        <f>'表30-14-1'!L36</f>
        <v>0</v>
      </c>
      <c r="E57" s="2125">
        <v>0.28129999999999999</v>
      </c>
      <c r="F57" s="2126">
        <f>ROUND(D57*E57,0)</f>
        <v>0</v>
      </c>
    </row>
    <row r="58" spans="1:7" ht="16.5">
      <c r="A58" s="1653">
        <f t="shared" si="0"/>
        <v>54</v>
      </c>
      <c r="B58" s="2122" t="s">
        <v>6912</v>
      </c>
      <c r="C58" s="2119"/>
      <c r="D58" s="2120">
        <f>D59+D60+D63</f>
        <v>0</v>
      </c>
      <c r="E58" s="2121"/>
      <c r="F58" s="2120">
        <f>F59+F60+F63</f>
        <v>0</v>
      </c>
    </row>
    <row r="59" spans="1:7" ht="16.5">
      <c r="A59" s="1653">
        <f t="shared" si="0"/>
        <v>55</v>
      </c>
      <c r="B59" s="1754" t="s">
        <v>6913</v>
      </c>
      <c r="C59" s="1738" t="s">
        <v>4156</v>
      </c>
      <c r="D59" s="2127">
        <f>'表05-1'!G232</f>
        <v>0</v>
      </c>
      <c r="E59" s="2135">
        <v>4.5600000000000002E-2</v>
      </c>
      <c r="F59" s="2126">
        <f>ROUND(D59*E59,0)</f>
        <v>0</v>
      </c>
      <c r="G59" s="1739"/>
    </row>
    <row r="60" spans="1:7" s="1989" customFormat="1" ht="16.5">
      <c r="A60" s="1653">
        <f t="shared" si="0"/>
        <v>56</v>
      </c>
      <c r="B60" s="1755" t="s">
        <v>6914</v>
      </c>
      <c r="C60" s="1751"/>
      <c r="D60" s="2123">
        <f>D61+D62</f>
        <v>0</v>
      </c>
      <c r="E60" s="2136"/>
      <c r="F60" s="2120">
        <f>F61+F62</f>
        <v>0</v>
      </c>
      <c r="G60" s="1739"/>
    </row>
    <row r="61" spans="1:7" s="1989" customFormat="1" ht="33">
      <c r="A61" s="1653">
        <f t="shared" si="0"/>
        <v>57</v>
      </c>
      <c r="B61" s="1756" t="s">
        <v>6915</v>
      </c>
      <c r="C61" s="2137" t="s">
        <v>6916</v>
      </c>
      <c r="D61" s="2127">
        <f>'表30-3-3'!D27</f>
        <v>0</v>
      </c>
      <c r="E61" s="2130"/>
      <c r="F61" s="2126">
        <f>'表30-3-3'!J27</f>
        <v>0</v>
      </c>
      <c r="G61" s="1739"/>
    </row>
    <row r="62" spans="1:7" s="1989" customFormat="1" ht="33">
      <c r="A62" s="1653">
        <f t="shared" si="0"/>
        <v>58</v>
      </c>
      <c r="B62" s="1756" t="s">
        <v>6917</v>
      </c>
      <c r="C62" s="2137" t="s">
        <v>4157</v>
      </c>
      <c r="D62" s="2127">
        <f>'表30-3-3'!D49</f>
        <v>0</v>
      </c>
      <c r="E62" s="1753"/>
      <c r="F62" s="2126">
        <f>'表30-3-3'!J49</f>
        <v>0</v>
      </c>
      <c r="G62" s="1739"/>
    </row>
    <row r="63" spans="1:7" ht="16.5">
      <c r="A63" s="1653">
        <f t="shared" si="0"/>
        <v>59</v>
      </c>
      <c r="B63" s="1755" t="s">
        <v>6918</v>
      </c>
      <c r="C63" s="1751"/>
      <c r="D63" s="2123">
        <f>D64+D65+D66</f>
        <v>0</v>
      </c>
      <c r="E63" s="1753"/>
      <c r="F63" s="2120">
        <f>F64+F65+F66</f>
        <v>0</v>
      </c>
      <c r="G63" s="1739"/>
    </row>
    <row r="64" spans="1:7" ht="33">
      <c r="A64" s="1653">
        <f t="shared" si="0"/>
        <v>60</v>
      </c>
      <c r="B64" s="1756" t="s">
        <v>6919</v>
      </c>
      <c r="C64" s="1738" t="s">
        <v>6920</v>
      </c>
      <c r="D64" s="2127">
        <f>'表05-1'!G216</f>
        <v>0</v>
      </c>
      <c r="E64" s="2125">
        <v>6.4000000000000001E-2</v>
      </c>
      <c r="F64" s="2126">
        <f>ROUND(D64*E64,0)</f>
        <v>0</v>
      </c>
      <c r="G64" s="1739"/>
    </row>
    <row r="65" spans="1:7" ht="16.5">
      <c r="A65" s="1653">
        <f t="shared" si="0"/>
        <v>61</v>
      </c>
      <c r="B65" s="1756" t="s">
        <v>6921</v>
      </c>
      <c r="C65" s="1738" t="s">
        <v>6922</v>
      </c>
      <c r="D65" s="2127">
        <f>'表05-1'!G224</f>
        <v>0</v>
      </c>
      <c r="E65" s="2135">
        <v>3.1899999999999998E-2</v>
      </c>
      <c r="F65" s="2126">
        <f>ROUND(D65*E65,0)</f>
        <v>0</v>
      </c>
      <c r="G65" s="1739"/>
    </row>
    <row r="66" spans="1:7" ht="16.5">
      <c r="A66" s="1653">
        <f t="shared" si="0"/>
        <v>62</v>
      </c>
      <c r="B66" s="1756" t="s">
        <v>6923</v>
      </c>
      <c r="C66" s="1738" t="s">
        <v>6924</v>
      </c>
      <c r="D66" s="2127">
        <f>'表05-1'!G69+'表05-1'!G72+'表05-1'!G186+'表05-1'!G227+'表05-1'!G234</f>
        <v>0</v>
      </c>
      <c r="E66" s="2135">
        <v>5.0200000000000002E-2</v>
      </c>
      <c r="F66" s="2126">
        <f>ROUND(D66*E66,0)</f>
        <v>0</v>
      </c>
      <c r="G66" s="1739"/>
    </row>
    <row r="67" spans="1:7" ht="16.5">
      <c r="A67" s="1653">
        <f t="shared" si="0"/>
        <v>63</v>
      </c>
      <c r="B67" s="2138" t="s">
        <v>4127</v>
      </c>
      <c r="C67" s="2119"/>
      <c r="D67" s="2120">
        <f>D68+D76</f>
        <v>0</v>
      </c>
      <c r="E67" s="2121"/>
      <c r="F67" s="2120">
        <f ca="1">F68+F76</f>
        <v>0</v>
      </c>
    </row>
    <row r="68" spans="1:7" ht="16.5">
      <c r="A68" s="1653">
        <f t="shared" si="0"/>
        <v>64</v>
      </c>
      <c r="B68" s="2118" t="s">
        <v>4128</v>
      </c>
      <c r="C68" s="2119"/>
      <c r="D68" s="2120">
        <f>D69+D73</f>
        <v>0</v>
      </c>
      <c r="E68" s="2121"/>
      <c r="F68" s="2120">
        <f>F69+F73</f>
        <v>0</v>
      </c>
    </row>
    <row r="69" spans="1:7" ht="16.5">
      <c r="A69" s="1653">
        <f t="shared" si="0"/>
        <v>65</v>
      </c>
      <c r="B69" s="2122" t="s">
        <v>4083</v>
      </c>
      <c r="C69" s="2119"/>
      <c r="D69" s="2120">
        <f>D70+D71+D72</f>
        <v>0</v>
      </c>
      <c r="E69" s="2121"/>
      <c r="F69" s="2120">
        <f>F70+F71+F72</f>
        <v>0</v>
      </c>
    </row>
    <row r="70" spans="1:7" ht="33">
      <c r="A70" s="1653">
        <f t="shared" si="0"/>
        <v>66</v>
      </c>
      <c r="B70" s="2124" t="s">
        <v>6925</v>
      </c>
      <c r="C70" s="1741" t="s">
        <v>6926</v>
      </c>
      <c r="D70" s="2126">
        <f>'表30-8-7'!G29+'表30-8-7'!H29</f>
        <v>0</v>
      </c>
      <c r="E70" s="2125" t="s">
        <v>4161</v>
      </c>
      <c r="F70" s="2120"/>
    </row>
    <row r="71" spans="1:7" ht="49.5">
      <c r="A71" s="1653">
        <f t="shared" ref="A71:A126" si="2">A70+1</f>
        <v>67</v>
      </c>
      <c r="B71" s="2124" t="s">
        <v>6927</v>
      </c>
      <c r="C71" s="1741" t="s">
        <v>6928</v>
      </c>
      <c r="D71" s="2126">
        <f>'表10-3'!G18+'表10-3'!H18+'表10-3'!I18-SUM('表30-8-7'!G29:H30)</f>
        <v>0</v>
      </c>
      <c r="E71" s="2135">
        <v>0.54239999999999999</v>
      </c>
      <c r="F71" s="2126">
        <f>ROUND(D71*E71,0)</f>
        <v>0</v>
      </c>
    </row>
    <row r="72" spans="1:7" ht="16.5">
      <c r="A72" s="1653">
        <f t="shared" si="2"/>
        <v>68</v>
      </c>
      <c r="B72" s="2124" t="s">
        <v>6929</v>
      </c>
      <c r="C72" s="1741" t="s">
        <v>4158</v>
      </c>
      <c r="D72" s="2126">
        <f>'表10-3'!H39+'表10-3'!G39+'表10-3'!I39</f>
        <v>0</v>
      </c>
      <c r="E72" s="2125">
        <v>0.3</v>
      </c>
      <c r="F72" s="2126">
        <f>ROUND(D72*E72,0)</f>
        <v>0</v>
      </c>
    </row>
    <row r="73" spans="1:7" ht="16.5">
      <c r="A73" s="1653">
        <f t="shared" si="2"/>
        <v>69</v>
      </c>
      <c r="B73" s="2122" t="s">
        <v>4129</v>
      </c>
      <c r="C73" s="2119"/>
      <c r="D73" s="2120">
        <f>SUM(D74:D75)</f>
        <v>0</v>
      </c>
      <c r="E73" s="2121"/>
      <c r="F73" s="2120">
        <f>SUM(F74:F75)</f>
        <v>0</v>
      </c>
    </row>
    <row r="74" spans="1:7" ht="16.5">
      <c r="A74" s="1653">
        <f t="shared" si="2"/>
        <v>70</v>
      </c>
      <c r="B74" s="2124" t="s">
        <v>4130</v>
      </c>
      <c r="C74" s="1741" t="s">
        <v>6930</v>
      </c>
      <c r="D74" s="2126">
        <f>'表10-3'!G24+'表10-3'!G26+'表10-3'!G27+'表10-3'!H24+'表10-3'!H26+'表10-3'!H27</f>
        <v>0</v>
      </c>
      <c r="E74" s="2125">
        <v>0.36159999999999998</v>
      </c>
      <c r="F74" s="2126">
        <f>ROUND(D74*E74,0)</f>
        <v>0</v>
      </c>
    </row>
    <row r="75" spans="1:7" ht="16.5">
      <c r="A75" s="1653">
        <f t="shared" si="2"/>
        <v>71</v>
      </c>
      <c r="B75" s="2124" t="s">
        <v>4131</v>
      </c>
      <c r="C75" s="1741" t="s">
        <v>4159</v>
      </c>
      <c r="D75" s="2126">
        <f>'表10-3'!H40+'表10-3'!G40</f>
        <v>0</v>
      </c>
      <c r="E75" s="2125">
        <v>0.39410000000000001</v>
      </c>
      <c r="F75" s="2126">
        <f>ROUND(D75*E75,0)</f>
        <v>0</v>
      </c>
    </row>
    <row r="76" spans="1:7" ht="16.5">
      <c r="A76" s="1653">
        <f t="shared" si="2"/>
        <v>72</v>
      </c>
      <c r="B76" s="2118" t="s">
        <v>4132</v>
      </c>
      <c r="C76" s="2119"/>
      <c r="D76" s="2120">
        <f>D77+D78+D84+D100+D103+D104+D105+D113+D116</f>
        <v>0</v>
      </c>
      <c r="E76" s="2130"/>
      <c r="F76" s="2120">
        <f ca="1">F77+F78+F84+F100+F103+F104+F105+F113+F116</f>
        <v>0</v>
      </c>
    </row>
    <row r="77" spans="1:7" ht="16.5">
      <c r="A77" s="1653">
        <f t="shared" si="2"/>
        <v>73</v>
      </c>
      <c r="B77" s="2131" t="s">
        <v>4133</v>
      </c>
      <c r="C77" s="1741" t="s">
        <v>6931</v>
      </c>
      <c r="D77" s="2127">
        <f>'表05-1'!G10+'表05-1'!G188</f>
        <v>0</v>
      </c>
      <c r="E77" s="2125">
        <v>0.01</v>
      </c>
      <c r="F77" s="2126">
        <f>ROUND(D77*E77-'表30-9'!F14-'表30-9'!F15-'表30-9'!F16,0)</f>
        <v>0</v>
      </c>
    </row>
    <row r="78" spans="1:7" ht="33">
      <c r="A78" s="1653">
        <f t="shared" si="2"/>
        <v>74</v>
      </c>
      <c r="B78" s="2122" t="s">
        <v>4103</v>
      </c>
      <c r="C78" s="1751"/>
      <c r="D78" s="2120">
        <f>SUM(D79:D80,D83)</f>
        <v>0</v>
      </c>
      <c r="E78" s="2121"/>
      <c r="F78" s="2120">
        <f>SUM(F79:F80,F83)</f>
        <v>0</v>
      </c>
      <c r="G78" s="1739"/>
    </row>
    <row r="79" spans="1:7" ht="33">
      <c r="A79" s="1653">
        <f t="shared" si="2"/>
        <v>75</v>
      </c>
      <c r="B79" s="2124" t="s">
        <v>6932</v>
      </c>
      <c r="C79" s="1741" t="s">
        <v>6933</v>
      </c>
      <c r="D79" s="2127">
        <f>'表30-8-7'!F29</f>
        <v>0</v>
      </c>
      <c r="E79" s="2125" t="s">
        <v>4161</v>
      </c>
      <c r="F79" s="2120"/>
      <c r="G79" s="1739"/>
    </row>
    <row r="80" spans="1:7" ht="16.5">
      <c r="A80" s="1653">
        <f t="shared" si="2"/>
        <v>76</v>
      </c>
      <c r="B80" s="2128" t="s">
        <v>6934</v>
      </c>
      <c r="C80" s="1751"/>
      <c r="D80" s="2123">
        <f>D81+D82</f>
        <v>0</v>
      </c>
      <c r="E80" s="2121"/>
      <c r="F80" s="2120">
        <f>F81+F82</f>
        <v>0</v>
      </c>
      <c r="G80" s="1739"/>
    </row>
    <row r="81" spans="1:7" ht="49.5">
      <c r="A81" s="1653">
        <f t="shared" si="2"/>
        <v>77</v>
      </c>
      <c r="B81" s="2129" t="s">
        <v>4134</v>
      </c>
      <c r="C81" s="1738" t="s">
        <v>6935</v>
      </c>
      <c r="D81" s="2127">
        <f>'表09-2'!D25+'表11-2'!D37-'表30-8-7'!F30</f>
        <v>0</v>
      </c>
      <c r="E81" s="1750">
        <v>0.54239999999999999</v>
      </c>
      <c r="F81" s="2126">
        <f>ROUND(D81*E81,0)</f>
        <v>0</v>
      </c>
      <c r="G81" s="1739"/>
    </row>
    <row r="82" spans="1:7" ht="33">
      <c r="A82" s="1653">
        <f t="shared" si="2"/>
        <v>78</v>
      </c>
      <c r="B82" s="2129" t="s">
        <v>4135</v>
      </c>
      <c r="C82" s="1738" t="s">
        <v>6936</v>
      </c>
      <c r="D82" s="2127">
        <f>'表09-2'!H25+'表11-2'!H37</f>
        <v>0</v>
      </c>
      <c r="E82" s="2125">
        <v>0.3</v>
      </c>
      <c r="F82" s="2126">
        <f>ROUND(D82*E82,0)</f>
        <v>0</v>
      </c>
      <c r="G82" s="1739"/>
    </row>
    <row r="83" spans="1:7" ht="33">
      <c r="A83" s="1653">
        <f t="shared" si="2"/>
        <v>79</v>
      </c>
      <c r="B83" s="2124" t="s">
        <v>4136</v>
      </c>
      <c r="C83" s="1738" t="s">
        <v>6937</v>
      </c>
      <c r="D83" s="2127">
        <f>'表05-1'!G39+'表05-1'!G54+'表05-1'!G190-D79-D80</f>
        <v>0</v>
      </c>
      <c r="E83" s="2135">
        <v>0.01</v>
      </c>
      <c r="F83" s="2126">
        <f>ROUND(D83*E83,0)</f>
        <v>0</v>
      </c>
      <c r="G83" s="1739"/>
    </row>
    <row r="84" spans="1:7" ht="16.5">
      <c r="A84" s="1653">
        <f t="shared" si="2"/>
        <v>80</v>
      </c>
      <c r="B84" s="2122" t="s">
        <v>4137</v>
      </c>
      <c r="C84" s="2119"/>
      <c r="D84" s="2123">
        <f>SUM(D85:D90)</f>
        <v>0</v>
      </c>
      <c r="E84" s="2121"/>
      <c r="F84" s="2123">
        <f ca="1">SUM(F85:F90)</f>
        <v>0</v>
      </c>
    </row>
    <row r="85" spans="1:7" ht="49.5">
      <c r="A85" s="1653">
        <f t="shared" si="2"/>
        <v>81</v>
      </c>
      <c r="B85" s="2124" t="s">
        <v>4084</v>
      </c>
      <c r="C85" s="1741" t="s">
        <v>6938</v>
      </c>
      <c r="D85" s="2127">
        <f>'表05-1'!M74-'表30-14-1'!L25</f>
        <v>0</v>
      </c>
      <c r="E85" s="2139">
        <f ca="1">'表30-14'!$G$14</f>
        <v>0.2427</v>
      </c>
      <c r="F85" s="2126">
        <f ca="1">ROUND(D85*E85,0)</f>
        <v>0</v>
      </c>
    </row>
    <row r="86" spans="1:7" ht="49.5">
      <c r="A86" s="1653">
        <f t="shared" si="2"/>
        <v>82</v>
      </c>
      <c r="B86" s="2124" t="s">
        <v>4138</v>
      </c>
      <c r="C86" s="1741" t="s">
        <v>6939</v>
      </c>
      <c r="D86" s="2127">
        <f>'表05-1'!G75-'表30-14-1'!L27</f>
        <v>0</v>
      </c>
      <c r="E86" s="2125">
        <v>8.1000000000000003E-2</v>
      </c>
      <c r="F86" s="2126">
        <f>ROUND(D86*E86,0)</f>
        <v>0</v>
      </c>
    </row>
    <row r="87" spans="1:7" ht="49.5">
      <c r="A87" s="1653">
        <f t="shared" si="2"/>
        <v>83</v>
      </c>
      <c r="B87" s="2124" t="s">
        <v>7252</v>
      </c>
      <c r="C87" s="1741" t="s">
        <v>7253</v>
      </c>
      <c r="D87" s="2127">
        <f>'表05-1'!M76-'表30-14-1'!L29</f>
        <v>0</v>
      </c>
      <c r="E87" s="2139">
        <f>'表30-14'!$G$15</f>
        <v>0</v>
      </c>
      <c r="F87" s="2126">
        <f t="shared" ref="F87:F104" si="3">ROUND(D87*E87,0)</f>
        <v>0</v>
      </c>
    </row>
    <row r="88" spans="1:7" ht="16.5">
      <c r="A88" s="1653">
        <f t="shared" si="2"/>
        <v>84</v>
      </c>
      <c r="B88" s="2124" t="s">
        <v>4085</v>
      </c>
      <c r="C88" s="1741" t="s">
        <v>6940</v>
      </c>
      <c r="D88" s="2127">
        <f>'表05-1'!G78</f>
        <v>0</v>
      </c>
      <c r="E88" s="2125">
        <v>1.4E-2</v>
      </c>
      <c r="F88" s="2126">
        <f t="shared" si="3"/>
        <v>0</v>
      </c>
    </row>
    <row r="89" spans="1:7" ht="16.5">
      <c r="A89" s="1653">
        <f t="shared" si="2"/>
        <v>85</v>
      </c>
      <c r="B89" s="2124" t="s">
        <v>4139</v>
      </c>
      <c r="C89" s="1741" t="s">
        <v>6941</v>
      </c>
      <c r="D89" s="2127">
        <f>'表05-1'!G79</f>
        <v>0</v>
      </c>
      <c r="E89" s="2125">
        <v>0.28129999999999999</v>
      </c>
      <c r="F89" s="2126">
        <f t="shared" si="3"/>
        <v>0</v>
      </c>
    </row>
    <row r="90" spans="1:7" ht="16.5">
      <c r="A90" s="1653">
        <f t="shared" si="2"/>
        <v>86</v>
      </c>
      <c r="B90" s="2128" t="s">
        <v>4140</v>
      </c>
      <c r="C90" s="2132"/>
      <c r="D90" s="2123">
        <f>D91+D92+D93+D94+D95+D96+D97+D98+D99</f>
        <v>0</v>
      </c>
      <c r="E90" s="2121"/>
      <c r="F90" s="2120">
        <f ca="1">F91+F92+F93+F94+F95+F96+F97+F98+F99</f>
        <v>0</v>
      </c>
    </row>
    <row r="91" spans="1:7" ht="49.5">
      <c r="A91" s="1653">
        <f t="shared" si="2"/>
        <v>87</v>
      </c>
      <c r="B91" s="2129" t="s">
        <v>4141</v>
      </c>
      <c r="C91" s="1741" t="s">
        <v>4100</v>
      </c>
      <c r="D91" s="2127">
        <f>'表12-2'!G46+'表30-14-1'!L25</f>
        <v>0</v>
      </c>
      <c r="E91" s="2125">
        <f ca="1">'表30-14'!E19</f>
        <v>0.20199999999999999</v>
      </c>
      <c r="F91" s="2126">
        <f t="shared" ca="1" si="3"/>
        <v>0</v>
      </c>
    </row>
    <row r="92" spans="1:7" ht="49.5">
      <c r="A92" s="1653">
        <f t="shared" si="2"/>
        <v>88</v>
      </c>
      <c r="B92" s="2129" t="s">
        <v>4142</v>
      </c>
      <c r="C92" s="1741" t="s">
        <v>6942</v>
      </c>
      <c r="D92" s="2127">
        <f>'表12-2'!D47+'表30-14-1'!L27</f>
        <v>0</v>
      </c>
      <c r="E92" s="2125">
        <v>6.3299999999999995E-2</v>
      </c>
      <c r="F92" s="2126">
        <f t="shared" si="3"/>
        <v>0</v>
      </c>
    </row>
    <row r="93" spans="1:7" ht="49.5">
      <c r="A93" s="1653">
        <f t="shared" si="2"/>
        <v>89</v>
      </c>
      <c r="B93" s="2129" t="s">
        <v>7254</v>
      </c>
      <c r="C93" s="1741" t="s">
        <v>7255</v>
      </c>
      <c r="D93" s="2127">
        <f>'表12-2'!G48+'表30-14-1'!L29</f>
        <v>0</v>
      </c>
      <c r="E93" s="2125">
        <f ca="1">'表30-14'!E20</f>
        <v>0.20199999999999999</v>
      </c>
      <c r="F93" s="2126">
        <f t="shared" ca="1" si="3"/>
        <v>0</v>
      </c>
    </row>
    <row r="94" spans="1:7" ht="16.5">
      <c r="A94" s="1653">
        <f t="shared" si="2"/>
        <v>90</v>
      </c>
      <c r="B94" s="2129" t="s">
        <v>4143</v>
      </c>
      <c r="C94" s="1741" t="s">
        <v>6943</v>
      </c>
      <c r="D94" s="2127">
        <f>'表12-2'!D49</f>
        <v>0</v>
      </c>
      <c r="E94" s="2125">
        <v>1.09E-2</v>
      </c>
      <c r="F94" s="2126">
        <f t="shared" si="3"/>
        <v>0</v>
      </c>
    </row>
    <row r="95" spans="1:7" ht="16.5">
      <c r="A95" s="1653">
        <f t="shared" si="2"/>
        <v>91</v>
      </c>
      <c r="B95" s="2129" t="s">
        <v>4144</v>
      </c>
      <c r="C95" s="1741" t="s">
        <v>4095</v>
      </c>
      <c r="D95" s="2127">
        <f>'表12-2'!D50</f>
        <v>0</v>
      </c>
      <c r="E95" s="2125">
        <v>0.28129999999999999</v>
      </c>
      <c r="F95" s="2126">
        <f>ROUND(D95*E95,0)</f>
        <v>0</v>
      </c>
    </row>
    <row r="96" spans="1:7" ht="16.5">
      <c r="A96" s="1653">
        <f t="shared" si="2"/>
        <v>92</v>
      </c>
      <c r="B96" s="2129" t="s">
        <v>4145</v>
      </c>
      <c r="C96" s="1741" t="s">
        <v>6944</v>
      </c>
      <c r="D96" s="2127">
        <f>'表12-2'!D51</f>
        <v>0</v>
      </c>
      <c r="E96" s="2125">
        <v>0.28129999999999999</v>
      </c>
      <c r="F96" s="2126">
        <f t="shared" si="3"/>
        <v>0</v>
      </c>
    </row>
    <row r="97" spans="1:6" ht="16.5">
      <c r="A97" s="1653">
        <f t="shared" si="2"/>
        <v>93</v>
      </c>
      <c r="B97" s="2129" t="s">
        <v>4146</v>
      </c>
      <c r="C97" s="1741" t="s">
        <v>4101</v>
      </c>
      <c r="D97" s="2127">
        <f>'表12-2'!D52</f>
        <v>0</v>
      </c>
      <c r="E97" s="2125">
        <v>0.28129999999999999</v>
      </c>
      <c r="F97" s="2126">
        <f t="shared" si="3"/>
        <v>0</v>
      </c>
    </row>
    <row r="98" spans="1:6" ht="16.5">
      <c r="A98" s="1653">
        <f t="shared" si="2"/>
        <v>94</v>
      </c>
      <c r="B98" s="2129" t="s">
        <v>4147</v>
      </c>
      <c r="C98" s="1741" t="s">
        <v>6945</v>
      </c>
      <c r="D98" s="2127">
        <f>'表05-1'!G195</f>
        <v>0</v>
      </c>
      <c r="E98" s="2125">
        <v>0.1018</v>
      </c>
      <c r="F98" s="2126">
        <f t="shared" si="3"/>
        <v>0</v>
      </c>
    </row>
    <row r="99" spans="1:6" ht="16.5">
      <c r="A99" s="1653">
        <f t="shared" si="2"/>
        <v>95</v>
      </c>
      <c r="B99" s="2129" t="s">
        <v>6946</v>
      </c>
      <c r="C99" s="1741" t="s">
        <v>6947</v>
      </c>
      <c r="D99" s="2127">
        <f>'表05-1'!G197</f>
        <v>0</v>
      </c>
      <c r="E99" s="2125">
        <v>0.29499999999999998</v>
      </c>
      <c r="F99" s="2126">
        <f>ROUND(D99*E99,0)</f>
        <v>0</v>
      </c>
    </row>
    <row r="100" spans="1:6" ht="16.5">
      <c r="A100" s="1653">
        <f t="shared" si="2"/>
        <v>96</v>
      </c>
      <c r="B100" s="2122" t="s">
        <v>4148</v>
      </c>
      <c r="C100" s="2119"/>
      <c r="D100" s="2120">
        <f>SUM(D101:D102)</f>
        <v>0</v>
      </c>
      <c r="E100" s="2121"/>
      <c r="F100" s="2120">
        <f>SUM(F101:F102)</f>
        <v>0</v>
      </c>
    </row>
    <row r="101" spans="1:6" ht="66">
      <c r="A101" s="1653">
        <f t="shared" si="2"/>
        <v>97</v>
      </c>
      <c r="B101" s="2124" t="s">
        <v>4149</v>
      </c>
      <c r="C101" s="1741" t="s">
        <v>4102</v>
      </c>
      <c r="D101" s="2127">
        <f>'表13-2'!T22+'表13-2'!T23+'表30-8-3'!F20+'表30-8-3'!F21-'表30-8-4'!D13-'表30-8-4'!D14</f>
        <v>0</v>
      </c>
      <c r="E101" s="2125">
        <v>0.11169999999999999</v>
      </c>
      <c r="F101" s="2126">
        <f>ROUND(D101*E101,0)</f>
        <v>0</v>
      </c>
    </row>
    <row r="102" spans="1:6" ht="49.5">
      <c r="A102" s="1653">
        <f t="shared" si="2"/>
        <v>98</v>
      </c>
      <c r="B102" s="2124" t="s">
        <v>6948</v>
      </c>
      <c r="C102" s="1741" t="s">
        <v>4096</v>
      </c>
      <c r="D102" s="2127">
        <f>SUM('表30-8-4'!D13:D14)</f>
        <v>0</v>
      </c>
      <c r="E102" s="2140"/>
      <c r="F102" s="2126">
        <f>SUM('表30-8-4'!E13:E14)</f>
        <v>0</v>
      </c>
    </row>
    <row r="103" spans="1:6" ht="16.5">
      <c r="A103" s="1653">
        <f t="shared" si="2"/>
        <v>99</v>
      </c>
      <c r="B103" s="2131" t="s">
        <v>4086</v>
      </c>
      <c r="C103" s="1741" t="s">
        <v>6949</v>
      </c>
      <c r="D103" s="2127">
        <f>'表05-1'!G108+'表05-1'!G189+'表05-1'!G222</f>
        <v>0</v>
      </c>
      <c r="E103" s="2125">
        <v>0.23710000000000001</v>
      </c>
      <c r="F103" s="2126">
        <f>ROUND(D103*E103,0)</f>
        <v>0</v>
      </c>
    </row>
    <row r="104" spans="1:6" ht="16.5">
      <c r="A104" s="1653">
        <f t="shared" si="2"/>
        <v>100</v>
      </c>
      <c r="B104" s="2131" t="s">
        <v>4087</v>
      </c>
      <c r="C104" s="1741" t="s">
        <v>4160</v>
      </c>
      <c r="D104" s="2127">
        <f>表03!H11</f>
        <v>0</v>
      </c>
      <c r="E104" s="2125">
        <v>5.3600000000000002E-2</v>
      </c>
      <c r="F104" s="2126">
        <f t="shared" si="3"/>
        <v>0</v>
      </c>
    </row>
    <row r="105" spans="1:6">
      <c r="A105" s="1653">
        <f t="shared" si="2"/>
        <v>101</v>
      </c>
      <c r="B105" s="1752" t="s">
        <v>4150</v>
      </c>
      <c r="C105" s="2119"/>
      <c r="D105" s="2123">
        <f>SUM(D106:D109)</f>
        <v>0</v>
      </c>
      <c r="E105" s="2121"/>
      <c r="F105" s="2120">
        <f ca="1">SUM(F106:F109)</f>
        <v>0</v>
      </c>
    </row>
    <row r="106" spans="1:6" ht="33">
      <c r="A106" s="1653">
        <f t="shared" si="2"/>
        <v>102</v>
      </c>
      <c r="B106" s="1754" t="s">
        <v>6950</v>
      </c>
      <c r="C106" s="1741" t="s">
        <v>6951</v>
      </c>
      <c r="D106" s="2127">
        <f>'表05-1'!M35-'表30-14-1'!L31</f>
        <v>0</v>
      </c>
      <c r="E106" s="2125">
        <f ca="1">'表30-14'!$J$13</f>
        <v>0.2427</v>
      </c>
      <c r="F106" s="2126">
        <f ca="1">ROUND(D106*E106,0)</f>
        <v>0</v>
      </c>
    </row>
    <row r="107" spans="1:6" ht="33">
      <c r="A107" s="1653">
        <f t="shared" si="2"/>
        <v>103</v>
      </c>
      <c r="B107" s="1754" t="s">
        <v>6952</v>
      </c>
      <c r="C107" s="1741" t="s">
        <v>6953</v>
      </c>
      <c r="D107" s="2127">
        <f>'表05-1'!G36-'表30-14-1'!L33</f>
        <v>0</v>
      </c>
      <c r="E107" s="2125">
        <v>8.1000000000000003E-2</v>
      </c>
      <c r="F107" s="2126">
        <f>ROUND(D107*E107,0)</f>
        <v>0</v>
      </c>
    </row>
    <row r="108" spans="1:6" ht="33">
      <c r="A108" s="1653">
        <f t="shared" si="2"/>
        <v>104</v>
      </c>
      <c r="B108" s="1754" t="s">
        <v>6954</v>
      </c>
      <c r="C108" s="1741" t="s">
        <v>6955</v>
      </c>
      <c r="D108" s="2127">
        <f>'表05-1'!G37-'表30-14-1'!L35</f>
        <v>0</v>
      </c>
      <c r="E108" s="2125">
        <v>0.2165</v>
      </c>
      <c r="F108" s="2126">
        <f>ROUND(D108*E108,0)</f>
        <v>0</v>
      </c>
    </row>
    <row r="109" spans="1:6" ht="16.5">
      <c r="A109" s="1653">
        <f t="shared" si="2"/>
        <v>105</v>
      </c>
      <c r="B109" s="1755" t="s">
        <v>6956</v>
      </c>
      <c r="C109" s="2119"/>
      <c r="D109" s="2123">
        <f>SUM(D110:D112)</f>
        <v>0</v>
      </c>
      <c r="E109" s="1753"/>
      <c r="F109" s="2120">
        <f ca="1">SUM(F110:F112)</f>
        <v>0</v>
      </c>
    </row>
    <row r="110" spans="1:6" ht="33">
      <c r="A110" s="1653">
        <f t="shared" si="2"/>
        <v>106</v>
      </c>
      <c r="B110" s="1756" t="s">
        <v>6957</v>
      </c>
      <c r="C110" s="1741" t="s">
        <v>6958</v>
      </c>
      <c r="D110" s="2127">
        <f>'表05-1'!M198+'表30-14-1'!L31</f>
        <v>0</v>
      </c>
      <c r="E110" s="2125">
        <f ca="1">'表30-14'!E19</f>
        <v>0.20199999999999999</v>
      </c>
      <c r="F110" s="2126">
        <f ca="1">ROUND(D110*E110,0)</f>
        <v>0</v>
      </c>
    </row>
    <row r="111" spans="1:6" ht="33">
      <c r="A111" s="1653">
        <f t="shared" si="2"/>
        <v>107</v>
      </c>
      <c r="B111" s="1756" t="s">
        <v>6959</v>
      </c>
      <c r="C111" s="1741" t="s">
        <v>6960</v>
      </c>
      <c r="D111" s="2127">
        <f>'表05-1'!G199+'表30-14-1'!L33</f>
        <v>0</v>
      </c>
      <c r="E111" s="2125">
        <v>6.3299999999999995E-2</v>
      </c>
      <c r="F111" s="2126">
        <f>ROUND(D111*E111,0)</f>
        <v>0</v>
      </c>
    </row>
    <row r="112" spans="1:6" ht="33">
      <c r="A112" s="1653">
        <f t="shared" si="2"/>
        <v>108</v>
      </c>
      <c r="B112" s="1756" t="s">
        <v>6961</v>
      </c>
      <c r="C112" s="1741" t="s">
        <v>6962</v>
      </c>
      <c r="D112" s="2127">
        <f>'表05-1'!G200+'表30-14-1'!L35</f>
        <v>0</v>
      </c>
      <c r="E112" s="2125">
        <v>0.2009</v>
      </c>
      <c r="F112" s="2126">
        <f>ROUND(D112*E112,0)</f>
        <v>0</v>
      </c>
    </row>
    <row r="113" spans="1:7">
      <c r="A113" s="1653">
        <f t="shared" si="2"/>
        <v>109</v>
      </c>
      <c r="B113" s="1752" t="s">
        <v>4151</v>
      </c>
      <c r="C113" s="2119"/>
      <c r="D113" s="2123">
        <f>SUM(D114:D115)</f>
        <v>0</v>
      </c>
      <c r="E113" s="2136"/>
      <c r="F113" s="2120">
        <f>SUM(F114:F115)</f>
        <v>0</v>
      </c>
    </row>
    <row r="114" spans="1:7" ht="33">
      <c r="A114" s="1653">
        <f t="shared" si="2"/>
        <v>110</v>
      </c>
      <c r="B114" s="1754" t="s">
        <v>6963</v>
      </c>
      <c r="C114" s="1741" t="s">
        <v>6964</v>
      </c>
      <c r="D114" s="2127">
        <f>'表05-1'!G38-'表30-14-1'!L37</f>
        <v>0</v>
      </c>
      <c r="E114" s="2125">
        <v>0.30309999999999998</v>
      </c>
      <c r="F114" s="2126">
        <f>ROUND(D114*E114,0)</f>
        <v>0</v>
      </c>
    </row>
    <row r="115" spans="1:7" ht="33">
      <c r="A115" s="1653">
        <f t="shared" si="2"/>
        <v>111</v>
      </c>
      <c r="B115" s="1754" t="s">
        <v>6965</v>
      </c>
      <c r="C115" s="1741" t="s">
        <v>6966</v>
      </c>
      <c r="D115" s="2127">
        <f>'表30-14-1'!L37</f>
        <v>0</v>
      </c>
      <c r="E115" s="2125">
        <v>0.28129999999999999</v>
      </c>
      <c r="F115" s="2126">
        <f>ROUND(D115*E115,0)</f>
        <v>0</v>
      </c>
    </row>
    <row r="116" spans="1:7" ht="16.5">
      <c r="A116" s="1653">
        <f t="shared" si="2"/>
        <v>112</v>
      </c>
      <c r="B116" s="2122" t="s">
        <v>6967</v>
      </c>
      <c r="C116" s="2119"/>
      <c r="D116" s="2120">
        <f>D117+D118+D121</f>
        <v>0</v>
      </c>
      <c r="E116" s="2141"/>
      <c r="F116" s="2120">
        <f>F117+F118+F121</f>
        <v>0</v>
      </c>
    </row>
    <row r="117" spans="1:7" ht="16.5">
      <c r="A117" s="1653">
        <f t="shared" si="2"/>
        <v>113</v>
      </c>
      <c r="B117" s="1754" t="s">
        <v>6968</v>
      </c>
      <c r="C117" s="1738" t="s">
        <v>6969</v>
      </c>
      <c r="D117" s="2127">
        <f>'表05-1'!G236</f>
        <v>0</v>
      </c>
      <c r="E117" s="2125">
        <v>4.5600000000000002E-2</v>
      </c>
      <c r="F117" s="2126">
        <f>ROUND(D117*E117,0)</f>
        <v>0</v>
      </c>
    </row>
    <row r="118" spans="1:7" s="1989" customFormat="1" ht="16.5">
      <c r="A118" s="1653">
        <f t="shared" si="2"/>
        <v>114</v>
      </c>
      <c r="B118" s="1755" t="s">
        <v>6970</v>
      </c>
      <c r="C118" s="1751"/>
      <c r="D118" s="2123">
        <f>D119+D120</f>
        <v>0</v>
      </c>
      <c r="E118" s="2136"/>
      <c r="F118" s="2120">
        <f>F119+F120</f>
        <v>0</v>
      </c>
      <c r="G118" s="1739"/>
    </row>
    <row r="119" spans="1:7" s="1989" customFormat="1" ht="33">
      <c r="A119" s="1653">
        <f t="shared" si="2"/>
        <v>115</v>
      </c>
      <c r="B119" s="1756" t="s">
        <v>6971</v>
      </c>
      <c r="C119" s="2137" t="s">
        <v>4097</v>
      </c>
      <c r="D119" s="2127">
        <f>'表30-3-3'!E27</f>
        <v>0</v>
      </c>
      <c r="E119" s="2130"/>
      <c r="F119" s="2126">
        <f>'表30-3-3'!K27</f>
        <v>0</v>
      </c>
      <c r="G119" s="1739"/>
    </row>
    <row r="120" spans="1:7" s="1989" customFormat="1" ht="33">
      <c r="A120" s="1653">
        <f t="shared" si="2"/>
        <v>116</v>
      </c>
      <c r="B120" s="1756" t="s">
        <v>6972</v>
      </c>
      <c r="C120" s="2137" t="s">
        <v>6973</v>
      </c>
      <c r="D120" s="2127">
        <f>'表30-3-3'!E49</f>
        <v>0</v>
      </c>
      <c r="E120" s="1753"/>
      <c r="F120" s="2126">
        <f>'表30-3-3'!K49</f>
        <v>0</v>
      </c>
      <c r="G120" s="1739"/>
    </row>
    <row r="121" spans="1:7" ht="16.5">
      <c r="A121" s="1653">
        <f t="shared" si="2"/>
        <v>117</v>
      </c>
      <c r="B121" s="1755" t="s">
        <v>6974</v>
      </c>
      <c r="C121" s="1751"/>
      <c r="D121" s="2123">
        <f>D122+D123+D124</f>
        <v>0</v>
      </c>
      <c r="E121" s="1753"/>
      <c r="F121" s="2120">
        <f>F122+F123+F124</f>
        <v>0</v>
      </c>
      <c r="G121" s="1739"/>
    </row>
    <row r="122" spans="1:7" ht="33">
      <c r="A122" s="1653">
        <f t="shared" si="2"/>
        <v>118</v>
      </c>
      <c r="B122" s="1756" t="s">
        <v>6975</v>
      </c>
      <c r="C122" s="1738" t="s">
        <v>6976</v>
      </c>
      <c r="D122" s="2127">
        <f>'表05-1'!G217</f>
        <v>0</v>
      </c>
      <c r="E122" s="2135">
        <v>5.6500000000000002E-2</v>
      </c>
      <c r="F122" s="2126">
        <f>ROUND(D122*E122,0)</f>
        <v>0</v>
      </c>
      <c r="G122" s="1739"/>
    </row>
    <row r="123" spans="1:7" ht="16.5">
      <c r="A123" s="1653">
        <f t="shared" si="2"/>
        <v>119</v>
      </c>
      <c r="B123" s="1756" t="s">
        <v>6977</v>
      </c>
      <c r="C123" s="1738" t="s">
        <v>6978</v>
      </c>
      <c r="D123" s="2127">
        <f>'表05-1'!G225</f>
        <v>0</v>
      </c>
      <c r="E123" s="2135">
        <v>3.1899999999999998E-2</v>
      </c>
      <c r="F123" s="2126">
        <f>ROUND(D123*E123,0)</f>
        <v>0</v>
      </c>
      <c r="G123" s="1739"/>
    </row>
    <row r="124" spans="1:7" ht="16.5">
      <c r="A124" s="1653">
        <f t="shared" si="2"/>
        <v>120</v>
      </c>
      <c r="B124" s="1756" t="s">
        <v>6979</v>
      </c>
      <c r="C124" s="1738" t="s">
        <v>6980</v>
      </c>
      <c r="D124" s="2127">
        <f>'表05-1'!G77+'表05-1'!G80+'表05-1'!G201+'表05-1'!G228+'表05-1'!G238</f>
        <v>0</v>
      </c>
      <c r="E124" s="2135">
        <v>4.5600000000000002E-2</v>
      </c>
      <c r="F124" s="2126">
        <f>ROUND(D124*E124,0)</f>
        <v>0</v>
      </c>
      <c r="G124" s="1739"/>
    </row>
    <row r="125" spans="1:7" ht="33.75" thickBot="1">
      <c r="A125" s="2373">
        <f t="shared" si="2"/>
        <v>121</v>
      </c>
      <c r="B125" s="2374" t="s">
        <v>6981</v>
      </c>
      <c r="C125" s="1759" t="s">
        <v>6982</v>
      </c>
      <c r="D125" s="2375">
        <f>'表05-1'!G171+SUM('表30-14-1'!L24:L37)</f>
        <v>0</v>
      </c>
      <c r="E125" s="2376">
        <v>6.6100000000000006E-2</v>
      </c>
      <c r="F125" s="2375">
        <f>ROUND(D125*E125,0)</f>
        <v>0</v>
      </c>
      <c r="G125" s="1739"/>
    </row>
    <row r="126" spans="1:7" ht="17.25" thickTop="1">
      <c r="A126" s="2377">
        <f t="shared" si="2"/>
        <v>122</v>
      </c>
      <c r="B126" s="2142" t="s">
        <v>6983</v>
      </c>
      <c r="C126" s="2142"/>
      <c r="D126" s="2143">
        <f>D5+D67</f>
        <v>0</v>
      </c>
      <c r="E126" s="2144"/>
      <c r="F126" s="2143">
        <f ca="1">F5+F67+F125</f>
        <v>0</v>
      </c>
    </row>
    <row r="127" spans="1:7" ht="16.5">
      <c r="A127" s="1737" t="s">
        <v>1239</v>
      </c>
      <c r="B127" s="1481"/>
      <c r="C127" s="1481"/>
      <c r="D127" s="1481"/>
      <c r="E127" s="1481"/>
      <c r="F127" s="1481"/>
      <c r="G127" s="1481"/>
    </row>
    <row r="128" spans="1:7" ht="15.75" customHeight="1">
      <c r="A128" s="2145">
        <v>1</v>
      </c>
      <c r="B128" s="2146" t="s">
        <v>6984</v>
      </c>
      <c r="C128" s="2146"/>
      <c r="D128" s="2146"/>
      <c r="E128" s="2146"/>
      <c r="F128" s="2146"/>
      <c r="G128" s="2147"/>
    </row>
    <row r="129" spans="1:7" ht="15.75" customHeight="1">
      <c r="A129" s="2145">
        <v>2</v>
      </c>
      <c r="B129" s="2146" t="s">
        <v>4098</v>
      </c>
      <c r="C129" s="2146"/>
      <c r="D129" s="2146"/>
      <c r="E129" s="2146"/>
      <c r="F129" s="2146"/>
      <c r="G129" s="2147"/>
    </row>
    <row r="130" spans="1:7" s="1989" customFormat="1" ht="16.5">
      <c r="A130" s="2145">
        <v>3</v>
      </c>
      <c r="B130" s="2100" t="s">
        <v>6985</v>
      </c>
      <c r="C130" s="2100"/>
      <c r="D130" s="2100"/>
      <c r="E130" s="2100"/>
      <c r="F130" s="2100"/>
      <c r="G130" s="2147"/>
    </row>
    <row r="131" spans="1:7" s="1989" customFormat="1" ht="15.75" customHeight="1">
      <c r="A131" s="2145">
        <v>4</v>
      </c>
      <c r="B131" s="2146" t="s">
        <v>4105</v>
      </c>
      <c r="C131" s="2146"/>
      <c r="D131" s="2146"/>
      <c r="E131" s="2146"/>
      <c r="F131" s="2146"/>
      <c r="G131" s="2147"/>
    </row>
    <row r="132" spans="1:7" ht="15.75" customHeight="1">
      <c r="A132" s="2145">
        <v>5</v>
      </c>
      <c r="B132" s="2146" t="s">
        <v>4106</v>
      </c>
      <c r="C132" s="2146"/>
      <c r="D132" s="2146"/>
      <c r="E132" s="2146"/>
      <c r="F132" s="2146"/>
    </row>
    <row r="133" spans="1:7" ht="16.5">
      <c r="A133" s="2145">
        <v>6</v>
      </c>
      <c r="B133" s="2100" t="s">
        <v>6986</v>
      </c>
      <c r="C133" s="2100"/>
      <c r="D133" s="2106"/>
      <c r="E133" s="2105"/>
      <c r="F133" s="2106"/>
    </row>
  </sheetData>
  <mergeCells count="3">
    <mergeCell ref="A3:A4"/>
    <mergeCell ref="B3:B4"/>
    <mergeCell ref="C3:C4"/>
  </mergeCells>
  <phoneticPr fontId="26" type="noConversion"/>
  <pageMargins left="0.25" right="0.25" top="0.75" bottom="0.75" header="0.3" footer="0.3"/>
  <pageSetup paperSize="9" scale="44" fitToHeight="0" orientation="portrait" horizontalDpi="4294967295" verticalDpi="4294967295" r:id="rId1"/>
  <headerFooter alignWithMargins="0">
    <oddFooter>&amp;C&amp;"Times New Roman,標準"&amp;P+135&amp;R&amp;"Times New Roman,標準"&amp;A</oddFooter>
  </headerFooter>
  <rowBreaks count="1" manualBreakCount="1">
    <brk id="66" max="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Q217"/>
  <sheetViews>
    <sheetView topLeftCell="A163" zoomScaleNormal="100" zoomScaleSheetLayoutView="100" workbookViewId="0">
      <selection activeCell="C139" sqref="C139"/>
    </sheetView>
  </sheetViews>
  <sheetFormatPr defaultColWidth="15.625" defaultRowHeight="15.75"/>
  <cols>
    <col min="1" max="1" width="5.625" style="1767" customWidth="1"/>
    <col min="2" max="2" width="70.625" style="1739" customWidth="1"/>
    <col min="3" max="3" width="70.625" style="1762" customWidth="1"/>
    <col min="4" max="4" width="20.625" style="1654" customWidth="1"/>
    <col min="5" max="5" width="15.625" style="1766" customWidth="1"/>
    <col min="6" max="6" width="20.625" style="1654" customWidth="1"/>
    <col min="7" max="16" width="15.625" style="1654" customWidth="1"/>
    <col min="17" max="16384" width="15.625" style="1748"/>
  </cols>
  <sheetData>
    <row r="1" spans="1:16" s="1553" customFormat="1" ht="16.5">
      <c r="A1" s="2400" t="s">
        <v>7069</v>
      </c>
      <c r="B1" s="1744"/>
      <c r="C1" s="1483"/>
      <c r="D1" s="1604"/>
      <c r="E1" s="1604"/>
      <c r="F1" s="1604"/>
      <c r="G1" s="1604"/>
      <c r="H1" s="1604"/>
      <c r="I1" s="1604"/>
      <c r="J1" s="1604"/>
      <c r="K1" s="1604"/>
      <c r="L1" s="1604"/>
      <c r="M1" s="1604"/>
      <c r="N1" s="1604"/>
      <c r="O1" s="1604"/>
      <c r="P1" s="1604"/>
    </row>
    <row r="2" spans="1:16" s="1739" customFormat="1" ht="16.5">
      <c r="A2" s="2422" t="s">
        <v>7091</v>
      </c>
      <c r="B2" s="2413"/>
      <c r="C2" s="2414"/>
      <c r="D2" s="2415"/>
      <c r="E2" s="2416"/>
      <c r="F2" s="2417" t="s">
        <v>252</v>
      </c>
      <c r="G2" s="1745"/>
      <c r="N2" s="1745"/>
    </row>
    <row r="3" spans="1:16" s="1739" customFormat="1" ht="16.5">
      <c r="A3" s="2930" t="s">
        <v>185</v>
      </c>
      <c r="B3" s="2930" t="s">
        <v>3406</v>
      </c>
      <c r="C3" s="2931" t="s">
        <v>3407</v>
      </c>
      <c r="D3" s="2418" t="s">
        <v>3288</v>
      </c>
      <c r="E3" s="2419" t="s">
        <v>1041</v>
      </c>
      <c r="F3" s="2418" t="s">
        <v>7090</v>
      </c>
      <c r="G3" s="1746"/>
    </row>
    <row r="4" spans="1:16" s="1739" customFormat="1" ht="16.5">
      <c r="A4" s="2930"/>
      <c r="B4" s="2930"/>
      <c r="C4" s="2931"/>
      <c r="D4" s="2420" t="s">
        <v>3408</v>
      </c>
      <c r="E4" s="2420" t="s">
        <v>67</v>
      </c>
      <c r="F4" s="2421" t="s">
        <v>2056</v>
      </c>
      <c r="G4" s="1746"/>
    </row>
    <row r="5" spans="1:16" ht="16.5">
      <c r="A5" s="1747">
        <v>1</v>
      </c>
      <c r="B5" s="2423" t="s">
        <v>7092</v>
      </c>
      <c r="C5" s="2424"/>
      <c r="D5" s="2425">
        <f>SUM(D6:D7,D50,D63,D69)</f>
        <v>0</v>
      </c>
      <c r="E5" s="2426"/>
      <c r="F5" s="2425">
        <f ca="1">SUM(F6:F7,F50,F63,F69)</f>
        <v>0</v>
      </c>
      <c r="O5" s="1748"/>
      <c r="P5" s="1748"/>
    </row>
    <row r="6" spans="1:16" s="1739" customFormat="1" ht="16.5">
      <c r="A6" s="1749">
        <f>A5+1</f>
        <v>2</v>
      </c>
      <c r="B6" s="2427" t="s">
        <v>7093</v>
      </c>
      <c r="C6" s="2428" t="s">
        <v>7094</v>
      </c>
      <c r="D6" s="2429">
        <f>SUM('表05-1'!G6:G7)</f>
        <v>0</v>
      </c>
      <c r="E6" s="2430">
        <v>0</v>
      </c>
      <c r="F6" s="2429">
        <f>ROUND(D6*E6,0)</f>
        <v>0</v>
      </c>
      <c r="G6" s="1654"/>
    </row>
    <row r="7" spans="1:16" s="1739" customFormat="1" ht="16.5">
      <c r="A7" s="1749">
        <f t="shared" ref="A7:A70" si="0">A6+1</f>
        <v>3</v>
      </c>
      <c r="B7" s="2431" t="s">
        <v>7095</v>
      </c>
      <c r="C7" s="2432"/>
      <c r="D7" s="2433">
        <f>SUM(D8,D21,D26,D39,D45,D49)</f>
        <v>0</v>
      </c>
      <c r="E7" s="2434"/>
      <c r="F7" s="2433">
        <f ca="1">SUM(F8,F21,F26,F39,F45,F49)</f>
        <v>0</v>
      </c>
      <c r="G7" s="1654"/>
    </row>
    <row r="8" spans="1:16" s="1739" customFormat="1" ht="16.5">
      <c r="A8" s="1749">
        <f t="shared" si="0"/>
        <v>4</v>
      </c>
      <c r="B8" s="2435" t="s">
        <v>7096</v>
      </c>
      <c r="C8" s="2432"/>
      <c r="D8" s="2433">
        <f>SUM(D9:D10,D16:D17)</f>
        <v>0</v>
      </c>
      <c r="E8" s="2434"/>
      <c r="F8" s="2433">
        <f>SUM(F9:F10,F16:F17)</f>
        <v>0</v>
      </c>
      <c r="G8" s="1654"/>
    </row>
    <row r="9" spans="1:16" s="1739" customFormat="1" ht="16.5">
      <c r="A9" s="1749">
        <f t="shared" si="0"/>
        <v>5</v>
      </c>
      <c r="B9" s="2436" t="s">
        <v>3409</v>
      </c>
      <c r="C9" s="2428" t="s">
        <v>3301</v>
      </c>
      <c r="D9" s="2429">
        <f>'表05-1'!G12</f>
        <v>0</v>
      </c>
      <c r="E9" s="2430">
        <v>0</v>
      </c>
      <c r="F9" s="2429">
        <f>ROUND(D9*E9,0)</f>
        <v>0</v>
      </c>
      <c r="G9" s="1654"/>
    </row>
    <row r="10" spans="1:16" s="1739" customFormat="1" ht="16.5">
      <c r="A10" s="1749">
        <f t="shared" si="0"/>
        <v>6</v>
      </c>
      <c r="B10" s="2437" t="s">
        <v>3302</v>
      </c>
      <c r="C10" s="2438"/>
      <c r="D10" s="2433">
        <f>SUM(D11:D12)</f>
        <v>0</v>
      </c>
      <c r="E10" s="2434"/>
      <c r="F10" s="2433">
        <f>F12</f>
        <v>0</v>
      </c>
      <c r="G10" s="1654"/>
    </row>
    <row r="11" spans="1:16" s="1739" customFormat="1" ht="33">
      <c r="A11" s="1749">
        <f t="shared" si="0"/>
        <v>7</v>
      </c>
      <c r="B11" s="2439" t="s">
        <v>7097</v>
      </c>
      <c r="C11" s="2440" t="s">
        <v>7098</v>
      </c>
      <c r="D11" s="2429">
        <f>'表30-8-7'!F34</f>
        <v>0</v>
      </c>
      <c r="E11" s="2430" t="s">
        <v>7099</v>
      </c>
      <c r="F11" s="2433"/>
      <c r="G11" s="1654"/>
    </row>
    <row r="12" spans="1:16" s="1739" customFormat="1" ht="16.5">
      <c r="A12" s="1749">
        <f t="shared" si="0"/>
        <v>8</v>
      </c>
      <c r="B12" s="2441" t="s">
        <v>3410</v>
      </c>
      <c r="C12" s="2438"/>
      <c r="D12" s="2433">
        <f>SUM(D13:D15)</f>
        <v>0</v>
      </c>
      <c r="E12" s="2434"/>
      <c r="F12" s="2433">
        <f>SUM(F13:F15)</f>
        <v>0</v>
      </c>
      <c r="G12" s="1654"/>
    </row>
    <row r="13" spans="1:16" s="1739" customFormat="1" ht="49.5">
      <c r="A13" s="1749">
        <f t="shared" si="0"/>
        <v>9</v>
      </c>
      <c r="B13" s="2442" t="s">
        <v>7100</v>
      </c>
      <c r="C13" s="2428" t="s">
        <v>6805</v>
      </c>
      <c r="D13" s="2429">
        <f>'表30-3-1'!D24-'表30-3-1'!D120</f>
        <v>0</v>
      </c>
      <c r="E13" s="2434"/>
      <c r="F13" s="2429">
        <f>'表30-3-1'!F24-'表30-3-1'!F120</f>
        <v>0</v>
      </c>
      <c r="G13" s="1654"/>
    </row>
    <row r="14" spans="1:16" s="1739" customFormat="1" ht="33">
      <c r="A14" s="1749">
        <f t="shared" si="0"/>
        <v>10</v>
      </c>
      <c r="B14" s="2442" t="s">
        <v>3411</v>
      </c>
      <c r="C14" s="2428" t="s">
        <v>6806</v>
      </c>
      <c r="D14" s="2429">
        <f>'表30-3-1'!D43</f>
        <v>0</v>
      </c>
      <c r="E14" s="2434"/>
      <c r="F14" s="2429">
        <f>'表30-3-1'!F43</f>
        <v>0</v>
      </c>
      <c r="G14" s="1654"/>
    </row>
    <row r="15" spans="1:16" s="1739" customFormat="1" ht="33">
      <c r="A15" s="1749">
        <f t="shared" si="0"/>
        <v>11</v>
      </c>
      <c r="B15" s="2442" t="s">
        <v>3412</v>
      </c>
      <c r="C15" s="2428" t="s">
        <v>6807</v>
      </c>
      <c r="D15" s="2429">
        <f>'表30-3-1'!D44</f>
        <v>0</v>
      </c>
      <c r="E15" s="2430">
        <v>0.20799999999999999</v>
      </c>
      <c r="F15" s="2429">
        <f>ROUND(D15*E15,0)</f>
        <v>0</v>
      </c>
      <c r="G15" s="1654"/>
    </row>
    <row r="16" spans="1:16" s="1739" customFormat="1" ht="33">
      <c r="A16" s="1749">
        <f t="shared" si="0"/>
        <v>12</v>
      </c>
      <c r="B16" s="2436" t="s">
        <v>3303</v>
      </c>
      <c r="C16" s="2428" t="s">
        <v>6808</v>
      </c>
      <c r="D16" s="2429">
        <f>'表30-3-1'!D63</f>
        <v>0</v>
      </c>
      <c r="E16" s="2434"/>
      <c r="F16" s="2429">
        <f>'表30-3-1'!F63</f>
        <v>0</v>
      </c>
      <c r="G16" s="1654"/>
    </row>
    <row r="17" spans="1:7" s="1739" customFormat="1" ht="16.5">
      <c r="A17" s="1749">
        <f t="shared" si="0"/>
        <v>13</v>
      </c>
      <c r="B17" s="2437" t="s">
        <v>3304</v>
      </c>
      <c r="C17" s="2432"/>
      <c r="D17" s="2433">
        <f>SUM(D18:D20)</f>
        <v>0</v>
      </c>
      <c r="E17" s="2434"/>
      <c r="F17" s="2433">
        <f>SUM(F18:F20)</f>
        <v>0</v>
      </c>
      <c r="G17" s="1654"/>
    </row>
    <row r="18" spans="1:7" s="1739" customFormat="1" ht="33">
      <c r="A18" s="1749">
        <f t="shared" si="0"/>
        <v>14</v>
      </c>
      <c r="B18" s="2439" t="s">
        <v>3305</v>
      </c>
      <c r="C18" s="2428" t="s">
        <v>6809</v>
      </c>
      <c r="D18" s="2429">
        <f>'表30-3-1'!D82</f>
        <v>0</v>
      </c>
      <c r="E18" s="2434"/>
      <c r="F18" s="2429">
        <f>'表30-3-1'!F82</f>
        <v>0</v>
      </c>
      <c r="G18" s="1654"/>
    </row>
    <row r="19" spans="1:7" s="1739" customFormat="1" ht="33">
      <c r="A19" s="1749">
        <f t="shared" si="0"/>
        <v>15</v>
      </c>
      <c r="B19" s="2439" t="s">
        <v>3306</v>
      </c>
      <c r="C19" s="2428" t="s">
        <v>6810</v>
      </c>
      <c r="D19" s="2429">
        <f>'表30-3-1'!D83</f>
        <v>0</v>
      </c>
      <c r="E19" s="2434"/>
      <c r="F19" s="2429">
        <f>'表30-3-1'!F83</f>
        <v>0</v>
      </c>
      <c r="G19" s="1654"/>
    </row>
    <row r="20" spans="1:7" s="1739" customFormat="1" ht="33">
      <c r="A20" s="1749">
        <f t="shared" si="0"/>
        <v>16</v>
      </c>
      <c r="B20" s="2439" t="s">
        <v>7101</v>
      </c>
      <c r="C20" s="2428" t="s">
        <v>6811</v>
      </c>
      <c r="D20" s="2429">
        <f>'表30-3-1'!D84</f>
        <v>0</v>
      </c>
      <c r="E20" s="2430">
        <v>5.9499999999999997E-2</v>
      </c>
      <c r="F20" s="2429">
        <f>ROUND(D20*E20,0)</f>
        <v>0</v>
      </c>
      <c r="G20" s="1654"/>
    </row>
    <row r="21" spans="1:7" s="1739" customFormat="1" ht="16.5">
      <c r="A21" s="1749">
        <f t="shared" si="0"/>
        <v>17</v>
      </c>
      <c r="B21" s="2435" t="s">
        <v>3307</v>
      </c>
      <c r="C21" s="2443"/>
      <c r="D21" s="2433">
        <f>SUM(D22:D25)</f>
        <v>0</v>
      </c>
      <c r="E21" s="2434"/>
      <c r="F21" s="2433">
        <f>SUM(F22:F25)</f>
        <v>0</v>
      </c>
      <c r="G21" s="1654"/>
    </row>
    <row r="22" spans="1:7" s="1739" customFormat="1" ht="16.5">
      <c r="A22" s="1749">
        <f t="shared" si="0"/>
        <v>18</v>
      </c>
      <c r="B22" s="2436" t="s">
        <v>7102</v>
      </c>
      <c r="C22" s="2428" t="s">
        <v>3308</v>
      </c>
      <c r="D22" s="2429">
        <f>'表05-1'!G16</f>
        <v>0</v>
      </c>
      <c r="E22" s="2430">
        <v>2.5999999999999999E-3</v>
      </c>
      <c r="F22" s="2429">
        <f>ROUND(D22*E22,0)</f>
        <v>0</v>
      </c>
      <c r="G22" s="1654"/>
    </row>
    <row r="23" spans="1:7" s="1739" customFormat="1" ht="16.5">
      <c r="A23" s="1749">
        <f t="shared" si="0"/>
        <v>19</v>
      </c>
      <c r="B23" s="2436" t="s">
        <v>7103</v>
      </c>
      <c r="C23" s="2428" t="s">
        <v>3309</v>
      </c>
      <c r="D23" s="2429">
        <f>'表05-1'!G17</f>
        <v>0</v>
      </c>
      <c r="E23" s="2430">
        <v>2.5999999999999999E-3</v>
      </c>
      <c r="F23" s="2429">
        <f>ROUND(D23*E23,0)</f>
        <v>0</v>
      </c>
      <c r="G23" s="1654"/>
    </row>
    <row r="24" spans="1:7" s="1739" customFormat="1" ht="16.5">
      <c r="A24" s="1749">
        <f t="shared" si="0"/>
        <v>20</v>
      </c>
      <c r="B24" s="2436" t="s">
        <v>7104</v>
      </c>
      <c r="C24" s="2428" t="s">
        <v>3310</v>
      </c>
      <c r="D24" s="2429">
        <f>'表05-1'!G18</f>
        <v>0</v>
      </c>
      <c r="E24" s="2430">
        <v>2.5999999999999999E-3</v>
      </c>
      <c r="F24" s="2429">
        <f>ROUND(D24*E24,0)</f>
        <v>0</v>
      </c>
      <c r="G24" s="1654"/>
    </row>
    <row r="25" spans="1:7" s="1739" customFormat="1" ht="16.5">
      <c r="A25" s="1749">
        <f t="shared" si="0"/>
        <v>21</v>
      </c>
      <c r="B25" s="2436" t="s">
        <v>3311</v>
      </c>
      <c r="C25" s="2428" t="s">
        <v>3372</v>
      </c>
      <c r="D25" s="2429">
        <f>'表05-1'!G19</f>
        <v>0</v>
      </c>
      <c r="E25" s="2430">
        <v>2.5999999999999999E-3</v>
      </c>
      <c r="F25" s="2429">
        <f>ROUND(D25*E25,0)</f>
        <v>0</v>
      </c>
      <c r="G25" s="1654"/>
    </row>
    <row r="26" spans="1:7" s="1739" customFormat="1" ht="16.5">
      <c r="A26" s="1749">
        <f t="shared" si="0"/>
        <v>22</v>
      </c>
      <c r="B26" s="2435" t="s">
        <v>7105</v>
      </c>
      <c r="C26" s="2432"/>
      <c r="D26" s="2433">
        <f>SUM(D27,D30,D33:D34)</f>
        <v>0</v>
      </c>
      <c r="E26" s="2434"/>
      <c r="F26" s="2433">
        <f ca="1">SUM(F27,F30,F33:F34)</f>
        <v>0</v>
      </c>
      <c r="G26" s="1654"/>
    </row>
    <row r="27" spans="1:7" s="1739" customFormat="1" ht="16.5">
      <c r="A27" s="1749">
        <f t="shared" si="0"/>
        <v>23</v>
      </c>
      <c r="B27" s="2437" t="s">
        <v>3413</v>
      </c>
      <c r="C27" s="2444"/>
      <c r="D27" s="2433">
        <f>SUM(D28:D29)</f>
        <v>0</v>
      </c>
      <c r="E27" s="2434"/>
      <c r="F27" s="2433">
        <f ca="1">SUM(F28:F29)</f>
        <v>0</v>
      </c>
      <c r="G27" s="1654"/>
    </row>
    <row r="28" spans="1:7" s="1739" customFormat="1" ht="16.5">
      <c r="A28" s="1749">
        <f t="shared" si="0"/>
        <v>24</v>
      </c>
      <c r="B28" s="2439" t="s">
        <v>3414</v>
      </c>
      <c r="C28" s="2428" t="s">
        <v>3373</v>
      </c>
      <c r="D28" s="2429">
        <f>'表10-4'!G7+'表10-4'!G23</f>
        <v>0</v>
      </c>
      <c r="E28" s="2430">
        <f ca="1">'表30-14'!J7</f>
        <v>0.28599999999999998</v>
      </c>
      <c r="F28" s="2429">
        <f ca="1">ROUND(D28*E28,0)</f>
        <v>0</v>
      </c>
      <c r="G28" s="1654"/>
    </row>
    <row r="29" spans="1:7" s="1739" customFormat="1" ht="33">
      <c r="A29" s="1749">
        <f t="shared" si="0"/>
        <v>25</v>
      </c>
      <c r="B29" s="2439" t="s">
        <v>3415</v>
      </c>
      <c r="C29" s="2428" t="s">
        <v>3374</v>
      </c>
      <c r="D29" s="2429">
        <f>'表10-4'!G8+'表10-4'!G24-'表16-2-1'!G45</f>
        <v>0</v>
      </c>
      <c r="E29" s="2430">
        <f ca="1">'表30-14'!J8</f>
        <v>0.2427</v>
      </c>
      <c r="F29" s="2429">
        <f ca="1">ROUND(D29*E29,0)</f>
        <v>0</v>
      </c>
      <c r="G29" s="1654"/>
    </row>
    <row r="30" spans="1:7" s="1739" customFormat="1" ht="16.5">
      <c r="A30" s="1749">
        <f t="shared" si="0"/>
        <v>26</v>
      </c>
      <c r="B30" s="2437" t="s">
        <v>3312</v>
      </c>
      <c r="C30" s="2438"/>
      <c r="D30" s="2433">
        <f>SUM(D31:D32)</f>
        <v>0</v>
      </c>
      <c r="E30" s="2434"/>
      <c r="F30" s="2433">
        <f ca="1">SUM(F31:F32)</f>
        <v>0</v>
      </c>
      <c r="G30" s="1654"/>
    </row>
    <row r="31" spans="1:7" s="1739" customFormat="1" ht="16.5">
      <c r="A31" s="1749">
        <f t="shared" si="0"/>
        <v>27</v>
      </c>
      <c r="B31" s="2439" t="s">
        <v>3416</v>
      </c>
      <c r="C31" s="2428" t="s">
        <v>3375</v>
      </c>
      <c r="D31" s="2429">
        <f>SUM('表10-4'!G10,'表10-4'!G26)</f>
        <v>0</v>
      </c>
      <c r="E31" s="2430">
        <f ca="1">'表30-14'!J10</f>
        <v>0.40500000000000003</v>
      </c>
      <c r="F31" s="2429">
        <f ca="1">ROUND(D31*E31,0)</f>
        <v>0</v>
      </c>
      <c r="G31" s="1654"/>
    </row>
    <row r="32" spans="1:7" s="1739" customFormat="1" ht="16.5">
      <c r="A32" s="1749">
        <f t="shared" si="0"/>
        <v>28</v>
      </c>
      <c r="B32" s="2439" t="s">
        <v>3417</v>
      </c>
      <c r="C32" s="2428" t="s">
        <v>7106</v>
      </c>
      <c r="D32" s="2429">
        <f>SUM('表10-4'!G11,'表10-4'!G27)</f>
        <v>0</v>
      </c>
      <c r="E32" s="2430">
        <f ca="1">'表30-14'!J11</f>
        <v>0.34499999999999997</v>
      </c>
      <c r="F32" s="2429">
        <f ca="1">ROUND(D32*E32,0)</f>
        <v>0</v>
      </c>
      <c r="G32" s="1654"/>
    </row>
    <row r="33" spans="1:7" s="1739" customFormat="1" ht="16.5">
      <c r="A33" s="1749">
        <f t="shared" si="0"/>
        <v>29</v>
      </c>
      <c r="B33" s="2436" t="s">
        <v>3313</v>
      </c>
      <c r="C33" s="2428" t="s">
        <v>7107</v>
      </c>
      <c r="D33" s="2429">
        <f>SUM('表10-4'!F12,'表10-4'!F28)</f>
        <v>0</v>
      </c>
      <c r="E33" s="2430">
        <v>0.375</v>
      </c>
      <c r="F33" s="2429">
        <f>ROUND(D33*E33,0)</f>
        <v>0</v>
      </c>
      <c r="G33" s="1654"/>
    </row>
    <row r="34" spans="1:7" s="1739" customFormat="1" ht="16.5">
      <c r="A34" s="1749">
        <f t="shared" si="0"/>
        <v>30</v>
      </c>
      <c r="B34" s="2437" t="s">
        <v>3314</v>
      </c>
      <c r="C34" s="2432"/>
      <c r="D34" s="2433">
        <f>SUM(D35:D36)</f>
        <v>0</v>
      </c>
      <c r="E34" s="2434"/>
      <c r="F34" s="2433">
        <f>F36</f>
        <v>0</v>
      </c>
      <c r="G34" s="1654"/>
    </row>
    <row r="35" spans="1:7" s="1739" customFormat="1" ht="33">
      <c r="A35" s="1749">
        <f t="shared" si="0"/>
        <v>31</v>
      </c>
      <c r="B35" s="2439" t="s">
        <v>7108</v>
      </c>
      <c r="C35" s="2440" t="s">
        <v>7109</v>
      </c>
      <c r="D35" s="2429">
        <f>'表30-8-7'!G34+'表30-8-7'!H34</f>
        <v>0</v>
      </c>
      <c r="E35" s="2430" t="s">
        <v>7110</v>
      </c>
      <c r="F35" s="2433"/>
      <c r="G35" s="1654"/>
    </row>
    <row r="36" spans="1:7" s="1739" customFormat="1" ht="16.5">
      <c r="A36" s="1749">
        <f t="shared" si="0"/>
        <v>32</v>
      </c>
      <c r="B36" s="2441" t="s">
        <v>3418</v>
      </c>
      <c r="C36" s="2432"/>
      <c r="D36" s="2433">
        <f>D37+D38</f>
        <v>0</v>
      </c>
      <c r="E36" s="2434"/>
      <c r="F36" s="2433">
        <f>F37+F38</f>
        <v>0</v>
      </c>
      <c r="G36" s="1654"/>
    </row>
    <row r="37" spans="1:7" s="1739" customFormat="1" ht="33">
      <c r="A37" s="1749">
        <f t="shared" si="0"/>
        <v>33</v>
      </c>
      <c r="B37" s="2442" t="s">
        <v>3419</v>
      </c>
      <c r="C37" s="2428" t="s">
        <v>6812</v>
      </c>
      <c r="D37" s="2429">
        <f>'表30-3-1'!D101</f>
        <v>0</v>
      </c>
      <c r="E37" s="2434"/>
      <c r="F37" s="2429">
        <f>'表30-3-1'!F101</f>
        <v>0</v>
      </c>
      <c r="G37" s="1654"/>
    </row>
    <row r="38" spans="1:7" s="1739" customFormat="1" ht="49.5">
      <c r="A38" s="1749">
        <f t="shared" si="0"/>
        <v>34</v>
      </c>
      <c r="B38" s="2442" t="s">
        <v>7111</v>
      </c>
      <c r="C38" s="2428" t="s">
        <v>7112</v>
      </c>
      <c r="D38" s="2429">
        <f>SUM('表10-4'!G16,'表10-4'!G32,'表10-4'!F17,'表10-4'!F33)-'表10-2'!P37-'表30-8-7'!H33</f>
        <v>0</v>
      </c>
      <c r="E38" s="2430">
        <v>0.21</v>
      </c>
      <c r="F38" s="2429">
        <f>ROUND(D38*E38,0)</f>
        <v>0</v>
      </c>
      <c r="G38" s="1654"/>
    </row>
    <row r="39" spans="1:7" s="1739" customFormat="1" ht="16.5">
      <c r="A39" s="1749">
        <f t="shared" si="0"/>
        <v>35</v>
      </c>
      <c r="B39" s="2435" t="s">
        <v>3315</v>
      </c>
      <c r="C39" s="2432"/>
      <c r="D39" s="2433">
        <f>SUM(D40:D44)</f>
        <v>0</v>
      </c>
      <c r="E39" s="2434"/>
      <c r="F39" s="2433">
        <f ca="1">SUM(F40:F44)</f>
        <v>0</v>
      </c>
      <c r="G39" s="1654"/>
    </row>
    <row r="40" spans="1:7" s="1739" customFormat="1" ht="33">
      <c r="A40" s="1749">
        <f t="shared" si="0"/>
        <v>36</v>
      </c>
      <c r="B40" s="2436" t="s">
        <v>7113</v>
      </c>
      <c r="C40" s="2428" t="s">
        <v>7114</v>
      </c>
      <c r="D40" s="2429">
        <f>'表05-1'!M57-'表30-14-1'!L8-'表30-14-1'!L9</f>
        <v>0</v>
      </c>
      <c r="E40" s="2430">
        <f ca="1">'表30-14'!J13</f>
        <v>0.2427</v>
      </c>
      <c r="F40" s="2429">
        <f ca="1">ROUND(D40*E40,0)</f>
        <v>0</v>
      </c>
      <c r="G40" s="1654"/>
    </row>
    <row r="41" spans="1:7" s="1739" customFormat="1" ht="33">
      <c r="A41" s="1749">
        <f t="shared" si="0"/>
        <v>37</v>
      </c>
      <c r="B41" s="2436" t="s">
        <v>3316</v>
      </c>
      <c r="C41" s="2428" t="s">
        <v>6813</v>
      </c>
      <c r="D41" s="2429">
        <f>'表05-1'!G58-'表30-14-1'!L11</f>
        <v>0</v>
      </c>
      <c r="E41" s="2430">
        <v>8.1000000000000003E-2</v>
      </c>
      <c r="F41" s="2429">
        <f>ROUND(D41*E41-'表30-9'!F26-'表30-9'!F27-'表30-9'!F28,0)</f>
        <v>0</v>
      </c>
      <c r="G41" s="1654"/>
    </row>
    <row r="42" spans="1:7" s="1739" customFormat="1" ht="49.5">
      <c r="A42" s="1749">
        <f t="shared" si="0"/>
        <v>38</v>
      </c>
      <c r="B42" s="2436" t="s">
        <v>7256</v>
      </c>
      <c r="C42" s="2428" t="s">
        <v>7257</v>
      </c>
      <c r="D42" s="2429">
        <f>'表05-1'!M59-'表30-14-1'!L12-'表30-14-1'!L13</f>
        <v>0</v>
      </c>
      <c r="E42" s="2430">
        <f ca="1">'表30-14'!J14</f>
        <v>0.2427</v>
      </c>
      <c r="F42" s="2429">
        <f ca="1">ROUND(D42*E42,0)</f>
        <v>0</v>
      </c>
      <c r="G42" s="1654"/>
    </row>
    <row r="43" spans="1:7" s="1739" customFormat="1" ht="16.5">
      <c r="A43" s="1749">
        <f t="shared" si="0"/>
        <v>39</v>
      </c>
      <c r="B43" s="2436" t="s">
        <v>7115</v>
      </c>
      <c r="C43" s="2428" t="s">
        <v>6814</v>
      </c>
      <c r="D43" s="2429">
        <f>SUM('表05-1'!G61)</f>
        <v>0</v>
      </c>
      <c r="E43" s="2430">
        <v>1.4E-2</v>
      </c>
      <c r="F43" s="2429">
        <f>ROUND(D43*E43-'表30-9'!F29-'表30-9'!F30-'表30-9'!F31,0)</f>
        <v>0</v>
      </c>
      <c r="G43" s="1654"/>
    </row>
    <row r="44" spans="1:7" s="1739" customFormat="1" ht="16.5">
      <c r="A44" s="1749">
        <f t="shared" si="0"/>
        <v>40</v>
      </c>
      <c r="B44" s="2436" t="s">
        <v>3317</v>
      </c>
      <c r="C44" s="2428" t="s">
        <v>6815</v>
      </c>
      <c r="D44" s="2429">
        <f>SUM('表05-1'!G62)</f>
        <v>0</v>
      </c>
      <c r="E44" s="2430">
        <v>0.28129999999999999</v>
      </c>
      <c r="F44" s="2429">
        <f>ROUND(D44*E44,0)</f>
        <v>0</v>
      </c>
      <c r="G44" s="1654"/>
    </row>
    <row r="45" spans="1:7" s="1739" customFormat="1">
      <c r="A45" s="1749">
        <f t="shared" si="0"/>
        <v>41</v>
      </c>
      <c r="B45" s="2435" t="s">
        <v>7116</v>
      </c>
      <c r="C45" s="2432"/>
      <c r="D45" s="2433">
        <f>SUM(D46:D48)</f>
        <v>0</v>
      </c>
      <c r="E45" s="2434"/>
      <c r="F45" s="2433">
        <f ca="1">SUM(F46:F48)</f>
        <v>0</v>
      </c>
      <c r="G45" s="1654"/>
    </row>
    <row r="46" spans="1:7" s="1739" customFormat="1" ht="33">
      <c r="A46" s="1749">
        <f t="shared" si="0"/>
        <v>42</v>
      </c>
      <c r="B46" s="2436" t="s">
        <v>7117</v>
      </c>
      <c r="C46" s="2428" t="s">
        <v>3376</v>
      </c>
      <c r="D46" s="2429">
        <f>'表05-1'!M22-'表30-14-1'!L14-'表30-14-1'!L15</f>
        <v>0</v>
      </c>
      <c r="E46" s="2430">
        <f ca="1">'表30-14'!J13</f>
        <v>0.2427</v>
      </c>
      <c r="F46" s="2429">
        <f ca="1">ROUND(D46*E46,0)</f>
        <v>0</v>
      </c>
      <c r="G46" s="1654"/>
    </row>
    <row r="47" spans="1:7" s="1739" customFormat="1" ht="33">
      <c r="A47" s="1749">
        <f t="shared" si="0"/>
        <v>43</v>
      </c>
      <c r="B47" s="2436" t="s">
        <v>3318</v>
      </c>
      <c r="C47" s="2428" t="s">
        <v>6816</v>
      </c>
      <c r="D47" s="2429">
        <f>'表05-1'!G23-'表30-14-1'!L17</f>
        <v>0</v>
      </c>
      <c r="E47" s="2430">
        <f>E41</f>
        <v>8.1000000000000003E-2</v>
      </c>
      <c r="F47" s="2429">
        <f>ROUND(D47*E47,0)</f>
        <v>0</v>
      </c>
      <c r="G47" s="1654"/>
    </row>
    <row r="48" spans="1:7" s="1739" customFormat="1" ht="33">
      <c r="A48" s="1749">
        <f t="shared" si="0"/>
        <v>44</v>
      </c>
      <c r="B48" s="2436" t="s">
        <v>6817</v>
      </c>
      <c r="C48" s="2428" t="s">
        <v>6818</v>
      </c>
      <c r="D48" s="2429">
        <f>'表05-1'!G24-'表30-14-1'!L19</f>
        <v>0</v>
      </c>
      <c r="E48" s="2430">
        <v>0.2165</v>
      </c>
      <c r="F48" s="2429">
        <f>ROUND(D48*E48,0)</f>
        <v>0</v>
      </c>
      <c r="G48" s="1654"/>
    </row>
    <row r="49" spans="1:7" s="1739" customFormat="1" ht="33">
      <c r="A49" s="1749">
        <f t="shared" si="0"/>
        <v>45</v>
      </c>
      <c r="B49" s="2445" t="s">
        <v>3420</v>
      </c>
      <c r="C49" s="2428" t="s">
        <v>6819</v>
      </c>
      <c r="D49" s="2429">
        <f>'表05-1'!G25-'表30-14-1'!L21</f>
        <v>0</v>
      </c>
      <c r="E49" s="2430">
        <v>0.30309999999999998</v>
      </c>
      <c r="F49" s="2429">
        <f>ROUND(D49*E49,0)</f>
        <v>0</v>
      </c>
      <c r="G49" s="1654"/>
    </row>
    <row r="50" spans="1:7" s="1739" customFormat="1" ht="16.5">
      <c r="A50" s="1749">
        <f t="shared" si="0"/>
        <v>46</v>
      </c>
      <c r="B50" s="2431" t="s">
        <v>3319</v>
      </c>
      <c r="C50" s="2432"/>
      <c r="D50" s="2433">
        <f>SUM(D51,D62)</f>
        <v>0</v>
      </c>
      <c r="E50" s="2434"/>
      <c r="F50" s="2433">
        <f>SUM(F51,F62)</f>
        <v>0</v>
      </c>
      <c r="G50" s="1654"/>
    </row>
    <row r="51" spans="1:7" s="1739" customFormat="1" ht="16.5">
      <c r="A51" s="1749">
        <f t="shared" si="0"/>
        <v>47</v>
      </c>
      <c r="B51" s="2435" t="s">
        <v>3320</v>
      </c>
      <c r="C51" s="2432"/>
      <c r="D51" s="2433">
        <f>SUM(D52,D55)</f>
        <v>0</v>
      </c>
      <c r="E51" s="2434"/>
      <c r="F51" s="2433">
        <f>SUM(F52,F55)</f>
        <v>0</v>
      </c>
      <c r="G51" s="1654"/>
    </row>
    <row r="52" spans="1:7" s="1739" customFormat="1" ht="16.5">
      <c r="A52" s="1749">
        <f t="shared" si="0"/>
        <v>48</v>
      </c>
      <c r="B52" s="2437" t="s">
        <v>3421</v>
      </c>
      <c r="C52" s="2432"/>
      <c r="D52" s="2433">
        <f>SUM(D53:D54)</f>
        <v>0</v>
      </c>
      <c r="E52" s="2434"/>
      <c r="F52" s="2433">
        <f>SUM(F53:F54)</f>
        <v>0</v>
      </c>
      <c r="G52" s="1654"/>
    </row>
    <row r="53" spans="1:7" s="1739" customFormat="1" ht="66">
      <c r="A53" s="1749">
        <f t="shared" si="0"/>
        <v>49</v>
      </c>
      <c r="B53" s="2439" t="s">
        <v>7118</v>
      </c>
      <c r="C53" s="2428" t="s">
        <v>7119</v>
      </c>
      <c r="D53" s="2429">
        <f>SUM('表13-2'!J7:J8)+'表30-8-3'!F11-'表30-8-4'!D6</f>
        <v>0</v>
      </c>
      <c r="E53" s="2430">
        <v>7.8100000000000003E-2</v>
      </c>
      <c r="F53" s="2429">
        <f>ROUND(D53*E53,0)</f>
        <v>0</v>
      </c>
      <c r="G53" s="1654"/>
    </row>
    <row r="54" spans="1:7" s="1739" customFormat="1" ht="49.5">
      <c r="A54" s="1749">
        <f t="shared" si="0"/>
        <v>50</v>
      </c>
      <c r="B54" s="2439" t="s">
        <v>7120</v>
      </c>
      <c r="C54" s="2428" t="s">
        <v>3321</v>
      </c>
      <c r="D54" s="2429">
        <f>'表30-8-4'!D6</f>
        <v>0</v>
      </c>
      <c r="E54" s="2433"/>
      <c r="F54" s="2429">
        <f>'表30-8-4'!E6</f>
        <v>0</v>
      </c>
      <c r="G54" s="1654"/>
    </row>
    <row r="55" spans="1:7" s="1739" customFormat="1" ht="16.5">
      <c r="A55" s="1749">
        <f t="shared" si="0"/>
        <v>51</v>
      </c>
      <c r="B55" s="2437" t="s">
        <v>7121</v>
      </c>
      <c r="C55" s="2432"/>
      <c r="D55" s="2433">
        <f>SUM(D56,D59)</f>
        <v>0</v>
      </c>
      <c r="E55" s="2434"/>
      <c r="F55" s="2433">
        <f>SUM(F56,F59)</f>
        <v>0</v>
      </c>
      <c r="G55" s="1654"/>
    </row>
    <row r="56" spans="1:7" s="1739" customFormat="1" ht="16.5">
      <c r="A56" s="1749">
        <f t="shared" si="0"/>
        <v>52</v>
      </c>
      <c r="B56" s="2441" t="s">
        <v>7122</v>
      </c>
      <c r="C56" s="2432"/>
      <c r="D56" s="2433">
        <f>SUM(D57:D58)</f>
        <v>0</v>
      </c>
      <c r="E56" s="2433"/>
      <c r="F56" s="2433">
        <f>SUM(F57:F58)</f>
        <v>0</v>
      </c>
      <c r="G56" s="1654"/>
    </row>
    <row r="57" spans="1:7" s="1739" customFormat="1" ht="66">
      <c r="A57" s="1749">
        <f t="shared" si="0"/>
        <v>53</v>
      </c>
      <c r="B57" s="2442" t="s">
        <v>3422</v>
      </c>
      <c r="C57" s="2428" t="s">
        <v>3322</v>
      </c>
      <c r="D57" s="2429">
        <f>'表13-2'!J9+'表30-8-3'!F12-'表30-8-4'!D7</f>
        <v>0</v>
      </c>
      <c r="E57" s="2430">
        <v>8.8300000000000003E-2</v>
      </c>
      <c r="F57" s="2429">
        <f>ROUND(D57*E57,0)</f>
        <v>0</v>
      </c>
      <c r="G57" s="1654"/>
    </row>
    <row r="58" spans="1:7" s="1739" customFormat="1" ht="49.5">
      <c r="A58" s="1749">
        <f t="shared" si="0"/>
        <v>54</v>
      </c>
      <c r="B58" s="2442" t="s">
        <v>6820</v>
      </c>
      <c r="C58" s="2428" t="s">
        <v>3323</v>
      </c>
      <c r="D58" s="2429">
        <f>'表30-8-4'!D7</f>
        <v>0</v>
      </c>
      <c r="E58" s="2433"/>
      <c r="F58" s="2429">
        <f>'表30-8-4'!E7</f>
        <v>0</v>
      </c>
      <c r="G58" s="1654"/>
    </row>
    <row r="59" spans="1:7" s="1739" customFormat="1" ht="16.5">
      <c r="A59" s="1749">
        <f t="shared" si="0"/>
        <v>55</v>
      </c>
      <c r="B59" s="2441" t="s">
        <v>3423</v>
      </c>
      <c r="C59" s="2432"/>
      <c r="D59" s="2433">
        <f>SUM(D60:D61)</f>
        <v>0</v>
      </c>
      <c r="E59" s="2433"/>
      <c r="F59" s="2433">
        <f>SUM(F60:F61)</f>
        <v>0</v>
      </c>
      <c r="G59" s="1654"/>
    </row>
    <row r="60" spans="1:7" s="1739" customFormat="1" ht="66">
      <c r="A60" s="1749">
        <f t="shared" si="0"/>
        <v>56</v>
      </c>
      <c r="B60" s="2442" t="s">
        <v>7123</v>
      </c>
      <c r="C60" s="2428" t="s">
        <v>3324</v>
      </c>
      <c r="D60" s="2429">
        <f>'表13-2'!J10+'表30-8-3'!F13-'表30-8-4'!D8</f>
        <v>0</v>
      </c>
      <c r="E60" s="2430">
        <v>3.5299999999999998E-2</v>
      </c>
      <c r="F60" s="2429">
        <f>ROUND(D60*E60,0)</f>
        <v>0</v>
      </c>
      <c r="G60" s="1654"/>
    </row>
    <row r="61" spans="1:7" s="1739" customFormat="1" ht="49.5">
      <c r="A61" s="1749">
        <f t="shared" si="0"/>
        <v>57</v>
      </c>
      <c r="B61" s="2442" t="s">
        <v>7124</v>
      </c>
      <c r="C61" s="2428" t="s">
        <v>7125</v>
      </c>
      <c r="D61" s="2429">
        <f>'表30-8-4'!D8</f>
        <v>0</v>
      </c>
      <c r="E61" s="2433"/>
      <c r="F61" s="2429">
        <f>'表30-8-4'!E8</f>
        <v>0</v>
      </c>
      <c r="G61" s="1654"/>
    </row>
    <row r="62" spans="1:7" s="1739" customFormat="1" ht="16.5">
      <c r="A62" s="1749">
        <f t="shared" si="0"/>
        <v>58</v>
      </c>
      <c r="B62" s="2445" t="s">
        <v>7126</v>
      </c>
      <c r="C62" s="2428" t="s">
        <v>3377</v>
      </c>
      <c r="D62" s="2429">
        <f>'表13-2'!J6</f>
        <v>0</v>
      </c>
      <c r="E62" s="2430">
        <v>7.8100000000000003E-2</v>
      </c>
      <c r="F62" s="2429">
        <f>ROUND(D62*E62,0)</f>
        <v>0</v>
      </c>
      <c r="G62" s="1654"/>
    </row>
    <row r="63" spans="1:7" s="1739" customFormat="1" ht="16.5">
      <c r="A63" s="1749">
        <f t="shared" si="0"/>
        <v>59</v>
      </c>
      <c r="B63" s="2431" t="s">
        <v>3325</v>
      </c>
      <c r="C63" s="2432"/>
      <c r="D63" s="2433">
        <f>SUM(D64)</f>
        <v>0</v>
      </c>
      <c r="E63" s="2434"/>
      <c r="F63" s="2433">
        <f>SUM(F64)</f>
        <v>0</v>
      </c>
      <c r="G63" s="1654"/>
    </row>
    <row r="64" spans="1:7" s="1739" customFormat="1" ht="16.5">
      <c r="A64" s="1749">
        <f t="shared" si="0"/>
        <v>60</v>
      </c>
      <c r="B64" s="2435" t="s">
        <v>3326</v>
      </c>
      <c r="C64" s="2432"/>
      <c r="D64" s="2433">
        <f>SUM(D65:D68)</f>
        <v>0</v>
      </c>
      <c r="E64" s="2434"/>
      <c r="F64" s="2433">
        <f>SUM(F65:F68)</f>
        <v>0</v>
      </c>
      <c r="G64" s="1654"/>
    </row>
    <row r="65" spans="1:8" s="1739" customFormat="1" ht="16.5">
      <c r="A65" s="1749">
        <f t="shared" si="0"/>
        <v>61</v>
      </c>
      <c r="B65" s="2436" t="s">
        <v>3327</v>
      </c>
      <c r="C65" s="2428" t="s">
        <v>6821</v>
      </c>
      <c r="D65" s="2429">
        <f>SUM('表05-1'!G102,'表05-1'!G208)</f>
        <v>0</v>
      </c>
      <c r="E65" s="2430">
        <v>7.1999999999999998E-3</v>
      </c>
      <c r="F65" s="2429">
        <f>ROUND(D65*E65,0)</f>
        <v>0</v>
      </c>
      <c r="G65" s="1654"/>
    </row>
    <row r="66" spans="1:8" s="1739" customFormat="1" ht="16.5">
      <c r="A66" s="1749">
        <f t="shared" si="0"/>
        <v>62</v>
      </c>
      <c r="B66" s="2436" t="s">
        <v>3328</v>
      </c>
      <c r="C66" s="2428" t="s">
        <v>6822</v>
      </c>
      <c r="D66" s="2429">
        <f>SUM('表05-1'!G103,'表05-1'!G209)</f>
        <v>0</v>
      </c>
      <c r="E66" s="2430">
        <v>1.0800000000000001E-2</v>
      </c>
      <c r="F66" s="2429">
        <f>ROUND(D66*E66,0)</f>
        <v>0</v>
      </c>
      <c r="G66" s="1654"/>
    </row>
    <row r="67" spans="1:8" s="1739" customFormat="1" ht="16.5">
      <c r="A67" s="1749">
        <f t="shared" si="0"/>
        <v>63</v>
      </c>
      <c r="B67" s="2436" t="s">
        <v>7127</v>
      </c>
      <c r="C67" s="2428" t="s">
        <v>6823</v>
      </c>
      <c r="D67" s="2429">
        <f>SUM('表05-1'!G104,'表05-1'!G210)</f>
        <v>0</v>
      </c>
      <c r="E67" s="2430">
        <v>3.9600000000000003E-2</v>
      </c>
      <c r="F67" s="2429">
        <f>ROUND(D67*E67,0)</f>
        <v>0</v>
      </c>
      <c r="G67" s="1654"/>
    </row>
    <row r="68" spans="1:8" s="1739" customFormat="1" ht="16.5">
      <c r="A68" s="1749">
        <f t="shared" si="0"/>
        <v>64</v>
      </c>
      <c r="B68" s="2436" t="s">
        <v>7128</v>
      </c>
      <c r="C68" s="2428" t="s">
        <v>6824</v>
      </c>
      <c r="D68" s="2429">
        <f>SUM('表05-1'!G105,'表05-1'!G211)</f>
        <v>0</v>
      </c>
      <c r="E68" s="2430">
        <v>4.7999999999999996E-3</v>
      </c>
      <c r="F68" s="2429">
        <f>ROUND(D68*E68,0)</f>
        <v>0</v>
      </c>
      <c r="G68" s="1654"/>
    </row>
    <row r="69" spans="1:8" s="1739" customFormat="1" ht="16.5">
      <c r="A69" s="1749">
        <f t="shared" si="0"/>
        <v>65</v>
      </c>
      <c r="B69" s="2431" t="s">
        <v>3329</v>
      </c>
      <c r="C69" s="2432"/>
      <c r="D69" s="2433">
        <f>SUM(D70,D74)</f>
        <v>0</v>
      </c>
      <c r="E69" s="2434"/>
      <c r="F69" s="2433">
        <f>SUM(F70,F74)</f>
        <v>0</v>
      </c>
      <c r="G69" s="1654"/>
    </row>
    <row r="70" spans="1:8" s="1739" customFormat="1" ht="16.5">
      <c r="A70" s="1749">
        <f t="shared" si="0"/>
        <v>66</v>
      </c>
      <c r="B70" s="2435" t="s">
        <v>3424</v>
      </c>
      <c r="C70" s="2432"/>
      <c r="D70" s="2433">
        <f>SUM(D71:D73)</f>
        <v>0</v>
      </c>
      <c r="E70" s="2434"/>
      <c r="F70" s="2433">
        <f>SUM(F71:F73)</f>
        <v>0</v>
      </c>
      <c r="G70" s="1654"/>
    </row>
    <row r="71" spans="1:8" s="1739" customFormat="1" ht="16.5">
      <c r="A71" s="1749">
        <f t="shared" ref="A71:A134" si="1">A70+1</f>
        <v>67</v>
      </c>
      <c r="B71" s="2436" t="s">
        <v>3330</v>
      </c>
      <c r="C71" s="2428" t="s">
        <v>6825</v>
      </c>
      <c r="D71" s="2429">
        <f>SUM('表05-1'!G204)</f>
        <v>0</v>
      </c>
      <c r="E71" s="2430">
        <v>1.2800000000000001E-2</v>
      </c>
      <c r="F71" s="2429">
        <f>ROUND(D71*E71,0)</f>
        <v>0</v>
      </c>
      <c r="G71" s="1654"/>
    </row>
    <row r="72" spans="1:8" s="1739" customFormat="1" ht="33">
      <c r="A72" s="1749">
        <f t="shared" si="1"/>
        <v>68</v>
      </c>
      <c r="B72" s="2436" t="s">
        <v>7129</v>
      </c>
      <c r="C72" s="2428" t="s">
        <v>7130</v>
      </c>
      <c r="D72" s="2429">
        <f>'表10-3'!H25+'表10-3'!G25+'表10-4'!F20</f>
        <v>0</v>
      </c>
      <c r="E72" s="2430">
        <v>0.33750000000000002</v>
      </c>
      <c r="F72" s="2429">
        <f>ROUND(D72*E72,0)</f>
        <v>0</v>
      </c>
      <c r="G72" s="1654"/>
    </row>
    <row r="73" spans="1:8" s="1739" customFormat="1" ht="16.5">
      <c r="A73" s="1749">
        <f t="shared" si="1"/>
        <v>69</v>
      </c>
      <c r="B73" s="2436" t="s">
        <v>3331</v>
      </c>
      <c r="C73" s="2428" t="s">
        <v>7131</v>
      </c>
      <c r="D73" s="2429">
        <f>'表05-1'!G212</f>
        <v>0</v>
      </c>
      <c r="E73" s="2430">
        <v>3.1899999999999998E-2</v>
      </c>
      <c r="F73" s="2429">
        <f>ROUND(D73*E73,0)</f>
        <v>0</v>
      </c>
    </row>
    <row r="74" spans="1:8" s="1739" customFormat="1" ht="16.5">
      <c r="A74" s="1749">
        <f t="shared" si="1"/>
        <v>70</v>
      </c>
      <c r="B74" s="2435" t="s">
        <v>7132</v>
      </c>
      <c r="C74" s="2432"/>
      <c r="D74" s="2433">
        <f>SUM(D75:D76,D79)</f>
        <v>0</v>
      </c>
      <c r="E74" s="2446"/>
      <c r="F74" s="2433">
        <f>SUM(F75:F76,F79)</f>
        <v>0</v>
      </c>
      <c r="G74" s="1654"/>
    </row>
    <row r="75" spans="1:8" s="1739" customFormat="1" ht="16.5">
      <c r="A75" s="1749">
        <f t="shared" si="1"/>
        <v>71</v>
      </c>
      <c r="B75" s="2436" t="s">
        <v>3332</v>
      </c>
      <c r="C75" s="2428" t="s">
        <v>6826</v>
      </c>
      <c r="D75" s="2429">
        <f>SUM('表05-1'!G240)</f>
        <v>0</v>
      </c>
      <c r="E75" s="2430">
        <v>3.1899999999999998E-2</v>
      </c>
      <c r="F75" s="2429">
        <f>ROUND(D75*E75,0)</f>
        <v>0</v>
      </c>
      <c r="G75" s="1654"/>
    </row>
    <row r="76" spans="1:8" s="1739" customFormat="1" ht="16.5">
      <c r="A76" s="2369">
        <f t="shared" si="1"/>
        <v>72</v>
      </c>
      <c r="B76" s="2437" t="s">
        <v>3425</v>
      </c>
      <c r="C76" s="2432"/>
      <c r="D76" s="2433">
        <f>D77+D78</f>
        <v>0</v>
      </c>
      <c r="E76" s="2434"/>
      <c r="F76" s="2433">
        <f>F77+F78</f>
        <v>0</v>
      </c>
      <c r="H76" s="1654"/>
    </row>
    <row r="77" spans="1:8" s="1739" customFormat="1" ht="33">
      <c r="A77" s="2369">
        <f t="shared" si="1"/>
        <v>73</v>
      </c>
      <c r="B77" s="2439" t="s">
        <v>3426</v>
      </c>
      <c r="C77" s="2428" t="s">
        <v>3333</v>
      </c>
      <c r="D77" s="2429">
        <f>'表30-3-3'!F27</f>
        <v>0</v>
      </c>
      <c r="E77" s="2434"/>
      <c r="F77" s="2429">
        <f>'表30-3-3'!L27</f>
        <v>0</v>
      </c>
      <c r="H77" s="1654"/>
    </row>
    <row r="78" spans="1:8" s="1739" customFormat="1" ht="33">
      <c r="A78" s="2369">
        <f t="shared" si="1"/>
        <v>74</v>
      </c>
      <c r="B78" s="2439" t="s">
        <v>3334</v>
      </c>
      <c r="C78" s="2428" t="s">
        <v>7133</v>
      </c>
      <c r="D78" s="2429">
        <f>'表30-3-3'!F49</f>
        <v>0</v>
      </c>
      <c r="E78" s="2434"/>
      <c r="F78" s="2429">
        <f>'表30-3-3'!L49</f>
        <v>0</v>
      </c>
      <c r="H78" s="1654"/>
    </row>
    <row r="79" spans="1:8" s="1739" customFormat="1" ht="33">
      <c r="A79" s="1749">
        <f t="shared" si="1"/>
        <v>75</v>
      </c>
      <c r="B79" s="2436" t="s">
        <v>3335</v>
      </c>
      <c r="C79" s="2428" t="s">
        <v>6827</v>
      </c>
      <c r="D79" s="2429">
        <f>SUM('表05-1'!G26,'表05-1'!G60,'表05-1'!G63,'表05-1'!G213,'表05-1'!G242)-'表10-4'!G34</f>
        <v>0</v>
      </c>
      <c r="E79" s="2430">
        <v>3.1899999999999998E-2</v>
      </c>
      <c r="F79" s="2429">
        <f>ROUND(D79*E79,0)</f>
        <v>0</v>
      </c>
      <c r="G79" s="1654"/>
    </row>
    <row r="80" spans="1:8" s="1739" customFormat="1" ht="16.5">
      <c r="A80" s="1749">
        <f t="shared" si="1"/>
        <v>76</v>
      </c>
      <c r="B80" s="2427" t="s">
        <v>3336</v>
      </c>
      <c r="C80" s="2428"/>
      <c r="D80" s="2429">
        <f ca="1">SUM(F7,F50,F63)-F9</f>
        <v>0</v>
      </c>
      <c r="E80" s="2430">
        <f>'表30-10'!E12</f>
        <v>1</v>
      </c>
      <c r="F80" s="2429">
        <f ca="1">ROUND(D80*E80,0)</f>
        <v>0</v>
      </c>
      <c r="G80" s="1654"/>
    </row>
    <row r="81" spans="1:16" ht="16.5">
      <c r="A81" s="1749">
        <f t="shared" si="1"/>
        <v>77</v>
      </c>
      <c r="B81" s="2446" t="s">
        <v>3337</v>
      </c>
      <c r="C81" s="2432"/>
      <c r="D81" s="2433">
        <f>SUM(D82,D122)</f>
        <v>0</v>
      </c>
      <c r="E81" s="2434"/>
      <c r="F81" s="2433">
        <f ca="1">SUM(F82,F122,F161)</f>
        <v>0</v>
      </c>
      <c r="N81" s="1739"/>
      <c r="O81" s="1739"/>
      <c r="P81" s="1739"/>
    </row>
    <row r="82" spans="1:16" ht="16.5">
      <c r="A82" s="1749">
        <f t="shared" si="1"/>
        <v>78</v>
      </c>
      <c r="B82" s="2431" t="s">
        <v>3338</v>
      </c>
      <c r="C82" s="2432"/>
      <c r="D82" s="2433">
        <f>SUM(D83:D84,D91,D96,D105,D108,D111:D116,D119)</f>
        <v>0</v>
      </c>
      <c r="E82" s="2433"/>
      <c r="F82" s="2433">
        <f ca="1">SUM(F83,F84,F91,F96,F105,F108,F111:F116,F119)</f>
        <v>0</v>
      </c>
      <c r="N82" s="1739"/>
      <c r="O82" s="1739"/>
      <c r="P82" s="1739"/>
    </row>
    <row r="83" spans="1:16" ht="16.5">
      <c r="A83" s="1749">
        <f t="shared" si="1"/>
        <v>79</v>
      </c>
      <c r="B83" s="2445" t="s">
        <v>3339</v>
      </c>
      <c r="C83" s="2428" t="s">
        <v>7134</v>
      </c>
      <c r="D83" s="2429">
        <f>SUM('表05-1'!G112)</f>
        <v>0</v>
      </c>
      <c r="E83" s="2430">
        <v>0</v>
      </c>
      <c r="F83" s="2429">
        <f>ROUND(D83*E83,0)</f>
        <v>0</v>
      </c>
      <c r="N83" s="1739"/>
      <c r="O83" s="1739"/>
      <c r="P83" s="1739"/>
    </row>
    <row r="84" spans="1:16" ht="16.5">
      <c r="A84" s="1749">
        <f t="shared" si="1"/>
        <v>80</v>
      </c>
      <c r="B84" s="2435" t="s">
        <v>7135</v>
      </c>
      <c r="C84" s="2432"/>
      <c r="D84" s="2433">
        <f>SUM(D85:D86,D87:D88)</f>
        <v>0</v>
      </c>
      <c r="E84" s="2434"/>
      <c r="F84" s="2433">
        <f>SUM(F85:F86,F87:F88)</f>
        <v>0</v>
      </c>
      <c r="N84" s="1739"/>
      <c r="O84" s="1739"/>
      <c r="P84" s="1739"/>
    </row>
    <row r="85" spans="1:16" ht="33">
      <c r="A85" s="1749">
        <f t="shared" si="1"/>
        <v>81</v>
      </c>
      <c r="B85" s="2436" t="s">
        <v>3340</v>
      </c>
      <c r="C85" s="2428" t="s">
        <v>3341</v>
      </c>
      <c r="D85" s="2429">
        <f>SUM('表30-3-2'!D27)</f>
        <v>0</v>
      </c>
      <c r="E85" s="2447"/>
      <c r="F85" s="2429">
        <f>SUM('表30-3-2'!G27)</f>
        <v>0</v>
      </c>
      <c r="N85" s="1739"/>
      <c r="O85" s="1739"/>
      <c r="P85" s="1739"/>
    </row>
    <row r="86" spans="1:16" ht="33">
      <c r="A86" s="1749">
        <f t="shared" si="1"/>
        <v>82</v>
      </c>
      <c r="B86" s="2436" t="s">
        <v>7136</v>
      </c>
      <c r="C86" s="2428" t="s">
        <v>3342</v>
      </c>
      <c r="D86" s="2429">
        <f>'表30-3-2'!D49</f>
        <v>0</v>
      </c>
      <c r="E86" s="2434"/>
      <c r="F86" s="2429">
        <f>SUM('表30-3-2'!G49)</f>
        <v>0</v>
      </c>
      <c r="O86" s="1739"/>
      <c r="P86" s="1739"/>
    </row>
    <row r="87" spans="1:16" ht="48.75">
      <c r="A87" s="1749">
        <f t="shared" si="1"/>
        <v>83</v>
      </c>
      <c r="B87" s="2436" t="s">
        <v>7137</v>
      </c>
      <c r="C87" s="2428" t="s">
        <v>3378</v>
      </c>
      <c r="D87" s="2429">
        <f>SUM('表30-3-2'!D71)</f>
        <v>0</v>
      </c>
      <c r="E87" s="2448"/>
      <c r="F87" s="2429">
        <f>SUM('表30-3-2'!G71)</f>
        <v>0</v>
      </c>
    </row>
    <row r="88" spans="1:16" ht="16.5">
      <c r="A88" s="1749">
        <f t="shared" si="1"/>
        <v>84</v>
      </c>
      <c r="B88" s="2437" t="s">
        <v>3343</v>
      </c>
      <c r="C88" s="2438"/>
      <c r="D88" s="2433">
        <f>SUM(D89:D90)</f>
        <v>0</v>
      </c>
      <c r="E88" s="2447"/>
      <c r="F88" s="2433">
        <f>SUM(F89:F90)</f>
        <v>0</v>
      </c>
      <c r="N88" s="1739"/>
      <c r="O88" s="1739"/>
      <c r="P88" s="1739"/>
    </row>
    <row r="89" spans="1:16" ht="33">
      <c r="A89" s="1749">
        <f t="shared" si="1"/>
        <v>85</v>
      </c>
      <c r="B89" s="2439" t="s">
        <v>3344</v>
      </c>
      <c r="C89" s="2428" t="s">
        <v>3345</v>
      </c>
      <c r="D89" s="2429">
        <f>SUM('表30-3-2'!D93)</f>
        <v>0</v>
      </c>
      <c r="E89" s="2434"/>
      <c r="F89" s="2429">
        <f>SUM('表30-3-2'!G93)</f>
        <v>0</v>
      </c>
      <c r="N89" s="1739"/>
      <c r="O89" s="1739"/>
      <c r="P89" s="1739"/>
    </row>
    <row r="90" spans="1:16" ht="16.5">
      <c r="A90" s="1749">
        <f t="shared" si="1"/>
        <v>86</v>
      </c>
      <c r="B90" s="2439" t="s">
        <v>3346</v>
      </c>
      <c r="C90" s="2428" t="s">
        <v>6828</v>
      </c>
      <c r="D90" s="2429">
        <f>SUM('表05-1'!G120)</f>
        <v>0</v>
      </c>
      <c r="E90" s="2430">
        <v>0.3</v>
      </c>
      <c r="F90" s="2429">
        <f>ROUND(D90*E90,0)</f>
        <v>0</v>
      </c>
      <c r="N90" s="1739"/>
      <c r="O90" s="1739"/>
      <c r="P90" s="1739"/>
    </row>
    <row r="91" spans="1:16" ht="16.5">
      <c r="A91" s="1749">
        <f t="shared" si="1"/>
        <v>87</v>
      </c>
      <c r="B91" s="2435" t="s">
        <v>3427</v>
      </c>
      <c r="C91" s="2438"/>
      <c r="D91" s="2433">
        <f>SUM(D92:D93)</f>
        <v>0</v>
      </c>
      <c r="E91" s="2434"/>
      <c r="F91" s="2433">
        <f ca="1">SUM(F92:F93)</f>
        <v>0</v>
      </c>
      <c r="N91" s="1739"/>
      <c r="O91" s="1739"/>
      <c r="P91" s="1739"/>
    </row>
    <row r="92" spans="1:16" ht="33">
      <c r="A92" s="1749">
        <f t="shared" si="1"/>
        <v>88</v>
      </c>
      <c r="B92" s="2436" t="s">
        <v>3428</v>
      </c>
      <c r="C92" s="2428" t="s">
        <v>6829</v>
      </c>
      <c r="D92" s="2429">
        <f>SUM('表10-4'!G40,'表10-4'!F41,'表10-4'!G35)</f>
        <v>0</v>
      </c>
      <c r="E92" s="2430">
        <f ca="1">'表30-14'!E16</f>
        <v>0.20199999999999999</v>
      </c>
      <c r="F92" s="2429">
        <f ca="1">ROUND(D92*E92,0)</f>
        <v>0</v>
      </c>
      <c r="N92" s="1739"/>
      <c r="O92" s="1739"/>
      <c r="P92" s="1739"/>
    </row>
    <row r="93" spans="1:16" ht="16.5">
      <c r="A93" s="1749">
        <f t="shared" si="1"/>
        <v>89</v>
      </c>
      <c r="B93" s="2437" t="s">
        <v>3347</v>
      </c>
      <c r="C93" s="2438"/>
      <c r="D93" s="2433">
        <f>SUM(D94:D95)</f>
        <v>0</v>
      </c>
      <c r="E93" s="2434"/>
      <c r="F93" s="2433">
        <f ca="1">SUM(F94:F95)</f>
        <v>0</v>
      </c>
      <c r="N93" s="1739"/>
      <c r="O93" s="1739"/>
      <c r="P93" s="1739"/>
    </row>
    <row r="94" spans="1:16" ht="33">
      <c r="A94" s="1749">
        <f t="shared" si="1"/>
        <v>90</v>
      </c>
      <c r="B94" s="2439" t="s">
        <v>3348</v>
      </c>
      <c r="C94" s="2428" t="s">
        <v>3349</v>
      </c>
      <c r="D94" s="2429">
        <f>SUM('表30-3-2'!D115)</f>
        <v>0</v>
      </c>
      <c r="E94" s="2434"/>
      <c r="F94" s="2429">
        <f>SUM('表30-3-2'!G115)</f>
        <v>0</v>
      </c>
      <c r="N94" s="1739"/>
      <c r="O94" s="1739"/>
      <c r="P94" s="1739"/>
    </row>
    <row r="95" spans="1:16" ht="33">
      <c r="A95" s="1749">
        <f t="shared" si="1"/>
        <v>91</v>
      </c>
      <c r="B95" s="2439" t="s">
        <v>7138</v>
      </c>
      <c r="C95" s="2428" t="s">
        <v>6830</v>
      </c>
      <c r="D95" s="2429">
        <f>SUM('表10-4'!G45,'表10-4'!F46)</f>
        <v>0</v>
      </c>
      <c r="E95" s="2430">
        <f ca="1">'表30-14'!E17</f>
        <v>0.20199999999999999</v>
      </c>
      <c r="F95" s="2429">
        <f ca="1">ROUND(D95*E95,0)</f>
        <v>0</v>
      </c>
      <c r="N95" s="1739"/>
      <c r="O95" s="1739"/>
      <c r="P95" s="1739"/>
    </row>
    <row r="96" spans="1:16" ht="16.5">
      <c r="A96" s="1749">
        <f t="shared" si="1"/>
        <v>92</v>
      </c>
      <c r="B96" s="2435" t="s">
        <v>3350</v>
      </c>
      <c r="C96" s="2438"/>
      <c r="D96" s="2433">
        <f>D97+D98+D99+D100+D101+D102+D103+D104</f>
        <v>0</v>
      </c>
      <c r="E96" s="2434"/>
      <c r="F96" s="2433">
        <f ca="1">F97+F98+F99+F100+F101+F102+F103+F104</f>
        <v>0</v>
      </c>
      <c r="N96" s="1739"/>
      <c r="O96" s="1739"/>
      <c r="P96" s="1739"/>
    </row>
    <row r="97" spans="1:16" ht="49.5">
      <c r="A97" s="2369">
        <f t="shared" si="1"/>
        <v>93</v>
      </c>
      <c r="B97" s="2436" t="s">
        <v>3351</v>
      </c>
      <c r="C97" s="2428" t="s">
        <v>7139</v>
      </c>
      <c r="D97" s="2429">
        <f>'表12-2'!G55+'表30-14-1'!L8</f>
        <v>0</v>
      </c>
      <c r="E97" s="2430">
        <f ca="1">'表30-14'!E19</f>
        <v>0.20199999999999999</v>
      </c>
      <c r="F97" s="2429">
        <f t="shared" ref="F97:F104" ca="1" si="2">ROUND(D97*E97,0)</f>
        <v>0</v>
      </c>
      <c r="N97" s="1739"/>
      <c r="O97" s="1739"/>
      <c r="P97" s="1739"/>
    </row>
    <row r="98" spans="1:16" ht="49.5">
      <c r="A98" s="2369">
        <f t="shared" si="1"/>
        <v>94</v>
      </c>
      <c r="B98" s="2436" t="s">
        <v>7140</v>
      </c>
      <c r="C98" s="2428" t="s">
        <v>7141</v>
      </c>
      <c r="D98" s="2429">
        <f>'表12-2'!D56+'表30-14-1'!L10</f>
        <v>0</v>
      </c>
      <c r="E98" s="2430">
        <v>6.3299999999999995E-2</v>
      </c>
      <c r="F98" s="2429">
        <f t="shared" si="2"/>
        <v>0</v>
      </c>
      <c r="N98" s="1739"/>
      <c r="O98" s="1739"/>
      <c r="P98" s="1739"/>
    </row>
    <row r="99" spans="1:16" ht="49.5">
      <c r="A99" s="2369">
        <f t="shared" si="1"/>
        <v>95</v>
      </c>
      <c r="B99" s="2436" t="s">
        <v>7258</v>
      </c>
      <c r="C99" s="2428" t="s">
        <v>7259</v>
      </c>
      <c r="D99" s="2429">
        <f>'表12-2'!G57+'表30-14-1'!L12</f>
        <v>0</v>
      </c>
      <c r="E99" s="2430">
        <f ca="1">'表30-14'!E20</f>
        <v>0.20199999999999999</v>
      </c>
      <c r="F99" s="2429">
        <f t="shared" ca="1" si="2"/>
        <v>0</v>
      </c>
      <c r="N99" s="1739"/>
      <c r="O99" s="1739"/>
      <c r="P99" s="1739"/>
    </row>
    <row r="100" spans="1:16" ht="16.5">
      <c r="A100" s="2369">
        <f t="shared" si="1"/>
        <v>96</v>
      </c>
      <c r="B100" s="2436" t="s">
        <v>7142</v>
      </c>
      <c r="C100" s="2428" t="s">
        <v>7143</v>
      </c>
      <c r="D100" s="2429">
        <f>'表12-2'!D58</f>
        <v>0</v>
      </c>
      <c r="E100" s="2430">
        <v>1.09E-2</v>
      </c>
      <c r="F100" s="2429">
        <f t="shared" si="2"/>
        <v>0</v>
      </c>
      <c r="N100" s="1739"/>
      <c r="O100" s="1739"/>
      <c r="P100" s="1739"/>
    </row>
    <row r="101" spans="1:16" ht="16.5">
      <c r="A101" s="1749">
        <f t="shared" si="1"/>
        <v>97</v>
      </c>
      <c r="B101" s="2436" t="s">
        <v>7144</v>
      </c>
      <c r="C101" s="2428" t="s">
        <v>7145</v>
      </c>
      <c r="D101" s="2429">
        <f>'表12-2'!D59</f>
        <v>0</v>
      </c>
      <c r="E101" s="2430">
        <v>0.28129999999999999</v>
      </c>
      <c r="F101" s="2429">
        <f>ROUND(D101*E101,0)</f>
        <v>0</v>
      </c>
      <c r="N101" s="1739"/>
      <c r="O101" s="1739"/>
      <c r="P101" s="1739"/>
    </row>
    <row r="102" spans="1:16" ht="16.5">
      <c r="A102" s="1749">
        <f t="shared" si="1"/>
        <v>98</v>
      </c>
      <c r="B102" s="2436" t="s">
        <v>7146</v>
      </c>
      <c r="C102" s="2428" t="s">
        <v>7147</v>
      </c>
      <c r="D102" s="2429">
        <f>'表12-2'!D60</f>
        <v>0</v>
      </c>
      <c r="E102" s="2430">
        <v>0.28129999999999999</v>
      </c>
      <c r="F102" s="2429">
        <f>ROUND(D102*E102,0)</f>
        <v>0</v>
      </c>
      <c r="N102" s="1739"/>
      <c r="O102" s="1739"/>
      <c r="P102" s="1739"/>
    </row>
    <row r="103" spans="1:16" ht="16.5">
      <c r="A103" s="1749">
        <f t="shared" si="1"/>
        <v>99</v>
      </c>
      <c r="B103" s="2436" t="s">
        <v>7148</v>
      </c>
      <c r="C103" s="2428" t="s">
        <v>7149</v>
      </c>
      <c r="D103" s="2429">
        <f>'表12-2'!D61</f>
        <v>0</v>
      </c>
      <c r="E103" s="2430">
        <v>0.28129999999999999</v>
      </c>
      <c r="F103" s="2429">
        <f>ROUND(D103*E103,0)</f>
        <v>0</v>
      </c>
      <c r="N103" s="1739"/>
      <c r="O103" s="1739"/>
      <c r="P103" s="1739"/>
    </row>
    <row r="104" spans="1:16" ht="16.5">
      <c r="A104" s="1749">
        <f t="shared" si="1"/>
        <v>100</v>
      </c>
      <c r="B104" s="2436" t="s">
        <v>7150</v>
      </c>
      <c r="C104" s="2428" t="s">
        <v>7151</v>
      </c>
      <c r="D104" s="2429">
        <f>'表05-1'!G138</f>
        <v>0</v>
      </c>
      <c r="E104" s="2430">
        <v>0.1018</v>
      </c>
      <c r="F104" s="2429">
        <f t="shared" si="2"/>
        <v>0</v>
      </c>
      <c r="N104" s="1739"/>
      <c r="O104" s="1739"/>
      <c r="P104" s="1739"/>
    </row>
    <row r="105" spans="1:16" ht="16.5">
      <c r="A105" s="1749">
        <f t="shared" si="1"/>
        <v>101</v>
      </c>
      <c r="B105" s="2435" t="s">
        <v>3352</v>
      </c>
      <c r="C105" s="2438"/>
      <c r="D105" s="2433">
        <f>SUM(D106:D107)</f>
        <v>0</v>
      </c>
      <c r="E105" s="2447"/>
      <c r="F105" s="2433">
        <f>SUM(F106:F107)</f>
        <v>0</v>
      </c>
      <c r="N105" s="1739"/>
      <c r="O105" s="1739"/>
      <c r="P105" s="1739"/>
    </row>
    <row r="106" spans="1:16" ht="16.5">
      <c r="A106" s="1749">
        <f t="shared" si="1"/>
        <v>102</v>
      </c>
      <c r="B106" s="2436" t="s">
        <v>3353</v>
      </c>
      <c r="C106" s="2428" t="s">
        <v>6831</v>
      </c>
      <c r="D106" s="2429">
        <f>SUM('表05-1'!G128)</f>
        <v>0</v>
      </c>
      <c r="E106" s="2430">
        <v>0</v>
      </c>
      <c r="F106" s="2429">
        <f>ROUND(D106*E106,0)</f>
        <v>0</v>
      </c>
      <c r="H106" s="1739"/>
      <c r="I106" s="1739"/>
      <c r="J106" s="1739"/>
      <c r="K106" s="1739"/>
      <c r="L106" s="1739"/>
      <c r="M106" s="1739"/>
      <c r="N106" s="1739"/>
      <c r="O106" s="1739"/>
      <c r="P106" s="1739"/>
    </row>
    <row r="107" spans="1:16" ht="16.5">
      <c r="A107" s="1749">
        <f t="shared" si="1"/>
        <v>103</v>
      </c>
      <c r="B107" s="2436" t="s">
        <v>7152</v>
      </c>
      <c r="C107" s="2428" t="s">
        <v>6832</v>
      </c>
      <c r="D107" s="2429">
        <f>SUM('表05-1'!G129)</f>
        <v>0</v>
      </c>
      <c r="E107" s="2430">
        <v>0.25750000000000001</v>
      </c>
      <c r="F107" s="2429">
        <f>ROUND(D107*E107,0)</f>
        <v>0</v>
      </c>
      <c r="H107" s="1739"/>
      <c r="I107" s="1739"/>
      <c r="J107" s="1739"/>
      <c r="K107" s="1739"/>
      <c r="L107" s="1739"/>
      <c r="M107" s="1739"/>
      <c r="N107" s="1739"/>
      <c r="O107" s="1739"/>
      <c r="P107" s="1739"/>
    </row>
    <row r="108" spans="1:16" ht="16.5">
      <c r="A108" s="1749">
        <f t="shared" si="1"/>
        <v>104</v>
      </c>
      <c r="B108" s="2435" t="s">
        <v>3379</v>
      </c>
      <c r="C108" s="2432"/>
      <c r="D108" s="2433">
        <f>SUM(D109:D110)</f>
        <v>0</v>
      </c>
      <c r="E108" s="2434"/>
      <c r="F108" s="2433">
        <f>SUM(F109:F110)</f>
        <v>0</v>
      </c>
      <c r="H108" s="1739"/>
      <c r="I108" s="1739"/>
      <c r="J108" s="1739"/>
      <c r="K108" s="1739"/>
      <c r="L108" s="1739"/>
      <c r="M108" s="1739"/>
      <c r="N108" s="1739"/>
      <c r="O108" s="1739"/>
      <c r="P108" s="1739"/>
    </row>
    <row r="109" spans="1:16" ht="66">
      <c r="A109" s="1749">
        <f t="shared" si="1"/>
        <v>105</v>
      </c>
      <c r="B109" s="2436" t="s">
        <v>7153</v>
      </c>
      <c r="C109" s="2428" t="s">
        <v>7154</v>
      </c>
      <c r="D109" s="2429">
        <f>SUM('表13-2'!O13,'表13-2'!O16)+'表30-8-3'!F15-'表30-8-4'!D9</f>
        <v>0</v>
      </c>
      <c r="E109" s="2430">
        <v>0.1</v>
      </c>
      <c r="F109" s="2429">
        <f>ROUND(D109*E109,0)</f>
        <v>0</v>
      </c>
      <c r="H109" s="1739"/>
      <c r="I109" s="1739"/>
      <c r="J109" s="1739"/>
      <c r="K109" s="1739"/>
      <c r="L109" s="1739"/>
      <c r="M109" s="1739"/>
      <c r="N109" s="1739"/>
      <c r="O109" s="1739"/>
      <c r="P109" s="1739"/>
    </row>
    <row r="110" spans="1:16" ht="49.5">
      <c r="A110" s="1749">
        <f t="shared" si="1"/>
        <v>106</v>
      </c>
      <c r="B110" s="2436" t="s">
        <v>7155</v>
      </c>
      <c r="C110" s="2428" t="s">
        <v>7156</v>
      </c>
      <c r="D110" s="2429">
        <f>'表30-8-4'!D9</f>
        <v>0</v>
      </c>
      <c r="E110" s="2433"/>
      <c r="F110" s="2429">
        <f>'表30-8-4'!E9</f>
        <v>0</v>
      </c>
      <c r="H110" s="1739"/>
      <c r="I110" s="1739"/>
      <c r="J110" s="1739"/>
      <c r="K110" s="1739"/>
      <c r="L110" s="1739"/>
      <c r="M110" s="1739"/>
      <c r="N110" s="1739"/>
      <c r="O110" s="1739"/>
      <c r="P110" s="1739"/>
    </row>
    <row r="111" spans="1:16" ht="16.5">
      <c r="A111" s="1749">
        <f t="shared" si="1"/>
        <v>107</v>
      </c>
      <c r="B111" s="2445" t="s">
        <v>3380</v>
      </c>
      <c r="C111" s="2428" t="s">
        <v>6833</v>
      </c>
      <c r="D111" s="2429">
        <f>SUM('表05-1'!G131)</f>
        <v>0</v>
      </c>
      <c r="E111" s="2430">
        <v>0.29499999999999998</v>
      </c>
      <c r="F111" s="2429">
        <f>ROUND(D111*E111,0)</f>
        <v>0</v>
      </c>
    </row>
    <row r="112" spans="1:16" ht="33">
      <c r="A112" s="1749">
        <f t="shared" si="1"/>
        <v>108</v>
      </c>
      <c r="B112" s="2445" t="s">
        <v>7157</v>
      </c>
      <c r="C112" s="2428" t="s">
        <v>6834</v>
      </c>
      <c r="D112" s="2429">
        <f>SUM('表05-1'!M132,'表30-14-1'!L14)</f>
        <v>0</v>
      </c>
      <c r="E112" s="2430">
        <f ca="1">'表30-14'!E19</f>
        <v>0.20199999999999999</v>
      </c>
      <c r="F112" s="2429">
        <f ca="1">ROUND(D112*E112,0)</f>
        <v>0</v>
      </c>
    </row>
    <row r="113" spans="1:17" ht="33">
      <c r="A113" s="1749">
        <f t="shared" si="1"/>
        <v>109</v>
      </c>
      <c r="B113" s="2445" t="s">
        <v>3429</v>
      </c>
      <c r="C113" s="2428" t="s">
        <v>6835</v>
      </c>
      <c r="D113" s="2429">
        <f>SUM('表05-1'!G133,'表30-14-1'!L16)</f>
        <v>0</v>
      </c>
      <c r="E113" s="2430">
        <v>6.3299999999999995E-2</v>
      </c>
      <c r="F113" s="2429">
        <f>ROUND(D113*E113,0)</f>
        <v>0</v>
      </c>
    </row>
    <row r="114" spans="1:17" ht="33">
      <c r="A114" s="1749">
        <f t="shared" si="1"/>
        <v>110</v>
      </c>
      <c r="B114" s="2445" t="s">
        <v>6836</v>
      </c>
      <c r="C114" s="2428" t="s">
        <v>7158</v>
      </c>
      <c r="D114" s="2429">
        <f>SUM('表05-1'!G134,'表30-14-1'!L18)</f>
        <v>0</v>
      </c>
      <c r="E114" s="2430">
        <v>0.2009</v>
      </c>
      <c r="F114" s="2429">
        <f>ROUND(D114*E114,0)</f>
        <v>0</v>
      </c>
    </row>
    <row r="115" spans="1:17" ht="33">
      <c r="A115" s="1749">
        <f t="shared" si="1"/>
        <v>111</v>
      </c>
      <c r="B115" s="2445" t="s">
        <v>3430</v>
      </c>
      <c r="C115" s="2428" t="s">
        <v>6837</v>
      </c>
      <c r="D115" s="2429">
        <f>'表30-14-1'!L20</f>
        <v>0</v>
      </c>
      <c r="E115" s="2430">
        <v>0.28129999999999999</v>
      </c>
      <c r="F115" s="2429">
        <f>ROUND(D115*E115,0)</f>
        <v>0</v>
      </c>
    </row>
    <row r="116" spans="1:17" ht="16.5">
      <c r="A116" s="2369">
        <f t="shared" si="1"/>
        <v>112</v>
      </c>
      <c r="B116" s="2435" t="s">
        <v>6838</v>
      </c>
      <c r="C116" s="2432"/>
      <c r="D116" s="2433">
        <f>D117+D118</f>
        <v>0</v>
      </c>
      <c r="E116" s="2434"/>
      <c r="F116" s="2433">
        <f>F117+F118</f>
        <v>0</v>
      </c>
      <c r="G116" s="1748"/>
      <c r="Q116" s="1654"/>
    </row>
    <row r="117" spans="1:17" ht="33">
      <c r="A117" s="2369">
        <f t="shared" si="1"/>
        <v>113</v>
      </c>
      <c r="B117" s="2436" t="s">
        <v>6839</v>
      </c>
      <c r="C117" s="2428" t="s">
        <v>3354</v>
      </c>
      <c r="D117" s="2429">
        <f>'表30-3-3'!G27</f>
        <v>0</v>
      </c>
      <c r="E117" s="2434"/>
      <c r="F117" s="2429">
        <f>'表30-3-3'!M27</f>
        <v>0</v>
      </c>
      <c r="G117" s="1748"/>
      <c r="Q117" s="1654"/>
    </row>
    <row r="118" spans="1:17" ht="33">
      <c r="A118" s="2369">
        <f t="shared" si="1"/>
        <v>114</v>
      </c>
      <c r="B118" s="2436" t="s">
        <v>7159</v>
      </c>
      <c r="C118" s="2428" t="s">
        <v>7160</v>
      </c>
      <c r="D118" s="2429">
        <f>'表30-3-3'!G49</f>
        <v>0</v>
      </c>
      <c r="E118" s="2434"/>
      <c r="F118" s="2429">
        <f>'表30-3-3'!M49</f>
        <v>0</v>
      </c>
      <c r="G118" s="1748"/>
      <c r="Q118" s="1654"/>
    </row>
    <row r="119" spans="1:17" ht="16.5">
      <c r="A119" s="1749">
        <f t="shared" si="1"/>
        <v>115</v>
      </c>
      <c r="B119" s="2435" t="s">
        <v>6840</v>
      </c>
      <c r="C119" s="2428"/>
      <c r="D119" s="2429">
        <f>D120+D121</f>
        <v>0</v>
      </c>
      <c r="E119" s="2434"/>
      <c r="F119" s="2429">
        <f>F120+F121</f>
        <v>0</v>
      </c>
    </row>
    <row r="120" spans="1:17" ht="49.5">
      <c r="A120" s="2369">
        <f t="shared" si="1"/>
        <v>116</v>
      </c>
      <c r="B120" s="2436" t="s">
        <v>7161</v>
      </c>
      <c r="C120" s="2428" t="s">
        <v>6841</v>
      </c>
      <c r="D120" s="2429">
        <f>'表05-1'!G135-'表05-1'!G137-'表05-1'!G138-'表13-4'!M19</f>
        <v>0</v>
      </c>
      <c r="E120" s="2430">
        <v>0.3</v>
      </c>
      <c r="F120" s="2429">
        <f>ROUND(D120*E120,0)</f>
        <v>0</v>
      </c>
    </row>
    <row r="121" spans="1:17" ht="16.5">
      <c r="A121" s="2369">
        <f t="shared" si="1"/>
        <v>117</v>
      </c>
      <c r="B121" s="2436" t="s">
        <v>6842</v>
      </c>
      <c r="C121" s="2440" t="s">
        <v>3355</v>
      </c>
      <c r="D121" s="2429">
        <f>'表13-4'!M19</f>
        <v>0</v>
      </c>
      <c r="E121" s="2430">
        <v>0.1</v>
      </c>
      <c r="F121" s="2429">
        <f>ROUND(D121*E121,0)</f>
        <v>0</v>
      </c>
    </row>
    <row r="122" spans="1:17" ht="16.5">
      <c r="A122" s="1749">
        <f t="shared" si="1"/>
        <v>118</v>
      </c>
      <c r="B122" s="2431" t="s">
        <v>7162</v>
      </c>
      <c r="C122" s="2432"/>
      <c r="D122" s="2433">
        <f>SUM(D123,D124,D131,D136,D144,D147,D150:D155,D158)</f>
        <v>0</v>
      </c>
      <c r="E122" s="2433"/>
      <c r="F122" s="2433">
        <f ca="1">SUM(F123,F124,F131,F136,F144,F147,F150:F155,F158,F161)</f>
        <v>0</v>
      </c>
    </row>
    <row r="123" spans="1:17" ht="16.5">
      <c r="A123" s="1749">
        <f t="shared" si="1"/>
        <v>119</v>
      </c>
      <c r="B123" s="2445" t="s">
        <v>3381</v>
      </c>
      <c r="C123" s="2428" t="s">
        <v>6843</v>
      </c>
      <c r="D123" s="2429">
        <f>SUM('表05-1'!G142)</f>
        <v>0</v>
      </c>
      <c r="E123" s="2430">
        <v>0</v>
      </c>
      <c r="F123" s="2429">
        <f>ROUND(D123*E123,0)</f>
        <v>0</v>
      </c>
    </row>
    <row r="124" spans="1:17" ht="16.5">
      <c r="A124" s="1749">
        <f t="shared" si="1"/>
        <v>120</v>
      </c>
      <c r="B124" s="2435" t="s">
        <v>7163</v>
      </c>
      <c r="C124" s="2432"/>
      <c r="D124" s="2433">
        <f>SUM(D125:D126,D127:D128)</f>
        <v>0</v>
      </c>
      <c r="E124" s="2434"/>
      <c r="F124" s="2433">
        <f>SUM(F125:F126,F127:F128)</f>
        <v>0</v>
      </c>
    </row>
    <row r="125" spans="1:17" ht="33">
      <c r="A125" s="1749">
        <f t="shared" si="1"/>
        <v>121</v>
      </c>
      <c r="B125" s="2436" t="s">
        <v>3382</v>
      </c>
      <c r="C125" s="2428" t="s">
        <v>3356</v>
      </c>
      <c r="D125" s="2429">
        <f>SUM('表30-3-2'!E27)</f>
        <v>0</v>
      </c>
      <c r="E125" s="2434"/>
      <c r="F125" s="2429">
        <f>SUM('表30-3-2'!H27)</f>
        <v>0</v>
      </c>
    </row>
    <row r="126" spans="1:17" ht="33">
      <c r="A126" s="1749">
        <f t="shared" si="1"/>
        <v>122</v>
      </c>
      <c r="B126" s="2436" t="s">
        <v>3383</v>
      </c>
      <c r="C126" s="2428" t="s">
        <v>3357</v>
      </c>
      <c r="D126" s="2429">
        <f>'表30-3-2'!E49</f>
        <v>0</v>
      </c>
      <c r="E126" s="2434"/>
      <c r="F126" s="2429">
        <f>'表30-3-2'!H49</f>
        <v>0</v>
      </c>
    </row>
    <row r="127" spans="1:17" ht="33">
      <c r="A127" s="1749">
        <f t="shared" si="1"/>
        <v>123</v>
      </c>
      <c r="B127" s="2436" t="s">
        <v>3384</v>
      </c>
      <c r="C127" s="2428" t="s">
        <v>3358</v>
      </c>
      <c r="D127" s="2429">
        <f>SUM('表30-3-2'!E71)</f>
        <v>0</v>
      </c>
      <c r="E127" s="2447"/>
      <c r="F127" s="2429">
        <f>SUM('表30-3-2'!H71)</f>
        <v>0</v>
      </c>
    </row>
    <row r="128" spans="1:17" ht="16.5">
      <c r="A128" s="1749">
        <f t="shared" si="1"/>
        <v>124</v>
      </c>
      <c r="B128" s="2437" t="s">
        <v>7164</v>
      </c>
      <c r="C128" s="2438"/>
      <c r="D128" s="2433">
        <f>SUM(D129:D130)</f>
        <v>0</v>
      </c>
      <c r="E128" s="2447"/>
      <c r="F128" s="2433">
        <f>SUM(F129:F130)</f>
        <v>0</v>
      </c>
    </row>
    <row r="129" spans="1:6" ht="33">
      <c r="A129" s="1749">
        <f t="shared" si="1"/>
        <v>125</v>
      </c>
      <c r="B129" s="2439" t="s">
        <v>3431</v>
      </c>
      <c r="C129" s="2428" t="s">
        <v>3359</v>
      </c>
      <c r="D129" s="2429">
        <f>SUM('表30-3-2'!E93)</f>
        <v>0</v>
      </c>
      <c r="E129" s="2434"/>
      <c r="F129" s="2429">
        <f>SUM('表30-3-2'!H93)</f>
        <v>0</v>
      </c>
    </row>
    <row r="130" spans="1:6" ht="16.5">
      <c r="A130" s="1749">
        <f t="shared" si="1"/>
        <v>126</v>
      </c>
      <c r="B130" s="2439" t="s">
        <v>7165</v>
      </c>
      <c r="C130" s="2428" t="s">
        <v>6844</v>
      </c>
      <c r="D130" s="2429">
        <f>SUM('表05-1'!G150)</f>
        <v>0</v>
      </c>
      <c r="E130" s="2430">
        <v>0.3</v>
      </c>
      <c r="F130" s="2429">
        <f>ROUND(D130*E130,0)</f>
        <v>0</v>
      </c>
    </row>
    <row r="131" spans="1:6" ht="16.5">
      <c r="A131" s="1749">
        <f t="shared" si="1"/>
        <v>127</v>
      </c>
      <c r="B131" s="2435" t="s">
        <v>3385</v>
      </c>
      <c r="C131" s="2438"/>
      <c r="D131" s="2433">
        <f>SUM(D132:D133)</f>
        <v>0</v>
      </c>
      <c r="E131" s="2434"/>
      <c r="F131" s="2433">
        <f ca="1">SUM(F132:F133)</f>
        <v>0</v>
      </c>
    </row>
    <row r="132" spans="1:6" ht="33">
      <c r="A132" s="1749">
        <f t="shared" si="1"/>
        <v>128</v>
      </c>
      <c r="B132" s="2436" t="s">
        <v>7166</v>
      </c>
      <c r="C132" s="2428" t="s">
        <v>6845</v>
      </c>
      <c r="D132" s="2429">
        <f>SUM('表10-4'!G48,'表10-4'!F49,'表10-4'!G36)</f>
        <v>0</v>
      </c>
      <c r="E132" s="2430">
        <f ca="1">'表30-14'!E22</f>
        <v>0.2477</v>
      </c>
      <c r="F132" s="2429">
        <f ca="1">ROUND(D132*E132,0)</f>
        <v>0</v>
      </c>
    </row>
    <row r="133" spans="1:6" ht="16.5">
      <c r="A133" s="1749">
        <f t="shared" si="1"/>
        <v>129</v>
      </c>
      <c r="B133" s="2437" t="s">
        <v>3386</v>
      </c>
      <c r="C133" s="2438"/>
      <c r="D133" s="2433">
        <f>SUM(D134:D135)</f>
        <v>0</v>
      </c>
      <c r="E133" s="2434"/>
      <c r="F133" s="2433">
        <f ca="1">SUM(F134:F135)</f>
        <v>0</v>
      </c>
    </row>
    <row r="134" spans="1:6" ht="33">
      <c r="A134" s="1749">
        <f t="shared" si="1"/>
        <v>130</v>
      </c>
      <c r="B134" s="2439" t="s">
        <v>3432</v>
      </c>
      <c r="C134" s="2428" t="s">
        <v>3360</v>
      </c>
      <c r="D134" s="2429">
        <f>SUM('表30-3-2'!E115)</f>
        <v>0</v>
      </c>
      <c r="E134" s="2434"/>
      <c r="F134" s="2429">
        <f>SUM('表30-3-2'!H115)</f>
        <v>0</v>
      </c>
    </row>
    <row r="135" spans="1:6" ht="33">
      <c r="A135" s="1749">
        <f t="shared" ref="A135:A169" si="3">A134+1</f>
        <v>131</v>
      </c>
      <c r="B135" s="2439" t="s">
        <v>3433</v>
      </c>
      <c r="C135" s="2428" t="s">
        <v>6846</v>
      </c>
      <c r="D135" s="2429">
        <f>SUM('表10-4'!G53,'表10-4'!F54)</f>
        <v>0</v>
      </c>
      <c r="E135" s="2430">
        <f ca="1">'表30-14'!E23</f>
        <v>0.2477</v>
      </c>
      <c r="F135" s="2429">
        <f ca="1">ROUND(D135*E135,0)</f>
        <v>0</v>
      </c>
    </row>
    <row r="136" spans="1:6" ht="16.5">
      <c r="A136" s="1749">
        <f t="shared" si="3"/>
        <v>132</v>
      </c>
      <c r="B136" s="2435" t="s">
        <v>3434</v>
      </c>
      <c r="C136" s="2438"/>
      <c r="D136" s="2433">
        <f>D137+D138+D139+D140+D141+D142+D143</f>
        <v>0</v>
      </c>
      <c r="E136" s="2434"/>
      <c r="F136" s="2433">
        <f ca="1">F137+F138+F139+F140+F141+F142+F143</f>
        <v>0</v>
      </c>
    </row>
    <row r="137" spans="1:6" ht="49.5">
      <c r="A137" s="1749">
        <f t="shared" si="3"/>
        <v>133</v>
      </c>
      <c r="B137" s="2436" t="s">
        <v>7167</v>
      </c>
      <c r="C137" s="2428" t="s">
        <v>7168</v>
      </c>
      <c r="D137" s="2429">
        <f>'表12-2'!G63+'表30-14-1'!L9</f>
        <v>0</v>
      </c>
      <c r="E137" s="2430">
        <f ca="1">'表30-14'!E25</f>
        <v>0.2477</v>
      </c>
      <c r="F137" s="2429">
        <f t="shared" ref="F137:F143" ca="1" si="4">ROUND(D137*E137,0)</f>
        <v>0</v>
      </c>
    </row>
    <row r="138" spans="1:6" ht="49.5">
      <c r="A138" s="1749">
        <f t="shared" si="3"/>
        <v>134</v>
      </c>
      <c r="B138" s="2436" t="s">
        <v>7169</v>
      </c>
      <c r="C138" s="2428" t="s">
        <v>7170</v>
      </c>
      <c r="D138" s="2429">
        <f>'表12-2'!D64+'表30-14-1'!L11</f>
        <v>0</v>
      </c>
      <c r="E138" s="2430">
        <v>8.3500000000000005E-2</v>
      </c>
      <c r="F138" s="2429">
        <f t="shared" si="4"/>
        <v>0</v>
      </c>
    </row>
    <row r="139" spans="1:6" ht="49.5">
      <c r="A139" s="1749">
        <f t="shared" si="3"/>
        <v>135</v>
      </c>
      <c r="B139" s="2436" t="s">
        <v>7260</v>
      </c>
      <c r="C139" s="2428" t="s">
        <v>7261</v>
      </c>
      <c r="D139" s="2429">
        <f>'表12-2'!G65+'表30-14-1'!L13</f>
        <v>0</v>
      </c>
      <c r="E139" s="2430">
        <f ca="1">'表30-14'!E26</f>
        <v>0.2477</v>
      </c>
      <c r="F139" s="2429">
        <f t="shared" ca="1" si="4"/>
        <v>0</v>
      </c>
    </row>
    <row r="140" spans="1:6" ht="16.5">
      <c r="A140" s="1749">
        <f t="shared" si="3"/>
        <v>136</v>
      </c>
      <c r="B140" s="2436" t="s">
        <v>7171</v>
      </c>
      <c r="C140" s="2428" t="s">
        <v>7172</v>
      </c>
      <c r="D140" s="2429">
        <f>'表12-2'!D66</f>
        <v>0</v>
      </c>
      <c r="E140" s="2430">
        <v>1.44E-2</v>
      </c>
      <c r="F140" s="2429">
        <f t="shared" si="4"/>
        <v>0</v>
      </c>
    </row>
    <row r="141" spans="1:6" ht="16.5">
      <c r="A141" s="1749">
        <f t="shared" si="3"/>
        <v>137</v>
      </c>
      <c r="B141" s="2436" t="s">
        <v>7173</v>
      </c>
      <c r="C141" s="2428" t="s">
        <v>7174</v>
      </c>
      <c r="D141" s="2429">
        <f>'表12-2'!D67</f>
        <v>0</v>
      </c>
      <c r="E141" s="2430">
        <v>0.3</v>
      </c>
      <c r="F141" s="2429">
        <f t="shared" si="4"/>
        <v>0</v>
      </c>
    </row>
    <row r="142" spans="1:6" ht="16.5">
      <c r="A142" s="1749">
        <f t="shared" si="3"/>
        <v>138</v>
      </c>
      <c r="B142" s="2436" t="s">
        <v>3361</v>
      </c>
      <c r="C142" s="2428" t="s">
        <v>7175</v>
      </c>
      <c r="D142" s="2429">
        <f>'表12-2'!D68</f>
        <v>0</v>
      </c>
      <c r="E142" s="2430">
        <v>0.3</v>
      </c>
      <c r="F142" s="2429">
        <f t="shared" si="4"/>
        <v>0</v>
      </c>
    </row>
    <row r="143" spans="1:6" ht="16.5">
      <c r="A143" s="1749">
        <f t="shared" si="3"/>
        <v>139</v>
      </c>
      <c r="B143" s="2436" t="s">
        <v>3362</v>
      </c>
      <c r="C143" s="2428" t="s">
        <v>7176</v>
      </c>
      <c r="D143" s="2429">
        <f>'表12-2'!D69</f>
        <v>0</v>
      </c>
      <c r="E143" s="2430">
        <v>0.3</v>
      </c>
      <c r="F143" s="2429">
        <f t="shared" si="4"/>
        <v>0</v>
      </c>
    </row>
    <row r="144" spans="1:6" ht="16.5">
      <c r="A144" s="1749">
        <f t="shared" si="3"/>
        <v>140</v>
      </c>
      <c r="B144" s="2435" t="s">
        <v>3387</v>
      </c>
      <c r="C144" s="2438"/>
      <c r="D144" s="2433">
        <f>SUM(D145:D146)</f>
        <v>0</v>
      </c>
      <c r="E144" s="2447"/>
      <c r="F144" s="2433">
        <f>SUM(F145:F146)</f>
        <v>0</v>
      </c>
    </row>
    <row r="145" spans="1:17" ht="16.5">
      <c r="A145" s="1749">
        <f t="shared" si="3"/>
        <v>141</v>
      </c>
      <c r="B145" s="2436" t="s">
        <v>3388</v>
      </c>
      <c r="C145" s="2428" t="s">
        <v>6847</v>
      </c>
      <c r="D145" s="2429">
        <f>SUM('表05-1'!G158)</f>
        <v>0</v>
      </c>
      <c r="E145" s="2430">
        <v>0</v>
      </c>
      <c r="F145" s="2429">
        <f>ROUND(D145*E145,0)</f>
        <v>0</v>
      </c>
    </row>
    <row r="146" spans="1:17" ht="16.5">
      <c r="A146" s="1749">
        <f t="shared" si="3"/>
        <v>142</v>
      </c>
      <c r="B146" s="2436" t="s">
        <v>3435</v>
      </c>
      <c r="C146" s="2428" t="s">
        <v>6848</v>
      </c>
      <c r="D146" s="2429">
        <f>SUM('表05-1'!G159)</f>
        <v>0</v>
      </c>
      <c r="E146" s="2430">
        <v>0.25750000000000001</v>
      </c>
      <c r="F146" s="2429">
        <f>ROUND(D146*E146,0)</f>
        <v>0</v>
      </c>
    </row>
    <row r="147" spans="1:17" ht="16.5">
      <c r="A147" s="1749">
        <f t="shared" si="3"/>
        <v>143</v>
      </c>
      <c r="B147" s="2435" t="s">
        <v>3389</v>
      </c>
      <c r="C147" s="2432"/>
      <c r="D147" s="2433">
        <f>SUM(D148:D149)</f>
        <v>0</v>
      </c>
      <c r="E147" s="2434"/>
      <c r="F147" s="2433">
        <f>SUM(F148:F149)</f>
        <v>0</v>
      </c>
    </row>
    <row r="148" spans="1:17" ht="66">
      <c r="A148" s="1749">
        <f t="shared" si="3"/>
        <v>144</v>
      </c>
      <c r="B148" s="2436" t="s">
        <v>7177</v>
      </c>
      <c r="C148" s="2428" t="s">
        <v>3363</v>
      </c>
      <c r="D148" s="2429">
        <f>SUM('表13-2'!O14,'表13-2'!O17)+'表30-8-3'!F16-'表30-8-4'!D10</f>
        <v>0</v>
      </c>
      <c r="E148" s="2430">
        <v>0.1</v>
      </c>
      <c r="F148" s="2429">
        <f>ROUND(D148*E148,0)</f>
        <v>0</v>
      </c>
    </row>
    <row r="149" spans="1:17" ht="49.5">
      <c r="A149" s="1749">
        <f t="shared" si="3"/>
        <v>145</v>
      </c>
      <c r="B149" s="2436" t="s">
        <v>7178</v>
      </c>
      <c r="C149" s="2428" t="s">
        <v>3364</v>
      </c>
      <c r="D149" s="2429">
        <f>'表30-8-4'!D10</f>
        <v>0</v>
      </c>
      <c r="E149" s="2433"/>
      <c r="F149" s="2429">
        <f>'表30-8-4'!E10</f>
        <v>0</v>
      </c>
    </row>
    <row r="150" spans="1:17" ht="16.5">
      <c r="A150" s="1749">
        <f t="shared" si="3"/>
        <v>146</v>
      </c>
      <c r="B150" s="2445" t="s">
        <v>3390</v>
      </c>
      <c r="C150" s="2428" t="s">
        <v>6849</v>
      </c>
      <c r="D150" s="2429">
        <f>SUM('表05-1'!G161)</f>
        <v>0</v>
      </c>
      <c r="E150" s="2430">
        <v>0.29499999999999998</v>
      </c>
      <c r="F150" s="2429">
        <f>ROUND(D150*E150,0)</f>
        <v>0</v>
      </c>
    </row>
    <row r="151" spans="1:17" ht="33">
      <c r="A151" s="1749">
        <f t="shared" si="3"/>
        <v>147</v>
      </c>
      <c r="B151" s="2445" t="s">
        <v>3391</v>
      </c>
      <c r="C151" s="2428" t="s">
        <v>7179</v>
      </c>
      <c r="D151" s="2429">
        <f>SUM('表05-1'!M162,'表30-14-1'!L15)</f>
        <v>0</v>
      </c>
      <c r="E151" s="2430">
        <f ca="1">'表30-14'!E25</f>
        <v>0.2477</v>
      </c>
      <c r="F151" s="2429">
        <f ca="1">ROUND(D151*E151,0)</f>
        <v>0</v>
      </c>
    </row>
    <row r="152" spans="1:17" ht="33">
      <c r="A152" s="1749">
        <f t="shared" si="3"/>
        <v>148</v>
      </c>
      <c r="B152" s="2445" t="s">
        <v>3392</v>
      </c>
      <c r="C152" s="2428" t="s">
        <v>7180</v>
      </c>
      <c r="D152" s="2429">
        <f>SUM('表05-1'!G163,'表30-14-1'!L17)</f>
        <v>0</v>
      </c>
      <c r="E152" s="2430">
        <v>8.3500000000000005E-2</v>
      </c>
      <c r="F152" s="2429">
        <f>ROUND(D152*E152,0)</f>
        <v>0</v>
      </c>
    </row>
    <row r="153" spans="1:17" ht="33">
      <c r="A153" s="1749">
        <f t="shared" si="3"/>
        <v>149</v>
      </c>
      <c r="B153" s="2445" t="s">
        <v>6850</v>
      </c>
      <c r="C153" s="2428" t="s">
        <v>6851</v>
      </c>
      <c r="D153" s="2429">
        <f>SUM('表05-1'!G164,'表30-14-1'!L19)</f>
        <v>0</v>
      </c>
      <c r="E153" s="2430">
        <v>0.28870000000000001</v>
      </c>
      <c r="F153" s="2429">
        <f>ROUND(D153*E153,0)</f>
        <v>0</v>
      </c>
    </row>
    <row r="154" spans="1:17" ht="33">
      <c r="A154" s="1749">
        <f t="shared" si="3"/>
        <v>150</v>
      </c>
      <c r="B154" s="2445" t="s">
        <v>3436</v>
      </c>
      <c r="C154" s="2428" t="s">
        <v>7181</v>
      </c>
      <c r="D154" s="2429">
        <f>'表30-14-1'!L21</f>
        <v>0</v>
      </c>
      <c r="E154" s="2430">
        <v>0.4042</v>
      </c>
      <c r="F154" s="2429">
        <f>ROUND(D154*E154,0)</f>
        <v>0</v>
      </c>
    </row>
    <row r="155" spans="1:17" ht="16.5">
      <c r="A155" s="1749">
        <f t="shared" si="3"/>
        <v>151</v>
      </c>
      <c r="B155" s="2435" t="s">
        <v>6852</v>
      </c>
      <c r="C155" s="2432"/>
      <c r="D155" s="2433">
        <f>D156+D157</f>
        <v>0</v>
      </c>
      <c r="E155" s="2434"/>
      <c r="F155" s="2433">
        <f>F156+F157</f>
        <v>0</v>
      </c>
      <c r="G155" s="1748"/>
      <c r="Q155" s="1654"/>
    </row>
    <row r="156" spans="1:17" ht="33">
      <c r="A156" s="1749">
        <f t="shared" si="3"/>
        <v>152</v>
      </c>
      <c r="B156" s="2436" t="s">
        <v>7182</v>
      </c>
      <c r="C156" s="2428" t="s">
        <v>3365</v>
      </c>
      <c r="D156" s="2429">
        <f>'表30-3-3'!H27</f>
        <v>0</v>
      </c>
      <c r="E156" s="2434"/>
      <c r="F156" s="2429">
        <f>'表30-3-3'!N27</f>
        <v>0</v>
      </c>
      <c r="G156" s="1748"/>
      <c r="Q156" s="1654"/>
    </row>
    <row r="157" spans="1:17" ht="33">
      <c r="A157" s="1749">
        <f t="shared" si="3"/>
        <v>153</v>
      </c>
      <c r="B157" s="2436" t="s">
        <v>6853</v>
      </c>
      <c r="C157" s="2428" t="s">
        <v>3366</v>
      </c>
      <c r="D157" s="2429">
        <f>'表30-3-3'!H49</f>
        <v>0</v>
      </c>
      <c r="E157" s="2434"/>
      <c r="F157" s="2429">
        <f>'表30-3-3'!N49</f>
        <v>0</v>
      </c>
      <c r="G157" s="1748"/>
      <c r="Q157" s="1654"/>
    </row>
    <row r="158" spans="1:17" ht="16.5">
      <c r="A158" s="1749">
        <f t="shared" si="3"/>
        <v>154</v>
      </c>
      <c r="B158" s="2435" t="s">
        <v>6854</v>
      </c>
      <c r="C158" s="2432"/>
      <c r="D158" s="2433">
        <f>D159+D160</f>
        <v>0</v>
      </c>
      <c r="E158" s="2434"/>
      <c r="F158" s="2433">
        <f>F159+F160</f>
        <v>0</v>
      </c>
    </row>
    <row r="159" spans="1:17" ht="49.5">
      <c r="A159" s="2369">
        <f t="shared" si="3"/>
        <v>155</v>
      </c>
      <c r="B159" s="2436" t="s">
        <v>6855</v>
      </c>
      <c r="C159" s="2428" t="s">
        <v>6856</v>
      </c>
      <c r="D159" s="2429">
        <f>SUM('表05-1'!G165)-'表05-1'!G167-'表13-4'!M20</f>
        <v>0</v>
      </c>
      <c r="E159" s="2430">
        <v>0.3</v>
      </c>
      <c r="F159" s="2429">
        <f>ROUND(D159*E159,0)</f>
        <v>0</v>
      </c>
    </row>
    <row r="160" spans="1:17" ht="16.5">
      <c r="A160" s="2369">
        <f t="shared" si="3"/>
        <v>156</v>
      </c>
      <c r="B160" s="2436" t="s">
        <v>6857</v>
      </c>
      <c r="C160" s="2440" t="s">
        <v>4080</v>
      </c>
      <c r="D160" s="2429">
        <f>'表13-4'!M20</f>
        <v>0</v>
      </c>
      <c r="E160" s="2430">
        <v>0.1</v>
      </c>
      <c r="F160" s="2429">
        <f>ROUND(D160*E160,0)</f>
        <v>0</v>
      </c>
    </row>
    <row r="161" spans="1:16" ht="49.5">
      <c r="A161" s="1749">
        <f t="shared" si="3"/>
        <v>157</v>
      </c>
      <c r="B161" s="2427" t="s">
        <v>3393</v>
      </c>
      <c r="C161" s="2428" t="s">
        <v>6858</v>
      </c>
      <c r="D161" s="2429">
        <f>MAX(SUM(D83,D84,D91,D96,D105,D108,D111:D116,D119)+SUM(D123,D124,D131,D136,D144,D147,D150:D155,D158)-'表16-2-1'!G11-'表16-2-1'!J11,0)</f>
        <v>0</v>
      </c>
      <c r="E161" s="2430">
        <v>6.6100000000000006E-2</v>
      </c>
      <c r="F161" s="2429">
        <f>ROUND(D161*E161,0)</f>
        <v>0</v>
      </c>
    </row>
    <row r="162" spans="1:16" ht="33">
      <c r="A162" s="1749">
        <f t="shared" si="3"/>
        <v>158</v>
      </c>
      <c r="B162" s="2427" t="s">
        <v>7183</v>
      </c>
      <c r="C162" s="2428" t="s">
        <v>3394</v>
      </c>
      <c r="D162" s="2429">
        <f>'表30-16'!J16</f>
        <v>0</v>
      </c>
      <c r="E162" s="2434"/>
      <c r="F162" s="2433"/>
    </row>
    <row r="163" spans="1:16" ht="16.5">
      <c r="A163" s="1749">
        <f t="shared" si="3"/>
        <v>159</v>
      </c>
      <c r="B163" s="2427" t="s">
        <v>7184</v>
      </c>
      <c r="C163" s="2428"/>
      <c r="D163" s="2429">
        <f ca="1">SUM(F85:F86,F91,F112:F115,F96,F87,F108,F105,F125:F126,F131,F151:F154,F136,F127,F147,F144,F88,F128,F161)</f>
        <v>0</v>
      </c>
      <c r="E163" s="2430">
        <f>'表30-10'!E12</f>
        <v>1</v>
      </c>
      <c r="F163" s="2429">
        <f ca="1">ROUND(D163*E163,0)</f>
        <v>0</v>
      </c>
      <c r="G163" s="1757"/>
    </row>
    <row r="164" spans="1:16" ht="16.5">
      <c r="A164" s="1749">
        <f t="shared" si="3"/>
        <v>160</v>
      </c>
      <c r="B164" s="2446" t="s">
        <v>3395</v>
      </c>
      <c r="C164" s="2432"/>
      <c r="D164" s="2433">
        <f>SUM(D165,D166)</f>
        <v>0</v>
      </c>
      <c r="E164" s="2446"/>
      <c r="F164" s="2449">
        <f>SUM(F165,F166)</f>
        <v>0</v>
      </c>
    </row>
    <row r="165" spans="1:16" s="1553" customFormat="1" ht="16.5">
      <c r="A165" s="1749">
        <f t="shared" si="3"/>
        <v>161</v>
      </c>
      <c r="B165" s="2427" t="s">
        <v>3396</v>
      </c>
      <c r="C165" s="2428" t="s">
        <v>3367</v>
      </c>
      <c r="D165" s="2450"/>
      <c r="E165" s="2430">
        <v>0.01</v>
      </c>
      <c r="F165" s="2429">
        <f>ROUND(D165*E165,0)</f>
        <v>0</v>
      </c>
      <c r="G165" s="1758"/>
      <c r="P165" s="1654"/>
    </row>
    <row r="166" spans="1:16" s="1553" customFormat="1" ht="16.5">
      <c r="A166" s="1749">
        <f t="shared" si="3"/>
        <v>162</v>
      </c>
      <c r="B166" s="2431" t="s">
        <v>3397</v>
      </c>
      <c r="C166" s="2432"/>
      <c r="D166" s="2433"/>
      <c r="E166" s="2460" t="s">
        <v>7185</v>
      </c>
      <c r="F166" s="2450"/>
      <c r="G166" s="1758"/>
      <c r="P166" s="1654"/>
    </row>
    <row r="167" spans="1:16" s="1553" customFormat="1" ht="16.5">
      <c r="A167" s="1749">
        <f t="shared" si="3"/>
        <v>163</v>
      </c>
      <c r="B167" s="2445" t="s">
        <v>3398</v>
      </c>
      <c r="C167" s="2428" t="s">
        <v>3368</v>
      </c>
      <c r="D167" s="2429">
        <f>SUM('表16-2-1'!G39,'表16-2-1'!J39)</f>
        <v>0</v>
      </c>
      <c r="E167" s="2434"/>
      <c r="F167" s="2450"/>
      <c r="G167" s="1758"/>
      <c r="P167" s="1654"/>
    </row>
    <row r="168" spans="1:16" s="1553" customFormat="1" ht="50.25" thickBot="1">
      <c r="A168" s="2370">
        <f t="shared" si="3"/>
        <v>164</v>
      </c>
      <c r="B168" s="2451" t="s">
        <v>3369</v>
      </c>
      <c r="C168" s="2452" t="s">
        <v>3370</v>
      </c>
      <c r="D168" s="2453">
        <f>SUM('表16-2-2'!D21,'表16-2-2'!G21,'表16-2-2'!J21,'表16-2-3'!D18,'表16-2-3'!G18,'表16-2-3'!J18)</f>
        <v>0</v>
      </c>
      <c r="E168" s="2454"/>
      <c r="F168" s="2455"/>
      <c r="G168" s="1758"/>
      <c r="P168" s="1654"/>
    </row>
    <row r="169" spans="1:16" s="1553" customFormat="1" ht="17.25" thickTop="1">
      <c r="A169" s="2371">
        <f t="shared" si="3"/>
        <v>165</v>
      </c>
      <c r="B169" s="2456" t="s">
        <v>3371</v>
      </c>
      <c r="C169" s="2457"/>
      <c r="D169" s="2458">
        <f>SUM(D5,D81,D164)</f>
        <v>0</v>
      </c>
      <c r="E169" s="2459"/>
      <c r="F169" s="2458">
        <f ca="1">SUM(F80,F6,F9,F69,F83,F111,F116,F119,F123,F150,F155,F158,F163)</f>
        <v>0</v>
      </c>
      <c r="G169" s="1758"/>
      <c r="P169" s="1654"/>
    </row>
    <row r="170" spans="1:16" s="1553" customFormat="1" ht="16.5">
      <c r="A170" s="1737" t="s">
        <v>1239</v>
      </c>
      <c r="B170" s="1548"/>
      <c r="C170" s="1760"/>
      <c r="D170" s="1654"/>
      <c r="E170" s="1760"/>
      <c r="F170" s="1758"/>
      <c r="G170" s="1758"/>
      <c r="P170" s="1654"/>
    </row>
    <row r="171" spans="1:16" s="1553" customFormat="1" ht="16.5">
      <c r="A171" s="1742">
        <v>1</v>
      </c>
      <c r="B171" s="1636" t="s">
        <v>3399</v>
      </c>
      <c r="C171" s="1760"/>
      <c r="D171" s="1654"/>
      <c r="E171" s="1760"/>
      <c r="F171" s="1758"/>
      <c r="G171" s="1758"/>
      <c r="P171" s="1654"/>
    </row>
    <row r="172" spans="1:16" s="1553" customFormat="1" ht="16.5">
      <c r="A172" s="1742">
        <v>2</v>
      </c>
      <c r="B172" s="1635" t="s">
        <v>3400</v>
      </c>
      <c r="C172" s="1760"/>
      <c r="D172" s="1654"/>
      <c r="E172" s="1760"/>
      <c r="F172" s="1758"/>
      <c r="G172" s="1758"/>
      <c r="P172" s="1654"/>
    </row>
    <row r="173" spans="1:16" s="1553" customFormat="1" ht="16.5">
      <c r="A173" s="1742">
        <v>3</v>
      </c>
      <c r="B173" s="1636" t="s">
        <v>3401</v>
      </c>
      <c r="C173" s="1760"/>
      <c r="D173" s="1654"/>
      <c r="E173" s="1760"/>
      <c r="F173" s="1758"/>
      <c r="G173" s="1758"/>
      <c r="P173" s="1654"/>
    </row>
    <row r="174" spans="1:16" s="1553" customFormat="1" ht="16.5">
      <c r="A174" s="1742"/>
      <c r="B174" s="1636" t="s">
        <v>3402</v>
      </c>
      <c r="C174" s="1760"/>
      <c r="D174" s="1654"/>
      <c r="E174" s="1760"/>
      <c r="F174" s="1758"/>
      <c r="G174" s="1758"/>
      <c r="P174" s="1654"/>
    </row>
    <row r="175" spans="1:16" s="1761" customFormat="1" ht="16.5">
      <c r="A175" s="1743">
        <v>4</v>
      </c>
      <c r="B175" s="1635" t="s">
        <v>3403</v>
      </c>
      <c r="C175" s="1640"/>
      <c r="D175" s="1654"/>
      <c r="E175" s="1640"/>
      <c r="F175" s="1758"/>
      <c r="G175" s="1654"/>
      <c r="P175" s="1654"/>
    </row>
    <row r="176" spans="1:16" s="1761" customFormat="1" ht="16.5">
      <c r="A176" s="1743">
        <v>5</v>
      </c>
      <c r="B176" s="1636" t="s">
        <v>3404</v>
      </c>
      <c r="C176" s="1640"/>
      <c r="D176" s="1654"/>
      <c r="E176" s="1640"/>
      <c r="F176" s="1758"/>
      <c r="G176" s="1654"/>
      <c r="P176" s="1654"/>
    </row>
    <row r="177" spans="1:16" s="1761" customFormat="1" ht="16.5">
      <c r="A177" s="1743">
        <v>6</v>
      </c>
      <c r="B177" s="1736" t="s">
        <v>3405</v>
      </c>
      <c r="C177" s="1640"/>
      <c r="D177" s="1654"/>
      <c r="E177" s="1640"/>
      <c r="F177" s="1758"/>
      <c r="G177" s="1654"/>
      <c r="P177" s="1654"/>
    </row>
    <row r="178" spans="1:16" s="1761" customFormat="1" ht="16.5">
      <c r="A178" s="1743">
        <v>7</v>
      </c>
      <c r="B178" s="2372" t="s">
        <v>6859</v>
      </c>
      <c r="C178" s="1762"/>
      <c r="D178" s="1654"/>
      <c r="E178" s="1763"/>
      <c r="F178" s="1654"/>
      <c r="G178" s="1654"/>
      <c r="P178" s="1654"/>
    </row>
    <row r="179" spans="1:16" s="1761" customFormat="1">
      <c r="A179" s="1764"/>
      <c r="B179" s="1765"/>
      <c r="C179" s="1762"/>
      <c r="D179" s="1654"/>
      <c r="E179" s="1766"/>
      <c r="F179" s="1654"/>
      <c r="G179" s="1654"/>
      <c r="P179" s="1654"/>
    </row>
    <row r="180" spans="1:16">
      <c r="B180" s="1765"/>
    </row>
    <row r="181" spans="1:16">
      <c r="B181" s="1768"/>
    </row>
    <row r="182" spans="1:16">
      <c r="B182" s="1761"/>
    </row>
    <row r="194" spans="11:13">
      <c r="K194" s="1655"/>
      <c r="L194" s="1655"/>
      <c r="M194" s="1656"/>
    </row>
    <row r="195" spans="11:13">
      <c r="K195" s="1655"/>
      <c r="L195" s="1655"/>
      <c r="M195" s="1656"/>
    </row>
    <row r="196" spans="11:13">
      <c r="K196" s="1655"/>
      <c r="L196" s="1655"/>
      <c r="M196" s="1656"/>
    </row>
    <row r="197" spans="11:13">
      <c r="K197" s="1655"/>
      <c r="L197" s="1655"/>
    </row>
    <row r="198" spans="11:13">
      <c r="K198" s="1655"/>
      <c r="L198" s="1655"/>
      <c r="M198" s="1656"/>
    </row>
    <row r="199" spans="11:13">
      <c r="K199" s="1655"/>
      <c r="L199" s="1655"/>
      <c r="M199" s="1656"/>
    </row>
    <row r="200" spans="11:13">
      <c r="K200" s="1655"/>
      <c r="L200" s="1655"/>
      <c r="M200" s="1656"/>
    </row>
    <row r="201" spans="11:13">
      <c r="K201" s="1655"/>
      <c r="L201" s="1655"/>
      <c r="M201" s="1656"/>
    </row>
    <row r="202" spans="11:13">
      <c r="K202" s="1655"/>
      <c r="L202" s="1655"/>
      <c r="M202" s="1656"/>
    </row>
    <row r="203" spans="11:13">
      <c r="K203" s="1655"/>
      <c r="L203" s="1655"/>
      <c r="M203" s="1656"/>
    </row>
    <row r="204" spans="11:13">
      <c r="K204" s="1655"/>
      <c r="L204" s="1655"/>
      <c r="M204" s="1656"/>
    </row>
    <row r="205" spans="11:13">
      <c r="K205" s="1655"/>
      <c r="L205" s="1655"/>
      <c r="M205" s="1656"/>
    </row>
    <row r="206" spans="11:13">
      <c r="K206" s="1655"/>
      <c r="L206" s="1655"/>
      <c r="M206" s="1656"/>
    </row>
    <row r="207" spans="11:13">
      <c r="K207" s="1655"/>
      <c r="L207" s="1655"/>
      <c r="M207" s="1656"/>
    </row>
    <row r="208" spans="11:13">
      <c r="K208" s="1655"/>
      <c r="L208" s="1655"/>
      <c r="M208" s="1656"/>
    </row>
    <row r="209" spans="8:16">
      <c r="K209" s="1655"/>
      <c r="L209" s="1655"/>
      <c r="M209" s="1656"/>
    </row>
    <row r="210" spans="8:16">
      <c r="K210" s="1655"/>
      <c r="L210" s="1655"/>
      <c r="M210" s="1656"/>
    </row>
    <row r="211" spans="8:16">
      <c r="K211" s="1655"/>
      <c r="L211" s="1655"/>
      <c r="M211" s="1656"/>
    </row>
    <row r="212" spans="8:16">
      <c r="K212" s="1655"/>
      <c r="L212" s="1655"/>
      <c r="M212" s="1656"/>
    </row>
    <row r="213" spans="8:16">
      <c r="K213" s="1655"/>
      <c r="L213" s="1655"/>
      <c r="M213" s="1656"/>
    </row>
    <row r="214" spans="8:16">
      <c r="H214" s="1758"/>
      <c r="I214" s="1758"/>
      <c r="J214" s="1758"/>
      <c r="K214" s="1758"/>
      <c r="L214" s="1758"/>
      <c r="M214" s="1758"/>
      <c r="N214" s="1758"/>
      <c r="O214" s="1758"/>
      <c r="P214" s="1758"/>
    </row>
    <row r="215" spans="8:16">
      <c r="H215" s="1758"/>
      <c r="I215" s="1758"/>
      <c r="J215" s="1758"/>
      <c r="K215" s="1758"/>
      <c r="L215" s="1758"/>
      <c r="M215" s="1758"/>
      <c r="N215" s="1758"/>
      <c r="O215" s="1758"/>
      <c r="P215" s="1758"/>
    </row>
    <row r="216" spans="8:16">
      <c r="H216" s="1758"/>
      <c r="I216" s="1758"/>
      <c r="J216" s="1758"/>
      <c r="K216" s="1758"/>
      <c r="L216" s="1758"/>
      <c r="M216" s="1758"/>
      <c r="N216" s="1758"/>
      <c r="O216" s="1758"/>
      <c r="P216" s="1758"/>
    </row>
    <row r="217" spans="8:16">
      <c r="H217" s="1758"/>
      <c r="I217" s="1758"/>
      <c r="J217" s="1758"/>
      <c r="K217" s="1758"/>
      <c r="L217" s="1758"/>
      <c r="M217" s="1758"/>
      <c r="N217" s="1758"/>
      <c r="O217" s="1758"/>
      <c r="P217" s="1758"/>
    </row>
  </sheetData>
  <mergeCells count="3">
    <mergeCell ref="A3:A4"/>
    <mergeCell ref="B3:B4"/>
    <mergeCell ref="C3:C4"/>
  </mergeCells>
  <phoneticPr fontId="26" type="noConversion"/>
  <pageMargins left="0.39370078740157483" right="0.19685039370078741" top="0.39370078740157483" bottom="0.39370078740157483" header="0" footer="0"/>
  <pageSetup paperSize="9" scale="41" fitToHeight="0" orientation="portrait" cellComments="asDisplayed" horizontalDpi="4294967295" verticalDpi="4294967295" r:id="rId1"/>
  <headerFooter alignWithMargins="0">
    <oddFooter>&amp;C&amp;"Times New Roman,標準"&amp;P+137&amp;R&amp;"Times New Roman,標準"&amp;A</oddFooter>
  </headerFooter>
  <rowBreaks count="2" manualBreakCount="2">
    <brk id="80" max="16383" man="1"/>
    <brk id="15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G131"/>
  <sheetViews>
    <sheetView zoomScaleNormal="100" workbookViewId="0"/>
  </sheetViews>
  <sheetFormatPr defaultColWidth="15.625" defaultRowHeight="15.75"/>
  <cols>
    <col min="1" max="1" width="5.625" style="1735" customWidth="1"/>
    <col min="2" max="2" width="51.5" style="1709" customWidth="1"/>
    <col min="3" max="4" width="20.625" style="1709" customWidth="1"/>
    <col min="5" max="5" width="15.625" style="1709" customWidth="1"/>
    <col min="6" max="6" width="20.625" style="1709" customWidth="1"/>
    <col min="7" max="16384" width="15.625" style="1709"/>
  </cols>
  <sheetData>
    <row r="1" spans="1:6" ht="16.5">
      <c r="A1" s="2366" t="s">
        <v>7068</v>
      </c>
    </row>
    <row r="2" spans="1:6" ht="17.25" thickBot="1">
      <c r="A2" s="1708" t="s">
        <v>6796</v>
      </c>
      <c r="F2" s="1516" t="s">
        <v>2351</v>
      </c>
    </row>
    <row r="3" spans="1:6" ht="16.5">
      <c r="A3" s="2946" t="s">
        <v>2343</v>
      </c>
      <c r="B3" s="2939" t="s">
        <v>3286</v>
      </c>
      <c r="C3" s="2273" t="s">
        <v>3287</v>
      </c>
      <c r="D3" s="2939" t="s">
        <v>3288</v>
      </c>
      <c r="E3" s="2939" t="s">
        <v>3289</v>
      </c>
      <c r="F3" s="2932" t="s">
        <v>3290</v>
      </c>
    </row>
    <row r="4" spans="1:6" ht="16.5">
      <c r="A4" s="2947"/>
      <c r="B4" s="2940"/>
      <c r="C4" s="2274" t="s">
        <v>3291</v>
      </c>
      <c r="D4" s="2940"/>
      <c r="E4" s="2940"/>
      <c r="F4" s="2933"/>
    </row>
    <row r="5" spans="1:6" ht="16.5" thickBot="1">
      <c r="A5" s="2948"/>
      <c r="B5" s="1710" t="s">
        <v>66</v>
      </c>
      <c r="C5" s="1710" t="s">
        <v>67</v>
      </c>
      <c r="D5" s="1710" t="s">
        <v>68</v>
      </c>
      <c r="E5" s="1711" t="s">
        <v>69</v>
      </c>
      <c r="F5" s="1712" t="s">
        <v>70</v>
      </c>
    </row>
    <row r="6" spans="1:6">
      <c r="A6" s="1713" t="s">
        <v>669</v>
      </c>
      <c r="B6" s="2942" t="s">
        <v>3282</v>
      </c>
      <c r="C6" s="1714" t="s">
        <v>0</v>
      </c>
      <c r="D6" s="1715"/>
      <c r="E6" s="1716">
        <v>0</v>
      </c>
      <c r="F6" s="1717">
        <f t="shared" ref="F6:F23" si="0">ROUND(D6*E6,0)</f>
        <v>0</v>
      </c>
    </row>
    <row r="7" spans="1:6">
      <c r="A7" s="1718" t="s">
        <v>76</v>
      </c>
      <c r="B7" s="2943"/>
      <c r="C7" s="1719" t="s">
        <v>1</v>
      </c>
      <c r="D7" s="1720"/>
      <c r="E7" s="1721">
        <v>0</v>
      </c>
      <c r="F7" s="1722">
        <f t="shared" si="0"/>
        <v>0</v>
      </c>
    </row>
    <row r="8" spans="1:6">
      <c r="A8" s="1718" t="s">
        <v>77</v>
      </c>
      <c r="B8" s="2943"/>
      <c r="C8" s="1719" t="s">
        <v>2</v>
      </c>
      <c r="D8" s="1720"/>
      <c r="E8" s="1721">
        <v>3.0999999999999999E-3</v>
      </c>
      <c r="F8" s="1722">
        <f t="shared" si="0"/>
        <v>0</v>
      </c>
    </row>
    <row r="9" spans="1:6">
      <c r="A9" s="1718" t="s">
        <v>78</v>
      </c>
      <c r="B9" s="2943"/>
      <c r="C9" s="1719" t="s">
        <v>3</v>
      </c>
      <c r="D9" s="1720"/>
      <c r="E9" s="1721">
        <v>6.1999999999999998E-3</v>
      </c>
      <c r="F9" s="1722">
        <f t="shared" si="0"/>
        <v>0</v>
      </c>
    </row>
    <row r="10" spans="1:6">
      <c r="A10" s="1718" t="s">
        <v>79</v>
      </c>
      <c r="B10" s="2943"/>
      <c r="C10" s="1719" t="s">
        <v>4</v>
      </c>
      <c r="D10" s="1720"/>
      <c r="E10" s="1721">
        <v>7.4000000000000003E-3</v>
      </c>
      <c r="F10" s="1722">
        <f t="shared" si="0"/>
        <v>0</v>
      </c>
    </row>
    <row r="11" spans="1:6">
      <c r="A11" s="1718" t="s">
        <v>80</v>
      </c>
      <c r="B11" s="2943"/>
      <c r="C11" s="1719" t="s">
        <v>5</v>
      </c>
      <c r="D11" s="1720"/>
      <c r="E11" s="1721">
        <v>8.6E-3</v>
      </c>
      <c r="F11" s="1722">
        <f t="shared" si="0"/>
        <v>0</v>
      </c>
    </row>
    <row r="12" spans="1:6">
      <c r="A12" s="1718" t="s">
        <v>81</v>
      </c>
      <c r="B12" s="2943"/>
      <c r="C12" s="1719" t="s">
        <v>6</v>
      </c>
      <c r="D12" s="1720"/>
      <c r="E12" s="1721">
        <v>9.7999999999999997E-3</v>
      </c>
      <c r="F12" s="1722">
        <f t="shared" si="0"/>
        <v>0</v>
      </c>
    </row>
    <row r="13" spans="1:6">
      <c r="A13" s="1718" t="s">
        <v>82</v>
      </c>
      <c r="B13" s="2943"/>
      <c r="C13" s="1719" t="s">
        <v>7</v>
      </c>
      <c r="D13" s="1720"/>
      <c r="E13" s="1721">
        <v>1.7999999999999999E-2</v>
      </c>
      <c r="F13" s="1722">
        <f t="shared" si="0"/>
        <v>0</v>
      </c>
    </row>
    <row r="14" spans="1:6">
      <c r="A14" s="1718" t="s">
        <v>83</v>
      </c>
      <c r="B14" s="2943"/>
      <c r="C14" s="1719" t="s">
        <v>8</v>
      </c>
      <c r="D14" s="1720"/>
      <c r="E14" s="1721">
        <v>2.63E-2</v>
      </c>
      <c r="F14" s="1722">
        <f t="shared" si="0"/>
        <v>0</v>
      </c>
    </row>
    <row r="15" spans="1:6">
      <c r="A15" s="1718" t="s">
        <v>84</v>
      </c>
      <c r="B15" s="2943"/>
      <c r="C15" s="1719" t="s">
        <v>9</v>
      </c>
      <c r="D15" s="1720"/>
      <c r="E15" s="1721">
        <v>3.4500000000000003E-2</v>
      </c>
      <c r="F15" s="1722">
        <f t="shared" si="0"/>
        <v>0</v>
      </c>
    </row>
    <row r="16" spans="1:6">
      <c r="A16" s="1718" t="s">
        <v>10</v>
      </c>
      <c r="B16" s="2943"/>
      <c r="C16" s="1719" t="s">
        <v>11</v>
      </c>
      <c r="D16" s="1720"/>
      <c r="E16" s="1721">
        <v>4.8000000000000001E-2</v>
      </c>
      <c r="F16" s="1722">
        <f t="shared" si="0"/>
        <v>0</v>
      </c>
    </row>
    <row r="17" spans="1:6">
      <c r="A17" s="1718" t="s">
        <v>12</v>
      </c>
      <c r="B17" s="2943"/>
      <c r="C17" s="1719" t="s">
        <v>13</v>
      </c>
      <c r="D17" s="1720"/>
      <c r="E17" s="1721">
        <v>6.1499999999999999E-2</v>
      </c>
      <c r="F17" s="1722">
        <f t="shared" si="0"/>
        <v>0</v>
      </c>
    </row>
    <row r="18" spans="1:6">
      <c r="A18" s="1718" t="s">
        <v>14</v>
      </c>
      <c r="B18" s="2943"/>
      <c r="C18" s="1719" t="s">
        <v>15</v>
      </c>
      <c r="D18" s="1720"/>
      <c r="E18" s="1721">
        <v>7.4999999999999997E-2</v>
      </c>
      <c r="F18" s="1722">
        <f t="shared" si="0"/>
        <v>0</v>
      </c>
    </row>
    <row r="19" spans="1:6">
      <c r="A19" s="1718" t="s">
        <v>16</v>
      </c>
      <c r="B19" s="2943"/>
      <c r="C19" s="1719" t="s">
        <v>17</v>
      </c>
      <c r="D19" s="1720"/>
      <c r="E19" s="1721">
        <v>0.1075</v>
      </c>
      <c r="F19" s="1722">
        <f t="shared" si="0"/>
        <v>0</v>
      </c>
    </row>
    <row r="20" spans="1:6">
      <c r="A20" s="1718" t="s">
        <v>18</v>
      </c>
      <c r="B20" s="2943"/>
      <c r="C20" s="1719" t="s">
        <v>19</v>
      </c>
      <c r="D20" s="1720"/>
      <c r="E20" s="1721">
        <v>0.14000000000000001</v>
      </c>
      <c r="F20" s="1722">
        <f t="shared" si="0"/>
        <v>0</v>
      </c>
    </row>
    <row r="21" spans="1:6">
      <c r="A21" s="1718" t="s">
        <v>20</v>
      </c>
      <c r="B21" s="2943"/>
      <c r="C21" s="1719" t="s">
        <v>21</v>
      </c>
      <c r="D21" s="1720"/>
      <c r="E21" s="1721">
        <v>0.17249999999999999</v>
      </c>
      <c r="F21" s="1722">
        <f t="shared" si="0"/>
        <v>0</v>
      </c>
    </row>
    <row r="22" spans="1:6">
      <c r="A22" s="1718" t="s">
        <v>22</v>
      </c>
      <c r="B22" s="2943"/>
      <c r="C22" s="1719" t="s">
        <v>567</v>
      </c>
      <c r="D22" s="1720"/>
      <c r="E22" s="1721">
        <v>0.2112</v>
      </c>
      <c r="F22" s="1722">
        <f t="shared" si="0"/>
        <v>0</v>
      </c>
    </row>
    <row r="23" spans="1:6">
      <c r="A23" s="1718" t="s">
        <v>23</v>
      </c>
      <c r="B23" s="2944"/>
      <c r="C23" s="1723" t="s">
        <v>568</v>
      </c>
      <c r="D23" s="1724"/>
      <c r="E23" s="2355">
        <v>0.2165</v>
      </c>
      <c r="F23" s="1725">
        <f t="shared" si="0"/>
        <v>0</v>
      </c>
    </row>
    <row r="24" spans="1:6">
      <c r="A24" s="1726" t="s">
        <v>24</v>
      </c>
      <c r="B24" s="2938" t="s">
        <v>3272</v>
      </c>
      <c r="C24" s="2938"/>
      <c r="D24" s="1684">
        <f>SUM(D6:D23)</f>
        <v>0</v>
      </c>
      <c r="E24" s="1679"/>
      <c r="F24" s="1697">
        <f>SUM(F6:F23)</f>
        <v>0</v>
      </c>
    </row>
    <row r="25" spans="1:6">
      <c r="A25" s="1718" t="s">
        <v>25</v>
      </c>
      <c r="B25" s="2942" t="s">
        <v>3283</v>
      </c>
      <c r="C25" s="1714" t="s">
        <v>0</v>
      </c>
      <c r="D25" s="1727"/>
      <c r="E25" s="1728">
        <v>0</v>
      </c>
      <c r="F25" s="1717">
        <f t="shared" ref="F25:F42" si="1">ROUND(D25*E25,0)</f>
        <v>0</v>
      </c>
    </row>
    <row r="26" spans="1:6">
      <c r="A26" s="1718" t="s">
        <v>26</v>
      </c>
      <c r="B26" s="2943"/>
      <c r="C26" s="1719" t="s">
        <v>1</v>
      </c>
      <c r="D26" s="1720"/>
      <c r="E26" s="1721">
        <v>0</v>
      </c>
      <c r="F26" s="1722">
        <f t="shared" si="1"/>
        <v>0</v>
      </c>
    </row>
    <row r="27" spans="1:6">
      <c r="A27" s="1718" t="s">
        <v>27</v>
      </c>
      <c r="B27" s="2943"/>
      <c r="C27" s="1719" t="s">
        <v>2</v>
      </c>
      <c r="D27" s="1720"/>
      <c r="E27" s="1721">
        <v>3.0999999999999999E-3</v>
      </c>
      <c r="F27" s="1722">
        <f t="shared" si="1"/>
        <v>0</v>
      </c>
    </row>
    <row r="28" spans="1:6">
      <c r="A28" s="1718" t="s">
        <v>28</v>
      </c>
      <c r="B28" s="2943"/>
      <c r="C28" s="1719" t="s">
        <v>3</v>
      </c>
      <c r="D28" s="1720"/>
      <c r="E28" s="1721">
        <v>6.1999999999999998E-3</v>
      </c>
      <c r="F28" s="1722">
        <f t="shared" si="1"/>
        <v>0</v>
      </c>
    </row>
    <row r="29" spans="1:6">
      <c r="A29" s="1718" t="s">
        <v>29</v>
      </c>
      <c r="B29" s="2943"/>
      <c r="C29" s="1719" t="s">
        <v>4</v>
      </c>
      <c r="D29" s="1720"/>
      <c r="E29" s="1721">
        <v>7.4000000000000003E-3</v>
      </c>
      <c r="F29" s="1722">
        <f t="shared" si="1"/>
        <v>0</v>
      </c>
    </row>
    <row r="30" spans="1:6">
      <c r="A30" s="1718" t="s">
        <v>30</v>
      </c>
      <c r="B30" s="2943"/>
      <c r="C30" s="1719" t="s">
        <v>5</v>
      </c>
      <c r="D30" s="1720"/>
      <c r="E30" s="1721">
        <v>8.6E-3</v>
      </c>
      <c r="F30" s="1722">
        <f t="shared" si="1"/>
        <v>0</v>
      </c>
    </row>
    <row r="31" spans="1:6">
      <c r="A31" s="1718" t="s">
        <v>31</v>
      </c>
      <c r="B31" s="2943"/>
      <c r="C31" s="1719" t="s">
        <v>6</v>
      </c>
      <c r="D31" s="1720"/>
      <c r="E31" s="1721">
        <v>9.7999999999999997E-3</v>
      </c>
      <c r="F31" s="1722">
        <f t="shared" si="1"/>
        <v>0</v>
      </c>
    </row>
    <row r="32" spans="1:6">
      <c r="A32" s="1718" t="s">
        <v>32</v>
      </c>
      <c r="B32" s="2943"/>
      <c r="C32" s="1719" t="s">
        <v>7</v>
      </c>
      <c r="D32" s="1720"/>
      <c r="E32" s="1721">
        <v>1.7999999999999999E-2</v>
      </c>
      <c r="F32" s="1722">
        <f t="shared" si="1"/>
        <v>0</v>
      </c>
    </row>
    <row r="33" spans="1:6">
      <c r="A33" s="1718" t="s">
        <v>33</v>
      </c>
      <c r="B33" s="2943"/>
      <c r="C33" s="1719" t="s">
        <v>8</v>
      </c>
      <c r="D33" s="1720"/>
      <c r="E33" s="1721">
        <v>2.63E-2</v>
      </c>
      <c r="F33" s="1722">
        <f t="shared" si="1"/>
        <v>0</v>
      </c>
    </row>
    <row r="34" spans="1:6">
      <c r="A34" s="1718" t="s">
        <v>34</v>
      </c>
      <c r="B34" s="2943"/>
      <c r="C34" s="1719" t="s">
        <v>9</v>
      </c>
      <c r="D34" s="1720"/>
      <c r="E34" s="1721">
        <v>3.4500000000000003E-2</v>
      </c>
      <c r="F34" s="1722">
        <f t="shared" si="1"/>
        <v>0</v>
      </c>
    </row>
    <row r="35" spans="1:6">
      <c r="A35" s="1718" t="s">
        <v>35</v>
      </c>
      <c r="B35" s="2943"/>
      <c r="C35" s="1719" t="s">
        <v>11</v>
      </c>
      <c r="D35" s="1720"/>
      <c r="E35" s="1721">
        <v>4.8000000000000001E-2</v>
      </c>
      <c r="F35" s="1722">
        <f t="shared" si="1"/>
        <v>0</v>
      </c>
    </row>
    <row r="36" spans="1:6">
      <c r="A36" s="1718" t="s">
        <v>36</v>
      </c>
      <c r="B36" s="2943"/>
      <c r="C36" s="1719" t="s">
        <v>13</v>
      </c>
      <c r="D36" s="1720"/>
      <c r="E36" s="1721">
        <v>6.1499999999999999E-2</v>
      </c>
      <c r="F36" s="1722">
        <f t="shared" si="1"/>
        <v>0</v>
      </c>
    </row>
    <row r="37" spans="1:6">
      <c r="A37" s="1718" t="s">
        <v>37</v>
      </c>
      <c r="B37" s="2943"/>
      <c r="C37" s="1719" t="s">
        <v>15</v>
      </c>
      <c r="D37" s="1720"/>
      <c r="E37" s="1721">
        <v>7.4999999999999997E-2</v>
      </c>
      <c r="F37" s="1722">
        <f t="shared" si="1"/>
        <v>0</v>
      </c>
    </row>
    <row r="38" spans="1:6">
      <c r="A38" s="1718" t="s">
        <v>38</v>
      </c>
      <c r="B38" s="2943"/>
      <c r="C38" s="1719" t="s">
        <v>17</v>
      </c>
      <c r="D38" s="1720"/>
      <c r="E38" s="1721">
        <v>0.1075</v>
      </c>
      <c r="F38" s="1722">
        <f t="shared" si="1"/>
        <v>0</v>
      </c>
    </row>
    <row r="39" spans="1:6">
      <c r="A39" s="1718" t="s">
        <v>39</v>
      </c>
      <c r="B39" s="2943"/>
      <c r="C39" s="1719" t="s">
        <v>19</v>
      </c>
      <c r="D39" s="1720"/>
      <c r="E39" s="1721">
        <v>0.14000000000000001</v>
      </c>
      <c r="F39" s="1722">
        <f t="shared" si="1"/>
        <v>0</v>
      </c>
    </row>
    <row r="40" spans="1:6">
      <c r="A40" s="1718" t="s">
        <v>40</v>
      </c>
      <c r="B40" s="2943"/>
      <c r="C40" s="1719" t="s">
        <v>21</v>
      </c>
      <c r="D40" s="1720"/>
      <c r="E40" s="1721">
        <v>0.17249999999999999</v>
      </c>
      <c r="F40" s="1722">
        <f t="shared" si="1"/>
        <v>0</v>
      </c>
    </row>
    <row r="41" spans="1:6">
      <c r="A41" s="1718" t="s">
        <v>41</v>
      </c>
      <c r="B41" s="2943"/>
      <c r="C41" s="1719" t="s">
        <v>567</v>
      </c>
      <c r="D41" s="1720"/>
      <c r="E41" s="1721">
        <v>0.2112</v>
      </c>
      <c r="F41" s="1722">
        <f t="shared" si="1"/>
        <v>0</v>
      </c>
    </row>
    <row r="42" spans="1:6">
      <c r="A42" s="1718" t="s">
        <v>42</v>
      </c>
      <c r="B42" s="2944"/>
      <c r="C42" s="1723" t="s">
        <v>568</v>
      </c>
      <c r="D42" s="1724"/>
      <c r="E42" s="2355">
        <v>0.2165</v>
      </c>
      <c r="F42" s="1725">
        <f t="shared" si="1"/>
        <v>0</v>
      </c>
    </row>
    <row r="43" spans="1:6">
      <c r="A43" s="1726" t="s">
        <v>43</v>
      </c>
      <c r="B43" s="2938" t="s">
        <v>3273</v>
      </c>
      <c r="C43" s="2938"/>
      <c r="D43" s="1684">
        <f>SUM(D25:D42)</f>
        <v>0</v>
      </c>
      <c r="E43" s="1679"/>
      <c r="F43" s="1697">
        <f>SUM(F25:F42)</f>
        <v>0</v>
      </c>
    </row>
    <row r="44" spans="1:6">
      <c r="A44" s="1726">
        <v>39</v>
      </c>
      <c r="B44" s="2941" t="s">
        <v>3274</v>
      </c>
      <c r="C44" s="2941"/>
      <c r="D44" s="1729"/>
      <c r="E44" s="1730"/>
      <c r="F44" s="1731"/>
    </row>
    <row r="45" spans="1:6">
      <c r="A45" s="1718">
        <v>40</v>
      </c>
      <c r="B45" s="2942" t="s">
        <v>3284</v>
      </c>
      <c r="C45" s="1714" t="s">
        <v>0</v>
      </c>
      <c r="D45" s="1715"/>
      <c r="E45" s="1728">
        <v>0</v>
      </c>
      <c r="F45" s="1717">
        <f t="shared" ref="F45:F62" si="2">ROUND(D45*E45,0)</f>
        <v>0</v>
      </c>
    </row>
    <row r="46" spans="1:6">
      <c r="A46" s="1718">
        <v>41</v>
      </c>
      <c r="B46" s="2943"/>
      <c r="C46" s="1719" t="s">
        <v>1</v>
      </c>
      <c r="D46" s="1720"/>
      <c r="E46" s="1721">
        <v>0</v>
      </c>
      <c r="F46" s="1722">
        <f t="shared" si="2"/>
        <v>0</v>
      </c>
    </row>
    <row r="47" spans="1:6">
      <c r="A47" s="1718">
        <v>42</v>
      </c>
      <c r="B47" s="2943"/>
      <c r="C47" s="1719" t="s">
        <v>2</v>
      </c>
      <c r="D47" s="1720"/>
      <c r="E47" s="1721">
        <v>3.0999999999999999E-3</v>
      </c>
      <c r="F47" s="1722">
        <f t="shared" si="2"/>
        <v>0</v>
      </c>
    </row>
    <row r="48" spans="1:6">
      <c r="A48" s="1718">
        <v>43</v>
      </c>
      <c r="B48" s="2943"/>
      <c r="C48" s="1719" t="s">
        <v>3</v>
      </c>
      <c r="D48" s="1720"/>
      <c r="E48" s="1721">
        <v>6.1999999999999998E-3</v>
      </c>
      <c r="F48" s="1722">
        <f t="shared" si="2"/>
        <v>0</v>
      </c>
    </row>
    <row r="49" spans="1:6">
      <c r="A49" s="1718">
        <v>44</v>
      </c>
      <c r="B49" s="2943"/>
      <c r="C49" s="1719" t="s">
        <v>4</v>
      </c>
      <c r="D49" s="1720"/>
      <c r="E49" s="1721">
        <v>7.4000000000000003E-3</v>
      </c>
      <c r="F49" s="1722">
        <f t="shared" si="2"/>
        <v>0</v>
      </c>
    </row>
    <row r="50" spans="1:6">
      <c r="A50" s="1718">
        <v>45</v>
      </c>
      <c r="B50" s="2943"/>
      <c r="C50" s="1719" t="s">
        <v>5</v>
      </c>
      <c r="D50" s="1720"/>
      <c r="E50" s="1721">
        <v>8.6E-3</v>
      </c>
      <c r="F50" s="1722">
        <f t="shared" si="2"/>
        <v>0</v>
      </c>
    </row>
    <row r="51" spans="1:6">
      <c r="A51" s="1718">
        <v>46</v>
      </c>
      <c r="B51" s="2943"/>
      <c r="C51" s="1719" t="s">
        <v>6</v>
      </c>
      <c r="D51" s="1720"/>
      <c r="E51" s="1721">
        <v>9.7999999999999997E-3</v>
      </c>
      <c r="F51" s="1722">
        <f t="shared" si="2"/>
        <v>0</v>
      </c>
    </row>
    <row r="52" spans="1:6">
      <c r="A52" s="1718">
        <v>47</v>
      </c>
      <c r="B52" s="2943"/>
      <c r="C52" s="1719" t="s">
        <v>7</v>
      </c>
      <c r="D52" s="1720"/>
      <c r="E52" s="1721">
        <v>1.7999999999999999E-2</v>
      </c>
      <c r="F52" s="1722">
        <f t="shared" si="2"/>
        <v>0</v>
      </c>
    </row>
    <row r="53" spans="1:6">
      <c r="A53" s="1718">
        <v>48</v>
      </c>
      <c r="B53" s="2943"/>
      <c r="C53" s="1719" t="s">
        <v>8</v>
      </c>
      <c r="D53" s="1720"/>
      <c r="E53" s="1721">
        <v>2.63E-2</v>
      </c>
      <c r="F53" s="1722">
        <f t="shared" si="2"/>
        <v>0</v>
      </c>
    </row>
    <row r="54" spans="1:6">
      <c r="A54" s="1718">
        <v>49</v>
      </c>
      <c r="B54" s="2943"/>
      <c r="C54" s="1719" t="s">
        <v>9</v>
      </c>
      <c r="D54" s="1720"/>
      <c r="E54" s="1721">
        <v>3.4500000000000003E-2</v>
      </c>
      <c r="F54" s="1722">
        <f t="shared" si="2"/>
        <v>0</v>
      </c>
    </row>
    <row r="55" spans="1:6">
      <c r="A55" s="1718">
        <v>50</v>
      </c>
      <c r="B55" s="2943"/>
      <c r="C55" s="1719" t="s">
        <v>11</v>
      </c>
      <c r="D55" s="1720"/>
      <c r="E55" s="1721">
        <v>4.8000000000000001E-2</v>
      </c>
      <c r="F55" s="1722">
        <f t="shared" si="2"/>
        <v>0</v>
      </c>
    </row>
    <row r="56" spans="1:6">
      <c r="A56" s="1718">
        <v>51</v>
      </c>
      <c r="B56" s="2943"/>
      <c r="C56" s="1719" t="s">
        <v>13</v>
      </c>
      <c r="D56" s="1720"/>
      <c r="E56" s="1721">
        <v>6.1499999999999999E-2</v>
      </c>
      <c r="F56" s="1722">
        <f t="shared" si="2"/>
        <v>0</v>
      </c>
    </row>
    <row r="57" spans="1:6">
      <c r="A57" s="1718">
        <v>52</v>
      </c>
      <c r="B57" s="2943"/>
      <c r="C57" s="1719" t="s">
        <v>15</v>
      </c>
      <c r="D57" s="1720"/>
      <c r="E57" s="1721">
        <v>7.4999999999999997E-2</v>
      </c>
      <c r="F57" s="1722">
        <f t="shared" si="2"/>
        <v>0</v>
      </c>
    </row>
    <row r="58" spans="1:6">
      <c r="A58" s="1718">
        <v>53</v>
      </c>
      <c r="B58" s="2943"/>
      <c r="C58" s="1719" t="s">
        <v>17</v>
      </c>
      <c r="D58" s="1720"/>
      <c r="E58" s="1721">
        <v>0.1075</v>
      </c>
      <c r="F58" s="1722">
        <f t="shared" si="2"/>
        <v>0</v>
      </c>
    </row>
    <row r="59" spans="1:6">
      <c r="A59" s="1718">
        <v>54</v>
      </c>
      <c r="B59" s="2943"/>
      <c r="C59" s="1719" t="s">
        <v>19</v>
      </c>
      <c r="D59" s="1720"/>
      <c r="E59" s="1721">
        <v>0.14000000000000001</v>
      </c>
      <c r="F59" s="1722">
        <f t="shared" si="2"/>
        <v>0</v>
      </c>
    </row>
    <row r="60" spans="1:6">
      <c r="A60" s="1718">
        <v>55</v>
      </c>
      <c r="B60" s="2943"/>
      <c r="C60" s="1719" t="s">
        <v>21</v>
      </c>
      <c r="D60" s="1720"/>
      <c r="E60" s="1721">
        <v>0.17249999999999999</v>
      </c>
      <c r="F60" s="1722">
        <f t="shared" si="2"/>
        <v>0</v>
      </c>
    </row>
    <row r="61" spans="1:6">
      <c r="A61" s="1718">
        <v>56</v>
      </c>
      <c r="B61" s="2943"/>
      <c r="C61" s="1719" t="s">
        <v>567</v>
      </c>
      <c r="D61" s="1720"/>
      <c r="E61" s="1721">
        <v>0.2112</v>
      </c>
      <c r="F61" s="1722">
        <f t="shared" si="2"/>
        <v>0</v>
      </c>
    </row>
    <row r="62" spans="1:6">
      <c r="A62" s="1718">
        <v>57</v>
      </c>
      <c r="B62" s="2944"/>
      <c r="C62" s="1723" t="s">
        <v>568</v>
      </c>
      <c r="D62" s="1724"/>
      <c r="E62" s="2355">
        <v>0.2165</v>
      </c>
      <c r="F62" s="1725">
        <f t="shared" si="2"/>
        <v>0</v>
      </c>
    </row>
    <row r="63" spans="1:6">
      <c r="A63" s="1726">
        <v>58</v>
      </c>
      <c r="B63" s="2938" t="s">
        <v>3275</v>
      </c>
      <c r="C63" s="2938"/>
      <c r="D63" s="1684">
        <f>SUM(D45:D62)</f>
        <v>0</v>
      </c>
      <c r="E63" s="1679"/>
      <c r="F63" s="1697">
        <f>SUM(F45:F62)</f>
        <v>0</v>
      </c>
    </row>
    <row r="64" spans="1:6">
      <c r="A64" s="1718">
        <v>59</v>
      </c>
      <c r="B64" s="2942" t="s">
        <v>3276</v>
      </c>
      <c r="C64" s="1714" t="s">
        <v>0</v>
      </c>
      <c r="D64" s="1715"/>
      <c r="E64" s="1728">
        <v>0</v>
      </c>
      <c r="F64" s="1717">
        <f t="shared" ref="F64:F81" si="3">ROUND(D64*E64,0)</f>
        <v>0</v>
      </c>
    </row>
    <row r="65" spans="1:6">
      <c r="A65" s="1718">
        <v>60</v>
      </c>
      <c r="B65" s="2943"/>
      <c r="C65" s="1719" t="s">
        <v>1</v>
      </c>
      <c r="D65" s="1720"/>
      <c r="E65" s="1721">
        <v>0</v>
      </c>
      <c r="F65" s="1722">
        <f t="shared" si="3"/>
        <v>0</v>
      </c>
    </row>
    <row r="66" spans="1:6">
      <c r="A66" s="1718">
        <v>61</v>
      </c>
      <c r="B66" s="2943"/>
      <c r="C66" s="1719" t="s">
        <v>2</v>
      </c>
      <c r="D66" s="1720"/>
      <c r="E66" s="1721">
        <v>3.0999999999999999E-3</v>
      </c>
      <c r="F66" s="1722">
        <f t="shared" si="3"/>
        <v>0</v>
      </c>
    </row>
    <row r="67" spans="1:6">
      <c r="A67" s="1718">
        <v>62</v>
      </c>
      <c r="B67" s="2943"/>
      <c r="C67" s="1719" t="s">
        <v>3</v>
      </c>
      <c r="D67" s="1720"/>
      <c r="E67" s="1721">
        <v>6.1999999999999998E-3</v>
      </c>
      <c r="F67" s="1722">
        <f t="shared" si="3"/>
        <v>0</v>
      </c>
    </row>
    <row r="68" spans="1:6">
      <c r="A68" s="1718">
        <v>63</v>
      </c>
      <c r="B68" s="2943"/>
      <c r="C68" s="1719" t="s">
        <v>4</v>
      </c>
      <c r="D68" s="1720"/>
      <c r="E68" s="1721">
        <v>7.4000000000000003E-3</v>
      </c>
      <c r="F68" s="1722">
        <f t="shared" si="3"/>
        <v>0</v>
      </c>
    </row>
    <row r="69" spans="1:6">
      <c r="A69" s="1718">
        <v>64</v>
      </c>
      <c r="B69" s="2943"/>
      <c r="C69" s="1719" t="s">
        <v>5</v>
      </c>
      <c r="D69" s="1720"/>
      <c r="E69" s="1721">
        <v>8.6E-3</v>
      </c>
      <c r="F69" s="1722">
        <f t="shared" si="3"/>
        <v>0</v>
      </c>
    </row>
    <row r="70" spans="1:6">
      <c r="A70" s="1718">
        <v>65</v>
      </c>
      <c r="B70" s="2943"/>
      <c r="C70" s="1719" t="s">
        <v>6</v>
      </c>
      <c r="D70" s="1720"/>
      <c r="E70" s="1721">
        <v>9.7999999999999997E-3</v>
      </c>
      <c r="F70" s="1722">
        <f t="shared" si="3"/>
        <v>0</v>
      </c>
    </row>
    <row r="71" spans="1:6">
      <c r="A71" s="1718">
        <v>66</v>
      </c>
      <c r="B71" s="2943"/>
      <c r="C71" s="1719" t="s">
        <v>7</v>
      </c>
      <c r="D71" s="1720"/>
      <c r="E71" s="1721">
        <v>1.7999999999999999E-2</v>
      </c>
      <c r="F71" s="1722">
        <f t="shared" si="3"/>
        <v>0</v>
      </c>
    </row>
    <row r="72" spans="1:6">
      <c r="A72" s="1718">
        <v>67</v>
      </c>
      <c r="B72" s="2943"/>
      <c r="C72" s="1719" t="s">
        <v>8</v>
      </c>
      <c r="D72" s="1720"/>
      <c r="E72" s="1721">
        <v>2.63E-2</v>
      </c>
      <c r="F72" s="1722">
        <f t="shared" si="3"/>
        <v>0</v>
      </c>
    </row>
    <row r="73" spans="1:6">
      <c r="A73" s="1718">
        <v>68</v>
      </c>
      <c r="B73" s="2943"/>
      <c r="C73" s="1719" t="s">
        <v>9</v>
      </c>
      <c r="D73" s="1720"/>
      <c r="E73" s="1721">
        <v>3.4500000000000003E-2</v>
      </c>
      <c r="F73" s="1722">
        <f t="shared" si="3"/>
        <v>0</v>
      </c>
    </row>
    <row r="74" spans="1:6">
      <c r="A74" s="1718">
        <v>69</v>
      </c>
      <c r="B74" s="2943"/>
      <c r="C74" s="1719" t="s">
        <v>11</v>
      </c>
      <c r="D74" s="1720"/>
      <c r="E74" s="1721">
        <v>4.8000000000000001E-2</v>
      </c>
      <c r="F74" s="1722">
        <f t="shared" si="3"/>
        <v>0</v>
      </c>
    </row>
    <row r="75" spans="1:6">
      <c r="A75" s="1718">
        <v>70</v>
      </c>
      <c r="B75" s="2943"/>
      <c r="C75" s="1719" t="s">
        <v>13</v>
      </c>
      <c r="D75" s="1720"/>
      <c r="E75" s="1721">
        <v>6.1499999999999999E-2</v>
      </c>
      <c r="F75" s="1722">
        <f t="shared" si="3"/>
        <v>0</v>
      </c>
    </row>
    <row r="76" spans="1:6">
      <c r="A76" s="1718">
        <v>71</v>
      </c>
      <c r="B76" s="2943"/>
      <c r="C76" s="1719" t="s">
        <v>15</v>
      </c>
      <c r="D76" s="1720"/>
      <c r="E76" s="1721">
        <v>7.4999999999999997E-2</v>
      </c>
      <c r="F76" s="1722">
        <f t="shared" si="3"/>
        <v>0</v>
      </c>
    </row>
    <row r="77" spans="1:6">
      <c r="A77" s="1718">
        <v>72</v>
      </c>
      <c r="B77" s="2943"/>
      <c r="C77" s="1719" t="s">
        <v>17</v>
      </c>
      <c r="D77" s="1720"/>
      <c r="E77" s="1721">
        <v>0.1075</v>
      </c>
      <c r="F77" s="1722">
        <f t="shared" si="3"/>
        <v>0</v>
      </c>
    </row>
    <row r="78" spans="1:6">
      <c r="A78" s="1718">
        <v>73</v>
      </c>
      <c r="B78" s="2943"/>
      <c r="C78" s="1719" t="s">
        <v>19</v>
      </c>
      <c r="D78" s="1720"/>
      <c r="E78" s="1721">
        <v>0.14000000000000001</v>
      </c>
      <c r="F78" s="1722">
        <f t="shared" si="3"/>
        <v>0</v>
      </c>
    </row>
    <row r="79" spans="1:6">
      <c r="A79" s="1718">
        <v>74</v>
      </c>
      <c r="B79" s="2943"/>
      <c r="C79" s="1719" t="s">
        <v>21</v>
      </c>
      <c r="D79" s="1720"/>
      <c r="E79" s="1721">
        <v>0.17249999999999999</v>
      </c>
      <c r="F79" s="1722">
        <f t="shared" si="3"/>
        <v>0</v>
      </c>
    </row>
    <row r="80" spans="1:6">
      <c r="A80" s="1718">
        <v>75</v>
      </c>
      <c r="B80" s="2943"/>
      <c r="C80" s="1719" t="s">
        <v>567</v>
      </c>
      <c r="D80" s="1720"/>
      <c r="E80" s="1721">
        <v>0.2112</v>
      </c>
      <c r="F80" s="1722">
        <f t="shared" si="3"/>
        <v>0</v>
      </c>
    </row>
    <row r="81" spans="1:6">
      <c r="A81" s="1718">
        <v>76</v>
      </c>
      <c r="B81" s="2944"/>
      <c r="C81" s="1723" t="s">
        <v>568</v>
      </c>
      <c r="D81" s="1724"/>
      <c r="E81" s="2355">
        <v>0.2165</v>
      </c>
      <c r="F81" s="1725">
        <f t="shared" si="3"/>
        <v>0</v>
      </c>
    </row>
    <row r="82" spans="1:6">
      <c r="A82" s="1726">
        <v>77</v>
      </c>
      <c r="B82" s="2945" t="s">
        <v>3277</v>
      </c>
      <c r="C82" s="2945"/>
      <c r="D82" s="1732">
        <f>SUM(D64:D81)</f>
        <v>0</v>
      </c>
      <c r="E82" s="1733"/>
      <c r="F82" s="1734">
        <f>SUM(F64:F81)</f>
        <v>0</v>
      </c>
    </row>
    <row r="83" spans="1:6">
      <c r="A83" s="1726">
        <v>78</v>
      </c>
      <c r="B83" s="2938" t="s">
        <v>3278</v>
      </c>
      <c r="C83" s="2938"/>
      <c r="D83" s="1684"/>
      <c r="E83" s="1679"/>
      <c r="F83" s="1697"/>
    </row>
    <row r="84" spans="1:6">
      <c r="A84" s="1726">
        <v>79</v>
      </c>
      <c r="B84" s="2941" t="s">
        <v>3279</v>
      </c>
      <c r="C84" s="2941"/>
      <c r="D84" s="1729"/>
      <c r="E84" s="1730"/>
      <c r="F84" s="1731"/>
    </row>
    <row r="85" spans="1:6">
      <c r="A85" s="1718">
        <v>80</v>
      </c>
      <c r="B85" s="2942" t="s">
        <v>3285</v>
      </c>
      <c r="C85" s="1714" t="s">
        <v>0</v>
      </c>
      <c r="D85" s="1715"/>
      <c r="E85" s="1728">
        <v>3.0999999999999999E-3</v>
      </c>
      <c r="F85" s="1717">
        <f t="shared" ref="F85:F100" si="4">ROUND(D85*E85,0)</f>
        <v>0</v>
      </c>
    </row>
    <row r="86" spans="1:6">
      <c r="A86" s="1718">
        <v>81</v>
      </c>
      <c r="B86" s="2943"/>
      <c r="C86" s="1719" t="s">
        <v>1</v>
      </c>
      <c r="D86" s="1720"/>
      <c r="E86" s="1721">
        <v>6.1999999999999998E-3</v>
      </c>
      <c r="F86" s="1722">
        <f t="shared" si="4"/>
        <v>0</v>
      </c>
    </row>
    <row r="87" spans="1:6">
      <c r="A87" s="1718">
        <v>82</v>
      </c>
      <c r="B87" s="2943"/>
      <c r="C87" s="1719" t="s">
        <v>2</v>
      </c>
      <c r="D87" s="1720"/>
      <c r="E87" s="1721">
        <v>7.4000000000000003E-3</v>
      </c>
      <c r="F87" s="1722">
        <f t="shared" si="4"/>
        <v>0</v>
      </c>
    </row>
    <row r="88" spans="1:6">
      <c r="A88" s="1718">
        <v>83</v>
      </c>
      <c r="B88" s="2943"/>
      <c r="C88" s="1719" t="s">
        <v>3</v>
      </c>
      <c r="D88" s="1720"/>
      <c r="E88" s="1721">
        <v>8.6E-3</v>
      </c>
      <c r="F88" s="1722">
        <f t="shared" si="4"/>
        <v>0</v>
      </c>
    </row>
    <row r="89" spans="1:6">
      <c r="A89" s="1718">
        <v>84</v>
      </c>
      <c r="B89" s="2943"/>
      <c r="C89" s="1719" t="s">
        <v>4</v>
      </c>
      <c r="D89" s="1720"/>
      <c r="E89" s="1721">
        <v>9.7999999999999997E-3</v>
      </c>
      <c r="F89" s="1722">
        <f t="shared" si="4"/>
        <v>0</v>
      </c>
    </row>
    <row r="90" spans="1:6">
      <c r="A90" s="1718">
        <v>85</v>
      </c>
      <c r="B90" s="2943"/>
      <c r="C90" s="1719" t="s">
        <v>5</v>
      </c>
      <c r="D90" s="1720"/>
      <c r="E90" s="1721">
        <v>1.7999999999999999E-2</v>
      </c>
      <c r="F90" s="1722">
        <f t="shared" si="4"/>
        <v>0</v>
      </c>
    </row>
    <row r="91" spans="1:6">
      <c r="A91" s="1718">
        <v>86</v>
      </c>
      <c r="B91" s="2943"/>
      <c r="C91" s="1719" t="s">
        <v>6</v>
      </c>
      <c r="D91" s="1720"/>
      <c r="E91" s="1721">
        <v>2.63E-2</v>
      </c>
      <c r="F91" s="1722">
        <f t="shared" si="4"/>
        <v>0</v>
      </c>
    </row>
    <row r="92" spans="1:6">
      <c r="A92" s="1718">
        <v>87</v>
      </c>
      <c r="B92" s="2943"/>
      <c r="C92" s="1719" t="s">
        <v>7</v>
      </c>
      <c r="D92" s="1720"/>
      <c r="E92" s="1721">
        <v>3.4500000000000003E-2</v>
      </c>
      <c r="F92" s="1722">
        <f t="shared" si="4"/>
        <v>0</v>
      </c>
    </row>
    <row r="93" spans="1:6">
      <c r="A93" s="1718">
        <v>88</v>
      </c>
      <c r="B93" s="2943"/>
      <c r="C93" s="1719" t="s">
        <v>8</v>
      </c>
      <c r="D93" s="1720"/>
      <c r="E93" s="1721">
        <v>4.8000000000000001E-2</v>
      </c>
      <c r="F93" s="1722">
        <f t="shared" si="4"/>
        <v>0</v>
      </c>
    </row>
    <row r="94" spans="1:6">
      <c r="A94" s="1718">
        <v>89</v>
      </c>
      <c r="B94" s="2943"/>
      <c r="C94" s="1719" t="s">
        <v>9</v>
      </c>
      <c r="D94" s="1720"/>
      <c r="E94" s="1721">
        <v>6.1499999999999999E-2</v>
      </c>
      <c r="F94" s="1722">
        <f t="shared" si="4"/>
        <v>0</v>
      </c>
    </row>
    <row r="95" spans="1:6">
      <c r="A95" s="1718">
        <v>90</v>
      </c>
      <c r="B95" s="2943"/>
      <c r="C95" s="1719" t="s">
        <v>11</v>
      </c>
      <c r="D95" s="1720"/>
      <c r="E95" s="1721">
        <v>7.4999999999999997E-2</v>
      </c>
      <c r="F95" s="1722">
        <f t="shared" si="4"/>
        <v>0</v>
      </c>
    </row>
    <row r="96" spans="1:6">
      <c r="A96" s="1718">
        <v>91</v>
      </c>
      <c r="B96" s="2943"/>
      <c r="C96" s="1719" t="s">
        <v>13</v>
      </c>
      <c r="D96" s="1720"/>
      <c r="E96" s="1721">
        <v>0.1075</v>
      </c>
      <c r="F96" s="1722">
        <f t="shared" si="4"/>
        <v>0</v>
      </c>
    </row>
    <row r="97" spans="1:6">
      <c r="A97" s="1718">
        <v>92</v>
      </c>
      <c r="B97" s="2943"/>
      <c r="C97" s="1719" t="s">
        <v>15</v>
      </c>
      <c r="D97" s="1720"/>
      <c r="E97" s="1721">
        <v>0.14000000000000001</v>
      </c>
      <c r="F97" s="1722">
        <f t="shared" si="4"/>
        <v>0</v>
      </c>
    </row>
    <row r="98" spans="1:6">
      <c r="A98" s="1718">
        <v>93</v>
      </c>
      <c r="B98" s="2943"/>
      <c r="C98" s="1719" t="s">
        <v>17</v>
      </c>
      <c r="D98" s="1720"/>
      <c r="E98" s="1721">
        <v>0.17249999999999999</v>
      </c>
      <c r="F98" s="1722">
        <f t="shared" si="4"/>
        <v>0</v>
      </c>
    </row>
    <row r="99" spans="1:6">
      <c r="A99" s="1718">
        <v>94</v>
      </c>
      <c r="B99" s="2943"/>
      <c r="C99" s="1719" t="s">
        <v>19</v>
      </c>
      <c r="D99" s="1720"/>
      <c r="E99" s="1721">
        <v>0.2112</v>
      </c>
      <c r="F99" s="1722">
        <f t="shared" si="4"/>
        <v>0</v>
      </c>
    </row>
    <row r="100" spans="1:6">
      <c r="A100" s="1718">
        <v>95</v>
      </c>
      <c r="B100" s="2944"/>
      <c r="C100" s="1723" t="s">
        <v>21</v>
      </c>
      <c r="D100" s="1724"/>
      <c r="E100" s="2355">
        <v>0.2165</v>
      </c>
      <c r="F100" s="1725">
        <f t="shared" si="4"/>
        <v>0</v>
      </c>
    </row>
    <row r="101" spans="1:6" ht="16.5" customHeight="1">
      <c r="A101" s="1726">
        <v>96</v>
      </c>
      <c r="B101" s="2938" t="s">
        <v>3280</v>
      </c>
      <c r="C101" s="2938"/>
      <c r="D101" s="1684">
        <f>SUM(D85:D100)</f>
        <v>0</v>
      </c>
      <c r="E101" s="1679"/>
      <c r="F101" s="1697">
        <f>SUM(F85:F100)</f>
        <v>0</v>
      </c>
    </row>
    <row r="102" spans="1:6" ht="15.75" customHeight="1">
      <c r="A102" s="1718">
        <v>97</v>
      </c>
      <c r="B102" s="2934" t="s">
        <v>6797</v>
      </c>
      <c r="C102" s="1714" t="s">
        <v>3292</v>
      </c>
      <c r="D102" s="1715"/>
      <c r="E102" s="1728">
        <v>0</v>
      </c>
      <c r="F102" s="1717">
        <f t="shared" ref="F102:F119" si="5">ROUND(D102*E102,0)</f>
        <v>0</v>
      </c>
    </row>
    <row r="103" spans="1:6">
      <c r="A103" s="1718">
        <v>98</v>
      </c>
      <c r="B103" s="2935"/>
      <c r="C103" s="1719" t="s">
        <v>1</v>
      </c>
      <c r="D103" s="1720"/>
      <c r="E103" s="1721">
        <v>0</v>
      </c>
      <c r="F103" s="1722">
        <f t="shared" si="5"/>
        <v>0</v>
      </c>
    </row>
    <row r="104" spans="1:6">
      <c r="A104" s="1718">
        <v>99</v>
      </c>
      <c r="B104" s="2935"/>
      <c r="C104" s="1719" t="s">
        <v>2</v>
      </c>
      <c r="D104" s="1720"/>
      <c r="E104" s="1721">
        <v>3.0999999999999999E-3</v>
      </c>
      <c r="F104" s="1722">
        <f t="shared" si="5"/>
        <v>0</v>
      </c>
    </row>
    <row r="105" spans="1:6">
      <c r="A105" s="1718">
        <v>100</v>
      </c>
      <c r="B105" s="2935"/>
      <c r="C105" s="1719" t="s">
        <v>3</v>
      </c>
      <c r="D105" s="1720"/>
      <c r="E105" s="1721">
        <v>6.1999999999999998E-3</v>
      </c>
      <c r="F105" s="1722">
        <f t="shared" si="5"/>
        <v>0</v>
      </c>
    </row>
    <row r="106" spans="1:6">
      <c r="A106" s="1718">
        <v>101</v>
      </c>
      <c r="B106" s="2935"/>
      <c r="C106" s="1719" t="s">
        <v>4</v>
      </c>
      <c r="D106" s="1720"/>
      <c r="E106" s="1721">
        <v>7.4000000000000003E-3</v>
      </c>
      <c r="F106" s="1722">
        <f t="shared" si="5"/>
        <v>0</v>
      </c>
    </row>
    <row r="107" spans="1:6">
      <c r="A107" s="1718">
        <v>102</v>
      </c>
      <c r="B107" s="2935"/>
      <c r="C107" s="1719" t="s">
        <v>5</v>
      </c>
      <c r="D107" s="1720"/>
      <c r="E107" s="1721">
        <v>8.6E-3</v>
      </c>
      <c r="F107" s="1722">
        <f t="shared" si="5"/>
        <v>0</v>
      </c>
    </row>
    <row r="108" spans="1:6">
      <c r="A108" s="1718">
        <v>103</v>
      </c>
      <c r="B108" s="2935"/>
      <c r="C108" s="1719" t="s">
        <v>6</v>
      </c>
      <c r="D108" s="1720"/>
      <c r="E108" s="1721">
        <v>9.7999999999999997E-3</v>
      </c>
      <c r="F108" s="1722">
        <f t="shared" si="5"/>
        <v>0</v>
      </c>
    </row>
    <row r="109" spans="1:6">
      <c r="A109" s="1718">
        <v>104</v>
      </c>
      <c r="B109" s="2935"/>
      <c r="C109" s="1719" t="s">
        <v>7</v>
      </c>
      <c r="D109" s="1720"/>
      <c r="E109" s="1721">
        <v>1.7999999999999999E-2</v>
      </c>
      <c r="F109" s="1722">
        <f t="shared" si="5"/>
        <v>0</v>
      </c>
    </row>
    <row r="110" spans="1:6">
      <c r="A110" s="1718">
        <v>105</v>
      </c>
      <c r="B110" s="2935"/>
      <c r="C110" s="1719" t="s">
        <v>8</v>
      </c>
      <c r="D110" s="1720"/>
      <c r="E110" s="1721">
        <v>2.63E-2</v>
      </c>
      <c r="F110" s="1722">
        <f t="shared" si="5"/>
        <v>0</v>
      </c>
    </row>
    <row r="111" spans="1:6">
      <c r="A111" s="1718">
        <v>106</v>
      </c>
      <c r="B111" s="2935"/>
      <c r="C111" s="1719" t="s">
        <v>9</v>
      </c>
      <c r="D111" s="1720"/>
      <c r="E111" s="1721">
        <v>3.4500000000000003E-2</v>
      </c>
      <c r="F111" s="1722">
        <f t="shared" si="5"/>
        <v>0</v>
      </c>
    </row>
    <row r="112" spans="1:6">
      <c r="A112" s="1718">
        <v>107</v>
      </c>
      <c r="B112" s="2935"/>
      <c r="C112" s="1719" t="s">
        <v>11</v>
      </c>
      <c r="D112" s="1720"/>
      <c r="E112" s="1721">
        <v>4.8000000000000001E-2</v>
      </c>
      <c r="F112" s="1722">
        <f t="shared" si="5"/>
        <v>0</v>
      </c>
    </row>
    <row r="113" spans="1:7">
      <c r="A113" s="1718">
        <v>108</v>
      </c>
      <c r="B113" s="2935"/>
      <c r="C113" s="1719" t="s">
        <v>13</v>
      </c>
      <c r="D113" s="1720"/>
      <c r="E113" s="1721">
        <v>6.1499999999999999E-2</v>
      </c>
      <c r="F113" s="1722">
        <f t="shared" si="5"/>
        <v>0</v>
      </c>
    </row>
    <row r="114" spans="1:7">
      <c r="A114" s="1718">
        <v>109</v>
      </c>
      <c r="B114" s="2935"/>
      <c r="C114" s="1719" t="s">
        <v>15</v>
      </c>
      <c r="D114" s="1720"/>
      <c r="E114" s="1721">
        <v>7.4999999999999997E-2</v>
      </c>
      <c r="F114" s="1722">
        <f t="shared" si="5"/>
        <v>0</v>
      </c>
    </row>
    <row r="115" spans="1:7">
      <c r="A115" s="1718">
        <v>110</v>
      </c>
      <c r="B115" s="2935"/>
      <c r="C115" s="1719" t="s">
        <v>17</v>
      </c>
      <c r="D115" s="1720"/>
      <c r="E115" s="1721">
        <v>0.1075</v>
      </c>
      <c r="F115" s="1722">
        <f t="shared" si="5"/>
        <v>0</v>
      </c>
    </row>
    <row r="116" spans="1:7">
      <c r="A116" s="1718">
        <v>111</v>
      </c>
      <c r="B116" s="2935"/>
      <c r="C116" s="1719" t="s">
        <v>19</v>
      </c>
      <c r="D116" s="1720"/>
      <c r="E116" s="1721">
        <v>0.14000000000000001</v>
      </c>
      <c r="F116" s="1722">
        <f t="shared" si="5"/>
        <v>0</v>
      </c>
    </row>
    <row r="117" spans="1:7">
      <c r="A117" s="1718">
        <v>112</v>
      </c>
      <c r="B117" s="2935"/>
      <c r="C117" s="1719" t="s">
        <v>21</v>
      </c>
      <c r="D117" s="1720"/>
      <c r="E117" s="1721">
        <v>0.17249999999999999</v>
      </c>
      <c r="F117" s="1722">
        <f t="shared" si="5"/>
        <v>0</v>
      </c>
    </row>
    <row r="118" spans="1:7">
      <c r="A118" s="2356">
        <v>113</v>
      </c>
      <c r="B118" s="2935"/>
      <c r="C118" s="1719" t="s">
        <v>3293</v>
      </c>
      <c r="D118" s="1720"/>
      <c r="E118" s="1721">
        <v>0.2112</v>
      </c>
      <c r="F118" s="1722">
        <f t="shared" si="5"/>
        <v>0</v>
      </c>
    </row>
    <row r="119" spans="1:7">
      <c r="A119" s="2356">
        <v>114</v>
      </c>
      <c r="B119" s="2936"/>
      <c r="C119" s="1723" t="s">
        <v>3294</v>
      </c>
      <c r="D119" s="1724"/>
      <c r="E119" s="2355">
        <v>0.2165</v>
      </c>
      <c r="F119" s="1725">
        <f t="shared" si="5"/>
        <v>0</v>
      </c>
    </row>
    <row r="120" spans="1:7" ht="16.5" thickBot="1">
      <c r="A120" s="2357">
        <v>115</v>
      </c>
      <c r="B120" s="2937" t="s">
        <v>6798</v>
      </c>
      <c r="C120" s="2937"/>
      <c r="D120" s="1703">
        <f>SUM(D102:D119)</f>
        <v>0</v>
      </c>
      <c r="E120" s="2358"/>
      <c r="F120" s="2359">
        <f>SUM(F102:F119)</f>
        <v>0</v>
      </c>
    </row>
    <row r="121" spans="1:7" s="2360" customFormat="1" ht="16.5"/>
    <row r="122" spans="1:7" s="2360" customFormat="1" ht="16.5">
      <c r="A122" s="2361" t="s">
        <v>3295</v>
      </c>
      <c r="B122" s="1634" t="s">
        <v>6799</v>
      </c>
    </row>
    <row r="123" spans="1:7" s="2360" customFormat="1" ht="16.5">
      <c r="A123" s="2361"/>
      <c r="B123" s="2362" t="s">
        <v>3296</v>
      </c>
      <c r="G123" s="2363"/>
    </row>
    <row r="124" spans="1:7" s="2360" customFormat="1" ht="16.5">
      <c r="A124" s="2361" t="s">
        <v>3235</v>
      </c>
      <c r="B124" s="2362" t="s">
        <v>6800</v>
      </c>
      <c r="F124" s="2364" t="str">
        <f>IF(+D24+D43+D44+'表30-3'!D11-'表05-1'!G47=0,"","註2檢核錯誤")</f>
        <v/>
      </c>
      <c r="G124" s="2363"/>
    </row>
    <row r="125" spans="1:7" s="2360" customFormat="1" ht="16.5">
      <c r="A125" s="2361" t="s">
        <v>3236</v>
      </c>
      <c r="B125" s="2362" t="s">
        <v>3297</v>
      </c>
      <c r="F125" s="2364" t="str">
        <f>IF(+D82+D83+D84-('表05-1'!G20+'表05-1'!G21)=0,"","註3檢核錯誤")</f>
        <v/>
      </c>
      <c r="G125" s="2363"/>
    </row>
    <row r="126" spans="1:7" s="2360" customFormat="1" ht="16.5">
      <c r="A126" s="2361" t="s">
        <v>3256</v>
      </c>
      <c r="B126" s="2362" t="s">
        <v>3298</v>
      </c>
      <c r="F126" s="2364" t="str">
        <f>IF(+D63-'表05-1'!G15=0,"","註4檢核錯誤")</f>
        <v/>
      </c>
      <c r="G126" s="2363"/>
    </row>
    <row r="127" spans="1:7" s="2360" customFormat="1" ht="16.5">
      <c r="A127" s="2361" t="s">
        <v>3257</v>
      </c>
      <c r="B127" s="1708" t="s">
        <v>6801</v>
      </c>
      <c r="F127" s="2364" t="str">
        <f>IF(+D101+'表10-2'!L36-'表05-1'!G45-('表10-4'!G14+'表10-4'!G30)=0,"","註5檢核錯誤")</f>
        <v/>
      </c>
      <c r="G127" s="2363"/>
    </row>
    <row r="128" spans="1:7" s="2360" customFormat="1" ht="16.5">
      <c r="A128" s="2361" t="s">
        <v>3258</v>
      </c>
      <c r="B128" s="2362" t="s">
        <v>3262</v>
      </c>
      <c r="G128" s="2363"/>
    </row>
    <row r="129" spans="1:7" s="2360" customFormat="1" ht="16.5">
      <c r="A129" s="2361" t="s">
        <v>3281</v>
      </c>
      <c r="B129" s="2362" t="s">
        <v>3299</v>
      </c>
      <c r="G129" s="2363"/>
    </row>
    <row r="130" spans="1:7" s="2360" customFormat="1" ht="16.5">
      <c r="A130" s="2365"/>
      <c r="B130" s="2366" t="s">
        <v>6802</v>
      </c>
      <c r="G130" s="1770"/>
    </row>
    <row r="131" spans="1:7" s="2360" customFormat="1" ht="16.5">
      <c r="A131" s="2367" t="s">
        <v>6803</v>
      </c>
      <c r="B131" s="2368" t="s">
        <v>6804</v>
      </c>
      <c r="F131" s="2364" t="str">
        <f>IF(D120-'表30-8-7'!F35=0,"","註8檢核錯誤")</f>
        <v/>
      </c>
      <c r="G131" s="2363"/>
    </row>
  </sheetData>
  <mergeCells count="20">
    <mergeCell ref="A3:A5"/>
    <mergeCell ref="B24:C24"/>
    <mergeCell ref="B45:B62"/>
    <mergeCell ref="B3:B4"/>
    <mergeCell ref="B25:B42"/>
    <mergeCell ref="F3:F4"/>
    <mergeCell ref="B102:B119"/>
    <mergeCell ref="B120:C120"/>
    <mergeCell ref="B101:C101"/>
    <mergeCell ref="D3:D4"/>
    <mergeCell ref="E3:E4"/>
    <mergeCell ref="B83:C83"/>
    <mergeCell ref="B84:C84"/>
    <mergeCell ref="B63:C63"/>
    <mergeCell ref="B64:B81"/>
    <mergeCell ref="B82:C82"/>
    <mergeCell ref="B85:B100"/>
    <mergeCell ref="B44:C44"/>
    <mergeCell ref="B43:C43"/>
    <mergeCell ref="B6:B23"/>
  </mergeCells>
  <phoneticPr fontId="29" type="noConversion"/>
  <printOptions horizontalCentered="1"/>
  <pageMargins left="0.39370078740157483" right="0.19685039370078741" top="0.39370078740157483" bottom="0.39370078740157483" header="0" footer="0.19685039370078741"/>
  <pageSetup paperSize="9" scale="44" orientation="portrait" horizontalDpi="4294967295" verticalDpi="4294967295" r:id="rId1"/>
  <headerFooter alignWithMargins="0">
    <oddFooter>&amp;C&amp;P+142&amp;R&amp;"Times New Roman,標準"&amp;A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J127"/>
  <sheetViews>
    <sheetView zoomScaleNormal="100" workbookViewId="0">
      <selection activeCell="F35" sqref="F35"/>
    </sheetView>
  </sheetViews>
  <sheetFormatPr defaultColWidth="15.625" defaultRowHeight="15.75"/>
  <cols>
    <col min="1" max="1" width="4.75" style="1347" customWidth="1"/>
    <col min="2" max="2" width="25.125" style="1347" customWidth="1"/>
    <col min="3" max="3" width="18.75" style="1347" customWidth="1"/>
    <col min="4" max="5" width="20.625" style="1347" customWidth="1"/>
    <col min="6" max="6" width="15.125" style="1347" customWidth="1"/>
    <col min="7" max="8" width="20.625" style="1347" customWidth="1"/>
    <col min="9" max="16384" width="15.625" style="1347"/>
  </cols>
  <sheetData>
    <row r="1" spans="1:8" ht="16.5">
      <c r="A1" s="2403" t="s">
        <v>7067</v>
      </c>
    </row>
    <row r="2" spans="1:8" ht="17.25" thickBot="1">
      <c r="A2" s="1651" t="s">
        <v>3246</v>
      </c>
      <c r="B2" s="1654"/>
      <c r="C2" s="1654"/>
      <c r="D2" s="1655"/>
      <c r="E2" s="1655"/>
      <c r="F2" s="1656"/>
      <c r="G2" s="1654"/>
      <c r="H2" s="1652" t="s">
        <v>3237</v>
      </c>
    </row>
    <row r="3" spans="1:8" ht="16.5" customHeight="1">
      <c r="A3" s="2964" t="s">
        <v>2330</v>
      </c>
      <c r="B3" s="2967" t="s">
        <v>2331</v>
      </c>
      <c r="C3" s="2275" t="s">
        <v>3269</v>
      </c>
      <c r="D3" s="2950" t="s">
        <v>3227</v>
      </c>
      <c r="E3" s="2950"/>
      <c r="F3" s="2961" t="s">
        <v>3240</v>
      </c>
      <c r="G3" s="2950" t="s">
        <v>3270</v>
      </c>
      <c r="H3" s="2963"/>
    </row>
    <row r="4" spans="1:8" ht="16.5">
      <c r="A4" s="2965"/>
      <c r="B4" s="2968"/>
      <c r="C4" s="1657" t="s">
        <v>3271</v>
      </c>
      <c r="D4" s="1657" t="s">
        <v>3243</v>
      </c>
      <c r="E4" s="1657" t="s">
        <v>3244</v>
      </c>
      <c r="F4" s="2962"/>
      <c r="G4" s="1657" t="s">
        <v>3243</v>
      </c>
      <c r="H4" s="1693" t="s">
        <v>3244</v>
      </c>
    </row>
    <row r="5" spans="1:8" ht="15.75" customHeight="1" thickBot="1">
      <c r="A5" s="2966"/>
      <c r="B5" s="1659" t="s">
        <v>179</v>
      </c>
      <c r="C5" s="1659" t="s">
        <v>180</v>
      </c>
      <c r="D5" s="1659" t="s">
        <v>181</v>
      </c>
      <c r="E5" s="1659" t="s">
        <v>182</v>
      </c>
      <c r="F5" s="1659" t="s">
        <v>399</v>
      </c>
      <c r="G5" s="1659" t="s">
        <v>400</v>
      </c>
      <c r="H5" s="1660" t="s">
        <v>127</v>
      </c>
    </row>
    <row r="6" spans="1:8">
      <c r="A6" s="1661">
        <v>1</v>
      </c>
      <c r="B6" s="2951" t="s">
        <v>3247</v>
      </c>
      <c r="C6" s="1662" t="s">
        <v>44</v>
      </c>
      <c r="D6" s="1663"/>
      <c r="E6" s="1663"/>
      <c r="F6" s="1664">
        <v>0</v>
      </c>
      <c r="G6" s="1665">
        <f>D6*F6</f>
        <v>0</v>
      </c>
      <c r="H6" s="1666">
        <f>E6*F6</f>
        <v>0</v>
      </c>
    </row>
    <row r="7" spans="1:8">
      <c r="A7" s="1667">
        <f t="shared" ref="A7:A38" si="0">A6+1</f>
        <v>2</v>
      </c>
      <c r="B7" s="2952"/>
      <c r="C7" s="1668" t="s">
        <v>45</v>
      </c>
      <c r="D7" s="1669"/>
      <c r="E7" s="1669"/>
      <c r="F7" s="1670">
        <v>0</v>
      </c>
      <c r="G7" s="1611">
        <f t="shared" ref="G7:G26" si="1">D7*F7</f>
        <v>0</v>
      </c>
      <c r="H7" s="1671">
        <f t="shared" ref="H7:H26" si="2">E7*F7</f>
        <v>0</v>
      </c>
    </row>
    <row r="8" spans="1:8">
      <c r="A8" s="1667">
        <f t="shared" si="0"/>
        <v>3</v>
      </c>
      <c r="B8" s="2952"/>
      <c r="C8" s="1668" t="s">
        <v>46</v>
      </c>
      <c r="D8" s="1669"/>
      <c r="E8" s="1669"/>
      <c r="F8" s="1670">
        <v>0</v>
      </c>
      <c r="G8" s="1611">
        <f t="shared" si="1"/>
        <v>0</v>
      </c>
      <c r="H8" s="1671">
        <f t="shared" si="2"/>
        <v>0</v>
      </c>
    </row>
    <row r="9" spans="1:8">
      <c r="A9" s="1667">
        <f t="shared" si="0"/>
        <v>4</v>
      </c>
      <c r="B9" s="2952"/>
      <c r="C9" s="1668" t="s">
        <v>47</v>
      </c>
      <c r="D9" s="1669"/>
      <c r="E9" s="1669"/>
      <c r="F9" s="1670">
        <v>0</v>
      </c>
      <c r="G9" s="1611">
        <f t="shared" si="1"/>
        <v>0</v>
      </c>
      <c r="H9" s="1671">
        <f t="shared" si="2"/>
        <v>0</v>
      </c>
    </row>
    <row r="10" spans="1:8">
      <c r="A10" s="1667">
        <f t="shared" si="0"/>
        <v>5</v>
      </c>
      <c r="B10" s="2952"/>
      <c r="C10" s="1668" t="s">
        <v>48</v>
      </c>
      <c r="D10" s="1669"/>
      <c r="E10" s="1669"/>
      <c r="F10" s="1672">
        <v>3.0999999999999999E-3</v>
      </c>
      <c r="G10" s="1611">
        <f t="shared" si="1"/>
        <v>0</v>
      </c>
      <c r="H10" s="1671">
        <f t="shared" si="2"/>
        <v>0</v>
      </c>
    </row>
    <row r="11" spans="1:8">
      <c r="A11" s="1667">
        <f t="shared" si="0"/>
        <v>6</v>
      </c>
      <c r="B11" s="2952"/>
      <c r="C11" s="1668" t="s">
        <v>49</v>
      </c>
      <c r="D11" s="1669"/>
      <c r="E11" s="1669"/>
      <c r="F11" s="1672">
        <v>6.1999999999999998E-3</v>
      </c>
      <c r="G11" s="1611">
        <f t="shared" si="1"/>
        <v>0</v>
      </c>
      <c r="H11" s="1671">
        <f t="shared" si="2"/>
        <v>0</v>
      </c>
    </row>
    <row r="12" spans="1:8">
      <c r="A12" s="1667">
        <f t="shared" si="0"/>
        <v>7</v>
      </c>
      <c r="B12" s="2952"/>
      <c r="C12" s="1668" t="s">
        <v>50</v>
      </c>
      <c r="D12" s="1669"/>
      <c r="E12" s="1669"/>
      <c r="F12" s="1672">
        <v>7.3999999999999995E-3</v>
      </c>
      <c r="G12" s="1611">
        <f t="shared" si="1"/>
        <v>0</v>
      </c>
      <c r="H12" s="1671">
        <f t="shared" si="2"/>
        <v>0</v>
      </c>
    </row>
    <row r="13" spans="1:8">
      <c r="A13" s="1667">
        <f t="shared" si="0"/>
        <v>8</v>
      </c>
      <c r="B13" s="2952"/>
      <c r="C13" s="1668" t="s">
        <v>51</v>
      </c>
      <c r="D13" s="1669"/>
      <c r="E13" s="1669"/>
      <c r="F13" s="1672">
        <v>8.6E-3</v>
      </c>
      <c r="G13" s="1611">
        <f t="shared" si="1"/>
        <v>0</v>
      </c>
      <c r="H13" s="1671">
        <f t="shared" si="2"/>
        <v>0</v>
      </c>
    </row>
    <row r="14" spans="1:8">
      <c r="A14" s="1667">
        <f t="shared" si="0"/>
        <v>9</v>
      </c>
      <c r="B14" s="2952"/>
      <c r="C14" s="1668" t="s">
        <v>52</v>
      </c>
      <c r="D14" s="1669"/>
      <c r="E14" s="1669"/>
      <c r="F14" s="1672">
        <v>9.7999999999999997E-3</v>
      </c>
      <c r="G14" s="1611">
        <f t="shared" si="1"/>
        <v>0</v>
      </c>
      <c r="H14" s="1671">
        <f t="shared" si="2"/>
        <v>0</v>
      </c>
    </row>
    <row r="15" spans="1:8">
      <c r="A15" s="1667">
        <f t="shared" si="0"/>
        <v>10</v>
      </c>
      <c r="B15" s="2952"/>
      <c r="C15" s="1668" t="s">
        <v>53</v>
      </c>
      <c r="D15" s="1669"/>
      <c r="E15" s="1669"/>
      <c r="F15" s="1694">
        <v>1.8033333333333332E-2</v>
      </c>
      <c r="G15" s="1611">
        <f t="shared" si="1"/>
        <v>0</v>
      </c>
      <c r="H15" s="1671">
        <f t="shared" si="2"/>
        <v>0</v>
      </c>
    </row>
    <row r="16" spans="1:8">
      <c r="A16" s="1667">
        <f t="shared" si="0"/>
        <v>11</v>
      </c>
      <c r="B16" s="2952"/>
      <c r="C16" s="1668" t="s">
        <v>54</v>
      </c>
      <c r="D16" s="1669"/>
      <c r="E16" s="1669"/>
      <c r="F16" s="1694">
        <v>2.6266666666666667E-2</v>
      </c>
      <c r="G16" s="1611">
        <f t="shared" si="1"/>
        <v>0</v>
      </c>
      <c r="H16" s="1671">
        <f t="shared" si="2"/>
        <v>0</v>
      </c>
    </row>
    <row r="17" spans="1:8">
      <c r="A17" s="1667">
        <f t="shared" si="0"/>
        <v>12</v>
      </c>
      <c r="B17" s="2952"/>
      <c r="C17" s="1668" t="s">
        <v>55</v>
      </c>
      <c r="D17" s="1669"/>
      <c r="E17" s="1669"/>
      <c r="F17" s="1672">
        <v>3.4500000000000003E-2</v>
      </c>
      <c r="G17" s="1611">
        <f t="shared" si="1"/>
        <v>0</v>
      </c>
      <c r="H17" s="1671">
        <f t="shared" si="2"/>
        <v>0</v>
      </c>
    </row>
    <row r="18" spans="1:8">
      <c r="A18" s="1667">
        <f t="shared" si="0"/>
        <v>13</v>
      </c>
      <c r="B18" s="2952"/>
      <c r="C18" s="1668" t="s">
        <v>3263</v>
      </c>
      <c r="D18" s="1669"/>
      <c r="E18" s="1669"/>
      <c r="F18" s="1672">
        <v>4.8000000000000001E-2</v>
      </c>
      <c r="G18" s="1611">
        <f t="shared" si="1"/>
        <v>0</v>
      </c>
      <c r="H18" s="1671">
        <f t="shared" si="2"/>
        <v>0</v>
      </c>
    </row>
    <row r="19" spans="1:8">
      <c r="A19" s="1667">
        <f t="shared" si="0"/>
        <v>14</v>
      </c>
      <c r="B19" s="2952"/>
      <c r="C19" s="1668" t="s">
        <v>56</v>
      </c>
      <c r="D19" s="1669"/>
      <c r="E19" s="1669"/>
      <c r="F19" s="1672">
        <v>6.1499999999999999E-2</v>
      </c>
      <c r="G19" s="1611">
        <f t="shared" si="1"/>
        <v>0</v>
      </c>
      <c r="H19" s="1671">
        <f t="shared" si="2"/>
        <v>0</v>
      </c>
    </row>
    <row r="20" spans="1:8">
      <c r="A20" s="1667">
        <f t="shared" si="0"/>
        <v>15</v>
      </c>
      <c r="B20" s="2952"/>
      <c r="C20" s="1668" t="s">
        <v>57</v>
      </c>
      <c r="D20" s="1669"/>
      <c r="E20" s="1669"/>
      <c r="F20" s="1672">
        <v>7.4999999999999997E-2</v>
      </c>
      <c r="G20" s="1611">
        <f t="shared" si="1"/>
        <v>0</v>
      </c>
      <c r="H20" s="1671">
        <f t="shared" si="2"/>
        <v>0</v>
      </c>
    </row>
    <row r="21" spans="1:8">
      <c r="A21" s="1667">
        <f t="shared" si="0"/>
        <v>16</v>
      </c>
      <c r="B21" s="2952"/>
      <c r="C21" s="1668" t="s">
        <v>58</v>
      </c>
      <c r="D21" s="1669"/>
      <c r="E21" s="1669"/>
      <c r="F21" s="1672">
        <v>0.1075</v>
      </c>
      <c r="G21" s="1611">
        <f t="shared" si="1"/>
        <v>0</v>
      </c>
      <c r="H21" s="1671">
        <f t="shared" si="2"/>
        <v>0</v>
      </c>
    </row>
    <row r="22" spans="1:8">
      <c r="A22" s="1667">
        <f t="shared" si="0"/>
        <v>17</v>
      </c>
      <c r="B22" s="2952"/>
      <c r="C22" s="1668" t="s">
        <v>59</v>
      </c>
      <c r="D22" s="1669"/>
      <c r="E22" s="1669"/>
      <c r="F22" s="1672">
        <v>0.14000000000000001</v>
      </c>
      <c r="G22" s="1611">
        <f t="shared" si="1"/>
        <v>0</v>
      </c>
      <c r="H22" s="1671">
        <f t="shared" si="2"/>
        <v>0</v>
      </c>
    </row>
    <row r="23" spans="1:8">
      <c r="A23" s="1667">
        <f t="shared" si="0"/>
        <v>18</v>
      </c>
      <c r="B23" s="2952"/>
      <c r="C23" s="1668" t="s">
        <v>60</v>
      </c>
      <c r="D23" s="1669"/>
      <c r="E23" s="1669"/>
      <c r="F23" s="1672">
        <v>0.17249999999999999</v>
      </c>
      <c r="G23" s="1611">
        <f t="shared" si="1"/>
        <v>0</v>
      </c>
      <c r="H23" s="1671">
        <f t="shared" si="2"/>
        <v>0</v>
      </c>
    </row>
    <row r="24" spans="1:8">
      <c r="A24" s="1667">
        <f t="shared" si="0"/>
        <v>19</v>
      </c>
      <c r="B24" s="2952"/>
      <c r="C24" s="1668" t="s">
        <v>61</v>
      </c>
      <c r="D24" s="1669"/>
      <c r="E24" s="1669"/>
      <c r="F24" s="1672">
        <v>0.2112</v>
      </c>
      <c r="G24" s="1611">
        <f t="shared" si="1"/>
        <v>0</v>
      </c>
      <c r="H24" s="1671">
        <f t="shared" si="2"/>
        <v>0</v>
      </c>
    </row>
    <row r="25" spans="1:8">
      <c r="A25" s="1667">
        <f t="shared" si="0"/>
        <v>20</v>
      </c>
      <c r="B25" s="2952"/>
      <c r="C25" s="1668" t="s">
        <v>62</v>
      </c>
      <c r="D25" s="1669"/>
      <c r="E25" s="1669"/>
      <c r="F25" s="1672">
        <v>0.25</v>
      </c>
      <c r="G25" s="1611">
        <f t="shared" si="1"/>
        <v>0</v>
      </c>
      <c r="H25" s="1671">
        <f t="shared" si="2"/>
        <v>0</v>
      </c>
    </row>
    <row r="26" spans="1:8">
      <c r="A26" s="1667">
        <f t="shared" si="0"/>
        <v>21</v>
      </c>
      <c r="B26" s="2953"/>
      <c r="C26" s="1673" t="s">
        <v>3264</v>
      </c>
      <c r="D26" s="1674"/>
      <c r="E26" s="1674"/>
      <c r="F26" s="1683">
        <v>0.28870000000000001</v>
      </c>
      <c r="G26" s="1675">
        <f t="shared" si="1"/>
        <v>0</v>
      </c>
      <c r="H26" s="1676">
        <f t="shared" si="2"/>
        <v>0</v>
      </c>
    </row>
    <row r="27" spans="1:8">
      <c r="A27" s="1677">
        <f t="shared" si="0"/>
        <v>22</v>
      </c>
      <c r="B27" s="2954" t="s">
        <v>3245</v>
      </c>
      <c r="C27" s="2954"/>
      <c r="D27" s="1678">
        <f>SUM(D6:D26)</f>
        <v>0</v>
      </c>
      <c r="E27" s="1678">
        <f>SUM(E6:E26)</f>
        <v>0</v>
      </c>
      <c r="F27" s="1679"/>
      <c r="G27" s="1678">
        <f>SUM(G6:G26)</f>
        <v>0</v>
      </c>
      <c r="H27" s="1680">
        <f>SUM(H6:H26)</f>
        <v>0</v>
      </c>
    </row>
    <row r="28" spans="1:8">
      <c r="A28" s="1681">
        <f t="shared" si="0"/>
        <v>23</v>
      </c>
      <c r="B28" s="2951" t="s">
        <v>3248</v>
      </c>
      <c r="C28" s="1662" t="s">
        <v>44</v>
      </c>
      <c r="D28" s="1663"/>
      <c r="E28" s="1663"/>
      <c r="F28" s="1664">
        <v>0</v>
      </c>
      <c r="G28" s="1665">
        <f>D28*F28</f>
        <v>0</v>
      </c>
      <c r="H28" s="1666">
        <f>E28*F28</f>
        <v>0</v>
      </c>
    </row>
    <row r="29" spans="1:8">
      <c r="A29" s="1681">
        <f t="shared" si="0"/>
        <v>24</v>
      </c>
      <c r="B29" s="2952"/>
      <c r="C29" s="1668" t="s">
        <v>45</v>
      </c>
      <c r="D29" s="1669"/>
      <c r="E29" s="1669"/>
      <c r="F29" s="1670">
        <v>0</v>
      </c>
      <c r="G29" s="1611">
        <f t="shared" ref="G29:G48" si="3">D29*F29</f>
        <v>0</v>
      </c>
      <c r="H29" s="1671">
        <f t="shared" ref="H29:H48" si="4">E29*F29</f>
        <v>0</v>
      </c>
    </row>
    <row r="30" spans="1:8">
      <c r="A30" s="1681">
        <f t="shared" si="0"/>
        <v>25</v>
      </c>
      <c r="B30" s="2952"/>
      <c r="C30" s="1668" t="s">
        <v>46</v>
      </c>
      <c r="D30" s="1669"/>
      <c r="E30" s="1669"/>
      <c r="F30" s="1670">
        <v>0</v>
      </c>
      <c r="G30" s="1611">
        <f t="shared" si="3"/>
        <v>0</v>
      </c>
      <c r="H30" s="1671">
        <f t="shared" si="4"/>
        <v>0</v>
      </c>
    </row>
    <row r="31" spans="1:8">
      <c r="A31" s="1681">
        <f t="shared" si="0"/>
        <v>26</v>
      </c>
      <c r="B31" s="2952"/>
      <c r="C31" s="1668" t="s">
        <v>47</v>
      </c>
      <c r="D31" s="1669"/>
      <c r="E31" s="1669"/>
      <c r="F31" s="1670">
        <v>0</v>
      </c>
      <c r="G31" s="1611">
        <f t="shared" si="3"/>
        <v>0</v>
      </c>
      <c r="H31" s="1671">
        <f t="shared" si="4"/>
        <v>0</v>
      </c>
    </row>
    <row r="32" spans="1:8">
      <c r="A32" s="1681">
        <f t="shared" si="0"/>
        <v>27</v>
      </c>
      <c r="B32" s="2952"/>
      <c r="C32" s="1668" t="s">
        <v>48</v>
      </c>
      <c r="D32" s="1669"/>
      <c r="E32" s="1669"/>
      <c r="F32" s="1672">
        <v>3.0999999999999999E-3</v>
      </c>
      <c r="G32" s="1611">
        <f t="shared" si="3"/>
        <v>0</v>
      </c>
      <c r="H32" s="1671">
        <f t="shared" si="4"/>
        <v>0</v>
      </c>
    </row>
    <row r="33" spans="1:8">
      <c r="A33" s="1681">
        <f t="shared" si="0"/>
        <v>28</v>
      </c>
      <c r="B33" s="2952"/>
      <c r="C33" s="1668" t="s">
        <v>49</v>
      </c>
      <c r="D33" s="1669"/>
      <c r="E33" s="1669"/>
      <c r="F33" s="1672">
        <v>6.1999999999999998E-3</v>
      </c>
      <c r="G33" s="1611">
        <f t="shared" si="3"/>
        <v>0</v>
      </c>
      <c r="H33" s="1671">
        <f t="shared" si="4"/>
        <v>0</v>
      </c>
    </row>
    <row r="34" spans="1:8">
      <c r="A34" s="1681">
        <f t="shared" si="0"/>
        <v>29</v>
      </c>
      <c r="B34" s="2952"/>
      <c r="C34" s="1668" t="s">
        <v>50</v>
      </c>
      <c r="D34" s="1669"/>
      <c r="E34" s="1669"/>
      <c r="F34" s="1672">
        <v>7.3999999999999995E-3</v>
      </c>
      <c r="G34" s="1611">
        <f t="shared" si="3"/>
        <v>0</v>
      </c>
      <c r="H34" s="1671">
        <f t="shared" si="4"/>
        <v>0</v>
      </c>
    </row>
    <row r="35" spans="1:8">
      <c r="A35" s="1681">
        <f t="shared" si="0"/>
        <v>30</v>
      </c>
      <c r="B35" s="2952"/>
      <c r="C35" s="1668" t="s">
        <v>51</v>
      </c>
      <c r="D35" s="1669"/>
      <c r="E35" s="1669"/>
      <c r="F35" s="1672">
        <v>8.6E-3</v>
      </c>
      <c r="G35" s="1611">
        <f t="shared" si="3"/>
        <v>0</v>
      </c>
      <c r="H35" s="1671">
        <f t="shared" si="4"/>
        <v>0</v>
      </c>
    </row>
    <row r="36" spans="1:8">
      <c r="A36" s="1681">
        <f t="shared" si="0"/>
        <v>31</v>
      </c>
      <c r="B36" s="2952"/>
      <c r="C36" s="1668" t="s">
        <v>52</v>
      </c>
      <c r="D36" s="1669"/>
      <c r="E36" s="1669"/>
      <c r="F36" s="1672">
        <v>9.7999999999999997E-3</v>
      </c>
      <c r="G36" s="1611">
        <f t="shared" si="3"/>
        <v>0</v>
      </c>
      <c r="H36" s="1671">
        <f t="shared" si="4"/>
        <v>0</v>
      </c>
    </row>
    <row r="37" spans="1:8">
      <c r="A37" s="1681">
        <f t="shared" si="0"/>
        <v>32</v>
      </c>
      <c r="B37" s="2952"/>
      <c r="C37" s="1668" t="s">
        <v>53</v>
      </c>
      <c r="D37" s="1669"/>
      <c r="E37" s="1669"/>
      <c r="F37" s="1694">
        <v>1.8033333333333332E-2</v>
      </c>
      <c r="G37" s="1611">
        <f t="shared" si="3"/>
        <v>0</v>
      </c>
      <c r="H37" s="1671">
        <f t="shared" si="4"/>
        <v>0</v>
      </c>
    </row>
    <row r="38" spans="1:8">
      <c r="A38" s="1681">
        <f t="shared" si="0"/>
        <v>33</v>
      </c>
      <c r="B38" s="2952"/>
      <c r="C38" s="1668" t="s">
        <v>54</v>
      </c>
      <c r="D38" s="1669"/>
      <c r="E38" s="1669"/>
      <c r="F38" s="1694">
        <v>2.6266666666666667E-2</v>
      </c>
      <c r="G38" s="1611">
        <f t="shared" si="3"/>
        <v>0</v>
      </c>
      <c r="H38" s="1671">
        <f t="shared" si="4"/>
        <v>0</v>
      </c>
    </row>
    <row r="39" spans="1:8">
      <c r="A39" s="1681">
        <f t="shared" ref="A39:A70" si="5">A38+1</f>
        <v>34</v>
      </c>
      <c r="B39" s="2952"/>
      <c r="C39" s="1668" t="s">
        <v>55</v>
      </c>
      <c r="D39" s="1669"/>
      <c r="E39" s="1669"/>
      <c r="F39" s="1672">
        <v>3.4500000000000003E-2</v>
      </c>
      <c r="G39" s="1611">
        <f t="shared" si="3"/>
        <v>0</v>
      </c>
      <c r="H39" s="1671">
        <f t="shared" si="4"/>
        <v>0</v>
      </c>
    </row>
    <row r="40" spans="1:8">
      <c r="A40" s="1681">
        <f t="shared" si="5"/>
        <v>35</v>
      </c>
      <c r="B40" s="2952"/>
      <c r="C40" s="1668" t="s">
        <v>569</v>
      </c>
      <c r="D40" s="1669"/>
      <c r="E40" s="1669"/>
      <c r="F40" s="1672">
        <v>4.8000000000000001E-2</v>
      </c>
      <c r="G40" s="1611">
        <f t="shared" si="3"/>
        <v>0</v>
      </c>
      <c r="H40" s="1671">
        <f t="shared" si="4"/>
        <v>0</v>
      </c>
    </row>
    <row r="41" spans="1:8">
      <c r="A41" s="1681">
        <f t="shared" si="5"/>
        <v>36</v>
      </c>
      <c r="B41" s="2952"/>
      <c r="C41" s="1668" t="s">
        <v>56</v>
      </c>
      <c r="D41" s="1669"/>
      <c r="E41" s="1669"/>
      <c r="F41" s="1672">
        <v>6.1499999999999999E-2</v>
      </c>
      <c r="G41" s="1611">
        <f t="shared" si="3"/>
        <v>0</v>
      </c>
      <c r="H41" s="1671">
        <f t="shared" si="4"/>
        <v>0</v>
      </c>
    </row>
    <row r="42" spans="1:8">
      <c r="A42" s="1681">
        <f t="shared" si="5"/>
        <v>37</v>
      </c>
      <c r="B42" s="2952"/>
      <c r="C42" s="1668" t="s">
        <v>57</v>
      </c>
      <c r="D42" s="1669"/>
      <c r="E42" s="1669"/>
      <c r="F42" s="1672">
        <v>7.4999999999999997E-2</v>
      </c>
      <c r="G42" s="1611">
        <f t="shared" si="3"/>
        <v>0</v>
      </c>
      <c r="H42" s="1671">
        <f t="shared" si="4"/>
        <v>0</v>
      </c>
    </row>
    <row r="43" spans="1:8">
      <c r="A43" s="1681">
        <f t="shared" si="5"/>
        <v>38</v>
      </c>
      <c r="B43" s="2952"/>
      <c r="C43" s="1668" t="s">
        <v>58</v>
      </c>
      <c r="D43" s="1669"/>
      <c r="E43" s="1669"/>
      <c r="F43" s="1672">
        <v>0.1075</v>
      </c>
      <c r="G43" s="1611">
        <f t="shared" si="3"/>
        <v>0</v>
      </c>
      <c r="H43" s="1671">
        <f t="shared" si="4"/>
        <v>0</v>
      </c>
    </row>
    <row r="44" spans="1:8">
      <c r="A44" s="1681">
        <f t="shared" si="5"/>
        <v>39</v>
      </c>
      <c r="B44" s="2952"/>
      <c r="C44" s="1668" t="s">
        <v>59</v>
      </c>
      <c r="D44" s="1669"/>
      <c r="E44" s="1669"/>
      <c r="F44" s="1672">
        <v>0.14000000000000001</v>
      </c>
      <c r="G44" s="1611">
        <f t="shared" si="3"/>
        <v>0</v>
      </c>
      <c r="H44" s="1671">
        <f t="shared" si="4"/>
        <v>0</v>
      </c>
    </row>
    <row r="45" spans="1:8">
      <c r="A45" s="1681">
        <f t="shared" si="5"/>
        <v>40</v>
      </c>
      <c r="B45" s="2952"/>
      <c r="C45" s="1668" t="s">
        <v>60</v>
      </c>
      <c r="D45" s="1669"/>
      <c r="E45" s="1669"/>
      <c r="F45" s="1672">
        <v>0.17249999999999999</v>
      </c>
      <c r="G45" s="1611">
        <f t="shared" si="3"/>
        <v>0</v>
      </c>
      <c r="H45" s="1671">
        <f t="shared" si="4"/>
        <v>0</v>
      </c>
    </row>
    <row r="46" spans="1:8">
      <c r="A46" s="1681">
        <f t="shared" si="5"/>
        <v>41</v>
      </c>
      <c r="B46" s="2952"/>
      <c r="C46" s="1668" t="s">
        <v>61</v>
      </c>
      <c r="D46" s="1669"/>
      <c r="E46" s="1669"/>
      <c r="F46" s="1672">
        <v>0.2112</v>
      </c>
      <c r="G46" s="1611">
        <f t="shared" si="3"/>
        <v>0</v>
      </c>
      <c r="H46" s="1671">
        <f t="shared" si="4"/>
        <v>0</v>
      </c>
    </row>
    <row r="47" spans="1:8">
      <c r="A47" s="1681">
        <f t="shared" si="5"/>
        <v>42</v>
      </c>
      <c r="B47" s="2952"/>
      <c r="C47" s="1668" t="s">
        <v>62</v>
      </c>
      <c r="D47" s="1669"/>
      <c r="E47" s="1669"/>
      <c r="F47" s="1672">
        <v>0.25</v>
      </c>
      <c r="G47" s="1611">
        <f t="shared" si="3"/>
        <v>0</v>
      </c>
      <c r="H47" s="1671">
        <f t="shared" si="4"/>
        <v>0</v>
      </c>
    </row>
    <row r="48" spans="1:8">
      <c r="A48" s="1681">
        <f t="shared" si="5"/>
        <v>43</v>
      </c>
      <c r="B48" s="2953"/>
      <c r="C48" s="1673" t="s">
        <v>571</v>
      </c>
      <c r="D48" s="1674"/>
      <c r="E48" s="1674"/>
      <c r="F48" s="1683">
        <v>0.28870000000000001</v>
      </c>
      <c r="G48" s="1675">
        <f t="shared" si="3"/>
        <v>0</v>
      </c>
      <c r="H48" s="1676">
        <f t="shared" si="4"/>
        <v>0</v>
      </c>
    </row>
    <row r="49" spans="1:8">
      <c r="A49" s="1677">
        <f t="shared" si="5"/>
        <v>44</v>
      </c>
      <c r="B49" s="2959" t="s">
        <v>3249</v>
      </c>
      <c r="C49" s="2959"/>
      <c r="D49" s="1684">
        <f>SUM(D28:D48)</f>
        <v>0</v>
      </c>
      <c r="E49" s="1695">
        <f>SUM(E28:E48)</f>
        <v>0</v>
      </c>
      <c r="F49" s="1685"/>
      <c r="G49" s="1695">
        <f>SUM(G28:G48)</f>
        <v>0</v>
      </c>
      <c r="H49" s="1686">
        <f>SUM(H28:H48)</f>
        <v>0</v>
      </c>
    </row>
    <row r="50" spans="1:8">
      <c r="A50" s="1681">
        <f t="shared" si="5"/>
        <v>45</v>
      </c>
      <c r="B50" s="2955" t="s">
        <v>3250</v>
      </c>
      <c r="C50" s="1662" t="s">
        <v>44</v>
      </c>
      <c r="D50" s="1682"/>
      <c r="E50" s="1682"/>
      <c r="F50" s="1664">
        <v>0</v>
      </c>
      <c r="G50" s="1665">
        <f t="shared" ref="G50:G70" si="6">D50*F50</f>
        <v>0</v>
      </c>
      <c r="H50" s="1666">
        <f t="shared" ref="H50:H70" si="7">E50*F50</f>
        <v>0</v>
      </c>
    </row>
    <row r="51" spans="1:8">
      <c r="A51" s="1681">
        <f t="shared" si="5"/>
        <v>46</v>
      </c>
      <c r="B51" s="2956"/>
      <c r="C51" s="1668" t="s">
        <v>45</v>
      </c>
      <c r="D51" s="1669"/>
      <c r="E51" s="1669"/>
      <c r="F51" s="1670">
        <v>0</v>
      </c>
      <c r="G51" s="1611">
        <f t="shared" si="6"/>
        <v>0</v>
      </c>
      <c r="H51" s="1671">
        <f t="shared" si="7"/>
        <v>0</v>
      </c>
    </row>
    <row r="52" spans="1:8">
      <c r="A52" s="1681">
        <f t="shared" si="5"/>
        <v>47</v>
      </c>
      <c r="B52" s="2956"/>
      <c r="C52" s="1668" t="s">
        <v>46</v>
      </c>
      <c r="D52" s="1669"/>
      <c r="E52" s="1669"/>
      <c r="F52" s="1670">
        <v>0</v>
      </c>
      <c r="G52" s="1611">
        <f t="shared" si="6"/>
        <v>0</v>
      </c>
      <c r="H52" s="1671">
        <f t="shared" si="7"/>
        <v>0</v>
      </c>
    </row>
    <row r="53" spans="1:8">
      <c r="A53" s="1681">
        <f t="shared" si="5"/>
        <v>48</v>
      </c>
      <c r="B53" s="2956"/>
      <c r="C53" s="1668" t="s">
        <v>47</v>
      </c>
      <c r="D53" s="1669"/>
      <c r="E53" s="1669"/>
      <c r="F53" s="1670">
        <v>0</v>
      </c>
      <c r="G53" s="1611">
        <f t="shared" si="6"/>
        <v>0</v>
      </c>
      <c r="H53" s="1671">
        <f t="shared" si="7"/>
        <v>0</v>
      </c>
    </row>
    <row r="54" spans="1:8">
      <c r="A54" s="1681">
        <f t="shared" si="5"/>
        <v>49</v>
      </c>
      <c r="B54" s="2956"/>
      <c r="C54" s="1668" t="s">
        <v>48</v>
      </c>
      <c r="D54" s="1669"/>
      <c r="E54" s="1669"/>
      <c r="F54" s="1672">
        <v>3.0999999999999999E-3</v>
      </c>
      <c r="G54" s="1611">
        <f t="shared" si="6"/>
        <v>0</v>
      </c>
      <c r="H54" s="1671">
        <f t="shared" si="7"/>
        <v>0</v>
      </c>
    </row>
    <row r="55" spans="1:8">
      <c r="A55" s="1681">
        <f t="shared" si="5"/>
        <v>50</v>
      </c>
      <c r="B55" s="2956"/>
      <c r="C55" s="1668" t="s">
        <v>49</v>
      </c>
      <c r="D55" s="1669"/>
      <c r="E55" s="1669"/>
      <c r="F55" s="1672">
        <v>6.1999999999999998E-3</v>
      </c>
      <c r="G55" s="1611">
        <f t="shared" si="6"/>
        <v>0</v>
      </c>
      <c r="H55" s="1671">
        <f t="shared" si="7"/>
        <v>0</v>
      </c>
    </row>
    <row r="56" spans="1:8">
      <c r="A56" s="1681">
        <f t="shared" si="5"/>
        <v>51</v>
      </c>
      <c r="B56" s="2956"/>
      <c r="C56" s="1668" t="s">
        <v>50</v>
      </c>
      <c r="D56" s="1669"/>
      <c r="E56" s="1669"/>
      <c r="F56" s="1672">
        <v>7.3999999999999995E-3</v>
      </c>
      <c r="G56" s="1611">
        <f t="shared" si="6"/>
        <v>0</v>
      </c>
      <c r="H56" s="1671">
        <f t="shared" si="7"/>
        <v>0</v>
      </c>
    </row>
    <row r="57" spans="1:8">
      <c r="A57" s="1681">
        <f t="shared" si="5"/>
        <v>52</v>
      </c>
      <c r="B57" s="2956"/>
      <c r="C57" s="1668" t="s">
        <v>51</v>
      </c>
      <c r="D57" s="1669"/>
      <c r="E57" s="1669"/>
      <c r="F57" s="1672">
        <v>8.6E-3</v>
      </c>
      <c r="G57" s="1611">
        <f t="shared" si="6"/>
        <v>0</v>
      </c>
      <c r="H57" s="1671">
        <f t="shared" si="7"/>
        <v>0</v>
      </c>
    </row>
    <row r="58" spans="1:8">
      <c r="A58" s="1681">
        <f t="shared" si="5"/>
        <v>53</v>
      </c>
      <c r="B58" s="2956"/>
      <c r="C58" s="1668" t="s">
        <v>52</v>
      </c>
      <c r="D58" s="1669"/>
      <c r="E58" s="1669"/>
      <c r="F58" s="1672">
        <v>9.7999999999999997E-3</v>
      </c>
      <c r="G58" s="1611">
        <f t="shared" si="6"/>
        <v>0</v>
      </c>
      <c r="H58" s="1671">
        <f t="shared" si="7"/>
        <v>0</v>
      </c>
    </row>
    <row r="59" spans="1:8">
      <c r="A59" s="1681">
        <f t="shared" si="5"/>
        <v>54</v>
      </c>
      <c r="B59" s="2956"/>
      <c r="C59" s="1668" t="s">
        <v>53</v>
      </c>
      <c r="D59" s="1669"/>
      <c r="E59" s="1669"/>
      <c r="F59" s="1694">
        <v>1.8033333333333332E-2</v>
      </c>
      <c r="G59" s="1611">
        <f t="shared" si="6"/>
        <v>0</v>
      </c>
      <c r="H59" s="1671">
        <f t="shared" si="7"/>
        <v>0</v>
      </c>
    </row>
    <row r="60" spans="1:8">
      <c r="A60" s="1681">
        <f t="shared" si="5"/>
        <v>55</v>
      </c>
      <c r="B60" s="2956"/>
      <c r="C60" s="1668" t="s">
        <v>54</v>
      </c>
      <c r="D60" s="1669"/>
      <c r="E60" s="1669"/>
      <c r="F60" s="1694">
        <v>2.6266666666666667E-2</v>
      </c>
      <c r="G60" s="1611">
        <f t="shared" si="6"/>
        <v>0</v>
      </c>
      <c r="H60" s="1671">
        <f t="shared" si="7"/>
        <v>0</v>
      </c>
    </row>
    <row r="61" spans="1:8">
      <c r="A61" s="1681">
        <f t="shared" si="5"/>
        <v>56</v>
      </c>
      <c r="B61" s="2956"/>
      <c r="C61" s="1668" t="s">
        <v>55</v>
      </c>
      <c r="D61" s="1669"/>
      <c r="E61" s="1669"/>
      <c r="F61" s="1672">
        <v>3.4500000000000003E-2</v>
      </c>
      <c r="G61" s="1611">
        <f t="shared" si="6"/>
        <v>0</v>
      </c>
      <c r="H61" s="1671">
        <f t="shared" si="7"/>
        <v>0</v>
      </c>
    </row>
    <row r="62" spans="1:8">
      <c r="A62" s="1681">
        <f t="shared" si="5"/>
        <v>57</v>
      </c>
      <c r="B62" s="2956"/>
      <c r="C62" s="1668" t="s">
        <v>569</v>
      </c>
      <c r="D62" s="1669"/>
      <c r="E62" s="1669"/>
      <c r="F62" s="1672">
        <v>4.8000000000000001E-2</v>
      </c>
      <c r="G62" s="1611">
        <f t="shared" si="6"/>
        <v>0</v>
      </c>
      <c r="H62" s="1671">
        <f t="shared" si="7"/>
        <v>0</v>
      </c>
    </row>
    <row r="63" spans="1:8">
      <c r="A63" s="1681">
        <f t="shared" si="5"/>
        <v>58</v>
      </c>
      <c r="B63" s="2956"/>
      <c r="C63" s="1668" t="s">
        <v>56</v>
      </c>
      <c r="D63" s="1669"/>
      <c r="E63" s="1669"/>
      <c r="F63" s="1672">
        <v>6.1499999999999999E-2</v>
      </c>
      <c r="G63" s="1611">
        <f t="shared" si="6"/>
        <v>0</v>
      </c>
      <c r="H63" s="1671">
        <f t="shared" si="7"/>
        <v>0</v>
      </c>
    </row>
    <row r="64" spans="1:8">
      <c r="A64" s="1681">
        <f t="shared" si="5"/>
        <v>59</v>
      </c>
      <c r="B64" s="2956"/>
      <c r="C64" s="1668" t="s">
        <v>57</v>
      </c>
      <c r="D64" s="1669"/>
      <c r="E64" s="1669"/>
      <c r="F64" s="1672">
        <v>7.4999999999999997E-2</v>
      </c>
      <c r="G64" s="1611">
        <f t="shared" si="6"/>
        <v>0</v>
      </c>
      <c r="H64" s="1671">
        <f t="shared" si="7"/>
        <v>0</v>
      </c>
    </row>
    <row r="65" spans="1:8">
      <c r="A65" s="1681">
        <f t="shared" si="5"/>
        <v>60</v>
      </c>
      <c r="B65" s="2956"/>
      <c r="C65" s="1668" t="s">
        <v>58</v>
      </c>
      <c r="D65" s="1669"/>
      <c r="E65" s="1669"/>
      <c r="F65" s="1672">
        <v>0.1075</v>
      </c>
      <c r="G65" s="1611">
        <f t="shared" si="6"/>
        <v>0</v>
      </c>
      <c r="H65" s="1671">
        <f t="shared" si="7"/>
        <v>0</v>
      </c>
    </row>
    <row r="66" spans="1:8">
      <c r="A66" s="1681">
        <f t="shared" si="5"/>
        <v>61</v>
      </c>
      <c r="B66" s="2956"/>
      <c r="C66" s="1668" t="s">
        <v>59</v>
      </c>
      <c r="D66" s="1669"/>
      <c r="E66" s="1669"/>
      <c r="F66" s="1672">
        <v>0.14000000000000001</v>
      </c>
      <c r="G66" s="1611">
        <f t="shared" si="6"/>
        <v>0</v>
      </c>
      <c r="H66" s="1671">
        <f t="shared" si="7"/>
        <v>0</v>
      </c>
    </row>
    <row r="67" spans="1:8">
      <c r="A67" s="1681">
        <f t="shared" si="5"/>
        <v>62</v>
      </c>
      <c r="B67" s="2956"/>
      <c r="C67" s="1668" t="s">
        <v>60</v>
      </c>
      <c r="D67" s="1669"/>
      <c r="E67" s="1669"/>
      <c r="F67" s="1672">
        <v>0.17249999999999999</v>
      </c>
      <c r="G67" s="1611">
        <f t="shared" si="6"/>
        <v>0</v>
      </c>
      <c r="H67" s="1671">
        <f t="shared" si="7"/>
        <v>0</v>
      </c>
    </row>
    <row r="68" spans="1:8">
      <c r="A68" s="1681">
        <f t="shared" si="5"/>
        <v>63</v>
      </c>
      <c r="B68" s="2956"/>
      <c r="C68" s="1668" t="s">
        <v>61</v>
      </c>
      <c r="D68" s="1669"/>
      <c r="E68" s="1669"/>
      <c r="F68" s="1672">
        <v>0.2112</v>
      </c>
      <c r="G68" s="1611">
        <f t="shared" si="6"/>
        <v>0</v>
      </c>
      <c r="H68" s="1671">
        <f t="shared" si="7"/>
        <v>0</v>
      </c>
    </row>
    <row r="69" spans="1:8">
      <c r="A69" s="1681">
        <f t="shared" si="5"/>
        <v>64</v>
      </c>
      <c r="B69" s="2956"/>
      <c r="C69" s="1668" t="s">
        <v>62</v>
      </c>
      <c r="D69" s="1669"/>
      <c r="E69" s="1669"/>
      <c r="F69" s="1672">
        <v>0.25</v>
      </c>
      <c r="G69" s="1611">
        <f t="shared" si="6"/>
        <v>0</v>
      </c>
      <c r="H69" s="1671">
        <f t="shared" si="7"/>
        <v>0</v>
      </c>
    </row>
    <row r="70" spans="1:8">
      <c r="A70" s="1681">
        <f t="shared" si="5"/>
        <v>65</v>
      </c>
      <c r="B70" s="2957"/>
      <c r="C70" s="1673" t="s">
        <v>571</v>
      </c>
      <c r="D70" s="1674"/>
      <c r="E70" s="1674"/>
      <c r="F70" s="1683">
        <v>0.28870000000000001</v>
      </c>
      <c r="G70" s="1675">
        <f t="shared" si="6"/>
        <v>0</v>
      </c>
      <c r="H70" s="1676">
        <f t="shared" si="7"/>
        <v>0</v>
      </c>
    </row>
    <row r="71" spans="1:8">
      <c r="A71" s="1696">
        <f t="shared" ref="A71:A102" si="8">A70+1</f>
        <v>66</v>
      </c>
      <c r="B71" s="2958" t="s">
        <v>3251</v>
      </c>
      <c r="C71" s="2958"/>
      <c r="D71" s="1684">
        <f>SUM(D50:D70)</f>
        <v>0</v>
      </c>
      <c r="E71" s="1684">
        <f>SUM(E50:E70)</f>
        <v>0</v>
      </c>
      <c r="F71" s="1685"/>
      <c r="G71" s="1684">
        <f>SUM(G50:G70)</f>
        <v>0</v>
      </c>
      <c r="H71" s="1697">
        <f>SUM(H50:H70)</f>
        <v>0</v>
      </c>
    </row>
    <row r="72" spans="1:8" s="1638" customFormat="1">
      <c r="A72" s="1681">
        <f t="shared" si="8"/>
        <v>67</v>
      </c>
      <c r="B72" s="2955" t="s">
        <v>3252</v>
      </c>
      <c r="C72" s="1662" t="s">
        <v>44</v>
      </c>
      <c r="D72" s="1682"/>
      <c r="E72" s="1682"/>
      <c r="F72" s="1664">
        <v>0</v>
      </c>
      <c r="G72" s="1665">
        <f t="shared" ref="G72:G92" si="9">D72*F72</f>
        <v>0</v>
      </c>
      <c r="H72" s="1666">
        <f t="shared" ref="H72:H92" si="10">E72*F72</f>
        <v>0</v>
      </c>
    </row>
    <row r="73" spans="1:8" s="1638" customFormat="1">
      <c r="A73" s="1681">
        <f t="shared" si="8"/>
        <v>68</v>
      </c>
      <c r="B73" s="2956"/>
      <c r="C73" s="1668" t="s">
        <v>45</v>
      </c>
      <c r="D73" s="1669"/>
      <c r="E73" s="1669"/>
      <c r="F73" s="1670">
        <v>0</v>
      </c>
      <c r="G73" s="1611">
        <f t="shared" si="9"/>
        <v>0</v>
      </c>
      <c r="H73" s="1671">
        <f t="shared" si="10"/>
        <v>0</v>
      </c>
    </row>
    <row r="74" spans="1:8" s="1638" customFormat="1">
      <c r="A74" s="1681">
        <f t="shared" si="8"/>
        <v>69</v>
      </c>
      <c r="B74" s="2956"/>
      <c r="C74" s="1668" t="s">
        <v>46</v>
      </c>
      <c r="D74" s="1669"/>
      <c r="E74" s="1669"/>
      <c r="F74" s="1670">
        <v>0</v>
      </c>
      <c r="G74" s="1611">
        <f t="shared" si="9"/>
        <v>0</v>
      </c>
      <c r="H74" s="1671">
        <f t="shared" si="10"/>
        <v>0</v>
      </c>
    </row>
    <row r="75" spans="1:8" s="1638" customFormat="1">
      <c r="A75" s="1681">
        <f t="shared" si="8"/>
        <v>70</v>
      </c>
      <c r="B75" s="2956"/>
      <c r="C75" s="1668" t="s">
        <v>47</v>
      </c>
      <c r="D75" s="1669"/>
      <c r="E75" s="1669"/>
      <c r="F75" s="1670">
        <v>0</v>
      </c>
      <c r="G75" s="1611">
        <f t="shared" si="9"/>
        <v>0</v>
      </c>
      <c r="H75" s="1671">
        <f t="shared" si="10"/>
        <v>0</v>
      </c>
    </row>
    <row r="76" spans="1:8" s="1638" customFormat="1">
      <c r="A76" s="1681">
        <f t="shared" si="8"/>
        <v>71</v>
      </c>
      <c r="B76" s="2956"/>
      <c r="C76" s="1668" t="s">
        <v>48</v>
      </c>
      <c r="D76" s="1669"/>
      <c r="E76" s="1669"/>
      <c r="F76" s="1672">
        <v>3.0999999999999999E-3</v>
      </c>
      <c r="G76" s="1611">
        <f t="shared" si="9"/>
        <v>0</v>
      </c>
      <c r="H76" s="1671">
        <f t="shared" si="10"/>
        <v>0</v>
      </c>
    </row>
    <row r="77" spans="1:8" s="1638" customFormat="1">
      <c r="A77" s="1681">
        <f t="shared" si="8"/>
        <v>72</v>
      </c>
      <c r="B77" s="2956"/>
      <c r="C77" s="1668" t="s">
        <v>49</v>
      </c>
      <c r="D77" s="1669"/>
      <c r="E77" s="1669"/>
      <c r="F77" s="1672">
        <v>6.1999999999999998E-3</v>
      </c>
      <c r="G77" s="1611">
        <f t="shared" si="9"/>
        <v>0</v>
      </c>
      <c r="H77" s="1671">
        <f t="shared" si="10"/>
        <v>0</v>
      </c>
    </row>
    <row r="78" spans="1:8" s="1638" customFormat="1">
      <c r="A78" s="1681">
        <f t="shared" si="8"/>
        <v>73</v>
      </c>
      <c r="B78" s="2956"/>
      <c r="C78" s="1668" t="s">
        <v>50</v>
      </c>
      <c r="D78" s="1669"/>
      <c r="E78" s="1669"/>
      <c r="F78" s="1672">
        <v>7.3999999999999995E-3</v>
      </c>
      <c r="G78" s="1611">
        <f t="shared" si="9"/>
        <v>0</v>
      </c>
      <c r="H78" s="1671">
        <f t="shared" si="10"/>
        <v>0</v>
      </c>
    </row>
    <row r="79" spans="1:8" s="1638" customFormat="1">
      <c r="A79" s="1681">
        <f t="shared" si="8"/>
        <v>74</v>
      </c>
      <c r="B79" s="2956"/>
      <c r="C79" s="1668" t="s">
        <v>51</v>
      </c>
      <c r="D79" s="1669"/>
      <c r="E79" s="1669"/>
      <c r="F79" s="1672">
        <v>8.6E-3</v>
      </c>
      <c r="G79" s="1611">
        <f t="shared" si="9"/>
        <v>0</v>
      </c>
      <c r="H79" s="1671">
        <f t="shared" si="10"/>
        <v>0</v>
      </c>
    </row>
    <row r="80" spans="1:8" s="1638" customFormat="1">
      <c r="A80" s="1681">
        <f t="shared" si="8"/>
        <v>75</v>
      </c>
      <c r="B80" s="2956"/>
      <c r="C80" s="1668" t="s">
        <v>52</v>
      </c>
      <c r="D80" s="1669"/>
      <c r="E80" s="1669"/>
      <c r="F80" s="1672">
        <v>9.7999999999999997E-3</v>
      </c>
      <c r="G80" s="1611">
        <f t="shared" si="9"/>
        <v>0</v>
      </c>
      <c r="H80" s="1671">
        <f t="shared" si="10"/>
        <v>0</v>
      </c>
    </row>
    <row r="81" spans="1:8" s="1638" customFormat="1">
      <c r="A81" s="1681">
        <f t="shared" si="8"/>
        <v>76</v>
      </c>
      <c r="B81" s="2956"/>
      <c r="C81" s="1668" t="s">
        <v>53</v>
      </c>
      <c r="D81" s="1669"/>
      <c r="E81" s="1669"/>
      <c r="F81" s="1694">
        <v>1.8033333333333332E-2</v>
      </c>
      <c r="G81" s="1611">
        <f t="shared" si="9"/>
        <v>0</v>
      </c>
      <c r="H81" s="1671">
        <f t="shared" si="10"/>
        <v>0</v>
      </c>
    </row>
    <row r="82" spans="1:8" s="1638" customFormat="1">
      <c r="A82" s="1681">
        <f t="shared" si="8"/>
        <v>77</v>
      </c>
      <c r="B82" s="2956"/>
      <c r="C82" s="1668" t="s">
        <v>54</v>
      </c>
      <c r="D82" s="1669"/>
      <c r="E82" s="1669"/>
      <c r="F82" s="1694">
        <v>2.6266666666666667E-2</v>
      </c>
      <c r="G82" s="1611">
        <f t="shared" si="9"/>
        <v>0</v>
      </c>
      <c r="H82" s="1671">
        <f t="shared" si="10"/>
        <v>0</v>
      </c>
    </row>
    <row r="83" spans="1:8" s="1638" customFormat="1">
      <c r="A83" s="1681">
        <f t="shared" si="8"/>
        <v>78</v>
      </c>
      <c r="B83" s="2956"/>
      <c r="C83" s="1668" t="s">
        <v>55</v>
      </c>
      <c r="D83" s="1669"/>
      <c r="E83" s="1669"/>
      <c r="F83" s="1672">
        <v>3.4500000000000003E-2</v>
      </c>
      <c r="G83" s="1611">
        <f t="shared" si="9"/>
        <v>0</v>
      </c>
      <c r="H83" s="1671">
        <f t="shared" si="10"/>
        <v>0</v>
      </c>
    </row>
    <row r="84" spans="1:8" s="1638" customFormat="1">
      <c r="A84" s="1681">
        <f t="shared" si="8"/>
        <v>79</v>
      </c>
      <c r="B84" s="2956"/>
      <c r="C84" s="1668" t="s">
        <v>569</v>
      </c>
      <c r="D84" s="1669"/>
      <c r="E84" s="1669"/>
      <c r="F84" s="1672">
        <v>4.8000000000000001E-2</v>
      </c>
      <c r="G84" s="1611">
        <f t="shared" si="9"/>
        <v>0</v>
      </c>
      <c r="H84" s="1671">
        <f t="shared" si="10"/>
        <v>0</v>
      </c>
    </row>
    <row r="85" spans="1:8" s="1638" customFormat="1">
      <c r="A85" s="1681">
        <f t="shared" si="8"/>
        <v>80</v>
      </c>
      <c r="B85" s="2956"/>
      <c r="C85" s="1668" t="s">
        <v>56</v>
      </c>
      <c r="D85" s="1669"/>
      <c r="E85" s="1669"/>
      <c r="F85" s="1672">
        <v>6.1499999999999999E-2</v>
      </c>
      <c r="G85" s="1611">
        <f t="shared" si="9"/>
        <v>0</v>
      </c>
      <c r="H85" s="1671">
        <f t="shared" si="10"/>
        <v>0</v>
      </c>
    </row>
    <row r="86" spans="1:8" s="1638" customFormat="1">
      <c r="A86" s="1681">
        <f t="shared" si="8"/>
        <v>81</v>
      </c>
      <c r="B86" s="2956"/>
      <c r="C86" s="1668" t="s">
        <v>57</v>
      </c>
      <c r="D86" s="1669"/>
      <c r="E86" s="1669"/>
      <c r="F86" s="1672">
        <v>7.4999999999999997E-2</v>
      </c>
      <c r="G86" s="1611">
        <f t="shared" si="9"/>
        <v>0</v>
      </c>
      <c r="H86" s="1671">
        <f t="shared" si="10"/>
        <v>0</v>
      </c>
    </row>
    <row r="87" spans="1:8" s="1638" customFormat="1">
      <c r="A87" s="1681">
        <f t="shared" si="8"/>
        <v>82</v>
      </c>
      <c r="B87" s="2956"/>
      <c r="C87" s="1668" t="s">
        <v>58</v>
      </c>
      <c r="D87" s="1669"/>
      <c r="E87" s="1669"/>
      <c r="F87" s="1672">
        <v>0.1075</v>
      </c>
      <c r="G87" s="1611">
        <f t="shared" si="9"/>
        <v>0</v>
      </c>
      <c r="H87" s="1671">
        <f t="shared" si="10"/>
        <v>0</v>
      </c>
    </row>
    <row r="88" spans="1:8" s="1638" customFormat="1">
      <c r="A88" s="1681">
        <f t="shared" si="8"/>
        <v>83</v>
      </c>
      <c r="B88" s="2956"/>
      <c r="C88" s="1668" t="s">
        <v>59</v>
      </c>
      <c r="D88" s="1669"/>
      <c r="E88" s="1669"/>
      <c r="F88" s="1672">
        <v>0.14000000000000001</v>
      </c>
      <c r="G88" s="1611">
        <f t="shared" si="9"/>
        <v>0</v>
      </c>
      <c r="H88" s="1671">
        <f t="shared" si="10"/>
        <v>0</v>
      </c>
    </row>
    <row r="89" spans="1:8">
      <c r="A89" s="1681">
        <f t="shared" si="8"/>
        <v>84</v>
      </c>
      <c r="B89" s="2956"/>
      <c r="C89" s="1668" t="s">
        <v>60</v>
      </c>
      <c r="D89" s="1669"/>
      <c r="E89" s="1669"/>
      <c r="F89" s="1672">
        <v>0.17249999999999999</v>
      </c>
      <c r="G89" s="1611">
        <f t="shared" si="9"/>
        <v>0</v>
      </c>
      <c r="H89" s="1671">
        <f t="shared" si="10"/>
        <v>0</v>
      </c>
    </row>
    <row r="90" spans="1:8">
      <c r="A90" s="1681">
        <f t="shared" si="8"/>
        <v>85</v>
      </c>
      <c r="B90" s="2956"/>
      <c r="C90" s="1668" t="s">
        <v>61</v>
      </c>
      <c r="D90" s="1669"/>
      <c r="E90" s="1669"/>
      <c r="F90" s="1672">
        <v>0.2112</v>
      </c>
      <c r="G90" s="1611">
        <f t="shared" si="9"/>
        <v>0</v>
      </c>
      <c r="H90" s="1671">
        <f t="shared" si="10"/>
        <v>0</v>
      </c>
    </row>
    <row r="91" spans="1:8">
      <c r="A91" s="1681">
        <f t="shared" si="8"/>
        <v>86</v>
      </c>
      <c r="B91" s="2956"/>
      <c r="C91" s="1668" t="s">
        <v>62</v>
      </c>
      <c r="D91" s="1669"/>
      <c r="E91" s="1669"/>
      <c r="F91" s="1672">
        <v>0.25</v>
      </c>
      <c r="G91" s="1611">
        <f t="shared" si="9"/>
        <v>0</v>
      </c>
      <c r="H91" s="1671">
        <f t="shared" si="10"/>
        <v>0</v>
      </c>
    </row>
    <row r="92" spans="1:8">
      <c r="A92" s="1681">
        <f t="shared" si="8"/>
        <v>87</v>
      </c>
      <c r="B92" s="2957"/>
      <c r="C92" s="1673" t="s">
        <v>571</v>
      </c>
      <c r="D92" s="1674"/>
      <c r="E92" s="1674"/>
      <c r="F92" s="1683">
        <v>0.28870000000000001</v>
      </c>
      <c r="G92" s="1675">
        <f t="shared" si="9"/>
        <v>0</v>
      </c>
      <c r="H92" s="1676">
        <f t="shared" si="10"/>
        <v>0</v>
      </c>
    </row>
    <row r="93" spans="1:8">
      <c r="A93" s="1696">
        <f t="shared" si="8"/>
        <v>88</v>
      </c>
      <c r="B93" s="2958" t="s">
        <v>3265</v>
      </c>
      <c r="C93" s="2958"/>
      <c r="D93" s="1684">
        <f>SUM(D72:D92)</f>
        <v>0</v>
      </c>
      <c r="E93" s="1684">
        <f>SUM(E72:E92)</f>
        <v>0</v>
      </c>
      <c r="F93" s="1685"/>
      <c r="G93" s="1684">
        <f>SUM(G72:G92)</f>
        <v>0</v>
      </c>
      <c r="H93" s="1697">
        <f>SUM(H72:H92)</f>
        <v>0</v>
      </c>
    </row>
    <row r="94" spans="1:8">
      <c r="A94" s="1681">
        <f t="shared" si="8"/>
        <v>89</v>
      </c>
      <c r="B94" s="2955" t="s">
        <v>3253</v>
      </c>
      <c r="C94" s="1662" t="s">
        <v>44</v>
      </c>
      <c r="D94" s="1682"/>
      <c r="E94" s="1682"/>
      <c r="F94" s="1664">
        <v>0</v>
      </c>
      <c r="G94" s="1665">
        <f t="shared" ref="G94:G114" si="11">D94*F94</f>
        <v>0</v>
      </c>
      <c r="H94" s="1666">
        <f t="shared" ref="H94:H114" si="12">E94*F94</f>
        <v>0</v>
      </c>
    </row>
    <row r="95" spans="1:8">
      <c r="A95" s="1681">
        <f t="shared" si="8"/>
        <v>90</v>
      </c>
      <c r="B95" s="2956"/>
      <c r="C95" s="1668" t="s">
        <v>45</v>
      </c>
      <c r="D95" s="1669"/>
      <c r="E95" s="1669"/>
      <c r="F95" s="1670">
        <v>0</v>
      </c>
      <c r="G95" s="1611">
        <f t="shared" si="11"/>
        <v>0</v>
      </c>
      <c r="H95" s="1671">
        <f t="shared" si="12"/>
        <v>0</v>
      </c>
    </row>
    <row r="96" spans="1:8">
      <c r="A96" s="1681">
        <f t="shared" si="8"/>
        <v>91</v>
      </c>
      <c r="B96" s="2956"/>
      <c r="C96" s="1668" t="s">
        <v>46</v>
      </c>
      <c r="D96" s="1669"/>
      <c r="E96" s="1669"/>
      <c r="F96" s="1670">
        <v>0</v>
      </c>
      <c r="G96" s="1611">
        <f t="shared" si="11"/>
        <v>0</v>
      </c>
      <c r="H96" s="1671">
        <f t="shared" si="12"/>
        <v>0</v>
      </c>
    </row>
    <row r="97" spans="1:8">
      <c r="A97" s="1681">
        <f t="shared" si="8"/>
        <v>92</v>
      </c>
      <c r="B97" s="2956"/>
      <c r="C97" s="1668" t="s">
        <v>47</v>
      </c>
      <c r="D97" s="1669"/>
      <c r="E97" s="1669"/>
      <c r="F97" s="1670">
        <v>0</v>
      </c>
      <c r="G97" s="1611">
        <f t="shared" si="11"/>
        <v>0</v>
      </c>
      <c r="H97" s="1671">
        <f t="shared" si="12"/>
        <v>0</v>
      </c>
    </row>
    <row r="98" spans="1:8">
      <c r="A98" s="1681">
        <f t="shared" si="8"/>
        <v>93</v>
      </c>
      <c r="B98" s="2956"/>
      <c r="C98" s="1668" t="s">
        <v>48</v>
      </c>
      <c r="D98" s="1669"/>
      <c r="E98" s="1669"/>
      <c r="F98" s="1672">
        <v>3.0999999999999999E-3</v>
      </c>
      <c r="G98" s="1611">
        <f t="shared" si="11"/>
        <v>0</v>
      </c>
      <c r="H98" s="1671">
        <f t="shared" si="12"/>
        <v>0</v>
      </c>
    </row>
    <row r="99" spans="1:8">
      <c r="A99" s="1681">
        <f t="shared" si="8"/>
        <v>94</v>
      </c>
      <c r="B99" s="2956"/>
      <c r="C99" s="1668" t="s">
        <v>49</v>
      </c>
      <c r="D99" s="1669"/>
      <c r="E99" s="1669"/>
      <c r="F99" s="1672">
        <v>6.1999999999999998E-3</v>
      </c>
      <c r="G99" s="1611">
        <f t="shared" si="11"/>
        <v>0</v>
      </c>
      <c r="H99" s="1671">
        <f t="shared" si="12"/>
        <v>0</v>
      </c>
    </row>
    <row r="100" spans="1:8">
      <c r="A100" s="1681">
        <f t="shared" si="8"/>
        <v>95</v>
      </c>
      <c r="B100" s="2956"/>
      <c r="C100" s="1668" t="s">
        <v>50</v>
      </c>
      <c r="D100" s="1669"/>
      <c r="E100" s="1669"/>
      <c r="F100" s="1672">
        <v>7.3999999999999995E-3</v>
      </c>
      <c r="G100" s="1611">
        <f t="shared" si="11"/>
        <v>0</v>
      </c>
      <c r="H100" s="1671">
        <f t="shared" si="12"/>
        <v>0</v>
      </c>
    </row>
    <row r="101" spans="1:8">
      <c r="A101" s="1681">
        <f t="shared" si="8"/>
        <v>96</v>
      </c>
      <c r="B101" s="2956"/>
      <c r="C101" s="1668" t="s">
        <v>51</v>
      </c>
      <c r="D101" s="1669"/>
      <c r="E101" s="1669"/>
      <c r="F101" s="1672">
        <v>8.6E-3</v>
      </c>
      <c r="G101" s="1611">
        <f t="shared" si="11"/>
        <v>0</v>
      </c>
      <c r="H101" s="1671">
        <f t="shared" si="12"/>
        <v>0</v>
      </c>
    </row>
    <row r="102" spans="1:8">
      <c r="A102" s="1681">
        <f t="shared" si="8"/>
        <v>97</v>
      </c>
      <c r="B102" s="2956"/>
      <c r="C102" s="1668" t="s">
        <v>52</v>
      </c>
      <c r="D102" s="1669"/>
      <c r="E102" s="1669"/>
      <c r="F102" s="1672">
        <v>9.7999999999999997E-3</v>
      </c>
      <c r="G102" s="1611">
        <f t="shared" si="11"/>
        <v>0</v>
      </c>
      <c r="H102" s="1671">
        <f t="shared" si="12"/>
        <v>0</v>
      </c>
    </row>
    <row r="103" spans="1:8">
      <c r="A103" s="1681">
        <f t="shared" ref="A103:A115" si="13">A102+1</f>
        <v>98</v>
      </c>
      <c r="B103" s="2956"/>
      <c r="C103" s="1668" t="s">
        <v>53</v>
      </c>
      <c r="D103" s="1669"/>
      <c r="E103" s="1669"/>
      <c r="F103" s="1694">
        <v>1.8033333333333332E-2</v>
      </c>
      <c r="G103" s="1611">
        <f t="shared" si="11"/>
        <v>0</v>
      </c>
      <c r="H103" s="1671">
        <f t="shared" si="12"/>
        <v>0</v>
      </c>
    </row>
    <row r="104" spans="1:8">
      <c r="A104" s="1681">
        <f t="shared" si="13"/>
        <v>99</v>
      </c>
      <c r="B104" s="2956"/>
      <c r="C104" s="1668" t="s">
        <v>54</v>
      </c>
      <c r="D104" s="1669"/>
      <c r="E104" s="1669"/>
      <c r="F104" s="1694">
        <v>2.6266666666666667E-2</v>
      </c>
      <c r="G104" s="1611">
        <f t="shared" si="11"/>
        <v>0</v>
      </c>
      <c r="H104" s="1671">
        <f t="shared" si="12"/>
        <v>0</v>
      </c>
    </row>
    <row r="105" spans="1:8">
      <c r="A105" s="1681">
        <f t="shared" si="13"/>
        <v>100</v>
      </c>
      <c r="B105" s="2956"/>
      <c r="C105" s="1668" t="s">
        <v>55</v>
      </c>
      <c r="D105" s="1669"/>
      <c r="E105" s="1669"/>
      <c r="F105" s="1672">
        <v>3.4500000000000003E-2</v>
      </c>
      <c r="G105" s="1611">
        <f t="shared" si="11"/>
        <v>0</v>
      </c>
      <c r="H105" s="1671">
        <f t="shared" si="12"/>
        <v>0</v>
      </c>
    </row>
    <row r="106" spans="1:8">
      <c r="A106" s="1681">
        <f t="shared" si="13"/>
        <v>101</v>
      </c>
      <c r="B106" s="2956"/>
      <c r="C106" s="1668" t="s">
        <v>569</v>
      </c>
      <c r="D106" s="1669"/>
      <c r="E106" s="1669"/>
      <c r="F106" s="1672">
        <v>4.8000000000000001E-2</v>
      </c>
      <c r="G106" s="1611">
        <f t="shared" si="11"/>
        <v>0</v>
      </c>
      <c r="H106" s="1671">
        <f t="shared" si="12"/>
        <v>0</v>
      </c>
    </row>
    <row r="107" spans="1:8">
      <c r="A107" s="1681">
        <f t="shared" si="13"/>
        <v>102</v>
      </c>
      <c r="B107" s="2956"/>
      <c r="C107" s="1668" t="s">
        <v>56</v>
      </c>
      <c r="D107" s="1669"/>
      <c r="E107" s="1669"/>
      <c r="F107" s="1672">
        <v>6.1499999999999999E-2</v>
      </c>
      <c r="G107" s="1611">
        <f t="shared" si="11"/>
        <v>0</v>
      </c>
      <c r="H107" s="1671">
        <f t="shared" si="12"/>
        <v>0</v>
      </c>
    </row>
    <row r="108" spans="1:8">
      <c r="A108" s="1681">
        <f t="shared" si="13"/>
        <v>103</v>
      </c>
      <c r="B108" s="2956"/>
      <c r="C108" s="1668" t="s">
        <v>57</v>
      </c>
      <c r="D108" s="1669"/>
      <c r="E108" s="1669"/>
      <c r="F108" s="1672">
        <v>7.4999999999999997E-2</v>
      </c>
      <c r="G108" s="1611">
        <f t="shared" si="11"/>
        <v>0</v>
      </c>
      <c r="H108" s="1671">
        <f t="shared" si="12"/>
        <v>0</v>
      </c>
    </row>
    <row r="109" spans="1:8">
      <c r="A109" s="1681">
        <f t="shared" si="13"/>
        <v>104</v>
      </c>
      <c r="B109" s="2956"/>
      <c r="C109" s="1668" t="s">
        <v>58</v>
      </c>
      <c r="D109" s="1669"/>
      <c r="E109" s="1669"/>
      <c r="F109" s="1672">
        <v>0.1075</v>
      </c>
      <c r="G109" s="1611">
        <f t="shared" si="11"/>
        <v>0</v>
      </c>
      <c r="H109" s="1671">
        <f t="shared" si="12"/>
        <v>0</v>
      </c>
    </row>
    <row r="110" spans="1:8">
      <c r="A110" s="1681">
        <f t="shared" si="13"/>
        <v>105</v>
      </c>
      <c r="B110" s="2956"/>
      <c r="C110" s="1668" t="s">
        <v>59</v>
      </c>
      <c r="D110" s="1669"/>
      <c r="E110" s="1669"/>
      <c r="F110" s="1672">
        <v>0.14000000000000001</v>
      </c>
      <c r="G110" s="1611">
        <f t="shared" si="11"/>
        <v>0</v>
      </c>
      <c r="H110" s="1671">
        <f t="shared" si="12"/>
        <v>0</v>
      </c>
    </row>
    <row r="111" spans="1:8">
      <c r="A111" s="1681">
        <f t="shared" si="13"/>
        <v>106</v>
      </c>
      <c r="B111" s="2956"/>
      <c r="C111" s="1668" t="s">
        <v>60</v>
      </c>
      <c r="D111" s="1669"/>
      <c r="E111" s="1669"/>
      <c r="F111" s="1672">
        <v>0.17249999999999999</v>
      </c>
      <c r="G111" s="1611">
        <f t="shared" si="11"/>
        <v>0</v>
      </c>
      <c r="H111" s="1671">
        <f t="shared" si="12"/>
        <v>0</v>
      </c>
    </row>
    <row r="112" spans="1:8">
      <c r="A112" s="1681">
        <f t="shared" si="13"/>
        <v>107</v>
      </c>
      <c r="B112" s="2956"/>
      <c r="C112" s="1668" t="s">
        <v>61</v>
      </c>
      <c r="D112" s="1669"/>
      <c r="E112" s="1669"/>
      <c r="F112" s="1672">
        <v>0.2112</v>
      </c>
      <c r="G112" s="1611">
        <f t="shared" si="11"/>
        <v>0</v>
      </c>
      <c r="H112" s="1671">
        <f t="shared" si="12"/>
        <v>0</v>
      </c>
    </row>
    <row r="113" spans="1:10">
      <c r="A113" s="1681">
        <f t="shared" si="13"/>
        <v>108</v>
      </c>
      <c r="B113" s="2956"/>
      <c r="C113" s="1668" t="s">
        <v>62</v>
      </c>
      <c r="D113" s="1669"/>
      <c r="E113" s="1669"/>
      <c r="F113" s="1672">
        <v>0.25</v>
      </c>
      <c r="G113" s="1611">
        <f t="shared" si="11"/>
        <v>0</v>
      </c>
      <c r="H113" s="1671">
        <f t="shared" si="12"/>
        <v>0</v>
      </c>
    </row>
    <row r="114" spans="1:10">
      <c r="A114" s="1681">
        <f t="shared" si="13"/>
        <v>109</v>
      </c>
      <c r="B114" s="2960"/>
      <c r="C114" s="1698" t="s">
        <v>571</v>
      </c>
      <c r="D114" s="1699"/>
      <c r="E114" s="1699"/>
      <c r="F114" s="2354">
        <v>0.28870000000000001</v>
      </c>
      <c r="G114" s="1700">
        <f t="shared" si="11"/>
        <v>0</v>
      </c>
      <c r="H114" s="1701">
        <f t="shared" si="12"/>
        <v>0</v>
      </c>
    </row>
    <row r="115" spans="1:10" ht="16.5" thickBot="1">
      <c r="A115" s="1702">
        <f t="shared" si="13"/>
        <v>110</v>
      </c>
      <c r="B115" s="2949" t="s">
        <v>3254</v>
      </c>
      <c r="C115" s="2949"/>
      <c r="D115" s="1703">
        <f>SUM(D94:D114)</f>
        <v>0</v>
      </c>
      <c r="E115" s="1703">
        <f>SUM(E94:E114)</f>
        <v>0</v>
      </c>
      <c r="F115" s="1704"/>
      <c r="G115" s="1705">
        <f>SUM(G94:G114)</f>
        <v>0</v>
      </c>
      <c r="H115" s="1706">
        <f>SUM(H94:H114)</f>
        <v>0</v>
      </c>
    </row>
    <row r="117" spans="1:10" ht="16.5">
      <c r="A117" s="1691" t="s">
        <v>3234</v>
      </c>
      <c r="B117" s="1707" t="s">
        <v>3255</v>
      </c>
      <c r="C117" s="1638"/>
      <c r="D117" s="1638"/>
      <c r="E117" s="1638"/>
      <c r="F117" s="1638"/>
      <c r="G117" s="1638"/>
    </row>
    <row r="118" spans="1:10" ht="16.5">
      <c r="A118" s="1691"/>
      <c r="B118" s="1707" t="s">
        <v>3266</v>
      </c>
      <c r="C118" s="1638"/>
      <c r="D118" s="1638"/>
      <c r="E118" s="1638"/>
      <c r="F118" s="1638"/>
      <c r="G118" s="1638"/>
    </row>
    <row r="119" spans="1:10" ht="16.5">
      <c r="A119" s="1691" t="s">
        <v>3235</v>
      </c>
      <c r="B119" s="1692" t="s">
        <v>3267</v>
      </c>
      <c r="E119" s="1638"/>
      <c r="F119" s="1638"/>
      <c r="G119" s="1638"/>
      <c r="H119" s="1638"/>
      <c r="I119" s="1638"/>
      <c r="J119" s="1638"/>
    </row>
    <row r="120" spans="1:10" ht="16.5">
      <c r="A120" s="1691" t="s">
        <v>3236</v>
      </c>
      <c r="B120" s="1692" t="s">
        <v>6789</v>
      </c>
      <c r="H120" s="2189" t="str">
        <f>IF(AND(+D27-'表05-1'!G114=0,E27-'表05-1'!G144=0),"","註3檢核錯誤")</f>
        <v/>
      </c>
    </row>
    <row r="121" spans="1:10" ht="16.5">
      <c r="A121" s="1691" t="s">
        <v>3256</v>
      </c>
      <c r="B121" s="1707" t="s">
        <v>6790</v>
      </c>
      <c r="H121" s="2190" t="str">
        <f>IF(D49-('表05-1'!G115+'表05-1'!G117)=0,"","註4檢核錯誤")</f>
        <v/>
      </c>
    </row>
    <row r="122" spans="1:10" ht="16.5">
      <c r="A122" s="1691" t="s">
        <v>3257</v>
      </c>
      <c r="B122" s="1707" t="s">
        <v>6791</v>
      </c>
      <c r="H122" s="2190" t="str">
        <f>IF(E49-('表05-1'!G145+'表05-1'!G147)=0,"","註5檢核錯誤")</f>
        <v/>
      </c>
    </row>
    <row r="123" spans="1:10" ht="16.5">
      <c r="A123" s="1691" t="s">
        <v>3258</v>
      </c>
      <c r="B123" s="1692" t="s">
        <v>6792</v>
      </c>
      <c r="H123" s="2191" t="str">
        <f>IF(AND(D71-'表05-1'!G116=0,E71-'表05-1'!G146=0),"","註6檢核錯誤")</f>
        <v/>
      </c>
    </row>
    <row r="124" spans="1:10" ht="16.5">
      <c r="A124" s="1691" t="s">
        <v>3259</v>
      </c>
      <c r="B124" s="1692" t="s">
        <v>6793</v>
      </c>
      <c r="H124" s="2190" t="str">
        <f>IF(AND(D93-'表05-1'!G119=0,E93-'表05-1'!G149=0),"","註7檢核錯誤")</f>
        <v/>
      </c>
    </row>
    <row r="125" spans="1:10" ht="16.5">
      <c r="A125" s="1691" t="s">
        <v>3260</v>
      </c>
      <c r="B125" s="1692" t="s">
        <v>6794</v>
      </c>
      <c r="H125" s="2192" t="str">
        <f>IF(+D115-'表10-4'!G42=0,"","註8檢核錯誤")</f>
        <v/>
      </c>
    </row>
    <row r="126" spans="1:10" ht="16.5">
      <c r="A126" s="1691" t="s">
        <v>3261</v>
      </c>
      <c r="B126" s="1692" t="s">
        <v>6795</v>
      </c>
      <c r="H126" s="2192" t="str">
        <f>IF(+E115-'表10-4'!G50=0,"","註9檢核錯誤")</f>
        <v/>
      </c>
    </row>
    <row r="127" spans="1:10" ht="16.5">
      <c r="A127" s="1691" t="s">
        <v>3268</v>
      </c>
      <c r="B127" s="1692" t="s">
        <v>3262</v>
      </c>
    </row>
  </sheetData>
  <mergeCells count="15">
    <mergeCell ref="F3:F4"/>
    <mergeCell ref="G3:H3"/>
    <mergeCell ref="B28:B48"/>
    <mergeCell ref="A3:A5"/>
    <mergeCell ref="B3:B4"/>
    <mergeCell ref="B115:C115"/>
    <mergeCell ref="D3:E3"/>
    <mergeCell ref="B6:B26"/>
    <mergeCell ref="B27:C27"/>
    <mergeCell ref="B50:B70"/>
    <mergeCell ref="B71:C71"/>
    <mergeCell ref="B72:B92"/>
    <mergeCell ref="B93:C93"/>
    <mergeCell ref="B49:C49"/>
    <mergeCell ref="B94:B114"/>
  </mergeCells>
  <phoneticPr fontId="29" type="noConversion"/>
  <printOptions horizontalCentered="1"/>
  <pageMargins left="0.39370078740157483" right="0.19685039370078741" top="0.39370078740157483" bottom="0.39370078740157483" header="0.15748031496062992" footer="0"/>
  <pageSetup paperSize="9" scale="45" orientation="portrait" horizontalDpi="4294967295" verticalDpi="4294967295" r:id="rId1"/>
  <headerFooter alignWithMargins="0">
    <oddFooter>&amp;C&amp;P+146&amp;R&amp;"Times New Roman,標準"&amp;A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N247"/>
  <sheetViews>
    <sheetView showGridLines="0" view="pageBreakPreview" zoomScaleNormal="100" zoomScaleSheetLayoutView="100" workbookViewId="0">
      <pane xSplit="4" ySplit="5" topLeftCell="E51" activePane="bottomRight" state="frozen"/>
      <selection pane="topRight"/>
      <selection pane="bottomLeft"/>
      <selection pane="bottomRight"/>
    </sheetView>
  </sheetViews>
  <sheetFormatPr defaultRowHeight="12.75"/>
  <cols>
    <col min="1" max="1" width="5.125" style="1446" customWidth="1"/>
    <col min="2" max="2" width="3.625" style="1446" customWidth="1"/>
    <col min="3" max="3" width="2.625" style="1446" customWidth="1"/>
    <col min="4" max="4" width="20.5" style="1446" customWidth="1"/>
    <col min="5" max="22" width="7.875" style="1446" customWidth="1"/>
    <col min="23" max="23" width="8.375" style="1446" customWidth="1"/>
    <col min="24" max="24" width="5" style="1446" customWidth="1"/>
    <col min="25" max="25" width="11.125" style="1446" customWidth="1"/>
    <col min="26" max="26" width="6.875" style="1446" customWidth="1"/>
    <col min="27" max="27" width="11.25" style="1446" customWidth="1"/>
    <col min="28" max="28" width="7.125" style="1446" customWidth="1"/>
    <col min="29" max="29" width="11.75" style="1446" customWidth="1"/>
    <col min="30" max="31" width="7.625" style="1446" customWidth="1"/>
    <col min="32" max="32" width="7" style="1446" customWidth="1"/>
    <col min="33" max="33" width="7.125" style="1446" customWidth="1"/>
    <col min="34" max="34" width="6.875" style="1446" customWidth="1"/>
    <col min="35" max="35" width="7.125" style="1446" customWidth="1"/>
    <col min="36" max="36" width="9.5" style="1446" customWidth="1"/>
    <col min="37" max="37" width="11.25" style="1446" customWidth="1"/>
    <col min="38" max="38" width="12.125" style="1446" customWidth="1"/>
    <col min="39" max="39" width="12" style="1446" customWidth="1"/>
    <col min="40" max="40" width="5" style="1446" bestFit="1" customWidth="1"/>
    <col min="41" max="16384" width="9" style="1446"/>
  </cols>
  <sheetData>
    <row r="1" spans="1:40" s="1441" customFormat="1" ht="14.25">
      <c r="A1" s="105" t="str">
        <f>表03!A1</f>
        <v xml:space="preserve"> 保險股份有限公司    年度(月)報表</v>
      </c>
      <c r="B1" s="1476"/>
      <c r="C1" s="1476"/>
      <c r="D1" s="1476"/>
      <c r="E1" s="1476"/>
      <c r="F1" s="1476"/>
      <c r="G1" s="1476"/>
      <c r="H1" s="1476"/>
      <c r="I1" s="1476"/>
      <c r="J1" s="1476"/>
      <c r="K1" s="1476"/>
      <c r="L1" s="1476"/>
      <c r="M1" s="1476"/>
      <c r="N1" s="1476"/>
      <c r="O1" s="1476"/>
    </row>
    <row r="2" spans="1:40" s="1441" customFormat="1" ht="14.25">
      <c r="A2" s="1441" t="s">
        <v>2291</v>
      </c>
      <c r="AE2" s="1442" t="s">
        <v>2292</v>
      </c>
    </row>
    <row r="3" spans="1:40" ht="13.9" customHeight="1">
      <c r="A3" s="2536" t="s">
        <v>958</v>
      </c>
      <c r="B3" s="2539" t="s">
        <v>1246</v>
      </c>
      <c r="C3" s="2540"/>
      <c r="D3" s="2541"/>
      <c r="E3" s="1443" t="s">
        <v>2328</v>
      </c>
      <c r="F3" s="1443"/>
      <c r="G3" s="1443"/>
      <c r="H3" s="1443"/>
      <c r="I3" s="1443"/>
      <c r="J3" s="1443"/>
      <c r="K3" s="1443"/>
      <c r="L3" s="1443"/>
      <c r="M3" s="1443"/>
      <c r="N3" s="1443"/>
      <c r="O3" s="1443"/>
      <c r="P3" s="1443"/>
      <c r="Q3" s="1443" t="s">
        <v>2293</v>
      </c>
      <c r="R3" s="1443"/>
      <c r="S3" s="1443"/>
      <c r="T3" s="1443"/>
      <c r="U3" s="1443"/>
      <c r="V3" s="1444" t="s">
        <v>2294</v>
      </c>
      <c r="W3" s="2533" t="s">
        <v>2264</v>
      </c>
      <c r="X3" s="1445"/>
      <c r="Y3" s="2530" t="s">
        <v>2295</v>
      </c>
      <c r="Z3" s="2531"/>
      <c r="AA3" s="2530" t="s">
        <v>2296</v>
      </c>
      <c r="AB3" s="2531"/>
      <c r="AC3" s="2528" t="s">
        <v>2265</v>
      </c>
      <c r="AD3" s="2529"/>
      <c r="AE3" s="2528" t="s">
        <v>2297</v>
      </c>
      <c r="AF3" s="2532"/>
      <c r="AG3" s="2532"/>
      <c r="AH3" s="2532"/>
      <c r="AI3" s="2529"/>
      <c r="AJ3" s="2530" t="s">
        <v>2266</v>
      </c>
      <c r="AK3" s="2535"/>
      <c r="AL3" s="2535"/>
      <c r="AM3" s="2531"/>
      <c r="AN3" s="2526" t="s">
        <v>1374</v>
      </c>
    </row>
    <row r="4" spans="1:40" ht="138" customHeight="1">
      <c r="A4" s="2537"/>
      <c r="B4" s="2542"/>
      <c r="C4" s="2543"/>
      <c r="D4" s="2544"/>
      <c r="E4" s="2210" t="s">
        <v>2298</v>
      </c>
      <c r="F4" s="2210" t="s">
        <v>2299</v>
      </c>
      <c r="G4" s="2210" t="s">
        <v>2329</v>
      </c>
      <c r="H4" s="2210" t="s">
        <v>2300</v>
      </c>
      <c r="I4" s="2210" t="s">
        <v>2301</v>
      </c>
      <c r="J4" s="2210" t="s">
        <v>2302</v>
      </c>
      <c r="K4" s="2210" t="s">
        <v>2303</v>
      </c>
      <c r="L4" s="2210" t="s">
        <v>2304</v>
      </c>
      <c r="M4" s="2210" t="s">
        <v>2305</v>
      </c>
      <c r="N4" s="2210" t="s">
        <v>2306</v>
      </c>
      <c r="O4" s="2210" t="s">
        <v>2307</v>
      </c>
      <c r="P4" s="2210" t="s">
        <v>2308</v>
      </c>
      <c r="Q4" s="2210" t="s">
        <v>2309</v>
      </c>
      <c r="R4" s="2210" t="s">
        <v>2310</v>
      </c>
      <c r="S4" s="2210" t="s">
        <v>2311</v>
      </c>
      <c r="T4" s="2210" t="s">
        <v>2312</v>
      </c>
      <c r="U4" s="2210" t="s">
        <v>2313</v>
      </c>
      <c r="V4" s="2209" t="s">
        <v>2314</v>
      </c>
      <c r="W4" s="2534"/>
      <c r="X4" s="2210" t="s">
        <v>2315</v>
      </c>
      <c r="Y4" s="2211" t="s">
        <v>1249</v>
      </c>
      <c r="Z4" s="2211" t="s">
        <v>461</v>
      </c>
      <c r="AA4" s="2211" t="s">
        <v>1249</v>
      </c>
      <c r="AB4" s="2211" t="s">
        <v>461</v>
      </c>
      <c r="AC4" s="2211" t="s">
        <v>1249</v>
      </c>
      <c r="AD4" s="2211" t="s">
        <v>461</v>
      </c>
      <c r="AE4" s="2211" t="s">
        <v>2316</v>
      </c>
      <c r="AF4" s="2211" t="s">
        <v>1250</v>
      </c>
      <c r="AG4" s="2211" t="s">
        <v>1250</v>
      </c>
      <c r="AH4" s="2211" t="s">
        <v>1250</v>
      </c>
      <c r="AI4" s="2211" t="s">
        <v>1250</v>
      </c>
      <c r="AJ4" s="2210" t="s">
        <v>2189</v>
      </c>
      <c r="AK4" s="2210" t="s">
        <v>2267</v>
      </c>
      <c r="AL4" s="2210" t="s">
        <v>2268</v>
      </c>
      <c r="AM4" s="2210" t="s">
        <v>2317</v>
      </c>
      <c r="AN4" s="2527"/>
    </row>
    <row r="5" spans="1:40" ht="25.5" customHeight="1">
      <c r="A5" s="2538"/>
      <c r="B5" s="2545" t="s">
        <v>462</v>
      </c>
      <c r="C5" s="2546"/>
      <c r="D5" s="2547"/>
      <c r="E5" s="1447" t="s">
        <v>67</v>
      </c>
      <c r="F5" s="1447" t="s">
        <v>68</v>
      </c>
      <c r="G5" s="1447" t="s">
        <v>69</v>
      </c>
      <c r="H5" s="1447" t="s">
        <v>70</v>
      </c>
      <c r="I5" s="1447" t="s">
        <v>71</v>
      </c>
      <c r="J5" s="1447" t="s">
        <v>72</v>
      </c>
      <c r="K5" s="1447" t="s">
        <v>73</v>
      </c>
      <c r="L5" s="1447" t="s">
        <v>74</v>
      </c>
      <c r="M5" s="1447" t="s">
        <v>75</v>
      </c>
      <c r="N5" s="1447" t="s">
        <v>234</v>
      </c>
      <c r="O5" s="1447" t="s">
        <v>235</v>
      </c>
      <c r="P5" s="1447" t="s">
        <v>286</v>
      </c>
      <c r="Q5" s="1447" t="s">
        <v>287</v>
      </c>
      <c r="R5" s="1447" t="s">
        <v>288</v>
      </c>
      <c r="S5" s="1447" t="s">
        <v>289</v>
      </c>
      <c r="T5" s="1447" t="s">
        <v>290</v>
      </c>
      <c r="U5" s="1447" t="s">
        <v>138</v>
      </c>
      <c r="V5" s="1447" t="s">
        <v>139</v>
      </c>
      <c r="W5" s="1447" t="s">
        <v>140</v>
      </c>
      <c r="X5" s="1447" t="s">
        <v>141</v>
      </c>
      <c r="Y5" s="1447" t="s">
        <v>2290</v>
      </c>
      <c r="Z5" s="1447" t="s">
        <v>2253</v>
      </c>
      <c r="AA5" s="1447" t="s">
        <v>976</v>
      </c>
      <c r="AB5" s="1447" t="s">
        <v>975</v>
      </c>
      <c r="AC5" s="1447" t="s">
        <v>256</v>
      </c>
      <c r="AD5" s="1447" t="s">
        <v>257</v>
      </c>
      <c r="AE5" s="1447" t="s">
        <v>258</v>
      </c>
      <c r="AF5" s="1447" t="s">
        <v>259</v>
      </c>
      <c r="AG5" s="1447" t="s">
        <v>260</v>
      </c>
      <c r="AH5" s="1447" t="s">
        <v>1341</v>
      </c>
      <c r="AI5" s="1447" t="s">
        <v>1342</v>
      </c>
      <c r="AJ5" s="1447" t="s">
        <v>2190</v>
      </c>
      <c r="AK5" s="1447" t="s">
        <v>1343</v>
      </c>
      <c r="AL5" s="1447" t="s">
        <v>2254</v>
      </c>
      <c r="AM5" s="1447" t="s">
        <v>2255</v>
      </c>
      <c r="AN5" s="1447" t="s">
        <v>2191</v>
      </c>
    </row>
    <row r="6" spans="1:40" ht="14.1" customHeight="1">
      <c r="A6" s="1448">
        <v>1</v>
      </c>
      <c r="B6" s="1449"/>
      <c r="C6" s="1450" t="s">
        <v>1251</v>
      </c>
      <c r="D6" s="1451" t="s">
        <v>1252</v>
      </c>
      <c r="E6" s="1452"/>
      <c r="F6" s="1452"/>
      <c r="G6" s="1452"/>
      <c r="H6" s="1452"/>
      <c r="I6" s="1452"/>
      <c r="J6" s="1452"/>
      <c r="K6" s="1452"/>
      <c r="L6" s="1452"/>
      <c r="M6" s="1452"/>
      <c r="N6" s="1452"/>
      <c r="O6" s="1452"/>
      <c r="P6" s="1452"/>
      <c r="Q6" s="1452"/>
      <c r="R6" s="1452"/>
      <c r="S6" s="1452"/>
      <c r="T6" s="1452"/>
      <c r="U6" s="1452"/>
      <c r="V6" s="1452"/>
      <c r="W6" s="1452"/>
      <c r="X6" s="1452"/>
      <c r="Y6" s="1453">
        <f t="shared" ref="Y6:Y51" si="0">SUM(E6:X6)</f>
        <v>0</v>
      </c>
      <c r="Z6" s="1454"/>
      <c r="AA6" s="1452"/>
      <c r="AB6" s="1454"/>
      <c r="AC6" s="1453">
        <f>+Y6-AA6</f>
        <v>0</v>
      </c>
      <c r="AD6" s="1454"/>
      <c r="AE6" s="1454"/>
      <c r="AF6" s="1454"/>
      <c r="AG6" s="1454"/>
      <c r="AH6" s="1454"/>
      <c r="AI6" s="1454"/>
      <c r="AJ6" s="1452"/>
      <c r="AK6" s="1452"/>
      <c r="AL6" s="1453">
        <f>+AJ6-AK6</f>
        <v>0</v>
      </c>
      <c r="AM6" s="1454"/>
      <c r="AN6" s="1452"/>
    </row>
    <row r="7" spans="1:40" ht="14.1" customHeight="1">
      <c r="A7" s="1448">
        <f>A6+1</f>
        <v>2</v>
      </c>
      <c r="B7" s="1455"/>
      <c r="C7" s="1456"/>
      <c r="D7" s="1457" t="s">
        <v>1253</v>
      </c>
      <c r="E7" s="1452"/>
      <c r="F7" s="1452"/>
      <c r="G7" s="1452"/>
      <c r="H7" s="1452"/>
      <c r="I7" s="1452"/>
      <c r="J7" s="1452"/>
      <c r="K7" s="1452"/>
      <c r="L7" s="1452"/>
      <c r="M7" s="1452"/>
      <c r="N7" s="1452"/>
      <c r="O7" s="1452"/>
      <c r="P7" s="1452"/>
      <c r="Q7" s="1452"/>
      <c r="R7" s="1452"/>
      <c r="S7" s="1452"/>
      <c r="T7" s="1452"/>
      <c r="U7" s="1452"/>
      <c r="V7" s="1452"/>
      <c r="W7" s="1452"/>
      <c r="X7" s="1452"/>
      <c r="Y7" s="1453">
        <f t="shared" si="0"/>
        <v>0</v>
      </c>
      <c r="Z7" s="1454"/>
      <c r="AA7" s="1452"/>
      <c r="AB7" s="1454"/>
      <c r="AC7" s="1453">
        <f t="shared" ref="AC7:AC51" si="1">+Y7-AA7</f>
        <v>0</v>
      </c>
      <c r="AD7" s="1454"/>
      <c r="AE7" s="1454"/>
      <c r="AF7" s="1454"/>
      <c r="AG7" s="1454"/>
      <c r="AH7" s="1454"/>
      <c r="AI7" s="1454"/>
      <c r="AJ7" s="1452"/>
      <c r="AK7" s="1452"/>
      <c r="AL7" s="1453">
        <f t="shared" ref="AL7:AL51" si="2">+AJ7-AK7</f>
        <v>0</v>
      </c>
      <c r="AM7" s="1454"/>
      <c r="AN7" s="1452"/>
    </row>
    <row r="8" spans="1:40" ht="14.1" customHeight="1">
      <c r="A8" s="1448">
        <f t="shared" ref="A8:A51" si="3">A7+1</f>
        <v>3</v>
      </c>
      <c r="B8" s="1455" t="s">
        <v>1254</v>
      </c>
      <c r="C8" s="1456"/>
      <c r="D8" s="1451" t="s">
        <v>1255</v>
      </c>
      <c r="E8" s="1452"/>
      <c r="F8" s="1452"/>
      <c r="G8" s="1452"/>
      <c r="H8" s="1452"/>
      <c r="I8" s="1452"/>
      <c r="J8" s="1452"/>
      <c r="K8" s="1452"/>
      <c r="L8" s="1452"/>
      <c r="M8" s="1452"/>
      <c r="N8" s="1452"/>
      <c r="O8" s="1452"/>
      <c r="P8" s="1452"/>
      <c r="Q8" s="1452"/>
      <c r="R8" s="1452"/>
      <c r="S8" s="1452"/>
      <c r="T8" s="1452"/>
      <c r="U8" s="1452"/>
      <c r="V8" s="1452"/>
      <c r="W8" s="1452"/>
      <c r="X8" s="1452"/>
      <c r="Y8" s="1453">
        <f t="shared" si="0"/>
        <v>0</v>
      </c>
      <c r="Z8" s="1454"/>
      <c r="AA8" s="1452"/>
      <c r="AB8" s="1454"/>
      <c r="AC8" s="1453">
        <f t="shared" si="1"/>
        <v>0</v>
      </c>
      <c r="AD8" s="1454"/>
      <c r="AE8" s="1454"/>
      <c r="AF8" s="1454"/>
      <c r="AG8" s="1454"/>
      <c r="AH8" s="1454"/>
      <c r="AI8" s="1454"/>
      <c r="AJ8" s="1452"/>
      <c r="AK8" s="1452"/>
      <c r="AL8" s="1453">
        <f t="shared" si="2"/>
        <v>0</v>
      </c>
      <c r="AM8" s="1454"/>
      <c r="AN8" s="1452"/>
    </row>
    <row r="9" spans="1:40" ht="14.1" customHeight="1">
      <c r="A9" s="1448">
        <f t="shared" si="3"/>
        <v>4</v>
      </c>
      <c r="B9" s="1455"/>
      <c r="C9" s="1456"/>
      <c r="D9" s="1451" t="s">
        <v>1247</v>
      </c>
      <c r="E9" s="1452"/>
      <c r="F9" s="1452"/>
      <c r="G9" s="1452"/>
      <c r="H9" s="1452"/>
      <c r="I9" s="1452"/>
      <c r="J9" s="1452"/>
      <c r="K9" s="1452"/>
      <c r="L9" s="1452"/>
      <c r="M9" s="1452"/>
      <c r="N9" s="1452"/>
      <c r="O9" s="1452"/>
      <c r="P9" s="1452"/>
      <c r="Q9" s="1452"/>
      <c r="R9" s="1452"/>
      <c r="S9" s="1452"/>
      <c r="T9" s="1452"/>
      <c r="U9" s="1452"/>
      <c r="V9" s="1452"/>
      <c r="W9" s="1452"/>
      <c r="X9" s="1452"/>
      <c r="Y9" s="1453">
        <f t="shared" si="0"/>
        <v>0</v>
      </c>
      <c r="Z9" s="1454"/>
      <c r="AA9" s="1452"/>
      <c r="AB9" s="1454"/>
      <c r="AC9" s="1453">
        <f t="shared" si="1"/>
        <v>0</v>
      </c>
      <c r="AD9" s="1454"/>
      <c r="AE9" s="1454"/>
      <c r="AF9" s="1454"/>
      <c r="AG9" s="1454"/>
      <c r="AH9" s="1454"/>
      <c r="AI9" s="1454"/>
      <c r="AJ9" s="1452"/>
      <c r="AK9" s="1452"/>
      <c r="AL9" s="1453">
        <f>+AJ9-AK9</f>
        <v>0</v>
      </c>
      <c r="AM9" s="1454"/>
      <c r="AN9" s="1452"/>
    </row>
    <row r="10" spans="1:40" ht="14.1" customHeight="1">
      <c r="A10" s="1448">
        <f t="shared" si="3"/>
        <v>5</v>
      </c>
      <c r="B10" s="1455"/>
      <c r="C10" s="1458" t="s">
        <v>1256</v>
      </c>
      <c r="D10" s="1451" t="s">
        <v>572</v>
      </c>
      <c r="E10" s="1453">
        <f>SUM(E6:E9)</f>
        <v>0</v>
      </c>
      <c r="F10" s="1453">
        <f t="shared" ref="F10:X10" si="4">SUM(F6:F9)</f>
        <v>0</v>
      </c>
      <c r="G10" s="1453">
        <f t="shared" si="4"/>
        <v>0</v>
      </c>
      <c r="H10" s="1453">
        <f t="shared" si="4"/>
        <v>0</v>
      </c>
      <c r="I10" s="1453">
        <f t="shared" si="4"/>
        <v>0</v>
      </c>
      <c r="J10" s="1453">
        <f t="shared" si="4"/>
        <v>0</v>
      </c>
      <c r="K10" s="1453">
        <f t="shared" si="4"/>
        <v>0</v>
      </c>
      <c r="L10" s="1453">
        <f t="shared" si="4"/>
        <v>0</v>
      </c>
      <c r="M10" s="1453">
        <f t="shared" si="4"/>
        <v>0</v>
      </c>
      <c r="N10" s="1453">
        <f t="shared" si="4"/>
        <v>0</v>
      </c>
      <c r="O10" s="1453">
        <f t="shared" si="4"/>
        <v>0</v>
      </c>
      <c r="P10" s="1453">
        <f t="shared" si="4"/>
        <v>0</v>
      </c>
      <c r="Q10" s="1453">
        <f t="shared" si="4"/>
        <v>0</v>
      </c>
      <c r="R10" s="1453">
        <f t="shared" si="4"/>
        <v>0</v>
      </c>
      <c r="S10" s="1453">
        <f t="shared" si="4"/>
        <v>0</v>
      </c>
      <c r="T10" s="1453">
        <f t="shared" si="4"/>
        <v>0</v>
      </c>
      <c r="U10" s="1453">
        <f t="shared" si="4"/>
        <v>0</v>
      </c>
      <c r="V10" s="1453">
        <f t="shared" si="4"/>
        <v>0</v>
      </c>
      <c r="W10" s="1453">
        <f t="shared" si="4"/>
        <v>0</v>
      </c>
      <c r="X10" s="1453">
        <f t="shared" si="4"/>
        <v>0</v>
      </c>
      <c r="Y10" s="1453">
        <f t="shared" si="0"/>
        <v>0</v>
      </c>
      <c r="Z10" s="1454"/>
      <c r="AA10" s="1452"/>
      <c r="AB10" s="1454"/>
      <c r="AC10" s="1453">
        <f t="shared" si="1"/>
        <v>0</v>
      </c>
      <c r="AD10" s="1454"/>
      <c r="AE10" s="1454"/>
      <c r="AF10" s="1454"/>
      <c r="AG10" s="1454"/>
      <c r="AH10" s="1454"/>
      <c r="AI10" s="1454"/>
      <c r="AJ10" s="1452"/>
      <c r="AK10" s="1452"/>
      <c r="AL10" s="1453">
        <f t="shared" si="2"/>
        <v>0</v>
      </c>
      <c r="AM10" s="1454"/>
      <c r="AN10" s="1452"/>
    </row>
    <row r="11" spans="1:40" ht="14.1" customHeight="1">
      <c r="A11" s="1448">
        <f t="shared" si="3"/>
        <v>6</v>
      </c>
      <c r="B11" s="1455"/>
      <c r="D11" s="1459" t="s">
        <v>1257</v>
      </c>
      <c r="E11" s="1452"/>
      <c r="F11" s="1452"/>
      <c r="G11" s="1452"/>
      <c r="H11" s="1452"/>
      <c r="I11" s="1452"/>
      <c r="J11" s="1452"/>
      <c r="K11" s="1452"/>
      <c r="L11" s="1452"/>
      <c r="M11" s="1452"/>
      <c r="N11" s="1452"/>
      <c r="O11" s="1452"/>
      <c r="P11" s="1452"/>
      <c r="Q11" s="1452"/>
      <c r="R11" s="1452"/>
      <c r="S11" s="1452"/>
      <c r="T11" s="1452"/>
      <c r="U11" s="1452"/>
      <c r="V11" s="1452"/>
      <c r="W11" s="1452"/>
      <c r="X11" s="1452"/>
      <c r="Y11" s="1453">
        <f t="shared" si="0"/>
        <v>0</v>
      </c>
      <c r="Z11" s="1454"/>
      <c r="AA11" s="1452"/>
      <c r="AB11" s="1454"/>
      <c r="AC11" s="1453">
        <f t="shared" si="1"/>
        <v>0</v>
      </c>
      <c r="AD11" s="1454"/>
      <c r="AE11" s="1454"/>
      <c r="AF11" s="1454"/>
      <c r="AG11" s="1454"/>
      <c r="AH11" s="1454"/>
      <c r="AI11" s="1454"/>
      <c r="AJ11" s="1452"/>
      <c r="AK11" s="1452"/>
      <c r="AL11" s="1453">
        <f t="shared" si="2"/>
        <v>0</v>
      </c>
      <c r="AM11" s="1454"/>
      <c r="AN11" s="1452"/>
    </row>
    <row r="12" spans="1:40" ht="14.1" customHeight="1">
      <c r="A12" s="1448">
        <f t="shared" si="3"/>
        <v>7</v>
      </c>
      <c r="B12" s="1455" t="s">
        <v>1258</v>
      </c>
      <c r="C12" s="1456" t="s">
        <v>1259</v>
      </c>
      <c r="D12" s="1460" t="s">
        <v>1260</v>
      </c>
      <c r="E12" s="1452"/>
      <c r="F12" s="1452"/>
      <c r="G12" s="1452"/>
      <c r="H12" s="1452"/>
      <c r="I12" s="1452"/>
      <c r="J12" s="1452"/>
      <c r="K12" s="1452"/>
      <c r="L12" s="1452"/>
      <c r="M12" s="1452"/>
      <c r="N12" s="1452"/>
      <c r="O12" s="1452"/>
      <c r="P12" s="1452"/>
      <c r="Q12" s="1452"/>
      <c r="R12" s="1452"/>
      <c r="S12" s="1452"/>
      <c r="T12" s="1452"/>
      <c r="U12" s="1452"/>
      <c r="V12" s="1452"/>
      <c r="W12" s="1452"/>
      <c r="X12" s="1452"/>
      <c r="Y12" s="1453">
        <f t="shared" si="0"/>
        <v>0</v>
      </c>
      <c r="Z12" s="1454"/>
      <c r="AA12" s="1452"/>
      <c r="AB12" s="1454"/>
      <c r="AC12" s="1453">
        <f t="shared" si="1"/>
        <v>0</v>
      </c>
      <c r="AD12" s="1454"/>
      <c r="AE12" s="1454"/>
      <c r="AF12" s="1454"/>
      <c r="AG12" s="1454"/>
      <c r="AH12" s="1454"/>
      <c r="AI12" s="1454"/>
      <c r="AJ12" s="1452"/>
      <c r="AK12" s="1452"/>
      <c r="AL12" s="1453">
        <f t="shared" si="2"/>
        <v>0</v>
      </c>
      <c r="AM12" s="1454"/>
      <c r="AN12" s="1452"/>
    </row>
    <row r="13" spans="1:40" ht="14.1" customHeight="1">
      <c r="A13" s="1448">
        <f t="shared" si="3"/>
        <v>8</v>
      </c>
      <c r="B13" s="1455"/>
      <c r="C13" s="1456" t="s">
        <v>1261</v>
      </c>
      <c r="D13" s="1461" t="s">
        <v>1262</v>
      </c>
      <c r="E13" s="1452"/>
      <c r="F13" s="1452"/>
      <c r="G13" s="1452"/>
      <c r="H13" s="1452"/>
      <c r="I13" s="1452"/>
      <c r="J13" s="1452"/>
      <c r="K13" s="1452"/>
      <c r="L13" s="1452"/>
      <c r="M13" s="1452"/>
      <c r="N13" s="1452"/>
      <c r="O13" s="1452"/>
      <c r="P13" s="1452"/>
      <c r="Q13" s="1452"/>
      <c r="R13" s="1452"/>
      <c r="S13" s="1452"/>
      <c r="T13" s="1452"/>
      <c r="U13" s="1452"/>
      <c r="V13" s="1452"/>
      <c r="W13" s="1452"/>
      <c r="X13" s="1452"/>
      <c r="Y13" s="1453">
        <f t="shared" si="0"/>
        <v>0</v>
      </c>
      <c r="Z13" s="1454"/>
      <c r="AA13" s="1452"/>
      <c r="AB13" s="1454"/>
      <c r="AC13" s="1453">
        <f t="shared" si="1"/>
        <v>0</v>
      </c>
      <c r="AD13" s="1454"/>
      <c r="AE13" s="1454"/>
      <c r="AF13" s="1454"/>
      <c r="AG13" s="1454"/>
      <c r="AH13" s="1454"/>
      <c r="AI13" s="1454"/>
      <c r="AJ13" s="1452"/>
      <c r="AK13" s="1452"/>
      <c r="AL13" s="1453">
        <f t="shared" si="2"/>
        <v>0</v>
      </c>
      <c r="AM13" s="1454"/>
      <c r="AN13" s="1452"/>
    </row>
    <row r="14" spans="1:40" ht="14.1" customHeight="1">
      <c r="A14" s="1448">
        <f t="shared" si="3"/>
        <v>9</v>
      </c>
      <c r="B14" s="1455"/>
      <c r="C14" s="1456" t="s">
        <v>1263</v>
      </c>
      <c r="D14" s="1460" t="s">
        <v>1264</v>
      </c>
      <c r="E14" s="1452"/>
      <c r="F14" s="1452"/>
      <c r="G14" s="1452"/>
      <c r="H14" s="1452"/>
      <c r="I14" s="1452"/>
      <c r="J14" s="1452"/>
      <c r="K14" s="1452"/>
      <c r="L14" s="1452"/>
      <c r="M14" s="1452"/>
      <c r="N14" s="1452"/>
      <c r="O14" s="1452"/>
      <c r="P14" s="1452"/>
      <c r="Q14" s="1452"/>
      <c r="R14" s="1452"/>
      <c r="S14" s="1452"/>
      <c r="T14" s="1452"/>
      <c r="U14" s="1452"/>
      <c r="V14" s="1452"/>
      <c r="W14" s="1452"/>
      <c r="X14" s="1452"/>
      <c r="Y14" s="1453">
        <f t="shared" si="0"/>
        <v>0</v>
      </c>
      <c r="Z14" s="1454"/>
      <c r="AA14" s="1452"/>
      <c r="AB14" s="1454"/>
      <c r="AC14" s="1453">
        <f t="shared" si="1"/>
        <v>0</v>
      </c>
      <c r="AD14" s="1454"/>
      <c r="AE14" s="1454"/>
      <c r="AF14" s="1454"/>
      <c r="AG14" s="1454"/>
      <c r="AH14" s="1454"/>
      <c r="AI14" s="1454"/>
      <c r="AJ14" s="1452"/>
      <c r="AK14" s="1452"/>
      <c r="AL14" s="1453">
        <f t="shared" si="2"/>
        <v>0</v>
      </c>
      <c r="AM14" s="1454"/>
      <c r="AN14" s="1452"/>
    </row>
    <row r="15" spans="1:40" ht="14.1" customHeight="1">
      <c r="A15" s="1448">
        <f t="shared" si="3"/>
        <v>10</v>
      </c>
      <c r="B15" s="1455"/>
      <c r="C15" s="1456" t="s">
        <v>1265</v>
      </c>
      <c r="D15" s="1460" t="s">
        <v>1266</v>
      </c>
      <c r="E15" s="1452"/>
      <c r="F15" s="1452"/>
      <c r="G15" s="1452"/>
      <c r="H15" s="1452"/>
      <c r="I15" s="1452"/>
      <c r="J15" s="1452"/>
      <c r="K15" s="1452"/>
      <c r="L15" s="1452"/>
      <c r="M15" s="1452"/>
      <c r="N15" s="1452"/>
      <c r="O15" s="1452"/>
      <c r="P15" s="1452"/>
      <c r="Q15" s="1452"/>
      <c r="R15" s="1452"/>
      <c r="S15" s="1452"/>
      <c r="T15" s="1452"/>
      <c r="U15" s="1452"/>
      <c r="V15" s="1452"/>
      <c r="W15" s="1452"/>
      <c r="X15" s="1452"/>
      <c r="Y15" s="1453">
        <f t="shared" si="0"/>
        <v>0</v>
      </c>
      <c r="Z15" s="1454"/>
      <c r="AA15" s="1452"/>
      <c r="AB15" s="1454"/>
      <c r="AC15" s="1453">
        <f t="shared" si="1"/>
        <v>0</v>
      </c>
      <c r="AD15" s="1454"/>
      <c r="AE15" s="1454"/>
      <c r="AF15" s="1454"/>
      <c r="AG15" s="1454"/>
      <c r="AH15" s="1454"/>
      <c r="AI15" s="1454"/>
      <c r="AJ15" s="1452"/>
      <c r="AK15" s="1452"/>
      <c r="AL15" s="1453">
        <f t="shared" si="2"/>
        <v>0</v>
      </c>
      <c r="AM15" s="1454"/>
      <c r="AN15" s="1452"/>
    </row>
    <row r="16" spans="1:40" ht="14.1" customHeight="1">
      <c r="A16" s="1448">
        <f t="shared" si="3"/>
        <v>11</v>
      </c>
      <c r="B16" s="1455" t="s">
        <v>1267</v>
      </c>
      <c r="C16" s="1458"/>
      <c r="D16" s="1446" t="s">
        <v>1248</v>
      </c>
      <c r="E16" s="1453">
        <f>SUM(E11:E15)</f>
        <v>0</v>
      </c>
      <c r="F16" s="1453">
        <f t="shared" ref="F16:X16" si="5">SUM(F11:F15)</f>
        <v>0</v>
      </c>
      <c r="G16" s="1453">
        <f t="shared" si="5"/>
        <v>0</v>
      </c>
      <c r="H16" s="1453">
        <f t="shared" si="5"/>
        <v>0</v>
      </c>
      <c r="I16" s="1453">
        <f t="shared" si="5"/>
        <v>0</v>
      </c>
      <c r="J16" s="1453">
        <f t="shared" si="5"/>
        <v>0</v>
      </c>
      <c r="K16" s="1453">
        <f t="shared" si="5"/>
        <v>0</v>
      </c>
      <c r="L16" s="1453">
        <f t="shared" si="5"/>
        <v>0</v>
      </c>
      <c r="M16" s="1453">
        <f t="shared" si="5"/>
        <v>0</v>
      </c>
      <c r="N16" s="1453">
        <f t="shared" si="5"/>
        <v>0</v>
      </c>
      <c r="O16" s="1453">
        <f t="shared" si="5"/>
        <v>0</v>
      </c>
      <c r="P16" s="1453">
        <f t="shared" si="5"/>
        <v>0</v>
      </c>
      <c r="Q16" s="1453">
        <f t="shared" si="5"/>
        <v>0</v>
      </c>
      <c r="R16" s="1453">
        <f t="shared" si="5"/>
        <v>0</v>
      </c>
      <c r="S16" s="1453">
        <f t="shared" si="5"/>
        <v>0</v>
      </c>
      <c r="T16" s="1453">
        <f t="shared" si="5"/>
        <v>0</v>
      </c>
      <c r="U16" s="1453">
        <f t="shared" si="5"/>
        <v>0</v>
      </c>
      <c r="V16" s="1453">
        <f t="shared" si="5"/>
        <v>0</v>
      </c>
      <c r="W16" s="1453">
        <f t="shared" si="5"/>
        <v>0</v>
      </c>
      <c r="X16" s="1453">
        <f t="shared" si="5"/>
        <v>0</v>
      </c>
      <c r="Y16" s="1453">
        <f t="shared" si="0"/>
        <v>0</v>
      </c>
      <c r="Z16" s="1454"/>
      <c r="AA16" s="1452"/>
      <c r="AB16" s="1454"/>
      <c r="AC16" s="1453">
        <f t="shared" si="1"/>
        <v>0</v>
      </c>
      <c r="AD16" s="1454"/>
      <c r="AE16" s="1454"/>
      <c r="AF16" s="1454"/>
      <c r="AG16" s="1454"/>
      <c r="AH16" s="1454"/>
      <c r="AI16" s="1454"/>
      <c r="AJ16" s="1452"/>
      <c r="AK16" s="1452"/>
      <c r="AL16" s="1453">
        <f t="shared" si="2"/>
        <v>0</v>
      </c>
      <c r="AM16" s="1454"/>
      <c r="AN16" s="1452"/>
    </row>
    <row r="17" spans="1:40" ht="14.1" customHeight="1">
      <c r="A17" s="1448">
        <f t="shared" si="3"/>
        <v>12</v>
      </c>
      <c r="B17" s="1455"/>
      <c r="C17" s="1456" t="s">
        <v>1268</v>
      </c>
      <c r="D17" s="1460" t="s">
        <v>1269</v>
      </c>
      <c r="E17" s="1452"/>
      <c r="F17" s="1452"/>
      <c r="G17" s="1452"/>
      <c r="H17" s="1452"/>
      <c r="I17" s="1452"/>
      <c r="J17" s="1452"/>
      <c r="K17" s="1452"/>
      <c r="L17" s="1452"/>
      <c r="M17" s="1452"/>
      <c r="N17" s="1452"/>
      <c r="O17" s="1452"/>
      <c r="P17" s="1452"/>
      <c r="Q17" s="1452"/>
      <c r="R17" s="1452"/>
      <c r="S17" s="1452"/>
      <c r="T17" s="1452"/>
      <c r="U17" s="1452"/>
      <c r="V17" s="1452"/>
      <c r="W17" s="1452"/>
      <c r="X17" s="1452"/>
      <c r="Y17" s="1453">
        <f t="shared" si="0"/>
        <v>0</v>
      </c>
      <c r="Z17" s="1454"/>
      <c r="AA17" s="1452"/>
      <c r="AB17" s="1454"/>
      <c r="AC17" s="1453">
        <f t="shared" si="1"/>
        <v>0</v>
      </c>
      <c r="AD17" s="1454"/>
      <c r="AE17" s="1454"/>
      <c r="AF17" s="1454"/>
      <c r="AG17" s="1454"/>
      <c r="AH17" s="1454"/>
      <c r="AI17" s="1454"/>
      <c r="AJ17" s="1452"/>
      <c r="AK17" s="1452"/>
      <c r="AL17" s="1453">
        <f t="shared" si="2"/>
        <v>0</v>
      </c>
      <c r="AM17" s="1454"/>
      <c r="AN17" s="1452"/>
    </row>
    <row r="18" spans="1:40" ht="14.1" customHeight="1">
      <c r="A18" s="1448">
        <f t="shared" si="3"/>
        <v>13</v>
      </c>
      <c r="B18" s="1455"/>
      <c r="C18" s="1456" t="s">
        <v>1270</v>
      </c>
      <c r="D18" s="1460" t="s">
        <v>1271</v>
      </c>
      <c r="E18" s="1452"/>
      <c r="F18" s="1452"/>
      <c r="G18" s="1452"/>
      <c r="H18" s="1452"/>
      <c r="I18" s="1452"/>
      <c r="J18" s="1452"/>
      <c r="K18" s="1452"/>
      <c r="L18" s="1452"/>
      <c r="M18" s="1452"/>
      <c r="N18" s="1452"/>
      <c r="O18" s="1452"/>
      <c r="P18" s="1452"/>
      <c r="Q18" s="1452"/>
      <c r="R18" s="1452"/>
      <c r="S18" s="1452"/>
      <c r="T18" s="1452"/>
      <c r="U18" s="1452"/>
      <c r="V18" s="1452"/>
      <c r="W18" s="1452"/>
      <c r="X18" s="1452"/>
      <c r="Y18" s="1453">
        <f t="shared" si="0"/>
        <v>0</v>
      </c>
      <c r="Z18" s="1454"/>
      <c r="AA18" s="1452"/>
      <c r="AB18" s="1454"/>
      <c r="AC18" s="1453">
        <f t="shared" si="1"/>
        <v>0</v>
      </c>
      <c r="AD18" s="1454"/>
      <c r="AE18" s="1454"/>
      <c r="AF18" s="1454"/>
      <c r="AG18" s="1454"/>
      <c r="AH18" s="1454"/>
      <c r="AI18" s="1454"/>
      <c r="AJ18" s="1452"/>
      <c r="AK18" s="1452"/>
      <c r="AL18" s="1453">
        <f t="shared" si="2"/>
        <v>0</v>
      </c>
      <c r="AM18" s="1454"/>
      <c r="AN18" s="1452"/>
    </row>
    <row r="19" spans="1:40" ht="14.1" customHeight="1">
      <c r="A19" s="1448">
        <f t="shared" si="3"/>
        <v>14</v>
      </c>
      <c r="B19" s="1455"/>
      <c r="C19" s="1456" t="s">
        <v>1272</v>
      </c>
      <c r="D19" s="1460" t="s">
        <v>1247</v>
      </c>
      <c r="E19" s="1452"/>
      <c r="F19" s="1452"/>
      <c r="G19" s="1452"/>
      <c r="H19" s="1452"/>
      <c r="I19" s="1452"/>
      <c r="J19" s="1452"/>
      <c r="K19" s="1452"/>
      <c r="L19" s="1452"/>
      <c r="M19" s="1452"/>
      <c r="N19" s="1452"/>
      <c r="O19" s="1452"/>
      <c r="P19" s="1452"/>
      <c r="Q19" s="1452"/>
      <c r="R19" s="1452"/>
      <c r="S19" s="1452"/>
      <c r="T19" s="1452"/>
      <c r="U19" s="1452"/>
      <c r="V19" s="1452"/>
      <c r="W19" s="1452"/>
      <c r="X19" s="1452"/>
      <c r="Y19" s="1453">
        <f t="shared" si="0"/>
        <v>0</v>
      </c>
      <c r="Z19" s="1454"/>
      <c r="AA19" s="1452"/>
      <c r="AB19" s="1454"/>
      <c r="AC19" s="1453">
        <f t="shared" si="1"/>
        <v>0</v>
      </c>
      <c r="AD19" s="1454"/>
      <c r="AE19" s="1454"/>
      <c r="AF19" s="1454"/>
      <c r="AG19" s="1454"/>
      <c r="AH19" s="1454"/>
      <c r="AI19" s="1454"/>
      <c r="AJ19" s="1452"/>
      <c r="AK19" s="1452"/>
      <c r="AL19" s="1453">
        <f t="shared" si="2"/>
        <v>0</v>
      </c>
      <c r="AM19" s="1454"/>
      <c r="AN19" s="1452"/>
    </row>
    <row r="20" spans="1:40" ht="14.1" customHeight="1">
      <c r="A20" s="1448">
        <f t="shared" si="3"/>
        <v>15</v>
      </c>
      <c r="B20" s="1455" t="s">
        <v>1273</v>
      </c>
      <c r="C20" s="1458"/>
      <c r="D20" s="1446" t="s">
        <v>1248</v>
      </c>
      <c r="E20" s="1453">
        <f>SUM(E17:E19)</f>
        <v>0</v>
      </c>
      <c r="F20" s="1453">
        <f t="shared" ref="F20:X20" si="6">SUM(F17:F19)</f>
        <v>0</v>
      </c>
      <c r="G20" s="1453">
        <f t="shared" si="6"/>
        <v>0</v>
      </c>
      <c r="H20" s="1453">
        <f t="shared" si="6"/>
        <v>0</v>
      </c>
      <c r="I20" s="1453">
        <f t="shared" si="6"/>
        <v>0</v>
      </c>
      <c r="J20" s="1453">
        <f t="shared" si="6"/>
        <v>0</v>
      </c>
      <c r="K20" s="1453">
        <f t="shared" si="6"/>
        <v>0</v>
      </c>
      <c r="L20" s="1453">
        <f t="shared" si="6"/>
        <v>0</v>
      </c>
      <c r="M20" s="1453">
        <f t="shared" si="6"/>
        <v>0</v>
      </c>
      <c r="N20" s="1453">
        <f t="shared" si="6"/>
        <v>0</v>
      </c>
      <c r="O20" s="1453">
        <f t="shared" si="6"/>
        <v>0</v>
      </c>
      <c r="P20" s="1453">
        <f t="shared" si="6"/>
        <v>0</v>
      </c>
      <c r="Q20" s="1453">
        <f t="shared" si="6"/>
        <v>0</v>
      </c>
      <c r="R20" s="1453">
        <f t="shared" si="6"/>
        <v>0</v>
      </c>
      <c r="S20" s="1453">
        <f t="shared" si="6"/>
        <v>0</v>
      </c>
      <c r="T20" s="1453">
        <f t="shared" si="6"/>
        <v>0</v>
      </c>
      <c r="U20" s="1453">
        <f t="shared" si="6"/>
        <v>0</v>
      </c>
      <c r="V20" s="1453">
        <f t="shared" si="6"/>
        <v>0</v>
      </c>
      <c r="W20" s="1453">
        <f t="shared" si="6"/>
        <v>0</v>
      </c>
      <c r="X20" s="1453">
        <f t="shared" si="6"/>
        <v>0</v>
      </c>
      <c r="Y20" s="1453">
        <f t="shared" si="0"/>
        <v>0</v>
      </c>
      <c r="Z20" s="1454"/>
      <c r="AA20" s="1452"/>
      <c r="AB20" s="1454"/>
      <c r="AC20" s="1453">
        <f t="shared" si="1"/>
        <v>0</v>
      </c>
      <c r="AD20" s="1454"/>
      <c r="AE20" s="1454"/>
      <c r="AF20" s="1454"/>
      <c r="AG20" s="1454"/>
      <c r="AH20" s="1454"/>
      <c r="AI20" s="1454"/>
      <c r="AJ20" s="1452"/>
      <c r="AK20" s="1452"/>
      <c r="AL20" s="1453">
        <f t="shared" si="2"/>
        <v>0</v>
      </c>
      <c r="AM20" s="1454"/>
      <c r="AN20" s="1452"/>
    </row>
    <row r="21" spans="1:40" ht="14.1" customHeight="1">
      <c r="A21" s="1448">
        <f t="shared" si="3"/>
        <v>16</v>
      </c>
      <c r="B21" s="1455"/>
      <c r="C21" s="1456" t="s">
        <v>1274</v>
      </c>
      <c r="D21" s="1462" t="s">
        <v>2318</v>
      </c>
      <c r="E21" s="1452"/>
      <c r="F21" s="1452"/>
      <c r="G21" s="1452"/>
      <c r="H21" s="1452"/>
      <c r="I21" s="1452"/>
      <c r="J21" s="1452"/>
      <c r="K21" s="1452"/>
      <c r="L21" s="1452"/>
      <c r="M21" s="1452"/>
      <c r="N21" s="1452"/>
      <c r="O21" s="1452"/>
      <c r="P21" s="1452"/>
      <c r="Q21" s="1452"/>
      <c r="R21" s="1452"/>
      <c r="S21" s="1452"/>
      <c r="T21" s="1452"/>
      <c r="U21" s="1452"/>
      <c r="V21" s="1452"/>
      <c r="W21" s="1452"/>
      <c r="X21" s="1452"/>
      <c r="Y21" s="1453">
        <f t="shared" si="0"/>
        <v>0</v>
      </c>
      <c r="Z21" s="1454"/>
      <c r="AA21" s="1452"/>
      <c r="AB21" s="1454"/>
      <c r="AC21" s="1453">
        <f t="shared" si="1"/>
        <v>0</v>
      </c>
      <c r="AD21" s="1454"/>
      <c r="AE21" s="1454"/>
      <c r="AF21" s="1454"/>
      <c r="AG21" s="1454"/>
      <c r="AH21" s="1454"/>
      <c r="AI21" s="1454"/>
      <c r="AJ21" s="1452"/>
      <c r="AK21" s="1452"/>
      <c r="AL21" s="1453">
        <f t="shared" si="2"/>
        <v>0</v>
      </c>
      <c r="AM21" s="1454"/>
      <c r="AN21" s="1452"/>
    </row>
    <row r="22" spans="1:40" ht="14.1" customHeight="1">
      <c r="A22" s="1448">
        <f t="shared" si="3"/>
        <v>17</v>
      </c>
      <c r="B22" s="1455"/>
      <c r="C22" s="1456"/>
      <c r="D22" s="1451" t="s">
        <v>1275</v>
      </c>
      <c r="E22" s="1452"/>
      <c r="F22" s="1452"/>
      <c r="G22" s="1452"/>
      <c r="H22" s="1452"/>
      <c r="I22" s="1452"/>
      <c r="J22" s="1452"/>
      <c r="K22" s="1452"/>
      <c r="L22" s="1452"/>
      <c r="M22" s="1452"/>
      <c r="N22" s="1452"/>
      <c r="O22" s="1452"/>
      <c r="P22" s="1452"/>
      <c r="Q22" s="1452"/>
      <c r="R22" s="1452"/>
      <c r="S22" s="1452"/>
      <c r="T22" s="1452"/>
      <c r="U22" s="1452"/>
      <c r="V22" s="1452"/>
      <c r="W22" s="1452"/>
      <c r="X22" s="1452"/>
      <c r="Y22" s="1453">
        <f t="shared" si="0"/>
        <v>0</v>
      </c>
      <c r="Z22" s="1454"/>
      <c r="AA22" s="1452"/>
      <c r="AB22" s="1454"/>
      <c r="AC22" s="1453">
        <f t="shared" si="1"/>
        <v>0</v>
      </c>
      <c r="AD22" s="1454"/>
      <c r="AE22" s="1454"/>
      <c r="AF22" s="1454"/>
      <c r="AG22" s="1454"/>
      <c r="AH22" s="1454"/>
      <c r="AI22" s="1454"/>
      <c r="AJ22" s="1452"/>
      <c r="AK22" s="1452"/>
      <c r="AL22" s="1453">
        <f t="shared" si="2"/>
        <v>0</v>
      </c>
      <c r="AM22" s="1454"/>
      <c r="AN22" s="1452"/>
    </row>
    <row r="23" spans="1:40" ht="14.1" customHeight="1">
      <c r="A23" s="1448">
        <f t="shared" si="3"/>
        <v>18</v>
      </c>
      <c r="B23" s="1455"/>
      <c r="C23" s="1458" t="s">
        <v>1276</v>
      </c>
      <c r="D23" s="1451" t="s">
        <v>572</v>
      </c>
      <c r="E23" s="1453">
        <f>SUM(E21:E22)</f>
        <v>0</v>
      </c>
      <c r="F23" s="1453">
        <f t="shared" ref="F23:X23" si="7">SUM(F21:F22)</f>
        <v>0</v>
      </c>
      <c r="G23" s="1453">
        <f t="shared" si="7"/>
        <v>0</v>
      </c>
      <c r="H23" s="1453">
        <f t="shared" si="7"/>
        <v>0</v>
      </c>
      <c r="I23" s="1453">
        <f t="shared" si="7"/>
        <v>0</v>
      </c>
      <c r="J23" s="1453">
        <f t="shared" si="7"/>
        <v>0</v>
      </c>
      <c r="K23" s="1453">
        <f t="shared" si="7"/>
        <v>0</v>
      </c>
      <c r="L23" s="1453">
        <f t="shared" si="7"/>
        <v>0</v>
      </c>
      <c r="M23" s="1453">
        <f t="shared" si="7"/>
        <v>0</v>
      </c>
      <c r="N23" s="1453">
        <f t="shared" si="7"/>
        <v>0</v>
      </c>
      <c r="O23" s="1453">
        <f t="shared" si="7"/>
        <v>0</v>
      </c>
      <c r="P23" s="1453">
        <f t="shared" si="7"/>
        <v>0</v>
      </c>
      <c r="Q23" s="1453">
        <f t="shared" si="7"/>
        <v>0</v>
      </c>
      <c r="R23" s="1453">
        <f t="shared" si="7"/>
        <v>0</v>
      </c>
      <c r="S23" s="1453">
        <f t="shared" si="7"/>
        <v>0</v>
      </c>
      <c r="T23" s="1453">
        <f t="shared" si="7"/>
        <v>0</v>
      </c>
      <c r="U23" s="1453">
        <f t="shared" si="7"/>
        <v>0</v>
      </c>
      <c r="V23" s="1453">
        <f t="shared" si="7"/>
        <v>0</v>
      </c>
      <c r="W23" s="1453">
        <f t="shared" si="7"/>
        <v>0</v>
      </c>
      <c r="X23" s="1453">
        <f t="shared" si="7"/>
        <v>0</v>
      </c>
      <c r="Y23" s="1453">
        <f t="shared" si="0"/>
        <v>0</v>
      </c>
      <c r="Z23" s="1454"/>
      <c r="AA23" s="1452"/>
      <c r="AB23" s="1454"/>
      <c r="AC23" s="1453">
        <f t="shared" si="1"/>
        <v>0</v>
      </c>
      <c r="AD23" s="1454"/>
      <c r="AE23" s="1454"/>
      <c r="AF23" s="1454"/>
      <c r="AG23" s="1454"/>
      <c r="AH23" s="1454"/>
      <c r="AI23" s="1454"/>
      <c r="AJ23" s="1452"/>
      <c r="AK23" s="1452"/>
      <c r="AL23" s="1453">
        <f t="shared" si="2"/>
        <v>0</v>
      </c>
      <c r="AM23" s="1454"/>
      <c r="AN23" s="1452"/>
    </row>
    <row r="24" spans="1:40" ht="14.1" customHeight="1">
      <c r="A24" s="1448">
        <f t="shared" si="3"/>
        <v>19</v>
      </c>
      <c r="B24" s="1455"/>
      <c r="C24" s="2528" t="s">
        <v>1277</v>
      </c>
      <c r="D24" s="2529"/>
      <c r="E24" s="1452"/>
      <c r="F24" s="1452"/>
      <c r="G24" s="1452"/>
      <c r="H24" s="1452"/>
      <c r="I24" s="1452"/>
      <c r="J24" s="1452"/>
      <c r="K24" s="1452"/>
      <c r="L24" s="1452"/>
      <c r="M24" s="1452"/>
      <c r="N24" s="1452"/>
      <c r="O24" s="1452"/>
      <c r="P24" s="1452"/>
      <c r="Q24" s="1452"/>
      <c r="R24" s="1452"/>
      <c r="S24" s="1452"/>
      <c r="T24" s="1452"/>
      <c r="U24" s="1452"/>
      <c r="V24" s="1452"/>
      <c r="W24" s="1452"/>
      <c r="X24" s="1452"/>
      <c r="Y24" s="1453">
        <f t="shared" si="0"/>
        <v>0</v>
      </c>
      <c r="Z24" s="1454"/>
      <c r="AA24" s="1452"/>
      <c r="AB24" s="1454"/>
      <c r="AC24" s="1453">
        <f t="shared" si="1"/>
        <v>0</v>
      </c>
      <c r="AD24" s="1454"/>
      <c r="AE24" s="1454"/>
      <c r="AF24" s="1454"/>
      <c r="AG24" s="1454"/>
      <c r="AH24" s="1454"/>
      <c r="AI24" s="1454"/>
      <c r="AJ24" s="1452"/>
      <c r="AK24" s="1452"/>
      <c r="AL24" s="1453">
        <f t="shared" si="2"/>
        <v>0</v>
      </c>
      <c r="AM24" s="1454"/>
      <c r="AN24" s="1452"/>
    </row>
    <row r="25" spans="1:40" ht="14.1" customHeight="1">
      <c r="A25" s="1448">
        <f t="shared" si="3"/>
        <v>20</v>
      </c>
      <c r="B25" s="1455"/>
      <c r="C25" s="2528" t="s">
        <v>1278</v>
      </c>
      <c r="D25" s="2529"/>
      <c r="E25" s="1453">
        <f>+E10+E16+E20+E23+E24</f>
        <v>0</v>
      </c>
      <c r="F25" s="1453">
        <f t="shared" ref="F25:X25" si="8">+F10+F16+F20+F23+F24</f>
        <v>0</v>
      </c>
      <c r="G25" s="1453">
        <f t="shared" si="8"/>
        <v>0</v>
      </c>
      <c r="H25" s="1453">
        <f t="shared" si="8"/>
        <v>0</v>
      </c>
      <c r="I25" s="1453">
        <f t="shared" si="8"/>
        <v>0</v>
      </c>
      <c r="J25" s="1453">
        <f t="shared" si="8"/>
        <v>0</v>
      </c>
      <c r="K25" s="1453">
        <f t="shared" si="8"/>
        <v>0</v>
      </c>
      <c r="L25" s="1453">
        <f t="shared" si="8"/>
        <v>0</v>
      </c>
      <c r="M25" s="1453">
        <f t="shared" si="8"/>
        <v>0</v>
      </c>
      <c r="N25" s="1453">
        <f t="shared" si="8"/>
        <v>0</v>
      </c>
      <c r="O25" s="1453">
        <f t="shared" si="8"/>
        <v>0</v>
      </c>
      <c r="P25" s="1453">
        <f t="shared" si="8"/>
        <v>0</v>
      </c>
      <c r="Q25" s="1453">
        <f t="shared" si="8"/>
        <v>0</v>
      </c>
      <c r="R25" s="1453">
        <f t="shared" si="8"/>
        <v>0</v>
      </c>
      <c r="S25" s="1453">
        <f t="shared" si="8"/>
        <v>0</v>
      </c>
      <c r="T25" s="1453">
        <f t="shared" si="8"/>
        <v>0</v>
      </c>
      <c r="U25" s="1453">
        <f t="shared" si="8"/>
        <v>0</v>
      </c>
      <c r="V25" s="1453">
        <f t="shared" si="8"/>
        <v>0</v>
      </c>
      <c r="W25" s="1453">
        <f t="shared" si="8"/>
        <v>0</v>
      </c>
      <c r="X25" s="1453">
        <f t="shared" si="8"/>
        <v>0</v>
      </c>
      <c r="Y25" s="1453">
        <f t="shared" si="0"/>
        <v>0</v>
      </c>
      <c r="Z25" s="1454"/>
      <c r="AA25" s="1452"/>
      <c r="AB25" s="1454"/>
      <c r="AC25" s="1453">
        <f t="shared" si="1"/>
        <v>0</v>
      </c>
      <c r="AD25" s="1454"/>
      <c r="AE25" s="1454"/>
      <c r="AF25" s="1454"/>
      <c r="AG25" s="1454"/>
      <c r="AH25" s="1454"/>
      <c r="AI25" s="1454"/>
      <c r="AJ25" s="1452"/>
      <c r="AK25" s="1452"/>
      <c r="AL25" s="1453">
        <f t="shared" si="2"/>
        <v>0</v>
      </c>
      <c r="AM25" s="1454"/>
      <c r="AN25" s="1452"/>
    </row>
    <row r="26" spans="1:40" ht="14.1" customHeight="1">
      <c r="A26" s="1448">
        <f t="shared" si="3"/>
        <v>21</v>
      </c>
      <c r="B26" s="1449"/>
      <c r="C26" s="1450" t="s">
        <v>1251</v>
      </c>
      <c r="D26" s="1451" t="s">
        <v>1252</v>
      </c>
      <c r="E26" s="1452"/>
      <c r="F26" s="1452"/>
      <c r="G26" s="1452"/>
      <c r="H26" s="1452"/>
      <c r="I26" s="1452"/>
      <c r="J26" s="1452"/>
      <c r="K26" s="1452"/>
      <c r="L26" s="1452"/>
      <c r="M26" s="1452"/>
      <c r="N26" s="1452"/>
      <c r="O26" s="1452"/>
      <c r="P26" s="1452"/>
      <c r="Q26" s="1452"/>
      <c r="R26" s="1452"/>
      <c r="S26" s="1452"/>
      <c r="T26" s="1452"/>
      <c r="U26" s="1452"/>
      <c r="V26" s="1452"/>
      <c r="W26" s="1452"/>
      <c r="X26" s="1452"/>
      <c r="Y26" s="1453">
        <f t="shared" si="0"/>
        <v>0</v>
      </c>
      <c r="Z26" s="1454"/>
      <c r="AA26" s="1452"/>
      <c r="AB26" s="1454"/>
      <c r="AC26" s="1453">
        <f t="shared" si="1"/>
        <v>0</v>
      </c>
      <c r="AD26" s="1454"/>
      <c r="AE26" s="1454"/>
      <c r="AF26" s="1454"/>
      <c r="AG26" s="1454"/>
      <c r="AH26" s="1454"/>
      <c r="AI26" s="1454"/>
      <c r="AJ26" s="1452"/>
      <c r="AK26" s="1452"/>
      <c r="AL26" s="1453">
        <f t="shared" si="2"/>
        <v>0</v>
      </c>
      <c r="AM26" s="1454"/>
      <c r="AN26" s="1452"/>
    </row>
    <row r="27" spans="1:40" ht="28.5">
      <c r="A27" s="1448">
        <f t="shared" si="3"/>
        <v>22</v>
      </c>
      <c r="B27" s="1455"/>
      <c r="C27" s="1456"/>
      <c r="D27" s="1457" t="s">
        <v>1253</v>
      </c>
      <c r="E27" s="1452"/>
      <c r="F27" s="1452"/>
      <c r="G27" s="1452"/>
      <c r="H27" s="1452"/>
      <c r="I27" s="1452"/>
      <c r="J27" s="1452"/>
      <c r="K27" s="1452"/>
      <c r="L27" s="1452"/>
      <c r="M27" s="1452"/>
      <c r="N27" s="1452"/>
      <c r="O27" s="1452"/>
      <c r="P27" s="1452"/>
      <c r="Q27" s="1452"/>
      <c r="R27" s="1452"/>
      <c r="S27" s="1452"/>
      <c r="T27" s="1452"/>
      <c r="U27" s="1452"/>
      <c r="V27" s="1452"/>
      <c r="W27" s="1452"/>
      <c r="X27" s="1452"/>
      <c r="Y27" s="1453">
        <f t="shared" si="0"/>
        <v>0</v>
      </c>
      <c r="Z27" s="1454"/>
      <c r="AA27" s="1452"/>
      <c r="AB27" s="1454"/>
      <c r="AC27" s="1453">
        <f>+Y27-AA27</f>
        <v>0</v>
      </c>
      <c r="AD27" s="1454"/>
      <c r="AE27" s="1454"/>
      <c r="AF27" s="1454"/>
      <c r="AG27" s="1454"/>
      <c r="AH27" s="1454"/>
      <c r="AI27" s="1454"/>
      <c r="AJ27" s="1452"/>
      <c r="AK27" s="1452"/>
      <c r="AL27" s="1453">
        <f t="shared" si="2"/>
        <v>0</v>
      </c>
      <c r="AM27" s="1454"/>
      <c r="AN27" s="1452"/>
    </row>
    <row r="28" spans="1:40" ht="28.5">
      <c r="A28" s="1448">
        <f t="shared" si="3"/>
        <v>23</v>
      </c>
      <c r="B28" s="1455" t="s">
        <v>1254</v>
      </c>
      <c r="C28" s="1456"/>
      <c r="D28" s="1451" t="s">
        <v>1255</v>
      </c>
      <c r="E28" s="1452"/>
      <c r="F28" s="1452"/>
      <c r="G28" s="1452"/>
      <c r="H28" s="1452"/>
      <c r="I28" s="1452"/>
      <c r="J28" s="1452"/>
      <c r="K28" s="1452"/>
      <c r="L28" s="1452"/>
      <c r="M28" s="1452"/>
      <c r="N28" s="1452"/>
      <c r="O28" s="1452"/>
      <c r="P28" s="1452"/>
      <c r="Q28" s="1452"/>
      <c r="R28" s="1452"/>
      <c r="S28" s="1452"/>
      <c r="T28" s="1452"/>
      <c r="U28" s="1452"/>
      <c r="V28" s="1452"/>
      <c r="W28" s="1452"/>
      <c r="X28" s="1452"/>
      <c r="Y28" s="1453">
        <f t="shared" si="0"/>
        <v>0</v>
      </c>
      <c r="Z28" s="1454"/>
      <c r="AA28" s="1452"/>
      <c r="AB28" s="1454"/>
      <c r="AC28" s="1453">
        <f t="shared" si="1"/>
        <v>0</v>
      </c>
      <c r="AD28" s="1454"/>
      <c r="AE28" s="1454"/>
      <c r="AF28" s="1454"/>
      <c r="AG28" s="1454"/>
      <c r="AH28" s="1454"/>
      <c r="AI28" s="1454"/>
      <c r="AJ28" s="1452"/>
      <c r="AK28" s="1452"/>
      <c r="AL28" s="1453">
        <f t="shared" si="2"/>
        <v>0</v>
      </c>
      <c r="AM28" s="1454"/>
      <c r="AN28" s="1452"/>
    </row>
    <row r="29" spans="1:40" ht="14.1" customHeight="1">
      <c r="A29" s="1448">
        <f t="shared" si="3"/>
        <v>24</v>
      </c>
      <c r="B29" s="1455"/>
      <c r="C29" s="1456"/>
      <c r="D29" s="1451" t="s">
        <v>1247</v>
      </c>
      <c r="E29" s="1452"/>
      <c r="F29" s="1452"/>
      <c r="G29" s="1452"/>
      <c r="H29" s="1452"/>
      <c r="I29" s="1452"/>
      <c r="J29" s="1452"/>
      <c r="K29" s="1452"/>
      <c r="L29" s="1452"/>
      <c r="M29" s="1452"/>
      <c r="N29" s="1452"/>
      <c r="O29" s="1452"/>
      <c r="P29" s="1452"/>
      <c r="Q29" s="1452"/>
      <c r="R29" s="1452"/>
      <c r="S29" s="1452"/>
      <c r="T29" s="1452"/>
      <c r="U29" s="1452"/>
      <c r="V29" s="1452"/>
      <c r="W29" s="1452"/>
      <c r="X29" s="1452"/>
      <c r="Y29" s="1453">
        <f t="shared" si="0"/>
        <v>0</v>
      </c>
      <c r="Z29" s="1454"/>
      <c r="AA29" s="1452"/>
      <c r="AB29" s="1454"/>
      <c r="AC29" s="1453">
        <f t="shared" si="1"/>
        <v>0</v>
      </c>
      <c r="AD29" s="1454"/>
      <c r="AE29" s="1454"/>
      <c r="AF29" s="1454"/>
      <c r="AG29" s="1454"/>
      <c r="AH29" s="1454"/>
      <c r="AI29" s="1454"/>
      <c r="AJ29" s="1452"/>
      <c r="AK29" s="1452"/>
      <c r="AL29" s="1453">
        <f t="shared" si="2"/>
        <v>0</v>
      </c>
      <c r="AM29" s="1454"/>
      <c r="AN29" s="1452"/>
    </row>
    <row r="30" spans="1:40" ht="14.1" customHeight="1">
      <c r="A30" s="1448">
        <f t="shared" si="3"/>
        <v>25</v>
      </c>
      <c r="B30" s="1455"/>
      <c r="C30" s="1458" t="s">
        <v>1256</v>
      </c>
      <c r="D30" s="1451" t="s">
        <v>572</v>
      </c>
      <c r="E30" s="1453">
        <f>SUM(E26:E29)</f>
        <v>0</v>
      </c>
      <c r="F30" s="1453">
        <f t="shared" ref="F30:X30" si="9">SUM(F26:F29)</f>
        <v>0</v>
      </c>
      <c r="G30" s="1453">
        <f t="shared" si="9"/>
        <v>0</v>
      </c>
      <c r="H30" s="1453">
        <f t="shared" si="9"/>
        <v>0</v>
      </c>
      <c r="I30" s="1453">
        <f t="shared" si="9"/>
        <v>0</v>
      </c>
      <c r="J30" s="1453">
        <f t="shared" si="9"/>
        <v>0</v>
      </c>
      <c r="K30" s="1453">
        <f t="shared" si="9"/>
        <v>0</v>
      </c>
      <c r="L30" s="1453">
        <f t="shared" si="9"/>
        <v>0</v>
      </c>
      <c r="M30" s="1453">
        <f t="shared" si="9"/>
        <v>0</v>
      </c>
      <c r="N30" s="1453">
        <f t="shared" si="9"/>
        <v>0</v>
      </c>
      <c r="O30" s="1453">
        <f t="shared" si="9"/>
        <v>0</v>
      </c>
      <c r="P30" s="1453">
        <f t="shared" si="9"/>
        <v>0</v>
      </c>
      <c r="Q30" s="1453">
        <f t="shared" si="9"/>
        <v>0</v>
      </c>
      <c r="R30" s="1453">
        <f t="shared" si="9"/>
        <v>0</v>
      </c>
      <c r="S30" s="1453">
        <f t="shared" si="9"/>
        <v>0</v>
      </c>
      <c r="T30" s="1453">
        <f t="shared" si="9"/>
        <v>0</v>
      </c>
      <c r="U30" s="1453">
        <f t="shared" si="9"/>
        <v>0</v>
      </c>
      <c r="V30" s="1453">
        <f t="shared" si="9"/>
        <v>0</v>
      </c>
      <c r="W30" s="1453">
        <f t="shared" si="9"/>
        <v>0</v>
      </c>
      <c r="X30" s="1453">
        <f t="shared" si="9"/>
        <v>0</v>
      </c>
      <c r="Y30" s="1453">
        <f t="shared" si="0"/>
        <v>0</v>
      </c>
      <c r="Z30" s="1454"/>
      <c r="AA30" s="1452"/>
      <c r="AB30" s="1454"/>
      <c r="AC30" s="1453">
        <f t="shared" si="1"/>
        <v>0</v>
      </c>
      <c r="AD30" s="1454"/>
      <c r="AE30" s="1454"/>
      <c r="AF30" s="1454"/>
      <c r="AG30" s="1454"/>
      <c r="AH30" s="1454"/>
      <c r="AI30" s="1454"/>
      <c r="AJ30" s="1452"/>
      <c r="AK30" s="1452"/>
      <c r="AL30" s="1453">
        <f t="shared" si="2"/>
        <v>0</v>
      </c>
      <c r="AM30" s="1454"/>
      <c r="AN30" s="1452"/>
    </row>
    <row r="31" spans="1:40" ht="15" customHeight="1">
      <c r="A31" s="1448">
        <f t="shared" si="3"/>
        <v>26</v>
      </c>
      <c r="B31" s="1455"/>
      <c r="D31" s="1459" t="s">
        <v>1257</v>
      </c>
      <c r="E31" s="1452"/>
      <c r="F31" s="1452"/>
      <c r="G31" s="1452"/>
      <c r="H31" s="1452"/>
      <c r="I31" s="1452"/>
      <c r="J31" s="1452"/>
      <c r="K31" s="1452"/>
      <c r="L31" s="1452"/>
      <c r="M31" s="1452"/>
      <c r="N31" s="1452"/>
      <c r="O31" s="1452"/>
      <c r="P31" s="1452"/>
      <c r="Q31" s="1452"/>
      <c r="R31" s="1452"/>
      <c r="S31" s="1452"/>
      <c r="T31" s="1452"/>
      <c r="U31" s="1452"/>
      <c r="V31" s="1452"/>
      <c r="W31" s="1452"/>
      <c r="X31" s="1452"/>
      <c r="Y31" s="1453">
        <f t="shared" si="0"/>
        <v>0</v>
      </c>
      <c r="Z31" s="1454"/>
      <c r="AA31" s="1452"/>
      <c r="AB31" s="1454"/>
      <c r="AC31" s="1453">
        <f t="shared" si="1"/>
        <v>0</v>
      </c>
      <c r="AD31" s="1454"/>
      <c r="AE31" s="1454"/>
      <c r="AF31" s="1454"/>
      <c r="AG31" s="1454"/>
      <c r="AH31" s="1454"/>
      <c r="AI31" s="1454"/>
      <c r="AJ31" s="1452"/>
      <c r="AK31" s="1452"/>
      <c r="AL31" s="1453">
        <f t="shared" si="2"/>
        <v>0</v>
      </c>
      <c r="AM31" s="1454"/>
      <c r="AN31" s="1452"/>
    </row>
    <row r="32" spans="1:40" ht="14.1" customHeight="1">
      <c r="A32" s="1448">
        <f t="shared" si="3"/>
        <v>27</v>
      </c>
      <c r="B32" s="1455" t="s">
        <v>1279</v>
      </c>
      <c r="C32" s="1456" t="s">
        <v>1259</v>
      </c>
      <c r="D32" s="1460" t="s">
        <v>1260</v>
      </c>
      <c r="E32" s="1452"/>
      <c r="F32" s="1452"/>
      <c r="G32" s="1452"/>
      <c r="H32" s="1452"/>
      <c r="I32" s="1452"/>
      <c r="J32" s="1452"/>
      <c r="K32" s="1452"/>
      <c r="L32" s="1452"/>
      <c r="M32" s="1452"/>
      <c r="N32" s="1452"/>
      <c r="O32" s="1452"/>
      <c r="P32" s="1452"/>
      <c r="Q32" s="1452"/>
      <c r="R32" s="1452"/>
      <c r="S32" s="1452"/>
      <c r="T32" s="1452"/>
      <c r="U32" s="1452"/>
      <c r="V32" s="1452"/>
      <c r="W32" s="1452"/>
      <c r="X32" s="1452"/>
      <c r="Y32" s="1453">
        <f t="shared" si="0"/>
        <v>0</v>
      </c>
      <c r="Z32" s="1454"/>
      <c r="AA32" s="1452"/>
      <c r="AB32" s="1454"/>
      <c r="AC32" s="1453">
        <f t="shared" si="1"/>
        <v>0</v>
      </c>
      <c r="AD32" s="1454"/>
      <c r="AE32" s="1454"/>
      <c r="AF32" s="1454"/>
      <c r="AG32" s="1454"/>
      <c r="AH32" s="1454"/>
      <c r="AI32" s="1454"/>
      <c r="AJ32" s="1452"/>
      <c r="AK32" s="1452"/>
      <c r="AL32" s="1453">
        <f t="shared" si="2"/>
        <v>0</v>
      </c>
      <c r="AM32" s="1454"/>
      <c r="AN32" s="1452"/>
    </row>
    <row r="33" spans="1:40" ht="14.25">
      <c r="A33" s="1448">
        <f t="shared" si="3"/>
        <v>28</v>
      </c>
      <c r="B33" s="1455"/>
      <c r="C33" s="1456" t="s">
        <v>1261</v>
      </c>
      <c r="D33" s="1461" t="s">
        <v>1262</v>
      </c>
      <c r="E33" s="1452"/>
      <c r="F33" s="1452"/>
      <c r="G33" s="1452"/>
      <c r="H33" s="1452"/>
      <c r="I33" s="1452"/>
      <c r="J33" s="1452"/>
      <c r="K33" s="1452"/>
      <c r="L33" s="1452"/>
      <c r="M33" s="1452"/>
      <c r="N33" s="1452"/>
      <c r="O33" s="1452"/>
      <c r="P33" s="1452"/>
      <c r="Q33" s="1452"/>
      <c r="R33" s="1452"/>
      <c r="S33" s="1452"/>
      <c r="T33" s="1452"/>
      <c r="U33" s="1452"/>
      <c r="V33" s="1452"/>
      <c r="W33" s="1452"/>
      <c r="X33" s="1452"/>
      <c r="Y33" s="1453">
        <f t="shared" si="0"/>
        <v>0</v>
      </c>
      <c r="Z33" s="1454"/>
      <c r="AA33" s="1452"/>
      <c r="AB33" s="1454"/>
      <c r="AC33" s="1453">
        <f t="shared" si="1"/>
        <v>0</v>
      </c>
      <c r="AD33" s="1454"/>
      <c r="AE33" s="1454"/>
      <c r="AF33" s="1454"/>
      <c r="AG33" s="1454"/>
      <c r="AH33" s="1454"/>
      <c r="AI33" s="1454"/>
      <c r="AJ33" s="1452"/>
      <c r="AK33" s="1452"/>
      <c r="AL33" s="1453">
        <f t="shared" si="2"/>
        <v>0</v>
      </c>
      <c r="AM33" s="1454"/>
      <c r="AN33" s="1452"/>
    </row>
    <row r="34" spans="1:40" ht="14.1" customHeight="1">
      <c r="A34" s="1448">
        <f t="shared" si="3"/>
        <v>29</v>
      </c>
      <c r="B34" s="1455"/>
      <c r="C34" s="1456" t="s">
        <v>1263</v>
      </c>
      <c r="D34" s="1460" t="s">
        <v>1264</v>
      </c>
      <c r="E34" s="1452"/>
      <c r="F34" s="1452"/>
      <c r="G34" s="1452"/>
      <c r="H34" s="1452"/>
      <c r="I34" s="1452"/>
      <c r="J34" s="1452"/>
      <c r="K34" s="1452"/>
      <c r="L34" s="1452"/>
      <c r="M34" s="1452"/>
      <c r="N34" s="1452"/>
      <c r="O34" s="1452"/>
      <c r="P34" s="1452"/>
      <c r="Q34" s="1452"/>
      <c r="R34" s="1452"/>
      <c r="S34" s="1452"/>
      <c r="T34" s="1452"/>
      <c r="U34" s="1452"/>
      <c r="V34" s="1452"/>
      <c r="W34" s="1452"/>
      <c r="X34" s="1452"/>
      <c r="Y34" s="1453">
        <f t="shared" si="0"/>
        <v>0</v>
      </c>
      <c r="Z34" s="1454"/>
      <c r="AA34" s="1452"/>
      <c r="AB34" s="1454"/>
      <c r="AC34" s="1453">
        <f t="shared" si="1"/>
        <v>0</v>
      </c>
      <c r="AD34" s="1454"/>
      <c r="AE34" s="1454"/>
      <c r="AF34" s="1454"/>
      <c r="AG34" s="1454"/>
      <c r="AH34" s="1454"/>
      <c r="AI34" s="1454"/>
      <c r="AJ34" s="1452"/>
      <c r="AK34" s="1452"/>
      <c r="AL34" s="1453">
        <f t="shared" si="2"/>
        <v>0</v>
      </c>
      <c r="AM34" s="1454"/>
      <c r="AN34" s="1452"/>
    </row>
    <row r="35" spans="1:40" ht="14.1" customHeight="1">
      <c r="A35" s="1448">
        <f t="shared" si="3"/>
        <v>30</v>
      </c>
      <c r="B35" s="1455"/>
      <c r="C35" s="1456" t="s">
        <v>1265</v>
      </c>
      <c r="D35" s="1460" t="s">
        <v>2319</v>
      </c>
      <c r="E35" s="1452"/>
      <c r="F35" s="1452"/>
      <c r="G35" s="1452"/>
      <c r="H35" s="1452"/>
      <c r="I35" s="1452"/>
      <c r="J35" s="1452"/>
      <c r="K35" s="1452"/>
      <c r="L35" s="1452"/>
      <c r="M35" s="1452"/>
      <c r="N35" s="1452"/>
      <c r="O35" s="1452"/>
      <c r="P35" s="1452"/>
      <c r="Q35" s="1452"/>
      <c r="R35" s="1452"/>
      <c r="S35" s="1452"/>
      <c r="T35" s="1452"/>
      <c r="U35" s="1452"/>
      <c r="V35" s="1452"/>
      <c r="W35" s="1452"/>
      <c r="X35" s="1452"/>
      <c r="Y35" s="1453">
        <f t="shared" si="0"/>
        <v>0</v>
      </c>
      <c r="Z35" s="1454"/>
      <c r="AA35" s="1452"/>
      <c r="AB35" s="1454"/>
      <c r="AC35" s="1453">
        <f t="shared" si="1"/>
        <v>0</v>
      </c>
      <c r="AD35" s="1454"/>
      <c r="AE35" s="1454"/>
      <c r="AF35" s="1454"/>
      <c r="AG35" s="1454"/>
      <c r="AH35" s="1454"/>
      <c r="AI35" s="1454"/>
      <c r="AJ35" s="1452"/>
      <c r="AK35" s="1452"/>
      <c r="AL35" s="1453">
        <f t="shared" si="2"/>
        <v>0</v>
      </c>
      <c r="AM35" s="1454"/>
      <c r="AN35" s="1452"/>
    </row>
    <row r="36" spans="1:40" ht="14.1" customHeight="1">
      <c r="A36" s="1448">
        <f t="shared" si="3"/>
        <v>31</v>
      </c>
      <c r="B36" s="1455" t="s">
        <v>1267</v>
      </c>
      <c r="C36" s="1458"/>
      <c r="D36" s="1446" t="s">
        <v>1248</v>
      </c>
      <c r="E36" s="1453">
        <f>SUM(E31:E35)</f>
        <v>0</v>
      </c>
      <c r="F36" s="1453">
        <f t="shared" ref="F36:X36" si="10">SUM(F31:F35)</f>
        <v>0</v>
      </c>
      <c r="G36" s="1453">
        <f t="shared" si="10"/>
        <v>0</v>
      </c>
      <c r="H36" s="1453">
        <f t="shared" si="10"/>
        <v>0</v>
      </c>
      <c r="I36" s="1453">
        <f t="shared" si="10"/>
        <v>0</v>
      </c>
      <c r="J36" s="1453">
        <f t="shared" si="10"/>
        <v>0</v>
      </c>
      <c r="K36" s="1453">
        <f t="shared" si="10"/>
        <v>0</v>
      </c>
      <c r="L36" s="1453">
        <f t="shared" si="10"/>
        <v>0</v>
      </c>
      <c r="M36" s="1453">
        <f t="shared" si="10"/>
        <v>0</v>
      </c>
      <c r="N36" s="1453">
        <f t="shared" si="10"/>
        <v>0</v>
      </c>
      <c r="O36" s="1453">
        <f t="shared" si="10"/>
        <v>0</v>
      </c>
      <c r="P36" s="1453">
        <f t="shared" si="10"/>
        <v>0</v>
      </c>
      <c r="Q36" s="1453">
        <f t="shared" si="10"/>
        <v>0</v>
      </c>
      <c r="R36" s="1453">
        <f t="shared" si="10"/>
        <v>0</v>
      </c>
      <c r="S36" s="1453">
        <f t="shared" si="10"/>
        <v>0</v>
      </c>
      <c r="T36" s="1453">
        <f t="shared" si="10"/>
        <v>0</v>
      </c>
      <c r="U36" s="1453">
        <f t="shared" si="10"/>
        <v>0</v>
      </c>
      <c r="V36" s="1453">
        <f t="shared" si="10"/>
        <v>0</v>
      </c>
      <c r="W36" s="1453">
        <f t="shared" si="10"/>
        <v>0</v>
      </c>
      <c r="X36" s="1453">
        <f t="shared" si="10"/>
        <v>0</v>
      </c>
      <c r="Y36" s="1453">
        <f t="shared" si="0"/>
        <v>0</v>
      </c>
      <c r="Z36" s="1454"/>
      <c r="AA36" s="1452"/>
      <c r="AB36" s="1454"/>
      <c r="AC36" s="1453">
        <f t="shared" si="1"/>
        <v>0</v>
      </c>
      <c r="AD36" s="1454"/>
      <c r="AE36" s="1454"/>
      <c r="AF36" s="1454"/>
      <c r="AG36" s="1454"/>
      <c r="AH36" s="1454"/>
      <c r="AI36" s="1454"/>
      <c r="AJ36" s="1452"/>
      <c r="AK36" s="1452"/>
      <c r="AL36" s="1453">
        <f t="shared" si="2"/>
        <v>0</v>
      </c>
      <c r="AM36" s="1454"/>
      <c r="AN36" s="1452"/>
    </row>
    <row r="37" spans="1:40" ht="14.1" customHeight="1">
      <c r="A37" s="1448">
        <f t="shared" si="3"/>
        <v>32</v>
      </c>
      <c r="B37" s="1455"/>
      <c r="C37" s="1456" t="s">
        <v>1268</v>
      </c>
      <c r="D37" s="1460" t="s">
        <v>1269</v>
      </c>
      <c r="E37" s="1452"/>
      <c r="F37" s="1452"/>
      <c r="G37" s="1452"/>
      <c r="H37" s="1452"/>
      <c r="I37" s="1452"/>
      <c r="J37" s="1452"/>
      <c r="K37" s="1452"/>
      <c r="L37" s="1452"/>
      <c r="M37" s="1452"/>
      <c r="N37" s="1452"/>
      <c r="O37" s="1452"/>
      <c r="P37" s="1452"/>
      <c r="Q37" s="1452"/>
      <c r="R37" s="1452"/>
      <c r="S37" s="1452"/>
      <c r="T37" s="1452"/>
      <c r="U37" s="1452"/>
      <c r="V37" s="1452"/>
      <c r="W37" s="1452"/>
      <c r="X37" s="1452"/>
      <c r="Y37" s="1453">
        <f t="shared" si="0"/>
        <v>0</v>
      </c>
      <c r="Z37" s="1454"/>
      <c r="AA37" s="1452"/>
      <c r="AB37" s="1454"/>
      <c r="AC37" s="1453">
        <f t="shared" si="1"/>
        <v>0</v>
      </c>
      <c r="AD37" s="1454"/>
      <c r="AE37" s="1454"/>
      <c r="AF37" s="1454"/>
      <c r="AG37" s="1454"/>
      <c r="AH37" s="1454"/>
      <c r="AI37" s="1454"/>
      <c r="AJ37" s="1452"/>
      <c r="AK37" s="1452"/>
      <c r="AL37" s="1453">
        <f t="shared" si="2"/>
        <v>0</v>
      </c>
      <c r="AM37" s="1454"/>
      <c r="AN37" s="1452"/>
    </row>
    <row r="38" spans="1:40" ht="14.1" customHeight="1">
      <c r="A38" s="1448">
        <f t="shared" si="3"/>
        <v>33</v>
      </c>
      <c r="B38" s="1455"/>
      <c r="C38" s="1456" t="s">
        <v>1270</v>
      </c>
      <c r="D38" s="1460" t="s">
        <v>1271</v>
      </c>
      <c r="E38" s="1452"/>
      <c r="F38" s="1452"/>
      <c r="G38" s="1452"/>
      <c r="H38" s="1452"/>
      <c r="I38" s="1452"/>
      <c r="J38" s="1452"/>
      <c r="K38" s="1452"/>
      <c r="L38" s="1452"/>
      <c r="M38" s="1452"/>
      <c r="N38" s="1452"/>
      <c r="O38" s="1452"/>
      <c r="P38" s="1452"/>
      <c r="Q38" s="1452"/>
      <c r="R38" s="1452"/>
      <c r="S38" s="1452"/>
      <c r="T38" s="1452"/>
      <c r="U38" s="1452"/>
      <c r="V38" s="1452"/>
      <c r="W38" s="1452"/>
      <c r="X38" s="1452"/>
      <c r="Y38" s="1453">
        <f t="shared" si="0"/>
        <v>0</v>
      </c>
      <c r="Z38" s="1454"/>
      <c r="AA38" s="1452"/>
      <c r="AB38" s="1454"/>
      <c r="AC38" s="1453">
        <f t="shared" si="1"/>
        <v>0</v>
      </c>
      <c r="AD38" s="1454"/>
      <c r="AE38" s="1454"/>
      <c r="AF38" s="1454"/>
      <c r="AG38" s="1454"/>
      <c r="AH38" s="1454"/>
      <c r="AI38" s="1454"/>
      <c r="AJ38" s="1452"/>
      <c r="AK38" s="1452"/>
      <c r="AL38" s="1453">
        <f t="shared" si="2"/>
        <v>0</v>
      </c>
      <c r="AM38" s="1454"/>
      <c r="AN38" s="1452"/>
    </row>
    <row r="39" spans="1:40" ht="14.1" customHeight="1">
      <c r="A39" s="1448">
        <f t="shared" si="3"/>
        <v>34</v>
      </c>
      <c r="B39" s="1455"/>
      <c r="C39" s="1456" t="s">
        <v>1272</v>
      </c>
      <c r="D39" s="1460" t="s">
        <v>1247</v>
      </c>
      <c r="E39" s="1452"/>
      <c r="F39" s="1452"/>
      <c r="G39" s="1452"/>
      <c r="H39" s="1452"/>
      <c r="I39" s="1452"/>
      <c r="J39" s="1452"/>
      <c r="K39" s="1452"/>
      <c r="L39" s="1452"/>
      <c r="M39" s="1452"/>
      <c r="N39" s="1452"/>
      <c r="O39" s="1452"/>
      <c r="P39" s="1452"/>
      <c r="Q39" s="1452"/>
      <c r="R39" s="1452"/>
      <c r="S39" s="1452"/>
      <c r="T39" s="1452"/>
      <c r="U39" s="1452"/>
      <c r="V39" s="1452"/>
      <c r="W39" s="1452"/>
      <c r="X39" s="1452"/>
      <c r="Y39" s="1453">
        <f t="shared" si="0"/>
        <v>0</v>
      </c>
      <c r="Z39" s="1454"/>
      <c r="AA39" s="1452"/>
      <c r="AB39" s="1454"/>
      <c r="AC39" s="1453">
        <f t="shared" si="1"/>
        <v>0</v>
      </c>
      <c r="AD39" s="1454"/>
      <c r="AE39" s="1454"/>
      <c r="AF39" s="1454"/>
      <c r="AG39" s="1454"/>
      <c r="AH39" s="1454"/>
      <c r="AI39" s="1454"/>
      <c r="AJ39" s="1452"/>
      <c r="AK39" s="1452"/>
      <c r="AL39" s="1453">
        <f t="shared" si="2"/>
        <v>0</v>
      </c>
      <c r="AM39" s="1454"/>
      <c r="AN39" s="1452"/>
    </row>
    <row r="40" spans="1:40" ht="14.1" customHeight="1">
      <c r="A40" s="1448">
        <f t="shared" si="3"/>
        <v>35</v>
      </c>
      <c r="B40" s="1455" t="s">
        <v>1273</v>
      </c>
      <c r="C40" s="1458"/>
      <c r="D40" s="1456" t="s">
        <v>1248</v>
      </c>
      <c r="E40" s="1453">
        <f>SUM(E37:E39)</f>
        <v>0</v>
      </c>
      <c r="F40" s="1453">
        <f t="shared" ref="F40:X40" si="11">SUM(F37:F39)</f>
        <v>0</v>
      </c>
      <c r="G40" s="1453">
        <f t="shared" si="11"/>
        <v>0</v>
      </c>
      <c r="H40" s="1453">
        <f t="shared" si="11"/>
        <v>0</v>
      </c>
      <c r="I40" s="1453">
        <f t="shared" si="11"/>
        <v>0</v>
      </c>
      <c r="J40" s="1453">
        <f t="shared" si="11"/>
        <v>0</v>
      </c>
      <c r="K40" s="1453">
        <f t="shared" si="11"/>
        <v>0</v>
      </c>
      <c r="L40" s="1453">
        <f t="shared" si="11"/>
        <v>0</v>
      </c>
      <c r="M40" s="1453">
        <f t="shared" si="11"/>
        <v>0</v>
      </c>
      <c r="N40" s="1453">
        <f t="shared" si="11"/>
        <v>0</v>
      </c>
      <c r="O40" s="1453">
        <f t="shared" si="11"/>
        <v>0</v>
      </c>
      <c r="P40" s="1453">
        <f t="shared" si="11"/>
        <v>0</v>
      </c>
      <c r="Q40" s="1453">
        <f t="shared" si="11"/>
        <v>0</v>
      </c>
      <c r="R40" s="1453">
        <f t="shared" si="11"/>
        <v>0</v>
      </c>
      <c r="S40" s="1453">
        <f t="shared" si="11"/>
        <v>0</v>
      </c>
      <c r="T40" s="1453">
        <f t="shared" si="11"/>
        <v>0</v>
      </c>
      <c r="U40" s="1453">
        <f t="shared" si="11"/>
        <v>0</v>
      </c>
      <c r="V40" s="1453">
        <f t="shared" si="11"/>
        <v>0</v>
      </c>
      <c r="W40" s="1453">
        <f t="shared" si="11"/>
        <v>0</v>
      </c>
      <c r="X40" s="1453">
        <f t="shared" si="11"/>
        <v>0</v>
      </c>
      <c r="Y40" s="1453">
        <f t="shared" si="0"/>
        <v>0</v>
      </c>
      <c r="Z40" s="1454"/>
      <c r="AA40" s="1452"/>
      <c r="AB40" s="1454"/>
      <c r="AC40" s="1453">
        <f t="shared" si="1"/>
        <v>0</v>
      </c>
      <c r="AD40" s="1454"/>
      <c r="AE40" s="1454"/>
      <c r="AF40" s="1454"/>
      <c r="AG40" s="1454"/>
      <c r="AH40" s="1454"/>
      <c r="AI40" s="1454"/>
      <c r="AJ40" s="1452"/>
      <c r="AK40" s="1452"/>
      <c r="AL40" s="1453">
        <f t="shared" si="2"/>
        <v>0</v>
      </c>
      <c r="AM40" s="1454"/>
      <c r="AN40" s="1452"/>
    </row>
    <row r="41" spans="1:40" ht="14.1" customHeight="1">
      <c r="A41" s="1448">
        <f t="shared" si="3"/>
        <v>36</v>
      </c>
      <c r="B41" s="1455"/>
      <c r="C41" s="1456" t="s">
        <v>1274</v>
      </c>
      <c r="D41" s="1463" t="s">
        <v>2318</v>
      </c>
      <c r="E41" s="1452"/>
      <c r="F41" s="1452"/>
      <c r="G41" s="1452"/>
      <c r="H41" s="1452"/>
      <c r="I41" s="1452"/>
      <c r="J41" s="1452"/>
      <c r="K41" s="1452"/>
      <c r="L41" s="1452"/>
      <c r="M41" s="1452"/>
      <c r="N41" s="1452"/>
      <c r="O41" s="1452"/>
      <c r="P41" s="1452"/>
      <c r="Q41" s="1452"/>
      <c r="R41" s="1452"/>
      <c r="S41" s="1452"/>
      <c r="T41" s="1452"/>
      <c r="U41" s="1452"/>
      <c r="V41" s="1452"/>
      <c r="W41" s="1452"/>
      <c r="X41" s="1452"/>
      <c r="Y41" s="1453">
        <f t="shared" si="0"/>
        <v>0</v>
      </c>
      <c r="Z41" s="1454"/>
      <c r="AA41" s="1452"/>
      <c r="AB41" s="1454"/>
      <c r="AC41" s="1453">
        <f t="shared" si="1"/>
        <v>0</v>
      </c>
      <c r="AD41" s="1454"/>
      <c r="AE41" s="1454"/>
      <c r="AF41" s="1454"/>
      <c r="AG41" s="1454"/>
      <c r="AH41" s="1454"/>
      <c r="AI41" s="1454"/>
      <c r="AJ41" s="1452"/>
      <c r="AK41" s="1452"/>
      <c r="AL41" s="1453">
        <f t="shared" si="2"/>
        <v>0</v>
      </c>
      <c r="AM41" s="1454"/>
      <c r="AN41" s="1452"/>
    </row>
    <row r="42" spans="1:40" ht="14.1" customHeight="1">
      <c r="A42" s="1448">
        <f t="shared" si="3"/>
        <v>37</v>
      </c>
      <c r="B42" s="1455"/>
      <c r="C42" s="1456"/>
      <c r="D42" s="1464" t="s">
        <v>1280</v>
      </c>
      <c r="E42" s="1452"/>
      <c r="F42" s="1452"/>
      <c r="G42" s="1452"/>
      <c r="H42" s="1452"/>
      <c r="I42" s="1452"/>
      <c r="J42" s="1452"/>
      <c r="K42" s="1452"/>
      <c r="L42" s="1452"/>
      <c r="M42" s="1452"/>
      <c r="N42" s="1452"/>
      <c r="O42" s="1452"/>
      <c r="P42" s="1452"/>
      <c r="Q42" s="1452"/>
      <c r="R42" s="1452"/>
      <c r="S42" s="1452"/>
      <c r="T42" s="1452"/>
      <c r="U42" s="1452"/>
      <c r="V42" s="1452"/>
      <c r="W42" s="1452"/>
      <c r="X42" s="1452"/>
      <c r="Y42" s="1453">
        <f t="shared" si="0"/>
        <v>0</v>
      </c>
      <c r="Z42" s="1454"/>
      <c r="AA42" s="1452"/>
      <c r="AB42" s="1454"/>
      <c r="AC42" s="1453">
        <f t="shared" si="1"/>
        <v>0</v>
      </c>
      <c r="AD42" s="1454"/>
      <c r="AE42" s="1454"/>
      <c r="AF42" s="1454"/>
      <c r="AG42" s="1454"/>
      <c r="AH42" s="1454"/>
      <c r="AI42" s="1454"/>
      <c r="AJ42" s="1452"/>
      <c r="AK42" s="1452"/>
      <c r="AL42" s="1453">
        <f t="shared" si="2"/>
        <v>0</v>
      </c>
      <c r="AM42" s="1454"/>
      <c r="AN42" s="1452"/>
    </row>
    <row r="43" spans="1:40" ht="14.1" customHeight="1">
      <c r="A43" s="1448">
        <f t="shared" si="3"/>
        <v>38</v>
      </c>
      <c r="B43" s="1455"/>
      <c r="C43" s="1458" t="s">
        <v>1276</v>
      </c>
      <c r="D43" s="1464" t="s">
        <v>572</v>
      </c>
      <c r="E43" s="1453">
        <f>SUM(E41:E42)</f>
        <v>0</v>
      </c>
      <c r="F43" s="1453">
        <f t="shared" ref="F43:X43" si="12">SUM(F41:F42)</f>
        <v>0</v>
      </c>
      <c r="G43" s="1453">
        <f t="shared" si="12"/>
        <v>0</v>
      </c>
      <c r="H43" s="1453">
        <f t="shared" si="12"/>
        <v>0</v>
      </c>
      <c r="I43" s="1453">
        <f t="shared" si="12"/>
        <v>0</v>
      </c>
      <c r="J43" s="1453">
        <f t="shared" si="12"/>
        <v>0</v>
      </c>
      <c r="K43" s="1453">
        <f t="shared" si="12"/>
        <v>0</v>
      </c>
      <c r="L43" s="1453">
        <f t="shared" si="12"/>
        <v>0</v>
      </c>
      <c r="M43" s="1453">
        <f t="shared" si="12"/>
        <v>0</v>
      </c>
      <c r="N43" s="1453">
        <f t="shared" si="12"/>
        <v>0</v>
      </c>
      <c r="O43" s="1453">
        <f t="shared" si="12"/>
        <v>0</v>
      </c>
      <c r="P43" s="1453">
        <f t="shared" si="12"/>
        <v>0</v>
      </c>
      <c r="Q43" s="1453">
        <f t="shared" si="12"/>
        <v>0</v>
      </c>
      <c r="R43" s="1453">
        <f t="shared" si="12"/>
        <v>0</v>
      </c>
      <c r="S43" s="1453">
        <f t="shared" si="12"/>
        <v>0</v>
      </c>
      <c r="T43" s="1453">
        <f t="shared" si="12"/>
        <v>0</v>
      </c>
      <c r="U43" s="1453">
        <f t="shared" si="12"/>
        <v>0</v>
      </c>
      <c r="V43" s="1453">
        <f t="shared" si="12"/>
        <v>0</v>
      </c>
      <c r="W43" s="1453">
        <f t="shared" si="12"/>
        <v>0</v>
      </c>
      <c r="X43" s="1453">
        <f t="shared" si="12"/>
        <v>0</v>
      </c>
      <c r="Y43" s="1453">
        <f t="shared" si="0"/>
        <v>0</v>
      </c>
      <c r="Z43" s="1454"/>
      <c r="AA43" s="1452"/>
      <c r="AB43" s="1454"/>
      <c r="AC43" s="1453">
        <f t="shared" si="1"/>
        <v>0</v>
      </c>
      <c r="AD43" s="1454"/>
      <c r="AE43" s="1454"/>
      <c r="AF43" s="1454"/>
      <c r="AG43" s="1454"/>
      <c r="AH43" s="1454"/>
      <c r="AI43" s="1454"/>
      <c r="AJ43" s="1452"/>
      <c r="AK43" s="1452"/>
      <c r="AL43" s="1453">
        <f t="shared" si="2"/>
        <v>0</v>
      </c>
      <c r="AM43" s="1454"/>
      <c r="AN43" s="1452"/>
    </row>
    <row r="44" spans="1:40" ht="14.1" customHeight="1">
      <c r="A44" s="1448">
        <f t="shared" si="3"/>
        <v>39</v>
      </c>
      <c r="B44" s="1455"/>
      <c r="C44" s="2528" t="s">
        <v>1277</v>
      </c>
      <c r="D44" s="2529"/>
      <c r="E44" s="1452"/>
      <c r="F44" s="1452"/>
      <c r="G44" s="1452"/>
      <c r="H44" s="1452"/>
      <c r="I44" s="1452"/>
      <c r="J44" s="1452"/>
      <c r="K44" s="1452"/>
      <c r="L44" s="1452"/>
      <c r="M44" s="1452"/>
      <c r="N44" s="1452"/>
      <c r="O44" s="1452"/>
      <c r="P44" s="1452"/>
      <c r="Q44" s="1452"/>
      <c r="R44" s="1452"/>
      <c r="S44" s="1452"/>
      <c r="T44" s="1452"/>
      <c r="U44" s="1452"/>
      <c r="V44" s="1452"/>
      <c r="W44" s="1452"/>
      <c r="X44" s="1452"/>
      <c r="Y44" s="1453">
        <f t="shared" si="0"/>
        <v>0</v>
      </c>
      <c r="Z44" s="1454"/>
      <c r="AA44" s="1452"/>
      <c r="AB44" s="1454"/>
      <c r="AC44" s="1453">
        <f t="shared" si="1"/>
        <v>0</v>
      </c>
      <c r="AD44" s="1454"/>
      <c r="AE44" s="1454"/>
      <c r="AF44" s="1454"/>
      <c r="AG44" s="1454"/>
      <c r="AH44" s="1454"/>
      <c r="AI44" s="1454"/>
      <c r="AJ44" s="1452"/>
      <c r="AK44" s="1452"/>
      <c r="AL44" s="1453">
        <f t="shared" si="2"/>
        <v>0</v>
      </c>
      <c r="AM44" s="1454"/>
      <c r="AN44" s="1452"/>
    </row>
    <row r="45" spans="1:40" ht="14.1" customHeight="1">
      <c r="A45" s="1448">
        <f t="shared" si="3"/>
        <v>40</v>
      </c>
      <c r="B45" s="1455"/>
      <c r="C45" s="2528" t="s">
        <v>1281</v>
      </c>
      <c r="D45" s="2529"/>
      <c r="E45" s="1453">
        <f>+E30+E36+E40+E43+E44</f>
        <v>0</v>
      </c>
      <c r="F45" s="1453">
        <f t="shared" ref="F45:X45" si="13">+F30+F36+F40+F43+F44</f>
        <v>0</v>
      </c>
      <c r="G45" s="1453">
        <f t="shared" si="13"/>
        <v>0</v>
      </c>
      <c r="H45" s="1453">
        <f t="shared" si="13"/>
        <v>0</v>
      </c>
      <c r="I45" s="1453">
        <f t="shared" si="13"/>
        <v>0</v>
      </c>
      <c r="J45" s="1453">
        <f t="shared" si="13"/>
        <v>0</v>
      </c>
      <c r="K45" s="1453">
        <f t="shared" si="13"/>
        <v>0</v>
      </c>
      <c r="L45" s="1453">
        <f t="shared" si="13"/>
        <v>0</v>
      </c>
      <c r="M45" s="1453">
        <f t="shared" si="13"/>
        <v>0</v>
      </c>
      <c r="N45" s="1453">
        <f t="shared" si="13"/>
        <v>0</v>
      </c>
      <c r="O45" s="1453">
        <f t="shared" si="13"/>
        <v>0</v>
      </c>
      <c r="P45" s="1453">
        <f t="shared" si="13"/>
        <v>0</v>
      </c>
      <c r="Q45" s="1453">
        <f t="shared" si="13"/>
        <v>0</v>
      </c>
      <c r="R45" s="1453">
        <f t="shared" si="13"/>
        <v>0</v>
      </c>
      <c r="S45" s="1453">
        <f t="shared" si="13"/>
        <v>0</v>
      </c>
      <c r="T45" s="1453">
        <f t="shared" si="13"/>
        <v>0</v>
      </c>
      <c r="U45" s="1453">
        <f t="shared" si="13"/>
        <v>0</v>
      </c>
      <c r="V45" s="1453">
        <f t="shared" si="13"/>
        <v>0</v>
      </c>
      <c r="W45" s="1453">
        <f t="shared" si="13"/>
        <v>0</v>
      </c>
      <c r="X45" s="1453">
        <f t="shared" si="13"/>
        <v>0</v>
      </c>
      <c r="Y45" s="1453">
        <f t="shared" si="0"/>
        <v>0</v>
      </c>
      <c r="Z45" s="1454"/>
      <c r="AA45" s="1452"/>
      <c r="AB45" s="1454"/>
      <c r="AC45" s="1453">
        <f t="shared" si="1"/>
        <v>0</v>
      </c>
      <c r="AD45" s="1454"/>
      <c r="AE45" s="1454"/>
      <c r="AF45" s="1454"/>
      <c r="AG45" s="1454"/>
      <c r="AH45" s="1454"/>
      <c r="AI45" s="1454"/>
      <c r="AJ45" s="1452"/>
      <c r="AK45" s="1452"/>
      <c r="AL45" s="1453">
        <f t="shared" si="2"/>
        <v>0</v>
      </c>
      <c r="AM45" s="1454"/>
      <c r="AN45" s="1452"/>
    </row>
    <row r="46" spans="1:40" ht="14.1" customHeight="1">
      <c r="A46" s="1448">
        <f t="shared" si="3"/>
        <v>41</v>
      </c>
      <c r="B46" s="2528" t="s">
        <v>1282</v>
      </c>
      <c r="C46" s="2532"/>
      <c r="D46" s="2529"/>
      <c r="E46" s="1453">
        <f>+E25+E45</f>
        <v>0</v>
      </c>
      <c r="F46" s="1453">
        <f t="shared" ref="F46:X46" si="14">+F25+F45</f>
        <v>0</v>
      </c>
      <c r="G46" s="1453">
        <f t="shared" si="14"/>
        <v>0</v>
      </c>
      <c r="H46" s="1453">
        <f t="shared" si="14"/>
        <v>0</v>
      </c>
      <c r="I46" s="1453">
        <f t="shared" si="14"/>
        <v>0</v>
      </c>
      <c r="J46" s="1453">
        <f t="shared" si="14"/>
        <v>0</v>
      </c>
      <c r="K46" s="1453">
        <f t="shared" si="14"/>
        <v>0</v>
      </c>
      <c r="L46" s="1453">
        <f t="shared" si="14"/>
        <v>0</v>
      </c>
      <c r="M46" s="1453">
        <f t="shared" si="14"/>
        <v>0</v>
      </c>
      <c r="N46" s="1453">
        <f t="shared" si="14"/>
        <v>0</v>
      </c>
      <c r="O46" s="1453">
        <f t="shared" si="14"/>
        <v>0</v>
      </c>
      <c r="P46" s="1453">
        <f t="shared" si="14"/>
        <v>0</v>
      </c>
      <c r="Q46" s="1453">
        <f t="shared" si="14"/>
        <v>0</v>
      </c>
      <c r="R46" s="1453">
        <f t="shared" si="14"/>
        <v>0</v>
      </c>
      <c r="S46" s="1453">
        <f t="shared" si="14"/>
        <v>0</v>
      </c>
      <c r="T46" s="1453">
        <f t="shared" si="14"/>
        <v>0</v>
      </c>
      <c r="U46" s="1453">
        <f t="shared" si="14"/>
        <v>0</v>
      </c>
      <c r="V46" s="1453">
        <f t="shared" si="14"/>
        <v>0</v>
      </c>
      <c r="W46" s="1453">
        <f t="shared" si="14"/>
        <v>0</v>
      </c>
      <c r="X46" s="1453">
        <f t="shared" si="14"/>
        <v>0</v>
      </c>
      <c r="Y46" s="1453">
        <f t="shared" si="0"/>
        <v>0</v>
      </c>
      <c r="Z46" s="1454"/>
      <c r="AA46" s="1452"/>
      <c r="AB46" s="1454"/>
      <c r="AC46" s="1453">
        <f t="shared" si="1"/>
        <v>0</v>
      </c>
      <c r="AD46" s="1454"/>
      <c r="AE46" s="1454"/>
      <c r="AF46" s="1454"/>
      <c r="AG46" s="1454"/>
      <c r="AH46" s="1454"/>
      <c r="AI46" s="1454"/>
      <c r="AJ46" s="1452"/>
      <c r="AK46" s="1452"/>
      <c r="AL46" s="1453">
        <f t="shared" si="2"/>
        <v>0</v>
      </c>
      <c r="AM46" s="1454"/>
      <c r="AN46" s="1452"/>
    </row>
    <row r="47" spans="1:40" ht="14.1" customHeight="1">
      <c r="A47" s="1448">
        <f t="shared" si="3"/>
        <v>42</v>
      </c>
      <c r="B47" s="1465" t="s">
        <v>1283</v>
      </c>
      <c r="C47" s="1450" t="s">
        <v>1268</v>
      </c>
      <c r="D47" s="1460" t="s">
        <v>1284</v>
      </c>
      <c r="E47" s="1452"/>
      <c r="F47" s="1452"/>
      <c r="G47" s="1452"/>
      <c r="H47" s="1452"/>
      <c r="I47" s="1452"/>
      <c r="J47" s="1452"/>
      <c r="K47" s="1452"/>
      <c r="L47" s="1452"/>
      <c r="M47" s="1452"/>
      <c r="N47" s="1452"/>
      <c r="O47" s="1452"/>
      <c r="P47" s="1452"/>
      <c r="Q47" s="1452"/>
      <c r="R47" s="1452"/>
      <c r="S47" s="1452"/>
      <c r="T47" s="1452"/>
      <c r="U47" s="1452"/>
      <c r="V47" s="1452"/>
      <c r="W47" s="1452"/>
      <c r="X47" s="1452"/>
      <c r="Y47" s="1453">
        <f t="shared" si="0"/>
        <v>0</v>
      </c>
      <c r="Z47" s="1454"/>
      <c r="AA47" s="1452"/>
      <c r="AB47" s="1454"/>
      <c r="AC47" s="1453">
        <f t="shared" si="1"/>
        <v>0</v>
      </c>
      <c r="AD47" s="1454"/>
      <c r="AE47" s="1454"/>
      <c r="AF47" s="1454"/>
      <c r="AG47" s="1454"/>
      <c r="AH47" s="1454"/>
      <c r="AI47" s="1454"/>
      <c r="AJ47" s="1452"/>
      <c r="AK47" s="1452"/>
      <c r="AL47" s="1453">
        <f t="shared" si="2"/>
        <v>0</v>
      </c>
      <c r="AM47" s="1454"/>
      <c r="AN47" s="1452"/>
    </row>
    <row r="48" spans="1:40" ht="14.1" customHeight="1">
      <c r="A48" s="1448">
        <f t="shared" si="3"/>
        <v>43</v>
      </c>
      <c r="B48" s="1455"/>
      <c r="C48" s="1456" t="s">
        <v>1270</v>
      </c>
      <c r="D48" s="1460" t="s">
        <v>1285</v>
      </c>
      <c r="E48" s="1452"/>
      <c r="F48" s="1452"/>
      <c r="G48" s="1452"/>
      <c r="H48" s="1452"/>
      <c r="I48" s="1452"/>
      <c r="J48" s="1452"/>
      <c r="K48" s="1452"/>
      <c r="L48" s="1452"/>
      <c r="M48" s="1452"/>
      <c r="N48" s="1452"/>
      <c r="O48" s="1452"/>
      <c r="P48" s="1452"/>
      <c r="Q48" s="1452"/>
      <c r="R48" s="1452"/>
      <c r="S48" s="1452"/>
      <c r="T48" s="1452"/>
      <c r="U48" s="1452"/>
      <c r="V48" s="1452"/>
      <c r="W48" s="1452"/>
      <c r="X48" s="1452"/>
      <c r="Y48" s="1453">
        <f t="shared" si="0"/>
        <v>0</v>
      </c>
      <c r="Z48" s="1454"/>
      <c r="AA48" s="1452"/>
      <c r="AB48" s="1454"/>
      <c r="AC48" s="1453">
        <f t="shared" si="1"/>
        <v>0</v>
      </c>
      <c r="AD48" s="1454"/>
      <c r="AE48" s="1454"/>
      <c r="AF48" s="1454"/>
      <c r="AG48" s="1454"/>
      <c r="AH48" s="1454"/>
      <c r="AI48" s="1454"/>
      <c r="AJ48" s="1452"/>
      <c r="AK48" s="1452"/>
      <c r="AL48" s="1453">
        <f t="shared" si="2"/>
        <v>0</v>
      </c>
      <c r="AM48" s="1454"/>
      <c r="AN48" s="1452"/>
    </row>
    <row r="49" spans="1:40" ht="14.1" customHeight="1">
      <c r="A49" s="1448">
        <f t="shared" si="3"/>
        <v>44</v>
      </c>
      <c r="B49" s="1455" t="s">
        <v>1286</v>
      </c>
      <c r="C49" s="1456" t="s">
        <v>1272</v>
      </c>
      <c r="D49" s="1460" t="s">
        <v>1247</v>
      </c>
      <c r="E49" s="1452"/>
      <c r="F49" s="1452"/>
      <c r="G49" s="1452"/>
      <c r="H49" s="1452"/>
      <c r="I49" s="1452"/>
      <c r="J49" s="1452"/>
      <c r="K49" s="1452"/>
      <c r="L49" s="1452"/>
      <c r="M49" s="1452"/>
      <c r="N49" s="1452"/>
      <c r="O49" s="1452"/>
      <c r="P49" s="1452"/>
      <c r="Q49" s="1452"/>
      <c r="R49" s="1452"/>
      <c r="S49" s="1452"/>
      <c r="T49" s="1452"/>
      <c r="U49" s="1452"/>
      <c r="V49" s="1452"/>
      <c r="W49" s="1452"/>
      <c r="X49" s="1452"/>
      <c r="Y49" s="1453">
        <f t="shared" si="0"/>
        <v>0</v>
      </c>
      <c r="Z49" s="1454"/>
      <c r="AA49" s="1452"/>
      <c r="AB49" s="1454"/>
      <c r="AC49" s="1453">
        <f t="shared" si="1"/>
        <v>0</v>
      </c>
      <c r="AD49" s="1454"/>
      <c r="AE49" s="1454"/>
      <c r="AF49" s="1454"/>
      <c r="AG49" s="1454"/>
      <c r="AH49" s="1454"/>
      <c r="AI49" s="1454"/>
      <c r="AJ49" s="1452"/>
      <c r="AK49" s="1452"/>
      <c r="AL49" s="1453">
        <f t="shared" si="2"/>
        <v>0</v>
      </c>
      <c r="AM49" s="1454"/>
      <c r="AN49" s="1452"/>
    </row>
    <row r="50" spans="1:40" ht="14.1" customHeight="1">
      <c r="A50" s="1448">
        <f t="shared" si="3"/>
        <v>45</v>
      </c>
      <c r="B50" s="1466"/>
      <c r="C50" s="1458"/>
      <c r="D50" s="1461" t="s">
        <v>1248</v>
      </c>
      <c r="E50" s="1453">
        <f>SUM(E47:E49)</f>
        <v>0</v>
      </c>
      <c r="F50" s="1453">
        <f t="shared" ref="F50:X50" si="15">SUM(F47:F49)</f>
        <v>0</v>
      </c>
      <c r="G50" s="1453">
        <f t="shared" si="15"/>
        <v>0</v>
      </c>
      <c r="H50" s="1453">
        <f t="shared" si="15"/>
        <v>0</v>
      </c>
      <c r="I50" s="1453">
        <f t="shared" si="15"/>
        <v>0</v>
      </c>
      <c r="J50" s="1453">
        <f t="shared" si="15"/>
        <v>0</v>
      </c>
      <c r="K50" s="1453">
        <f t="shared" si="15"/>
        <v>0</v>
      </c>
      <c r="L50" s="1453">
        <f t="shared" si="15"/>
        <v>0</v>
      </c>
      <c r="M50" s="1453">
        <f t="shared" si="15"/>
        <v>0</v>
      </c>
      <c r="N50" s="1453">
        <f t="shared" si="15"/>
        <v>0</v>
      </c>
      <c r="O50" s="1453">
        <f t="shared" si="15"/>
        <v>0</v>
      </c>
      <c r="P50" s="1453">
        <f t="shared" si="15"/>
        <v>0</v>
      </c>
      <c r="Q50" s="1453">
        <f t="shared" si="15"/>
        <v>0</v>
      </c>
      <c r="R50" s="1453">
        <f t="shared" si="15"/>
        <v>0</v>
      </c>
      <c r="S50" s="1453">
        <f t="shared" si="15"/>
        <v>0</v>
      </c>
      <c r="T50" s="1453">
        <f t="shared" si="15"/>
        <v>0</v>
      </c>
      <c r="U50" s="1453">
        <f t="shared" si="15"/>
        <v>0</v>
      </c>
      <c r="V50" s="1453">
        <f t="shared" si="15"/>
        <v>0</v>
      </c>
      <c r="W50" s="1453">
        <f t="shared" si="15"/>
        <v>0</v>
      </c>
      <c r="X50" s="1453">
        <f t="shared" si="15"/>
        <v>0</v>
      </c>
      <c r="Y50" s="1453">
        <f t="shared" si="0"/>
        <v>0</v>
      </c>
      <c r="Z50" s="1454"/>
      <c r="AA50" s="1452"/>
      <c r="AB50" s="1454"/>
      <c r="AC50" s="1453">
        <f t="shared" si="1"/>
        <v>0</v>
      </c>
      <c r="AD50" s="1454"/>
      <c r="AE50" s="1454"/>
      <c r="AF50" s="1454"/>
      <c r="AG50" s="1454"/>
      <c r="AH50" s="1454"/>
      <c r="AI50" s="1454"/>
      <c r="AJ50" s="1452"/>
      <c r="AK50" s="1452"/>
      <c r="AL50" s="1453">
        <f t="shared" si="2"/>
        <v>0</v>
      </c>
      <c r="AM50" s="1454"/>
      <c r="AN50" s="1452"/>
    </row>
    <row r="51" spans="1:40" ht="14.1" customHeight="1">
      <c r="A51" s="1448">
        <f t="shared" si="3"/>
        <v>46</v>
      </c>
      <c r="B51" s="2528" t="s">
        <v>1287</v>
      </c>
      <c r="C51" s="2532"/>
      <c r="D51" s="2529"/>
      <c r="E51" s="1453">
        <f>+E46+E50</f>
        <v>0</v>
      </c>
      <c r="F51" s="1453">
        <f t="shared" ref="F51:X51" si="16">+F46+F50</f>
        <v>0</v>
      </c>
      <c r="G51" s="1453">
        <f t="shared" si="16"/>
        <v>0</v>
      </c>
      <c r="H51" s="1453">
        <f t="shared" si="16"/>
        <v>0</v>
      </c>
      <c r="I51" s="1453">
        <f t="shared" si="16"/>
        <v>0</v>
      </c>
      <c r="J51" s="1453">
        <f t="shared" si="16"/>
        <v>0</v>
      </c>
      <c r="K51" s="1453">
        <f t="shared" si="16"/>
        <v>0</v>
      </c>
      <c r="L51" s="1453">
        <f t="shared" si="16"/>
        <v>0</v>
      </c>
      <c r="M51" s="1453">
        <f t="shared" si="16"/>
        <v>0</v>
      </c>
      <c r="N51" s="1453">
        <f t="shared" si="16"/>
        <v>0</v>
      </c>
      <c r="O51" s="1453">
        <f t="shared" si="16"/>
        <v>0</v>
      </c>
      <c r="P51" s="1453">
        <f t="shared" si="16"/>
        <v>0</v>
      </c>
      <c r="Q51" s="1453">
        <f t="shared" si="16"/>
        <v>0</v>
      </c>
      <c r="R51" s="1453">
        <f t="shared" si="16"/>
        <v>0</v>
      </c>
      <c r="S51" s="1453">
        <f t="shared" si="16"/>
        <v>0</v>
      </c>
      <c r="T51" s="1453">
        <f t="shared" si="16"/>
        <v>0</v>
      </c>
      <c r="U51" s="1453">
        <f t="shared" si="16"/>
        <v>0</v>
      </c>
      <c r="V51" s="1453">
        <f t="shared" si="16"/>
        <v>0</v>
      </c>
      <c r="W51" s="1453">
        <f t="shared" si="16"/>
        <v>0</v>
      </c>
      <c r="X51" s="1453">
        <f t="shared" si="16"/>
        <v>0</v>
      </c>
      <c r="Y51" s="1453">
        <f t="shared" si="0"/>
        <v>0</v>
      </c>
      <c r="Z51" s="1454"/>
      <c r="AA51" s="1452"/>
      <c r="AB51" s="1454"/>
      <c r="AC51" s="1453">
        <f t="shared" si="1"/>
        <v>0</v>
      </c>
      <c r="AD51" s="1454"/>
      <c r="AE51" s="1454"/>
      <c r="AF51" s="1454"/>
      <c r="AG51" s="1454"/>
      <c r="AH51" s="1454"/>
      <c r="AI51" s="1454"/>
      <c r="AJ51" s="1452"/>
      <c r="AK51" s="1452"/>
      <c r="AL51" s="1453">
        <f t="shared" si="2"/>
        <v>0</v>
      </c>
      <c r="AM51" s="1454"/>
      <c r="AN51" s="1452"/>
    </row>
    <row r="52" spans="1:40" s="1467" customFormat="1" ht="14.25">
      <c r="A52" s="2548" t="s">
        <v>642</v>
      </c>
      <c r="B52" s="2548"/>
    </row>
    <row r="53" spans="1:40" s="1468" customFormat="1" ht="14.25">
      <c r="A53" s="1468">
        <v>1</v>
      </c>
      <c r="B53" s="1469" t="s">
        <v>2320</v>
      </c>
      <c r="C53" s="1477"/>
      <c r="D53" s="1477"/>
      <c r="E53" s="1477"/>
      <c r="F53" s="1477"/>
      <c r="G53" s="1477"/>
      <c r="H53" s="1477"/>
      <c r="I53" s="1477"/>
      <c r="J53" s="1477"/>
    </row>
    <row r="54" spans="1:40" s="1467" customFormat="1" ht="14.25">
      <c r="A54" s="1468">
        <v>2</v>
      </c>
      <c r="B54" s="1470" t="s">
        <v>2321</v>
      </c>
      <c r="C54" s="1469"/>
      <c r="D54" s="1469"/>
      <c r="E54" s="1469"/>
      <c r="F54" s="1469"/>
      <c r="G54" s="1469"/>
      <c r="H54" s="1469"/>
      <c r="I54" s="1469"/>
      <c r="J54" s="1469"/>
      <c r="K54" s="1469"/>
      <c r="L54" s="1469"/>
      <c r="M54" s="1469"/>
      <c r="N54" s="1469"/>
      <c r="O54" s="1469"/>
      <c r="P54" s="1469"/>
      <c r="Q54" s="1469"/>
      <c r="R54" s="1469"/>
      <c r="S54" s="1469"/>
      <c r="T54" s="1469"/>
      <c r="U54" s="1469"/>
      <c r="V54" s="1469"/>
      <c r="W54" s="1469"/>
      <c r="X54" s="1469"/>
      <c r="Y54" s="1469"/>
      <c r="Z54" s="1469"/>
      <c r="AA54" s="1469"/>
      <c r="AB54" s="1469"/>
      <c r="AC54" s="1469"/>
      <c r="AD54" s="1469"/>
      <c r="AE54" s="1469"/>
      <c r="AF54" s="1469"/>
      <c r="AG54" s="1471"/>
      <c r="AH54" s="1471"/>
    </row>
    <row r="55" spans="1:40" s="1468" customFormat="1" ht="14.25">
      <c r="A55" s="1468">
        <v>3</v>
      </c>
      <c r="B55" s="1472" t="s">
        <v>2322</v>
      </c>
      <c r="C55" s="1477"/>
      <c r="D55" s="1477"/>
      <c r="E55" s="1477"/>
      <c r="F55" s="1477"/>
      <c r="G55" s="1477"/>
      <c r="H55" s="1477"/>
      <c r="I55" s="1477"/>
      <c r="J55" s="1477"/>
      <c r="K55" s="1477"/>
      <c r="L55" s="1477"/>
      <c r="M55" s="1477"/>
      <c r="N55" s="1477"/>
      <c r="O55" s="1477"/>
      <c r="P55" s="1477"/>
      <c r="Q55" s="1477"/>
      <c r="R55" s="1477"/>
      <c r="S55" s="1477"/>
      <c r="T55" s="1477"/>
      <c r="U55" s="1477"/>
      <c r="V55" s="1477"/>
    </row>
    <row r="56" spans="1:40" s="1468" customFormat="1" ht="14.25">
      <c r="A56" s="1468">
        <v>4</v>
      </c>
      <c r="B56" s="1473" t="s">
        <v>2323</v>
      </c>
      <c r="C56" s="1478"/>
      <c r="D56" s="1478"/>
      <c r="E56" s="1478"/>
      <c r="F56" s="1478"/>
      <c r="G56" s="1478"/>
      <c r="H56" s="1478"/>
      <c r="I56" s="1478"/>
      <c r="J56" s="1478"/>
      <c r="K56" s="1478"/>
      <c r="L56" s="1478"/>
      <c r="M56" s="1478"/>
      <c r="N56" s="1478"/>
      <c r="O56" s="1478"/>
      <c r="P56" s="1478"/>
      <c r="Q56" s="1478"/>
      <c r="R56" s="1478"/>
      <c r="S56" s="1478"/>
      <c r="T56" s="1478"/>
      <c r="U56" s="1478"/>
      <c r="V56" s="1478"/>
      <c r="W56" s="1478"/>
      <c r="X56" s="1478"/>
      <c r="Y56" s="1478"/>
      <c r="Z56" s="1478"/>
      <c r="AA56" s="1478"/>
      <c r="AB56" s="1478"/>
      <c r="AC56" s="1478"/>
      <c r="AD56" s="1478"/>
      <c r="AE56" s="1478"/>
      <c r="AF56" s="1478"/>
      <c r="AG56" s="1478"/>
      <c r="AH56" s="1478"/>
    </row>
    <row r="57" spans="1:40" s="1468" customFormat="1" ht="14.25">
      <c r="B57" s="1473" t="s">
        <v>2324</v>
      </c>
      <c r="C57" s="1478"/>
      <c r="D57" s="1478"/>
      <c r="E57" s="1478"/>
      <c r="F57" s="1478"/>
      <c r="G57" s="1478"/>
      <c r="H57" s="1478"/>
      <c r="I57" s="1478"/>
      <c r="J57" s="1478"/>
      <c r="K57" s="1478"/>
      <c r="L57" s="1478"/>
      <c r="M57" s="1478"/>
      <c r="N57" s="1478"/>
      <c r="O57" s="1478"/>
      <c r="P57" s="1478"/>
      <c r="Q57" s="1478"/>
      <c r="R57" s="1478"/>
      <c r="S57" s="1478"/>
      <c r="T57" s="1478"/>
      <c r="U57" s="1478"/>
      <c r="V57" s="1478"/>
      <c r="W57" s="1478"/>
      <c r="X57" s="1478"/>
      <c r="Y57" s="1478"/>
      <c r="Z57" s="1478"/>
      <c r="AA57" s="1478"/>
      <c r="AB57" s="1478"/>
      <c r="AC57" s="1478"/>
      <c r="AD57" s="1478"/>
      <c r="AE57" s="1478"/>
      <c r="AF57" s="1478"/>
      <c r="AG57" s="1478"/>
      <c r="AH57" s="1478"/>
    </row>
    <row r="58" spans="1:40" s="1468" customFormat="1" ht="14.25">
      <c r="B58" s="1472" t="s">
        <v>2325</v>
      </c>
      <c r="C58" s="1477"/>
      <c r="D58" s="1477"/>
      <c r="E58" s="1477"/>
      <c r="F58" s="1477"/>
      <c r="G58" s="1477"/>
      <c r="H58" s="1477"/>
      <c r="I58" s="1477"/>
      <c r="J58" s="1477"/>
      <c r="K58" s="1477"/>
      <c r="L58" s="1477"/>
      <c r="M58" s="1477"/>
      <c r="N58" s="1477"/>
      <c r="O58" s="1477"/>
      <c r="P58" s="1477"/>
      <c r="Q58" s="1477"/>
      <c r="R58" s="1477"/>
      <c r="S58" s="1477"/>
      <c r="T58" s="1477"/>
      <c r="U58" s="1477"/>
      <c r="V58" s="1477"/>
      <c r="W58" s="1477"/>
      <c r="X58" s="1477"/>
      <c r="Y58" s="1477"/>
      <c r="Z58" s="1477"/>
      <c r="AA58" s="1477"/>
      <c r="AB58" s="1477"/>
      <c r="AC58" s="1477"/>
      <c r="AD58" s="1477"/>
      <c r="AE58" s="1477"/>
      <c r="AF58" s="1477"/>
      <c r="AG58" s="1477"/>
      <c r="AH58" s="1477"/>
    </row>
    <row r="59" spans="1:40" s="1468" customFormat="1" ht="14.25">
      <c r="B59" s="1472" t="s">
        <v>2326</v>
      </c>
      <c r="C59" s="1477"/>
      <c r="D59" s="1477"/>
      <c r="E59" s="1477"/>
      <c r="F59" s="1477"/>
      <c r="G59" s="1477"/>
      <c r="H59" s="1477"/>
      <c r="I59" s="1477"/>
      <c r="J59" s="1477"/>
      <c r="K59" s="1477"/>
      <c r="L59" s="1477"/>
      <c r="M59" s="1477"/>
      <c r="N59" s="1477"/>
      <c r="O59" s="1477"/>
      <c r="P59" s="1477"/>
      <c r="Q59" s="1477"/>
      <c r="R59" s="1477"/>
      <c r="S59" s="1477"/>
      <c r="T59" s="1477"/>
      <c r="U59" s="1477"/>
      <c r="V59" s="1477"/>
      <c r="W59" s="1477"/>
      <c r="X59" s="1477"/>
      <c r="Y59" s="1477"/>
      <c r="Z59" s="1477"/>
      <c r="AA59" s="1477"/>
      <c r="AB59" s="1477"/>
      <c r="AC59" s="1477"/>
      <c r="AD59" s="1477"/>
      <c r="AE59" s="1477"/>
      <c r="AF59" s="1477"/>
      <c r="AG59" s="1477"/>
      <c r="AH59" s="1477"/>
    </row>
    <row r="60" spans="1:40" s="1468" customFormat="1" ht="14.25">
      <c r="B60" s="1472" t="s">
        <v>2327</v>
      </c>
      <c r="C60" s="1477"/>
      <c r="D60" s="1477"/>
      <c r="E60" s="1477"/>
      <c r="F60" s="1477"/>
      <c r="G60" s="1477"/>
      <c r="H60" s="1477"/>
      <c r="I60" s="1477"/>
      <c r="J60" s="1477"/>
      <c r="K60" s="1477"/>
      <c r="L60" s="1477"/>
      <c r="M60" s="1477"/>
      <c r="N60" s="1477"/>
      <c r="O60" s="1477"/>
      <c r="P60" s="1477"/>
      <c r="Q60" s="1477"/>
      <c r="R60" s="1477"/>
      <c r="S60" s="1477"/>
      <c r="T60" s="1477"/>
      <c r="U60" s="1477"/>
      <c r="V60" s="1477"/>
      <c r="W60" s="1477"/>
      <c r="X60" s="1477"/>
      <c r="Y60" s="1477"/>
      <c r="Z60" s="1477"/>
      <c r="AA60" s="1477"/>
      <c r="AB60" s="1477"/>
      <c r="AC60" s="1477"/>
      <c r="AD60" s="1477"/>
      <c r="AE60" s="1477"/>
      <c r="AF60" s="1477"/>
      <c r="AG60" s="1477"/>
      <c r="AH60" s="1477"/>
    </row>
    <row r="61" spans="1:40" s="1467" customFormat="1" ht="14.25">
      <c r="A61" s="1468">
        <v>5</v>
      </c>
      <c r="B61" s="1472" t="s">
        <v>2357</v>
      </c>
      <c r="C61" s="1479"/>
      <c r="D61" s="1479"/>
      <c r="E61" s="1479"/>
      <c r="F61" s="1479"/>
      <c r="G61" s="1479"/>
      <c r="H61" s="1479"/>
      <c r="I61" s="1479"/>
      <c r="J61" s="1479"/>
      <c r="K61" s="1479"/>
      <c r="L61" s="1479"/>
      <c r="M61" s="1479"/>
      <c r="N61" s="1479"/>
      <c r="O61" s="1479"/>
      <c r="P61" s="1479"/>
      <c r="Q61" s="1479"/>
      <c r="R61" s="1479"/>
      <c r="S61" s="1479"/>
      <c r="T61" s="1479"/>
      <c r="U61" s="1479"/>
      <c r="V61" s="1479"/>
      <c r="W61" s="1474"/>
      <c r="X61" s="1474"/>
      <c r="Y61" s="1474"/>
      <c r="Z61" s="1474"/>
      <c r="AA61" s="1474"/>
      <c r="AB61" s="1474"/>
      <c r="AC61" s="1474"/>
      <c r="AD61" s="1474"/>
      <c r="AE61" s="1474"/>
      <c r="AF61" s="1474"/>
      <c r="AG61" s="1474"/>
      <c r="AH61" s="1474"/>
    </row>
    <row r="62" spans="1:40" s="1467" customFormat="1" ht="15.75" customHeight="1">
      <c r="A62" s="1468"/>
      <c r="B62" s="1472"/>
      <c r="C62" s="1472"/>
      <c r="D62" s="1480"/>
      <c r="E62" s="1480"/>
      <c r="F62" s="1480"/>
      <c r="G62" s="1480"/>
      <c r="H62" s="1480"/>
      <c r="I62" s="1480"/>
      <c r="J62" s="1480"/>
      <c r="K62" s="1480"/>
      <c r="L62" s="1480"/>
      <c r="M62" s="1480"/>
      <c r="N62" s="1480"/>
      <c r="O62" s="1480"/>
      <c r="P62" s="1480"/>
      <c r="Q62" s="1480"/>
      <c r="R62" s="1480"/>
      <c r="S62" s="1480"/>
      <c r="T62" s="1480"/>
      <c r="U62" s="1480"/>
      <c r="V62" s="1480"/>
      <c r="W62" s="1480"/>
      <c r="X62" s="1480"/>
      <c r="Y62" s="1480"/>
      <c r="Z62" s="1480"/>
      <c r="AA62" s="1480"/>
      <c r="AB62" s="1480"/>
      <c r="AC62" s="1480"/>
      <c r="AD62" s="1480"/>
      <c r="AE62" s="1480"/>
      <c r="AF62" s="1480"/>
      <c r="AG62" s="1480"/>
      <c r="AH62" s="1480"/>
      <c r="AI62" s="1480"/>
      <c r="AJ62" s="1480"/>
      <c r="AK62" s="1480"/>
      <c r="AL62" s="1480"/>
      <c r="AM62" s="1480"/>
      <c r="AN62" s="1480"/>
    </row>
    <row r="63" spans="1:40" s="1467" customFormat="1" ht="15.75" customHeight="1">
      <c r="A63" s="1468"/>
      <c r="B63" s="1472"/>
      <c r="C63" s="1479"/>
      <c r="D63" s="1480"/>
      <c r="E63" s="1480"/>
      <c r="F63" s="1480"/>
      <c r="G63" s="1480"/>
      <c r="H63" s="1480"/>
      <c r="I63" s="1480"/>
      <c r="J63" s="1480"/>
      <c r="K63" s="1480"/>
      <c r="L63" s="1480"/>
      <c r="M63" s="1480"/>
      <c r="N63" s="1480"/>
      <c r="O63" s="1480"/>
      <c r="P63" s="1480"/>
      <c r="Q63" s="1480"/>
      <c r="R63" s="1480"/>
      <c r="S63" s="1480"/>
      <c r="T63" s="1480"/>
      <c r="U63" s="1480"/>
      <c r="V63" s="1480"/>
      <c r="W63" s="1480"/>
      <c r="X63" s="1480"/>
      <c r="Y63" s="1480"/>
      <c r="Z63" s="1480"/>
      <c r="AA63" s="1480"/>
      <c r="AB63" s="1480"/>
      <c r="AC63" s="1480"/>
      <c r="AD63" s="1480"/>
      <c r="AE63" s="1480"/>
      <c r="AF63" s="1480"/>
      <c r="AG63" s="1480"/>
      <c r="AH63" s="1480"/>
      <c r="AI63" s="1480"/>
      <c r="AJ63" s="1480"/>
      <c r="AK63" s="1480"/>
      <c r="AL63" s="1480"/>
      <c r="AM63" s="1480"/>
      <c r="AN63" s="1480"/>
    </row>
    <row r="64" spans="1:40" s="1467" customFormat="1">
      <c r="A64" s="1474"/>
      <c r="B64" s="1472"/>
      <c r="C64" s="1479"/>
      <c r="D64" s="1479"/>
      <c r="E64" s="1479"/>
      <c r="F64" s="1479"/>
      <c r="G64" s="1479"/>
      <c r="H64" s="1479"/>
      <c r="I64" s="1479"/>
      <c r="J64" s="1479"/>
      <c r="K64" s="1479"/>
      <c r="L64" s="1479"/>
      <c r="M64" s="1479"/>
      <c r="N64" s="1479"/>
      <c r="O64" s="1479"/>
      <c r="P64" s="1479"/>
      <c r="Q64" s="1479"/>
      <c r="R64" s="1479"/>
      <c r="S64" s="1479"/>
      <c r="T64" s="1479"/>
      <c r="U64" s="1479"/>
      <c r="V64" s="1479"/>
      <c r="W64" s="1479"/>
      <c r="X64" s="1479"/>
      <c r="Y64" s="1479"/>
      <c r="Z64" s="1479"/>
      <c r="AA64" s="1479"/>
      <c r="AB64" s="1479"/>
      <c r="AC64" s="1479"/>
      <c r="AD64" s="1479"/>
      <c r="AE64" s="1479"/>
      <c r="AF64" s="1479"/>
      <c r="AG64" s="1479"/>
      <c r="AH64" s="1479"/>
    </row>
    <row r="65" spans="1:34" s="1467" customFormat="1">
      <c r="A65" s="1474"/>
      <c r="B65" s="1472"/>
      <c r="C65" s="1479"/>
      <c r="D65" s="1479"/>
      <c r="E65" s="1479"/>
      <c r="F65" s="1479"/>
      <c r="G65" s="1479"/>
      <c r="H65" s="1479"/>
      <c r="I65" s="1479"/>
      <c r="J65" s="1479"/>
      <c r="K65" s="1479"/>
      <c r="L65" s="1479"/>
      <c r="M65" s="1479"/>
      <c r="N65" s="1479"/>
      <c r="O65" s="1479"/>
      <c r="P65" s="1479"/>
      <c r="Q65" s="1479"/>
      <c r="R65" s="1479"/>
      <c r="S65" s="1479"/>
      <c r="T65" s="1479"/>
      <c r="U65" s="1479"/>
      <c r="V65" s="1479"/>
      <c r="W65" s="1479"/>
      <c r="X65" s="1479"/>
      <c r="Y65" s="1479"/>
      <c r="Z65" s="1479"/>
      <c r="AA65" s="1479"/>
      <c r="AB65" s="1479"/>
      <c r="AC65" s="1479"/>
      <c r="AD65" s="1479"/>
      <c r="AE65" s="1479"/>
      <c r="AF65" s="1479"/>
      <c r="AG65" s="1479"/>
      <c r="AH65" s="1479"/>
    </row>
    <row r="66" spans="1:34" s="1467" customFormat="1">
      <c r="A66" s="1474"/>
      <c r="B66" s="1472"/>
      <c r="C66" s="1479"/>
      <c r="D66" s="1479"/>
      <c r="E66" s="1479"/>
      <c r="F66" s="1479"/>
      <c r="G66" s="1479"/>
      <c r="H66" s="1479"/>
      <c r="I66" s="1479"/>
      <c r="J66" s="1479"/>
      <c r="K66" s="1479"/>
      <c r="L66" s="1479"/>
      <c r="M66" s="1479"/>
      <c r="N66" s="1479"/>
      <c r="O66" s="1474"/>
      <c r="P66" s="1474"/>
      <c r="Q66" s="1474"/>
      <c r="R66" s="1474"/>
      <c r="S66" s="1474"/>
      <c r="T66" s="1474"/>
      <c r="U66" s="1474"/>
      <c r="V66" s="1474"/>
      <c r="W66" s="1474"/>
      <c r="X66" s="1474"/>
      <c r="Y66" s="1474"/>
      <c r="Z66" s="1474"/>
      <c r="AA66" s="1474"/>
      <c r="AB66" s="1474"/>
      <c r="AC66" s="1474"/>
      <c r="AD66" s="1474"/>
      <c r="AE66" s="1474"/>
      <c r="AF66" s="1474"/>
      <c r="AG66" s="1474"/>
      <c r="AH66" s="1474"/>
    </row>
    <row r="67" spans="1:34" s="1467" customFormat="1">
      <c r="A67" s="1474"/>
      <c r="B67" s="1472"/>
    </row>
    <row r="68" spans="1:34" s="1467" customFormat="1">
      <c r="A68" s="1474"/>
      <c r="B68" s="1475"/>
    </row>
    <row r="69" spans="1:34" s="1467" customFormat="1"/>
    <row r="70" spans="1:34" s="1467" customFormat="1"/>
    <row r="71" spans="1:34" s="1467" customFormat="1"/>
    <row r="72" spans="1:34" s="1467" customFormat="1"/>
    <row r="73" spans="1:34" s="1467" customFormat="1"/>
    <row r="74" spans="1:34" s="1467" customFormat="1"/>
    <row r="75" spans="1:34" s="1467" customFormat="1"/>
    <row r="76" spans="1:34" s="1467" customFormat="1"/>
    <row r="77" spans="1:34" s="1467" customFormat="1"/>
    <row r="78" spans="1:34" s="1467" customFormat="1"/>
    <row r="79" spans="1:34" s="1467" customFormat="1"/>
    <row r="80" spans="1:34" s="1467" customFormat="1"/>
    <row r="81" s="1467" customFormat="1"/>
    <row r="82" s="1467" customFormat="1"/>
    <row r="83" s="1467" customFormat="1"/>
    <row r="84" s="1467" customFormat="1"/>
    <row r="85" s="1467" customFormat="1"/>
    <row r="86" s="1467" customFormat="1"/>
    <row r="87" s="1467" customFormat="1"/>
    <row r="88" s="1467" customFormat="1"/>
    <row r="89" s="1467" customFormat="1"/>
    <row r="90" s="1467" customFormat="1"/>
    <row r="91" s="1467" customFormat="1"/>
    <row r="92" s="1467" customFormat="1"/>
    <row r="93" s="1467" customFormat="1"/>
    <row r="94" s="1467" customFormat="1"/>
    <row r="95" s="1467" customFormat="1"/>
    <row r="96" s="1467" customFormat="1"/>
    <row r="97" s="1467" customFormat="1"/>
    <row r="98" s="1467" customFormat="1"/>
    <row r="99" s="1467" customFormat="1"/>
    <row r="100" s="1467" customFormat="1"/>
    <row r="101" s="1467" customFormat="1"/>
    <row r="102" s="1467" customFormat="1"/>
    <row r="103" s="1467" customFormat="1"/>
    <row r="104" s="1467" customFormat="1"/>
    <row r="105" s="1467" customFormat="1"/>
    <row r="106" s="1467" customFormat="1"/>
    <row r="107" s="1467" customFormat="1"/>
    <row r="108" s="1467" customFormat="1"/>
    <row r="109" s="1467" customFormat="1"/>
    <row r="110" s="1467" customFormat="1"/>
    <row r="111" s="1467" customFormat="1"/>
    <row r="112" s="1467" customFormat="1"/>
    <row r="113" s="1467" customFormat="1"/>
    <row r="114" s="1467" customFormat="1"/>
    <row r="115" s="1467" customFormat="1"/>
    <row r="116" s="1467" customFormat="1"/>
    <row r="117" s="1467" customFormat="1"/>
    <row r="118" s="1467" customFormat="1"/>
    <row r="119" s="1467" customFormat="1"/>
    <row r="120" s="1467" customFormat="1"/>
    <row r="121" s="1467" customFormat="1"/>
    <row r="122" s="1467" customFormat="1"/>
    <row r="123" s="1467" customFormat="1"/>
    <row r="124" s="1467" customFormat="1"/>
    <row r="125" s="1467" customFormat="1"/>
    <row r="126" s="1467" customFormat="1"/>
    <row r="127" s="1467" customFormat="1"/>
    <row r="128" s="1467" customFormat="1"/>
    <row r="129" s="1467" customFormat="1"/>
    <row r="130" s="1467" customFormat="1"/>
    <row r="131" s="1467" customFormat="1"/>
    <row r="132" s="1467" customFormat="1"/>
    <row r="133" s="1467" customFormat="1"/>
    <row r="134" s="1467" customFormat="1"/>
    <row r="135" s="1467" customFormat="1"/>
    <row r="136" s="1467" customFormat="1"/>
    <row r="137" s="1467" customFormat="1"/>
    <row r="138" s="1467" customFormat="1"/>
    <row r="139" s="1467" customFormat="1"/>
    <row r="140" s="1467" customFormat="1"/>
    <row r="141" s="1467" customFormat="1"/>
    <row r="142" s="1467" customFormat="1"/>
    <row r="143" s="1467" customFormat="1"/>
    <row r="144" s="1467" customFormat="1"/>
    <row r="145" s="1467" customFormat="1"/>
    <row r="146" s="1467" customFormat="1"/>
    <row r="147" s="1467" customFormat="1"/>
    <row r="148" s="1467" customFormat="1"/>
    <row r="149" s="1467" customFormat="1"/>
    <row r="150" s="1467" customFormat="1"/>
    <row r="151" s="1467" customFormat="1"/>
    <row r="152" s="1467" customFormat="1"/>
    <row r="153" s="1467" customFormat="1"/>
    <row r="154" s="1467" customFormat="1"/>
    <row r="155" s="1467" customFormat="1"/>
    <row r="156" s="1467" customFormat="1"/>
    <row r="157" s="1467" customFormat="1"/>
    <row r="158" s="1467" customFormat="1"/>
    <row r="159" s="1467" customFormat="1"/>
    <row r="160" s="1467" customFormat="1"/>
    <row r="161" s="1467" customFormat="1"/>
    <row r="162" s="1467" customFormat="1"/>
    <row r="163" s="1467" customFormat="1"/>
    <row r="164" s="1467" customFormat="1"/>
    <row r="165" s="1467" customFormat="1"/>
    <row r="166" s="1467" customFormat="1"/>
    <row r="167" s="1467" customFormat="1"/>
    <row r="168" s="1467" customFormat="1"/>
    <row r="169" s="1467" customFormat="1"/>
    <row r="170" s="1467" customFormat="1"/>
    <row r="171" s="1467" customFormat="1"/>
    <row r="172" s="1467" customFormat="1"/>
    <row r="173" s="1467" customFormat="1"/>
    <row r="174" s="1467" customFormat="1"/>
    <row r="175" s="1467" customFormat="1"/>
    <row r="176" s="1467" customFormat="1"/>
    <row r="177" s="1467" customFormat="1"/>
    <row r="178" s="1467" customFormat="1"/>
    <row r="179" s="1467" customFormat="1"/>
    <row r="180" s="1467" customFormat="1"/>
    <row r="181" s="1467" customFormat="1"/>
    <row r="182" s="1467" customFormat="1"/>
    <row r="183" s="1467" customFormat="1"/>
    <row r="184" s="1467" customFormat="1"/>
    <row r="185" s="1467" customFormat="1"/>
    <row r="186" s="1467" customFormat="1"/>
    <row r="187" s="1467" customFormat="1"/>
    <row r="188" s="1467" customFormat="1"/>
    <row r="189" s="1467" customFormat="1"/>
    <row r="190" s="1467" customFormat="1"/>
    <row r="191" s="1467" customFormat="1"/>
    <row r="192" s="1467" customFormat="1"/>
    <row r="193" s="1467" customFormat="1"/>
    <row r="194" s="1467" customFormat="1"/>
    <row r="195" s="1467" customFormat="1"/>
    <row r="196" s="1467" customFormat="1"/>
    <row r="197" s="1467" customFormat="1"/>
    <row r="198" s="1467" customFormat="1"/>
    <row r="199" s="1467" customFormat="1"/>
    <row r="200" s="1467" customFormat="1"/>
    <row r="201" s="1467" customFormat="1"/>
    <row r="202" s="1467" customFormat="1"/>
    <row r="203" s="1467" customFormat="1"/>
    <row r="204" s="1467" customFormat="1"/>
    <row r="205" s="1467" customFormat="1"/>
    <row r="206" s="1467" customFormat="1"/>
    <row r="207" s="1467" customFormat="1"/>
    <row r="208" s="1467" customFormat="1"/>
    <row r="209" s="1467" customFormat="1"/>
    <row r="210" s="1467" customFormat="1"/>
    <row r="211" s="1467" customFormat="1"/>
    <row r="212" s="1467" customFormat="1"/>
    <row r="213" s="1467" customFormat="1"/>
    <row r="214" s="1467" customFormat="1"/>
    <row r="215" s="1467" customFormat="1"/>
    <row r="216" s="1467" customFormat="1"/>
    <row r="217" s="1467" customFormat="1"/>
    <row r="218" s="1467" customFormat="1"/>
    <row r="219" s="1467" customFormat="1"/>
    <row r="220" s="1467" customFormat="1"/>
    <row r="221" s="1467" customFormat="1"/>
    <row r="222" s="1467" customFormat="1"/>
    <row r="223" s="1467" customFormat="1"/>
    <row r="224" s="1467" customFormat="1"/>
    <row r="225" s="1467" customFormat="1"/>
    <row r="226" s="1467" customFormat="1"/>
    <row r="227" s="1467" customFormat="1"/>
    <row r="228" s="1467" customFormat="1"/>
    <row r="229" s="1467" customFormat="1"/>
    <row r="230" s="1467" customFormat="1"/>
    <row r="231" s="1467" customFormat="1"/>
    <row r="232" s="1467" customFormat="1"/>
    <row r="233" s="1467" customFormat="1"/>
    <row r="234" s="1467" customFormat="1"/>
    <row r="235" s="1467" customFormat="1"/>
    <row r="236" s="1467" customFormat="1"/>
    <row r="237" s="1467" customFormat="1"/>
    <row r="238" s="1467" customFormat="1"/>
    <row r="239" s="1467" customFormat="1"/>
    <row r="240" s="1467" customFormat="1"/>
    <row r="241" s="1467" customFormat="1"/>
    <row r="242" s="1467" customFormat="1"/>
    <row r="243" s="1467" customFormat="1"/>
    <row r="244" s="1467" customFormat="1"/>
    <row r="245" s="1467" customFormat="1"/>
    <row r="246" s="1467" customFormat="1"/>
    <row r="247" s="1467" customFormat="1"/>
  </sheetData>
  <mergeCells count="17">
    <mergeCell ref="A3:A5"/>
    <mergeCell ref="B3:D4"/>
    <mergeCell ref="B5:D5"/>
    <mergeCell ref="A52:B52"/>
    <mergeCell ref="AC3:AD3"/>
    <mergeCell ref="B51:D51"/>
    <mergeCell ref="C45:D45"/>
    <mergeCell ref="B46:D46"/>
    <mergeCell ref="AN3:AN4"/>
    <mergeCell ref="C44:D44"/>
    <mergeCell ref="AA3:AB3"/>
    <mergeCell ref="C25:D25"/>
    <mergeCell ref="AE3:AI3"/>
    <mergeCell ref="W3:W4"/>
    <mergeCell ref="AJ3:AM3"/>
    <mergeCell ref="C24:D24"/>
    <mergeCell ref="Y3:Z3"/>
  </mergeCells>
  <phoneticPr fontId="29" type="noConversion"/>
  <printOptions horizontalCentered="1" gridLinesSet="0"/>
  <pageMargins left="0.39370078740157483" right="0.19685039370078741" top="0.39370078740157483" bottom="0.39370078740157483" header="0.19685039370078741" footer="0.19685039370078741"/>
  <pageSetup paperSize="9" scale="43" orientation="landscape" horizontalDpi="4294967295" verticalDpi="4294967295" r:id="rId1"/>
  <headerFooter alignWithMargins="0">
    <oddFooter xml:space="preserve">&amp;C&amp;"Times New Roman,標準"&amp;P+25&amp;R&amp;"Times New Roman,標準"&amp;A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54"/>
  <sheetViews>
    <sheetView zoomScaleNormal="100" workbookViewId="0"/>
  </sheetViews>
  <sheetFormatPr defaultColWidth="15.625" defaultRowHeight="15.75"/>
  <cols>
    <col min="1" max="1" width="5.625" style="1347" customWidth="1"/>
    <col min="2" max="2" width="15.25" style="1347" customWidth="1"/>
    <col min="3" max="3" width="18.5" style="1347" customWidth="1"/>
    <col min="4" max="8" width="15.625" style="1347"/>
    <col min="9" max="9" width="12.125" style="1347" customWidth="1"/>
    <col min="10" max="16384" width="15.625" style="1347"/>
  </cols>
  <sheetData>
    <row r="1" spans="1:14" ht="16.5">
      <c r="A1" s="2402" t="s">
        <v>7066</v>
      </c>
    </row>
    <row r="2" spans="1:14" ht="17.25" thickBot="1">
      <c r="A2" s="1651" t="s">
        <v>6775</v>
      </c>
      <c r="B2" s="1654"/>
      <c r="C2" s="1654"/>
      <c r="D2" s="1655"/>
      <c r="E2" s="1655"/>
      <c r="F2" s="1655"/>
      <c r="G2" s="1655"/>
      <c r="H2" s="1655"/>
      <c r="I2" s="1656"/>
      <c r="J2" s="1655"/>
      <c r="K2" s="1655"/>
      <c r="L2" s="1655"/>
      <c r="M2" s="1654"/>
      <c r="N2" s="1652" t="s">
        <v>6776</v>
      </c>
    </row>
    <row r="3" spans="1:14" ht="16.5" customHeight="1">
      <c r="A3" s="2964" t="s">
        <v>6777</v>
      </c>
      <c r="B3" s="2967" t="s">
        <v>6778</v>
      </c>
      <c r="C3" s="2275" t="s">
        <v>3239</v>
      </c>
      <c r="D3" s="2970" t="s">
        <v>6779</v>
      </c>
      <c r="E3" s="2970"/>
      <c r="F3" s="2970" t="s">
        <v>6780</v>
      </c>
      <c r="G3" s="2970" t="s">
        <v>6781</v>
      </c>
      <c r="H3" s="2970"/>
      <c r="I3" s="2961" t="s">
        <v>6782</v>
      </c>
      <c r="J3" s="2970" t="s">
        <v>6783</v>
      </c>
      <c r="K3" s="2970"/>
      <c r="L3" s="2970" t="s">
        <v>6784</v>
      </c>
      <c r="M3" s="2970" t="s">
        <v>6785</v>
      </c>
      <c r="N3" s="2972"/>
    </row>
    <row r="4" spans="1:14" ht="33">
      <c r="A4" s="2965"/>
      <c r="B4" s="2968"/>
      <c r="C4" s="1657" t="s">
        <v>178</v>
      </c>
      <c r="D4" s="1657" t="s">
        <v>3241</v>
      </c>
      <c r="E4" s="2276" t="s">
        <v>3242</v>
      </c>
      <c r="F4" s="2971"/>
      <c r="G4" s="1657" t="s">
        <v>3243</v>
      </c>
      <c r="H4" s="2276" t="s">
        <v>3244</v>
      </c>
      <c r="I4" s="2962"/>
      <c r="J4" s="1657" t="s">
        <v>3241</v>
      </c>
      <c r="K4" s="2276" t="s">
        <v>3242</v>
      </c>
      <c r="L4" s="2971"/>
      <c r="M4" s="1657" t="s">
        <v>3243</v>
      </c>
      <c r="N4" s="1658" t="s">
        <v>3244</v>
      </c>
    </row>
    <row r="5" spans="1:14" ht="16.5" customHeight="1" thickBot="1">
      <c r="A5" s="2966"/>
      <c r="B5" s="1659" t="s">
        <v>179</v>
      </c>
      <c r="C5" s="1659" t="s">
        <v>180</v>
      </c>
      <c r="D5" s="1659" t="s">
        <v>181</v>
      </c>
      <c r="E5" s="1659" t="s">
        <v>182</v>
      </c>
      <c r="F5" s="1659" t="s">
        <v>70</v>
      </c>
      <c r="G5" s="1659" t="s">
        <v>71</v>
      </c>
      <c r="H5" s="1659" t="s">
        <v>72</v>
      </c>
      <c r="I5" s="1659" t="s">
        <v>73</v>
      </c>
      <c r="J5" s="1659" t="s">
        <v>74</v>
      </c>
      <c r="K5" s="1659" t="s">
        <v>75</v>
      </c>
      <c r="L5" s="1659" t="s">
        <v>234</v>
      </c>
      <c r="M5" s="1659" t="s">
        <v>235</v>
      </c>
      <c r="N5" s="1660" t="s">
        <v>286</v>
      </c>
    </row>
    <row r="6" spans="1:14">
      <c r="A6" s="1661">
        <v>1</v>
      </c>
      <c r="B6" s="2951" t="s">
        <v>3238</v>
      </c>
      <c r="C6" s="1662" t="s">
        <v>44</v>
      </c>
      <c r="D6" s="1663"/>
      <c r="E6" s="1663"/>
      <c r="F6" s="1663"/>
      <c r="G6" s="1663"/>
      <c r="H6" s="1663"/>
      <c r="I6" s="1664">
        <v>0</v>
      </c>
      <c r="J6" s="1665">
        <f t="shared" ref="J6:N26" si="0">ROUND(D6*$I6,0)</f>
        <v>0</v>
      </c>
      <c r="K6" s="1665">
        <f t="shared" si="0"/>
        <v>0</v>
      </c>
      <c r="L6" s="1665">
        <f t="shared" si="0"/>
        <v>0</v>
      </c>
      <c r="M6" s="1665">
        <f t="shared" si="0"/>
        <v>0</v>
      </c>
      <c r="N6" s="1666">
        <f t="shared" si="0"/>
        <v>0</v>
      </c>
    </row>
    <row r="7" spans="1:14">
      <c r="A7" s="1667">
        <f t="shared" ref="A7:A25" si="1">A6+1</f>
        <v>2</v>
      </c>
      <c r="B7" s="2952"/>
      <c r="C7" s="1668" t="s">
        <v>45</v>
      </c>
      <c r="D7" s="1669"/>
      <c r="E7" s="1669"/>
      <c r="F7" s="1669"/>
      <c r="G7" s="1669"/>
      <c r="H7" s="1669"/>
      <c r="I7" s="1670">
        <v>0</v>
      </c>
      <c r="J7" s="1669">
        <f t="shared" si="0"/>
        <v>0</v>
      </c>
      <c r="K7" s="1669">
        <f t="shared" si="0"/>
        <v>0</v>
      </c>
      <c r="L7" s="1669">
        <f t="shared" si="0"/>
        <v>0</v>
      </c>
      <c r="M7" s="1611">
        <f t="shared" si="0"/>
        <v>0</v>
      </c>
      <c r="N7" s="1671">
        <f t="shared" si="0"/>
        <v>0</v>
      </c>
    </row>
    <row r="8" spans="1:14">
      <c r="A8" s="1667">
        <f t="shared" si="1"/>
        <v>3</v>
      </c>
      <c r="B8" s="2952"/>
      <c r="C8" s="1668" t="s">
        <v>46</v>
      </c>
      <c r="D8" s="1669"/>
      <c r="E8" s="1669"/>
      <c r="F8" s="1669"/>
      <c r="G8" s="1669"/>
      <c r="H8" s="1669"/>
      <c r="I8" s="1670">
        <v>0</v>
      </c>
      <c r="J8" s="1669">
        <f t="shared" si="0"/>
        <v>0</v>
      </c>
      <c r="K8" s="1669">
        <f t="shared" si="0"/>
        <v>0</v>
      </c>
      <c r="L8" s="1669">
        <f t="shared" si="0"/>
        <v>0</v>
      </c>
      <c r="M8" s="1611">
        <f t="shared" si="0"/>
        <v>0</v>
      </c>
      <c r="N8" s="1671">
        <f t="shared" si="0"/>
        <v>0</v>
      </c>
    </row>
    <row r="9" spans="1:14">
      <c r="A9" s="1667">
        <f t="shared" si="1"/>
        <v>4</v>
      </c>
      <c r="B9" s="2952"/>
      <c r="C9" s="1668" t="s">
        <v>47</v>
      </c>
      <c r="D9" s="1669"/>
      <c r="E9" s="1669"/>
      <c r="F9" s="1669"/>
      <c r="G9" s="1669"/>
      <c r="H9" s="1669"/>
      <c r="I9" s="1670">
        <v>0</v>
      </c>
      <c r="J9" s="1669">
        <f t="shared" si="0"/>
        <v>0</v>
      </c>
      <c r="K9" s="1669">
        <f t="shared" si="0"/>
        <v>0</v>
      </c>
      <c r="L9" s="1669">
        <f t="shared" si="0"/>
        <v>0</v>
      </c>
      <c r="M9" s="1611">
        <f t="shared" si="0"/>
        <v>0</v>
      </c>
      <c r="N9" s="1671">
        <f t="shared" si="0"/>
        <v>0</v>
      </c>
    </row>
    <row r="10" spans="1:14">
      <c r="A10" s="1667">
        <f t="shared" si="1"/>
        <v>5</v>
      </c>
      <c r="B10" s="2952"/>
      <c r="C10" s="1668" t="s">
        <v>48</v>
      </c>
      <c r="D10" s="1669"/>
      <c r="E10" s="1669"/>
      <c r="F10" s="1669"/>
      <c r="G10" s="1669"/>
      <c r="H10" s="1669"/>
      <c r="I10" s="1672">
        <v>3.0999999999999999E-3</v>
      </c>
      <c r="J10" s="1669">
        <f t="shared" si="0"/>
        <v>0</v>
      </c>
      <c r="K10" s="1669">
        <f t="shared" si="0"/>
        <v>0</v>
      </c>
      <c r="L10" s="1669">
        <f t="shared" si="0"/>
        <v>0</v>
      </c>
      <c r="M10" s="1611">
        <f t="shared" si="0"/>
        <v>0</v>
      </c>
      <c r="N10" s="1671">
        <f t="shared" si="0"/>
        <v>0</v>
      </c>
    </row>
    <row r="11" spans="1:14">
      <c r="A11" s="1667">
        <f t="shared" si="1"/>
        <v>6</v>
      </c>
      <c r="B11" s="2952"/>
      <c r="C11" s="1668" t="s">
        <v>49</v>
      </c>
      <c r="D11" s="1669"/>
      <c r="E11" s="1669"/>
      <c r="F11" s="1669"/>
      <c r="G11" s="1669"/>
      <c r="H11" s="1669"/>
      <c r="I11" s="1672">
        <v>6.1999999999999998E-3</v>
      </c>
      <c r="J11" s="1669">
        <f t="shared" si="0"/>
        <v>0</v>
      </c>
      <c r="K11" s="1669">
        <f t="shared" si="0"/>
        <v>0</v>
      </c>
      <c r="L11" s="1669">
        <f t="shared" si="0"/>
        <v>0</v>
      </c>
      <c r="M11" s="1611">
        <f t="shared" si="0"/>
        <v>0</v>
      </c>
      <c r="N11" s="1671">
        <f t="shared" si="0"/>
        <v>0</v>
      </c>
    </row>
    <row r="12" spans="1:14">
      <c r="A12" s="1667">
        <f t="shared" si="1"/>
        <v>7</v>
      </c>
      <c r="B12" s="2952"/>
      <c r="C12" s="1668" t="s">
        <v>50</v>
      </c>
      <c r="D12" s="1669"/>
      <c r="E12" s="1669"/>
      <c r="F12" s="1669"/>
      <c r="G12" s="1669"/>
      <c r="H12" s="1669"/>
      <c r="I12" s="1672">
        <v>7.3999999999999995E-3</v>
      </c>
      <c r="J12" s="1669">
        <f t="shared" si="0"/>
        <v>0</v>
      </c>
      <c r="K12" s="1669">
        <f t="shared" si="0"/>
        <v>0</v>
      </c>
      <c r="L12" s="1669">
        <f t="shared" si="0"/>
        <v>0</v>
      </c>
      <c r="M12" s="1611">
        <f t="shared" si="0"/>
        <v>0</v>
      </c>
      <c r="N12" s="1671">
        <f t="shared" si="0"/>
        <v>0</v>
      </c>
    </row>
    <row r="13" spans="1:14">
      <c r="A13" s="1667">
        <f t="shared" si="1"/>
        <v>8</v>
      </c>
      <c r="B13" s="2952"/>
      <c r="C13" s="1668" t="s">
        <v>51</v>
      </c>
      <c r="D13" s="1669"/>
      <c r="E13" s="1669"/>
      <c r="F13" s="1669"/>
      <c r="G13" s="1669"/>
      <c r="H13" s="1669"/>
      <c r="I13" s="1672">
        <v>8.6E-3</v>
      </c>
      <c r="J13" s="1669">
        <f t="shared" si="0"/>
        <v>0</v>
      </c>
      <c r="K13" s="1669">
        <f t="shared" si="0"/>
        <v>0</v>
      </c>
      <c r="L13" s="1669">
        <f t="shared" si="0"/>
        <v>0</v>
      </c>
      <c r="M13" s="1611">
        <f t="shared" si="0"/>
        <v>0</v>
      </c>
      <c r="N13" s="1671">
        <f t="shared" si="0"/>
        <v>0</v>
      </c>
    </row>
    <row r="14" spans="1:14">
      <c r="A14" s="1667">
        <f t="shared" si="1"/>
        <v>9</v>
      </c>
      <c r="B14" s="2952"/>
      <c r="C14" s="1668" t="s">
        <v>52</v>
      </c>
      <c r="D14" s="1669"/>
      <c r="E14" s="1669"/>
      <c r="F14" s="1669"/>
      <c r="G14" s="1669"/>
      <c r="H14" s="1669"/>
      <c r="I14" s="1672">
        <v>9.7999999999999997E-3</v>
      </c>
      <c r="J14" s="1669">
        <f t="shared" si="0"/>
        <v>0</v>
      </c>
      <c r="K14" s="1669">
        <f t="shared" si="0"/>
        <v>0</v>
      </c>
      <c r="L14" s="1669">
        <f t="shared" si="0"/>
        <v>0</v>
      </c>
      <c r="M14" s="1611">
        <f t="shared" si="0"/>
        <v>0</v>
      </c>
      <c r="N14" s="1671">
        <f t="shared" si="0"/>
        <v>0</v>
      </c>
    </row>
    <row r="15" spans="1:14">
      <c r="A15" s="1667">
        <f t="shared" si="1"/>
        <v>10</v>
      </c>
      <c r="B15" s="2952"/>
      <c r="C15" s="1668" t="s">
        <v>53</v>
      </c>
      <c r="D15" s="1669"/>
      <c r="E15" s="1669"/>
      <c r="F15" s="1669"/>
      <c r="G15" s="1669"/>
      <c r="H15" s="1669"/>
      <c r="I15" s="1672">
        <v>1.8033333333333332E-2</v>
      </c>
      <c r="J15" s="1669">
        <f t="shared" si="0"/>
        <v>0</v>
      </c>
      <c r="K15" s="1669">
        <f t="shared" si="0"/>
        <v>0</v>
      </c>
      <c r="L15" s="1669">
        <f t="shared" si="0"/>
        <v>0</v>
      </c>
      <c r="M15" s="1611">
        <f t="shared" si="0"/>
        <v>0</v>
      </c>
      <c r="N15" s="1671">
        <f t="shared" si="0"/>
        <v>0</v>
      </c>
    </row>
    <row r="16" spans="1:14">
      <c r="A16" s="1667">
        <f t="shared" si="1"/>
        <v>11</v>
      </c>
      <c r="B16" s="2952"/>
      <c r="C16" s="1668" t="s">
        <v>54</v>
      </c>
      <c r="D16" s="1669"/>
      <c r="E16" s="1669"/>
      <c r="F16" s="1669"/>
      <c r="G16" s="1669"/>
      <c r="H16" s="1669"/>
      <c r="I16" s="1672">
        <v>2.6266666666666667E-2</v>
      </c>
      <c r="J16" s="1669">
        <f t="shared" si="0"/>
        <v>0</v>
      </c>
      <c r="K16" s="1669">
        <f t="shared" si="0"/>
        <v>0</v>
      </c>
      <c r="L16" s="1669">
        <f t="shared" si="0"/>
        <v>0</v>
      </c>
      <c r="M16" s="1611">
        <f t="shared" si="0"/>
        <v>0</v>
      </c>
      <c r="N16" s="1671">
        <f t="shared" si="0"/>
        <v>0</v>
      </c>
    </row>
    <row r="17" spans="1:14">
      <c r="A17" s="1667">
        <f t="shared" si="1"/>
        <v>12</v>
      </c>
      <c r="B17" s="2952"/>
      <c r="C17" s="1668" t="s">
        <v>55</v>
      </c>
      <c r="D17" s="1669"/>
      <c r="E17" s="1669"/>
      <c r="F17" s="1669"/>
      <c r="G17" s="1669"/>
      <c r="H17" s="1669"/>
      <c r="I17" s="1672">
        <v>3.4500000000000003E-2</v>
      </c>
      <c r="J17" s="1669">
        <f t="shared" si="0"/>
        <v>0</v>
      </c>
      <c r="K17" s="1669">
        <f t="shared" si="0"/>
        <v>0</v>
      </c>
      <c r="L17" s="1669">
        <f t="shared" si="0"/>
        <v>0</v>
      </c>
      <c r="M17" s="1611">
        <f t="shared" si="0"/>
        <v>0</v>
      </c>
      <c r="N17" s="1671">
        <f t="shared" si="0"/>
        <v>0</v>
      </c>
    </row>
    <row r="18" spans="1:14">
      <c r="A18" s="1667">
        <f t="shared" si="1"/>
        <v>13</v>
      </c>
      <c r="B18" s="2952"/>
      <c r="C18" s="1668" t="s">
        <v>569</v>
      </c>
      <c r="D18" s="1669"/>
      <c r="E18" s="1669"/>
      <c r="F18" s="1669"/>
      <c r="G18" s="1669"/>
      <c r="H18" s="1669"/>
      <c r="I18" s="1672">
        <v>4.8000000000000001E-2</v>
      </c>
      <c r="J18" s="1669">
        <f t="shared" si="0"/>
        <v>0</v>
      </c>
      <c r="K18" s="1669">
        <f t="shared" si="0"/>
        <v>0</v>
      </c>
      <c r="L18" s="1669">
        <f t="shared" si="0"/>
        <v>0</v>
      </c>
      <c r="M18" s="1611">
        <f t="shared" si="0"/>
        <v>0</v>
      </c>
      <c r="N18" s="1671">
        <f t="shared" si="0"/>
        <v>0</v>
      </c>
    </row>
    <row r="19" spans="1:14">
      <c r="A19" s="1667">
        <f t="shared" si="1"/>
        <v>14</v>
      </c>
      <c r="B19" s="2952"/>
      <c r="C19" s="1668" t="s">
        <v>56</v>
      </c>
      <c r="D19" s="1669"/>
      <c r="E19" s="1669"/>
      <c r="F19" s="1669"/>
      <c r="G19" s="1669"/>
      <c r="H19" s="1669"/>
      <c r="I19" s="1672">
        <v>6.1499999999999999E-2</v>
      </c>
      <c r="J19" s="1669">
        <f t="shared" si="0"/>
        <v>0</v>
      </c>
      <c r="K19" s="1669">
        <f t="shared" si="0"/>
        <v>0</v>
      </c>
      <c r="L19" s="1669">
        <f t="shared" si="0"/>
        <v>0</v>
      </c>
      <c r="M19" s="1611">
        <f t="shared" si="0"/>
        <v>0</v>
      </c>
      <c r="N19" s="1671">
        <f t="shared" si="0"/>
        <v>0</v>
      </c>
    </row>
    <row r="20" spans="1:14">
      <c r="A20" s="1667">
        <f t="shared" si="1"/>
        <v>15</v>
      </c>
      <c r="B20" s="2952"/>
      <c r="C20" s="1668" t="s">
        <v>57</v>
      </c>
      <c r="D20" s="1669"/>
      <c r="E20" s="1669"/>
      <c r="F20" s="1669"/>
      <c r="G20" s="1669"/>
      <c r="H20" s="1669"/>
      <c r="I20" s="1672">
        <v>7.4999999999999997E-2</v>
      </c>
      <c r="J20" s="1669">
        <f t="shared" si="0"/>
        <v>0</v>
      </c>
      <c r="K20" s="1669">
        <f t="shared" si="0"/>
        <v>0</v>
      </c>
      <c r="L20" s="1669">
        <f t="shared" si="0"/>
        <v>0</v>
      </c>
      <c r="M20" s="1611">
        <f t="shared" si="0"/>
        <v>0</v>
      </c>
      <c r="N20" s="1671">
        <f t="shared" si="0"/>
        <v>0</v>
      </c>
    </row>
    <row r="21" spans="1:14">
      <c r="A21" s="1667">
        <f t="shared" si="1"/>
        <v>16</v>
      </c>
      <c r="B21" s="2952"/>
      <c r="C21" s="1668" t="s">
        <v>58</v>
      </c>
      <c r="D21" s="1669"/>
      <c r="E21" s="1669"/>
      <c r="F21" s="1669"/>
      <c r="G21" s="1669"/>
      <c r="H21" s="1669"/>
      <c r="I21" s="1672">
        <v>0.1075</v>
      </c>
      <c r="J21" s="1669">
        <f t="shared" si="0"/>
        <v>0</v>
      </c>
      <c r="K21" s="1669">
        <f t="shared" si="0"/>
        <v>0</v>
      </c>
      <c r="L21" s="1669">
        <f t="shared" si="0"/>
        <v>0</v>
      </c>
      <c r="M21" s="1611">
        <f t="shared" si="0"/>
        <v>0</v>
      </c>
      <c r="N21" s="1671">
        <f t="shared" si="0"/>
        <v>0</v>
      </c>
    </row>
    <row r="22" spans="1:14">
      <c r="A22" s="1667">
        <f t="shared" si="1"/>
        <v>17</v>
      </c>
      <c r="B22" s="2952"/>
      <c r="C22" s="1668" t="s">
        <v>59</v>
      </c>
      <c r="D22" s="1669"/>
      <c r="E22" s="1669"/>
      <c r="F22" s="1669"/>
      <c r="G22" s="1669"/>
      <c r="H22" s="1669"/>
      <c r="I22" s="1672">
        <v>0.14000000000000001</v>
      </c>
      <c r="J22" s="1669">
        <f t="shared" si="0"/>
        <v>0</v>
      </c>
      <c r="K22" s="1669">
        <f t="shared" si="0"/>
        <v>0</v>
      </c>
      <c r="L22" s="1669">
        <f t="shared" si="0"/>
        <v>0</v>
      </c>
      <c r="M22" s="1611">
        <f t="shared" si="0"/>
        <v>0</v>
      </c>
      <c r="N22" s="1671">
        <f t="shared" si="0"/>
        <v>0</v>
      </c>
    </row>
    <row r="23" spans="1:14">
      <c r="A23" s="1667">
        <f t="shared" si="1"/>
        <v>18</v>
      </c>
      <c r="B23" s="2952"/>
      <c r="C23" s="1668" t="s">
        <v>60</v>
      </c>
      <c r="D23" s="1669"/>
      <c r="E23" s="1669"/>
      <c r="F23" s="1669"/>
      <c r="G23" s="1669"/>
      <c r="H23" s="1669"/>
      <c r="I23" s="1672">
        <v>0.17249999999999999</v>
      </c>
      <c r="J23" s="1669">
        <f t="shared" si="0"/>
        <v>0</v>
      </c>
      <c r="K23" s="1669">
        <f t="shared" si="0"/>
        <v>0</v>
      </c>
      <c r="L23" s="1669">
        <f t="shared" si="0"/>
        <v>0</v>
      </c>
      <c r="M23" s="1611">
        <f t="shared" si="0"/>
        <v>0</v>
      </c>
      <c r="N23" s="1671">
        <f t="shared" si="0"/>
        <v>0</v>
      </c>
    </row>
    <row r="24" spans="1:14">
      <c r="A24" s="1667">
        <f t="shared" si="1"/>
        <v>19</v>
      </c>
      <c r="B24" s="2952"/>
      <c r="C24" s="1668" t="s">
        <v>61</v>
      </c>
      <c r="D24" s="1669"/>
      <c r="E24" s="1669"/>
      <c r="F24" s="1669"/>
      <c r="G24" s="1669"/>
      <c r="H24" s="1669"/>
      <c r="I24" s="1672">
        <v>0.2112</v>
      </c>
      <c r="J24" s="1669">
        <f t="shared" si="0"/>
        <v>0</v>
      </c>
      <c r="K24" s="1669">
        <f t="shared" si="0"/>
        <v>0</v>
      </c>
      <c r="L24" s="1669">
        <f t="shared" si="0"/>
        <v>0</v>
      </c>
      <c r="M24" s="1611">
        <f t="shared" si="0"/>
        <v>0</v>
      </c>
      <c r="N24" s="1671">
        <f t="shared" si="0"/>
        <v>0</v>
      </c>
    </row>
    <row r="25" spans="1:14">
      <c r="A25" s="1667">
        <f t="shared" si="1"/>
        <v>20</v>
      </c>
      <c r="B25" s="2952"/>
      <c r="C25" s="1668" t="s">
        <v>62</v>
      </c>
      <c r="D25" s="1669"/>
      <c r="E25" s="1669"/>
      <c r="F25" s="1669"/>
      <c r="G25" s="1669"/>
      <c r="H25" s="1669"/>
      <c r="I25" s="1672">
        <v>0.25</v>
      </c>
      <c r="J25" s="1669">
        <f t="shared" si="0"/>
        <v>0</v>
      </c>
      <c r="K25" s="1669">
        <f t="shared" si="0"/>
        <v>0</v>
      </c>
      <c r="L25" s="1669">
        <f t="shared" si="0"/>
        <v>0</v>
      </c>
      <c r="M25" s="1611">
        <f t="shared" si="0"/>
        <v>0</v>
      </c>
      <c r="N25" s="1671">
        <f t="shared" si="0"/>
        <v>0</v>
      </c>
    </row>
    <row r="26" spans="1:14">
      <c r="A26" s="1667">
        <v>21</v>
      </c>
      <c r="B26" s="2953"/>
      <c r="C26" s="1673" t="s">
        <v>570</v>
      </c>
      <c r="D26" s="1674"/>
      <c r="E26" s="1674"/>
      <c r="F26" s="1674"/>
      <c r="G26" s="1674"/>
      <c r="H26" s="1674"/>
      <c r="I26" s="1683">
        <v>0.28870000000000001</v>
      </c>
      <c r="J26" s="1674">
        <f t="shared" si="0"/>
        <v>0</v>
      </c>
      <c r="K26" s="1674">
        <f t="shared" si="0"/>
        <v>0</v>
      </c>
      <c r="L26" s="1674">
        <f t="shared" si="0"/>
        <v>0</v>
      </c>
      <c r="M26" s="1675">
        <f t="shared" si="0"/>
        <v>0</v>
      </c>
      <c r="N26" s="1676">
        <f t="shared" si="0"/>
        <v>0</v>
      </c>
    </row>
    <row r="27" spans="1:14">
      <c r="A27" s="1677">
        <f t="shared" ref="A27:A50" si="2">A26+1</f>
        <v>22</v>
      </c>
      <c r="B27" s="2954" t="s">
        <v>3230</v>
      </c>
      <c r="C27" s="2954"/>
      <c r="D27" s="1678">
        <f>SUM(D6:D26)</f>
        <v>0</v>
      </c>
      <c r="E27" s="1678">
        <f>SUM(E6:E26)</f>
        <v>0</v>
      </c>
      <c r="F27" s="1678">
        <f>SUM(F6:F26)</f>
        <v>0</v>
      </c>
      <c r="G27" s="1678">
        <f>SUM(G6:G26)</f>
        <v>0</v>
      </c>
      <c r="H27" s="1678">
        <f>SUM(H6:H26)</f>
        <v>0</v>
      </c>
      <c r="I27" s="1679"/>
      <c r="J27" s="1678">
        <f>SUM(J6:J26)</f>
        <v>0</v>
      </c>
      <c r="K27" s="1678">
        <f>SUM(K6:K26)</f>
        <v>0</v>
      </c>
      <c r="L27" s="1678">
        <f>SUM(L6:L26)</f>
        <v>0</v>
      </c>
      <c r="M27" s="1678">
        <f>SUM(M6:M26)</f>
        <v>0</v>
      </c>
      <c r="N27" s="1680">
        <f>SUM(N6:N26)</f>
        <v>0</v>
      </c>
    </row>
    <row r="28" spans="1:14">
      <c r="A28" s="1681">
        <f t="shared" si="2"/>
        <v>23</v>
      </c>
      <c r="B28" s="2951" t="s">
        <v>3232</v>
      </c>
      <c r="C28" s="1662" t="s">
        <v>44</v>
      </c>
      <c r="D28" s="1663"/>
      <c r="E28" s="1663"/>
      <c r="F28" s="1663"/>
      <c r="G28" s="1663"/>
      <c r="H28" s="1663"/>
      <c r="I28" s="1664">
        <v>0</v>
      </c>
      <c r="J28" s="1682">
        <f t="shared" ref="J28:N48" si="3">ROUND(D28*$I28,0)</f>
        <v>0</v>
      </c>
      <c r="K28" s="1682">
        <f t="shared" si="3"/>
        <v>0</v>
      </c>
      <c r="L28" s="1682">
        <f t="shared" si="3"/>
        <v>0</v>
      </c>
      <c r="M28" s="1665">
        <f t="shared" si="3"/>
        <v>0</v>
      </c>
      <c r="N28" s="1666">
        <f t="shared" si="3"/>
        <v>0</v>
      </c>
    </row>
    <row r="29" spans="1:14">
      <c r="A29" s="1681">
        <f t="shared" si="2"/>
        <v>24</v>
      </c>
      <c r="B29" s="2952"/>
      <c r="C29" s="1668" t="s">
        <v>45</v>
      </c>
      <c r="D29" s="1669"/>
      <c r="E29" s="1669"/>
      <c r="F29" s="1669"/>
      <c r="G29" s="1669"/>
      <c r="H29" s="1669"/>
      <c r="I29" s="1670">
        <v>0</v>
      </c>
      <c r="J29" s="1669">
        <f t="shared" si="3"/>
        <v>0</v>
      </c>
      <c r="K29" s="1669">
        <f t="shared" si="3"/>
        <v>0</v>
      </c>
      <c r="L29" s="1669">
        <f t="shared" si="3"/>
        <v>0</v>
      </c>
      <c r="M29" s="1611">
        <f t="shared" si="3"/>
        <v>0</v>
      </c>
      <c r="N29" s="1671">
        <f t="shared" si="3"/>
        <v>0</v>
      </c>
    </row>
    <row r="30" spans="1:14">
      <c r="A30" s="1681">
        <f t="shared" si="2"/>
        <v>25</v>
      </c>
      <c r="B30" s="2952"/>
      <c r="C30" s="1668" t="s">
        <v>46</v>
      </c>
      <c r="D30" s="1669"/>
      <c r="E30" s="1669"/>
      <c r="F30" s="1669"/>
      <c r="G30" s="1669"/>
      <c r="H30" s="1669"/>
      <c r="I30" s="1670">
        <v>0</v>
      </c>
      <c r="J30" s="1669">
        <f t="shared" si="3"/>
        <v>0</v>
      </c>
      <c r="K30" s="1669">
        <f t="shared" si="3"/>
        <v>0</v>
      </c>
      <c r="L30" s="1669">
        <f t="shared" si="3"/>
        <v>0</v>
      </c>
      <c r="M30" s="1611">
        <f t="shared" si="3"/>
        <v>0</v>
      </c>
      <c r="N30" s="1671">
        <f t="shared" si="3"/>
        <v>0</v>
      </c>
    </row>
    <row r="31" spans="1:14">
      <c r="A31" s="1681">
        <f t="shared" si="2"/>
        <v>26</v>
      </c>
      <c r="B31" s="2952"/>
      <c r="C31" s="1668" t="s">
        <v>47</v>
      </c>
      <c r="D31" s="1669"/>
      <c r="E31" s="1669"/>
      <c r="F31" s="1669"/>
      <c r="G31" s="1669"/>
      <c r="H31" s="1669"/>
      <c r="I31" s="1672">
        <v>3.0999999999999999E-3</v>
      </c>
      <c r="J31" s="1669">
        <f t="shared" si="3"/>
        <v>0</v>
      </c>
      <c r="K31" s="1669">
        <f t="shared" si="3"/>
        <v>0</v>
      </c>
      <c r="L31" s="1669">
        <f t="shared" si="3"/>
        <v>0</v>
      </c>
      <c r="M31" s="1611">
        <f t="shared" si="3"/>
        <v>0</v>
      </c>
      <c r="N31" s="1671">
        <f t="shared" si="3"/>
        <v>0</v>
      </c>
    </row>
    <row r="32" spans="1:14">
      <c r="A32" s="1681">
        <f t="shared" si="2"/>
        <v>27</v>
      </c>
      <c r="B32" s="2952"/>
      <c r="C32" s="1668" t="s">
        <v>48</v>
      </c>
      <c r="D32" s="1669"/>
      <c r="E32" s="1669"/>
      <c r="F32" s="1669"/>
      <c r="G32" s="1669"/>
      <c r="H32" s="1669"/>
      <c r="I32" s="1672">
        <v>6.1999999999999998E-3</v>
      </c>
      <c r="J32" s="1669">
        <f t="shared" si="3"/>
        <v>0</v>
      </c>
      <c r="K32" s="1669">
        <f t="shared" si="3"/>
        <v>0</v>
      </c>
      <c r="L32" s="1669">
        <f t="shared" si="3"/>
        <v>0</v>
      </c>
      <c r="M32" s="1611">
        <f t="shared" si="3"/>
        <v>0</v>
      </c>
      <c r="N32" s="1671">
        <f t="shared" si="3"/>
        <v>0</v>
      </c>
    </row>
    <row r="33" spans="1:14">
      <c r="A33" s="1681">
        <f t="shared" si="2"/>
        <v>28</v>
      </c>
      <c r="B33" s="2952"/>
      <c r="C33" s="1668" t="s">
        <v>49</v>
      </c>
      <c r="D33" s="1669"/>
      <c r="E33" s="1669"/>
      <c r="F33" s="1669"/>
      <c r="G33" s="1669"/>
      <c r="H33" s="1669"/>
      <c r="I33" s="1672">
        <v>7.3999999999999995E-3</v>
      </c>
      <c r="J33" s="1669">
        <f t="shared" si="3"/>
        <v>0</v>
      </c>
      <c r="K33" s="1669">
        <f t="shared" si="3"/>
        <v>0</v>
      </c>
      <c r="L33" s="1669">
        <f t="shared" si="3"/>
        <v>0</v>
      </c>
      <c r="M33" s="1611">
        <f t="shared" si="3"/>
        <v>0</v>
      </c>
      <c r="N33" s="1671">
        <f t="shared" si="3"/>
        <v>0</v>
      </c>
    </row>
    <row r="34" spans="1:14">
      <c r="A34" s="1681">
        <f t="shared" si="2"/>
        <v>29</v>
      </c>
      <c r="B34" s="2952"/>
      <c r="C34" s="1668" t="s">
        <v>50</v>
      </c>
      <c r="D34" s="1669"/>
      <c r="E34" s="1669"/>
      <c r="F34" s="1669"/>
      <c r="G34" s="1669"/>
      <c r="H34" s="1669"/>
      <c r="I34" s="1672">
        <v>8.6E-3</v>
      </c>
      <c r="J34" s="1669">
        <f t="shared" si="3"/>
        <v>0</v>
      </c>
      <c r="K34" s="1669">
        <f t="shared" si="3"/>
        <v>0</v>
      </c>
      <c r="L34" s="1669">
        <f t="shared" si="3"/>
        <v>0</v>
      </c>
      <c r="M34" s="1611">
        <f t="shared" si="3"/>
        <v>0</v>
      </c>
      <c r="N34" s="1671">
        <f t="shared" si="3"/>
        <v>0</v>
      </c>
    </row>
    <row r="35" spans="1:14">
      <c r="A35" s="1681">
        <f t="shared" si="2"/>
        <v>30</v>
      </c>
      <c r="B35" s="2952"/>
      <c r="C35" s="1668" t="s">
        <v>51</v>
      </c>
      <c r="D35" s="1669"/>
      <c r="E35" s="1669"/>
      <c r="F35" s="1669"/>
      <c r="G35" s="1669"/>
      <c r="H35" s="1669"/>
      <c r="I35" s="1672">
        <v>9.7999999999999997E-3</v>
      </c>
      <c r="J35" s="1669">
        <f t="shared" si="3"/>
        <v>0</v>
      </c>
      <c r="K35" s="1669">
        <f t="shared" si="3"/>
        <v>0</v>
      </c>
      <c r="L35" s="1669">
        <f t="shared" si="3"/>
        <v>0</v>
      </c>
      <c r="M35" s="1611">
        <f t="shared" si="3"/>
        <v>0</v>
      </c>
      <c r="N35" s="1671">
        <f t="shared" si="3"/>
        <v>0</v>
      </c>
    </row>
    <row r="36" spans="1:14">
      <c r="A36" s="1681">
        <f t="shared" si="2"/>
        <v>31</v>
      </c>
      <c r="B36" s="2952"/>
      <c r="C36" s="1668" t="s">
        <v>52</v>
      </c>
      <c r="D36" s="1669"/>
      <c r="E36" s="1669"/>
      <c r="F36" s="1669"/>
      <c r="G36" s="1669"/>
      <c r="H36" s="1669"/>
      <c r="I36" s="1672">
        <v>1.8033333333333332E-2</v>
      </c>
      <c r="J36" s="1669">
        <f t="shared" si="3"/>
        <v>0</v>
      </c>
      <c r="K36" s="1669">
        <f t="shared" si="3"/>
        <v>0</v>
      </c>
      <c r="L36" s="1669">
        <f t="shared" si="3"/>
        <v>0</v>
      </c>
      <c r="M36" s="1611">
        <f t="shared" si="3"/>
        <v>0</v>
      </c>
      <c r="N36" s="1671">
        <f t="shared" si="3"/>
        <v>0</v>
      </c>
    </row>
    <row r="37" spans="1:14">
      <c r="A37" s="1681">
        <f t="shared" si="2"/>
        <v>32</v>
      </c>
      <c r="B37" s="2952"/>
      <c r="C37" s="1668" t="s">
        <v>53</v>
      </c>
      <c r="D37" s="1669"/>
      <c r="E37" s="1669"/>
      <c r="F37" s="1669"/>
      <c r="G37" s="1669"/>
      <c r="H37" s="1669"/>
      <c r="I37" s="1672">
        <v>2.6266666666666667E-2</v>
      </c>
      <c r="J37" s="1669">
        <f t="shared" si="3"/>
        <v>0</v>
      </c>
      <c r="K37" s="1669">
        <f t="shared" si="3"/>
        <v>0</v>
      </c>
      <c r="L37" s="1669">
        <f t="shared" si="3"/>
        <v>0</v>
      </c>
      <c r="M37" s="1611">
        <f t="shared" si="3"/>
        <v>0</v>
      </c>
      <c r="N37" s="1671">
        <f t="shared" si="3"/>
        <v>0</v>
      </c>
    </row>
    <row r="38" spans="1:14">
      <c r="A38" s="1681">
        <f t="shared" si="2"/>
        <v>33</v>
      </c>
      <c r="B38" s="2952"/>
      <c r="C38" s="1668" t="s">
        <v>54</v>
      </c>
      <c r="D38" s="1669"/>
      <c r="E38" s="1669"/>
      <c r="F38" s="1669"/>
      <c r="G38" s="1669"/>
      <c r="H38" s="1669"/>
      <c r="I38" s="1672">
        <v>3.4500000000000003E-2</v>
      </c>
      <c r="J38" s="1669">
        <f t="shared" si="3"/>
        <v>0</v>
      </c>
      <c r="K38" s="1669">
        <f t="shared" si="3"/>
        <v>0</v>
      </c>
      <c r="L38" s="1669">
        <f t="shared" si="3"/>
        <v>0</v>
      </c>
      <c r="M38" s="1611">
        <f t="shared" si="3"/>
        <v>0</v>
      </c>
      <c r="N38" s="1671">
        <f t="shared" si="3"/>
        <v>0</v>
      </c>
    </row>
    <row r="39" spans="1:14">
      <c r="A39" s="1681">
        <f t="shared" si="2"/>
        <v>34</v>
      </c>
      <c r="B39" s="2952"/>
      <c r="C39" s="1668" t="s">
        <v>55</v>
      </c>
      <c r="D39" s="1669"/>
      <c r="E39" s="1669"/>
      <c r="F39" s="1669"/>
      <c r="G39" s="1669"/>
      <c r="H39" s="1669"/>
      <c r="I39" s="1672">
        <v>4.8000000000000001E-2</v>
      </c>
      <c r="J39" s="1669">
        <f t="shared" si="3"/>
        <v>0</v>
      </c>
      <c r="K39" s="1669">
        <f t="shared" si="3"/>
        <v>0</v>
      </c>
      <c r="L39" s="1669">
        <f t="shared" si="3"/>
        <v>0</v>
      </c>
      <c r="M39" s="1611">
        <f t="shared" si="3"/>
        <v>0</v>
      </c>
      <c r="N39" s="1671">
        <f t="shared" si="3"/>
        <v>0</v>
      </c>
    </row>
    <row r="40" spans="1:14">
      <c r="A40" s="1681">
        <f t="shared" si="2"/>
        <v>35</v>
      </c>
      <c r="B40" s="2952"/>
      <c r="C40" s="1668" t="s">
        <v>569</v>
      </c>
      <c r="D40" s="1669"/>
      <c r="E40" s="1669"/>
      <c r="F40" s="1669"/>
      <c r="G40" s="1669"/>
      <c r="H40" s="1669"/>
      <c r="I40" s="1672">
        <v>6.1499999999999999E-2</v>
      </c>
      <c r="J40" s="1669">
        <f t="shared" si="3"/>
        <v>0</v>
      </c>
      <c r="K40" s="1669">
        <f t="shared" si="3"/>
        <v>0</v>
      </c>
      <c r="L40" s="1669">
        <f t="shared" si="3"/>
        <v>0</v>
      </c>
      <c r="M40" s="1611">
        <f t="shared" si="3"/>
        <v>0</v>
      </c>
      <c r="N40" s="1671">
        <f t="shared" si="3"/>
        <v>0</v>
      </c>
    </row>
    <row r="41" spans="1:14">
      <c r="A41" s="1681">
        <f t="shared" si="2"/>
        <v>36</v>
      </c>
      <c r="B41" s="2952"/>
      <c r="C41" s="1668" t="s">
        <v>56</v>
      </c>
      <c r="D41" s="1669"/>
      <c r="E41" s="1669"/>
      <c r="F41" s="1669"/>
      <c r="G41" s="1669"/>
      <c r="H41" s="1669"/>
      <c r="I41" s="1672">
        <v>7.4999999999999997E-2</v>
      </c>
      <c r="J41" s="1669">
        <f t="shared" si="3"/>
        <v>0</v>
      </c>
      <c r="K41" s="1669">
        <f t="shared" si="3"/>
        <v>0</v>
      </c>
      <c r="L41" s="1669">
        <f t="shared" si="3"/>
        <v>0</v>
      </c>
      <c r="M41" s="1611">
        <f t="shared" si="3"/>
        <v>0</v>
      </c>
      <c r="N41" s="1671">
        <f t="shared" si="3"/>
        <v>0</v>
      </c>
    </row>
    <row r="42" spans="1:14">
      <c r="A42" s="1681">
        <f t="shared" si="2"/>
        <v>37</v>
      </c>
      <c r="B42" s="2952"/>
      <c r="C42" s="1668" t="s">
        <v>57</v>
      </c>
      <c r="D42" s="1669"/>
      <c r="E42" s="1669"/>
      <c r="F42" s="1669"/>
      <c r="G42" s="1669"/>
      <c r="H42" s="1669"/>
      <c r="I42" s="1672">
        <v>0.1075</v>
      </c>
      <c r="J42" s="1669">
        <f t="shared" si="3"/>
        <v>0</v>
      </c>
      <c r="K42" s="1669">
        <f t="shared" si="3"/>
        <v>0</v>
      </c>
      <c r="L42" s="1669">
        <f t="shared" si="3"/>
        <v>0</v>
      </c>
      <c r="M42" s="1611">
        <f t="shared" si="3"/>
        <v>0</v>
      </c>
      <c r="N42" s="1671">
        <f t="shared" si="3"/>
        <v>0</v>
      </c>
    </row>
    <row r="43" spans="1:14">
      <c r="A43" s="1681">
        <f t="shared" si="2"/>
        <v>38</v>
      </c>
      <c r="B43" s="2952"/>
      <c r="C43" s="1668" t="s">
        <v>58</v>
      </c>
      <c r="D43" s="1669"/>
      <c r="E43" s="1669"/>
      <c r="F43" s="1669"/>
      <c r="G43" s="1669"/>
      <c r="H43" s="1669"/>
      <c r="I43" s="1672">
        <v>0.14000000000000001</v>
      </c>
      <c r="J43" s="1669">
        <f t="shared" si="3"/>
        <v>0</v>
      </c>
      <c r="K43" s="1669">
        <f t="shared" si="3"/>
        <v>0</v>
      </c>
      <c r="L43" s="1669">
        <f t="shared" si="3"/>
        <v>0</v>
      </c>
      <c r="M43" s="1611">
        <f t="shared" si="3"/>
        <v>0</v>
      </c>
      <c r="N43" s="1671">
        <f t="shared" si="3"/>
        <v>0</v>
      </c>
    </row>
    <row r="44" spans="1:14">
      <c r="A44" s="1681">
        <f t="shared" si="2"/>
        <v>39</v>
      </c>
      <c r="B44" s="2952"/>
      <c r="C44" s="1668" t="s">
        <v>59</v>
      </c>
      <c r="D44" s="1669"/>
      <c r="E44" s="1669"/>
      <c r="F44" s="1669"/>
      <c r="G44" s="1669"/>
      <c r="H44" s="1669"/>
      <c r="I44" s="1672">
        <v>0.17249999999999999</v>
      </c>
      <c r="J44" s="1669">
        <f t="shared" si="3"/>
        <v>0</v>
      </c>
      <c r="K44" s="1669">
        <f t="shared" si="3"/>
        <v>0</v>
      </c>
      <c r="L44" s="1669">
        <f t="shared" si="3"/>
        <v>0</v>
      </c>
      <c r="M44" s="1611">
        <f t="shared" si="3"/>
        <v>0</v>
      </c>
      <c r="N44" s="1671">
        <f t="shared" si="3"/>
        <v>0</v>
      </c>
    </row>
    <row r="45" spans="1:14">
      <c r="A45" s="1681">
        <f t="shared" si="2"/>
        <v>40</v>
      </c>
      <c r="B45" s="2952"/>
      <c r="C45" s="1668" t="s">
        <v>60</v>
      </c>
      <c r="D45" s="1669"/>
      <c r="E45" s="1669"/>
      <c r="F45" s="1669"/>
      <c r="G45" s="1669"/>
      <c r="H45" s="1669"/>
      <c r="I45" s="1672">
        <v>0.2112</v>
      </c>
      <c r="J45" s="1669">
        <f t="shared" si="3"/>
        <v>0</v>
      </c>
      <c r="K45" s="1669">
        <f t="shared" si="3"/>
        <v>0</v>
      </c>
      <c r="L45" s="1669">
        <f t="shared" si="3"/>
        <v>0</v>
      </c>
      <c r="M45" s="1611">
        <f t="shared" si="3"/>
        <v>0</v>
      </c>
      <c r="N45" s="1671">
        <f t="shared" si="3"/>
        <v>0</v>
      </c>
    </row>
    <row r="46" spans="1:14">
      <c r="A46" s="1681">
        <f t="shared" si="2"/>
        <v>41</v>
      </c>
      <c r="B46" s="2952"/>
      <c r="C46" s="1668" t="s">
        <v>61</v>
      </c>
      <c r="D46" s="1669"/>
      <c r="E46" s="1669"/>
      <c r="F46" s="1669"/>
      <c r="G46" s="1669"/>
      <c r="H46" s="1669"/>
      <c r="I46" s="1672">
        <v>0.25</v>
      </c>
      <c r="J46" s="1669">
        <f t="shared" si="3"/>
        <v>0</v>
      </c>
      <c r="K46" s="1669">
        <f t="shared" si="3"/>
        <v>0</v>
      </c>
      <c r="L46" s="1669">
        <f t="shared" si="3"/>
        <v>0</v>
      </c>
      <c r="M46" s="1611">
        <f t="shared" si="3"/>
        <v>0</v>
      </c>
      <c r="N46" s="1671">
        <f t="shared" si="3"/>
        <v>0</v>
      </c>
    </row>
    <row r="47" spans="1:14">
      <c r="A47" s="1681">
        <f t="shared" si="2"/>
        <v>42</v>
      </c>
      <c r="B47" s="2952"/>
      <c r="C47" s="1668" t="s">
        <v>62</v>
      </c>
      <c r="D47" s="1669"/>
      <c r="E47" s="1669"/>
      <c r="F47" s="1669"/>
      <c r="G47" s="1669"/>
      <c r="H47" s="1669"/>
      <c r="I47" s="1672">
        <v>0.28870000000000001</v>
      </c>
      <c r="J47" s="1669">
        <f t="shared" si="3"/>
        <v>0</v>
      </c>
      <c r="K47" s="1669">
        <f t="shared" si="3"/>
        <v>0</v>
      </c>
      <c r="L47" s="1669">
        <f t="shared" si="3"/>
        <v>0</v>
      </c>
      <c r="M47" s="1611">
        <f t="shared" si="3"/>
        <v>0</v>
      </c>
      <c r="N47" s="1671">
        <f t="shared" si="3"/>
        <v>0</v>
      </c>
    </row>
    <row r="48" spans="1:14">
      <c r="A48" s="1681">
        <f t="shared" si="2"/>
        <v>43</v>
      </c>
      <c r="B48" s="2953"/>
      <c r="C48" s="1673" t="s">
        <v>63</v>
      </c>
      <c r="D48" s="1674"/>
      <c r="E48" s="1674"/>
      <c r="F48" s="1674"/>
      <c r="G48" s="1674"/>
      <c r="H48" s="1674"/>
      <c r="I48" s="1683">
        <v>0.3</v>
      </c>
      <c r="J48" s="1674">
        <f t="shared" si="3"/>
        <v>0</v>
      </c>
      <c r="K48" s="1674">
        <f t="shared" si="3"/>
        <v>0</v>
      </c>
      <c r="L48" s="1674">
        <f t="shared" si="3"/>
        <v>0</v>
      </c>
      <c r="M48" s="1675">
        <f t="shared" si="3"/>
        <v>0</v>
      </c>
      <c r="N48" s="1676">
        <f t="shared" si="3"/>
        <v>0</v>
      </c>
    </row>
    <row r="49" spans="1:14">
      <c r="A49" s="1681">
        <f t="shared" si="2"/>
        <v>44</v>
      </c>
      <c r="B49" s="2959" t="s">
        <v>3231</v>
      </c>
      <c r="C49" s="2959"/>
      <c r="D49" s="1684">
        <f>SUM(D28:D48)</f>
        <v>0</v>
      </c>
      <c r="E49" s="1684">
        <f>SUM(E28:E48)</f>
        <v>0</v>
      </c>
      <c r="F49" s="1684">
        <f>SUM(F28:F48)</f>
        <v>0</v>
      </c>
      <c r="G49" s="1684">
        <f>SUM(G28:G48)</f>
        <v>0</v>
      </c>
      <c r="H49" s="1684">
        <f>SUM(H28:H48)</f>
        <v>0</v>
      </c>
      <c r="I49" s="1685"/>
      <c r="J49" s="1684">
        <f>SUM(J28:J48)</f>
        <v>0</v>
      </c>
      <c r="K49" s="1684">
        <f>SUM(K28:K48)</f>
        <v>0</v>
      </c>
      <c r="L49" s="1684">
        <f>SUM(L28:L48)</f>
        <v>0</v>
      </c>
      <c r="M49" s="1684">
        <f>SUM(M28:M48)</f>
        <v>0</v>
      </c>
      <c r="N49" s="1686">
        <f>SUM(N28:N48)</f>
        <v>0</v>
      </c>
    </row>
    <row r="50" spans="1:14" ht="16.5" thickBot="1">
      <c r="A50" s="1687">
        <f t="shared" si="2"/>
        <v>45</v>
      </c>
      <c r="B50" s="2969" t="s">
        <v>3233</v>
      </c>
      <c r="C50" s="2969"/>
      <c r="D50" s="1688">
        <f>D49+D27</f>
        <v>0</v>
      </c>
      <c r="E50" s="1688">
        <f>E49+E27</f>
        <v>0</v>
      </c>
      <c r="F50" s="1688">
        <f>F49+F27</f>
        <v>0</v>
      </c>
      <c r="G50" s="1688">
        <f>G49+G27</f>
        <v>0</v>
      </c>
      <c r="H50" s="1688">
        <f>H49+H27</f>
        <v>0</v>
      </c>
      <c r="I50" s="1689"/>
      <c r="J50" s="1689"/>
      <c r="K50" s="1689"/>
      <c r="L50" s="1689"/>
      <c r="M50" s="1689"/>
      <c r="N50" s="1690"/>
    </row>
    <row r="52" spans="1:14" ht="16.5">
      <c r="A52" s="1691" t="s">
        <v>3234</v>
      </c>
      <c r="B52" s="1692" t="s">
        <v>6786</v>
      </c>
    </row>
    <row r="53" spans="1:14" ht="16.5">
      <c r="A53" s="1691" t="s">
        <v>3235</v>
      </c>
      <c r="B53" s="1692" t="s">
        <v>6787</v>
      </c>
    </row>
    <row r="54" spans="1:14" ht="16.5">
      <c r="A54" s="1691" t="s">
        <v>3236</v>
      </c>
      <c r="B54" s="1692" t="s">
        <v>6788</v>
      </c>
    </row>
  </sheetData>
  <mergeCells count="14">
    <mergeCell ref="D3:E3"/>
    <mergeCell ref="L3:L4"/>
    <mergeCell ref="M3:N3"/>
    <mergeCell ref="G3:H3"/>
    <mergeCell ref="F3:F4"/>
    <mergeCell ref="I3:I4"/>
    <mergeCell ref="J3:K3"/>
    <mergeCell ref="A3:A5"/>
    <mergeCell ref="B3:B4"/>
    <mergeCell ref="B27:C27"/>
    <mergeCell ref="B49:C49"/>
    <mergeCell ref="B50:C50"/>
    <mergeCell ref="B6:B26"/>
    <mergeCell ref="B28:B48"/>
  </mergeCells>
  <phoneticPr fontId="26" type="noConversion"/>
  <printOptions horizontalCentered="1"/>
  <pageMargins left="0.39370078740157483" right="0.19685039370078741" top="0.39370078740157483" bottom="0.39370078740157483" header="0" footer="0"/>
  <pageSetup paperSize="9" scale="64" orientation="landscape" horizontalDpi="4294967295" verticalDpi="4294967295" r:id="rId1"/>
  <headerFooter alignWithMargins="0">
    <oddFooter>&amp;C150&amp;R&amp;A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F15"/>
  <sheetViews>
    <sheetView workbookViewId="0"/>
  </sheetViews>
  <sheetFormatPr defaultRowHeight="14.25"/>
  <cols>
    <col min="1" max="1" width="31.75" style="90" customWidth="1"/>
    <col min="2" max="2" width="68.375" style="90" customWidth="1"/>
    <col min="3" max="3" width="12.25" style="90" customWidth="1"/>
    <col min="4" max="4" width="12.125" style="90" customWidth="1"/>
    <col min="5" max="5" width="10.5" style="90" customWidth="1"/>
    <col min="6" max="6" width="16.125" style="90" customWidth="1"/>
    <col min="7" max="16384" width="9" style="90"/>
  </cols>
  <sheetData>
    <row r="1" spans="1:6">
      <c r="A1" s="105" t="str">
        <f>表03!A1</f>
        <v xml:space="preserve"> 保險股份有限公司    年度(月)報表</v>
      </c>
      <c r="B1" s="106"/>
      <c r="C1" s="107"/>
      <c r="D1" s="107"/>
      <c r="E1" s="107"/>
      <c r="F1" s="107"/>
    </row>
    <row r="2" spans="1:6" ht="15" thickBot="1">
      <c r="A2" s="108" t="s">
        <v>1068</v>
      </c>
      <c r="B2" s="106"/>
      <c r="C2" s="107"/>
      <c r="D2" s="107"/>
      <c r="E2" s="107"/>
      <c r="F2" s="109" t="s">
        <v>188</v>
      </c>
    </row>
    <row r="3" spans="1:6" ht="42.75">
      <c r="A3" s="110" t="s">
        <v>229</v>
      </c>
      <c r="B3" s="111" t="s">
        <v>144</v>
      </c>
      <c r="C3" s="494" t="s">
        <v>146</v>
      </c>
      <c r="D3" s="301" t="s">
        <v>145</v>
      </c>
      <c r="E3" s="95" t="s">
        <v>177</v>
      </c>
      <c r="F3" s="96" t="s">
        <v>241</v>
      </c>
    </row>
    <row r="4" spans="1:6">
      <c r="A4" s="112" t="s">
        <v>1175</v>
      </c>
      <c r="B4" s="113" t="s">
        <v>824</v>
      </c>
      <c r="C4" s="384">
        <f>表03!H13</f>
        <v>0</v>
      </c>
      <c r="D4" s="495"/>
      <c r="E4" s="382">
        <v>7.4999999999999997E-2</v>
      </c>
      <c r="F4" s="385">
        <f>ROUND(C4*E4,0)</f>
        <v>0</v>
      </c>
    </row>
    <row r="5" spans="1:6">
      <c r="A5" s="112" t="s">
        <v>1176</v>
      </c>
      <c r="B5" s="113" t="s">
        <v>1236</v>
      </c>
      <c r="C5" s="384">
        <f>表03!H15</f>
        <v>0</v>
      </c>
      <c r="D5" s="495"/>
      <c r="E5" s="382">
        <v>0.01</v>
      </c>
      <c r="F5" s="385">
        <f>ROUND(C5*E5,0)</f>
        <v>0</v>
      </c>
    </row>
    <row r="6" spans="1:6">
      <c r="A6" s="112" t="s">
        <v>1177</v>
      </c>
      <c r="B6" s="113" t="s">
        <v>825</v>
      </c>
      <c r="C6" s="384">
        <f>表03!H8</f>
        <v>0</v>
      </c>
      <c r="D6" s="495"/>
      <c r="E6" s="382">
        <v>3.7499999999999999E-2</v>
      </c>
      <c r="F6" s="385">
        <f>ROUND(C6*E6,0)</f>
        <v>0</v>
      </c>
    </row>
    <row r="7" spans="1:6">
      <c r="A7" s="112" t="s">
        <v>1178</v>
      </c>
      <c r="B7" s="113"/>
      <c r="C7" s="384">
        <f>SUM(C8:C10)</f>
        <v>0</v>
      </c>
      <c r="D7" s="495"/>
      <c r="E7" s="382"/>
      <c r="F7" s="385">
        <f>SUM(F8:F10)</f>
        <v>0</v>
      </c>
    </row>
    <row r="8" spans="1:6">
      <c r="A8" s="114" t="s">
        <v>1179</v>
      </c>
      <c r="B8" s="113" t="s">
        <v>826</v>
      </c>
      <c r="C8" s="508">
        <f>表03!H12+表03!H14</f>
        <v>0</v>
      </c>
      <c r="D8" s="495"/>
      <c r="E8" s="382">
        <v>0.52500000000000002</v>
      </c>
      <c r="F8" s="385">
        <f>ROUND(C8*E8,0)</f>
        <v>0</v>
      </c>
    </row>
    <row r="9" spans="1:6">
      <c r="A9" s="114" t="s">
        <v>1180</v>
      </c>
      <c r="B9" s="113" t="s">
        <v>2363</v>
      </c>
      <c r="C9" s="508">
        <f>表03!H65+表03!H67</f>
        <v>0</v>
      </c>
      <c r="D9" s="495"/>
      <c r="E9" s="382">
        <v>0.375</v>
      </c>
      <c r="F9" s="385">
        <f>ROUND(C9*E9,0)</f>
        <v>0</v>
      </c>
    </row>
    <row r="10" spans="1:6">
      <c r="A10" s="114" t="s">
        <v>1181</v>
      </c>
      <c r="B10" s="113" t="s">
        <v>1237</v>
      </c>
      <c r="C10" s="508">
        <f>表03!H16+表03!H18</f>
        <v>0</v>
      </c>
      <c r="D10" s="495"/>
      <c r="E10" s="382">
        <v>0.45</v>
      </c>
      <c r="F10" s="385">
        <f>ROUND(C10*E10,0)</f>
        <v>0</v>
      </c>
    </row>
    <row r="11" spans="1:6">
      <c r="A11" s="115" t="s">
        <v>1182</v>
      </c>
      <c r="B11" s="116" t="s">
        <v>1238</v>
      </c>
      <c r="C11" s="508">
        <f>表03!H17+表03!H19</f>
        <v>0</v>
      </c>
      <c r="D11" s="496"/>
      <c r="E11" s="382">
        <v>3.7499999999999999E-2</v>
      </c>
      <c r="F11" s="385">
        <f>ROUND(C11*E11,0)</f>
        <v>0</v>
      </c>
    </row>
    <row r="12" spans="1:6" ht="58.5" customHeight="1">
      <c r="A12" s="115" t="s">
        <v>1036</v>
      </c>
      <c r="B12" s="116" t="s">
        <v>1789</v>
      </c>
      <c r="C12" s="508">
        <f>'表30-4-1'!C13+'表30-4-2'!C13</f>
        <v>0</v>
      </c>
      <c r="D12" s="496"/>
      <c r="E12" s="747"/>
      <c r="F12" s="385">
        <f>'表30-4-1'!E13+'表30-4-2'!E13</f>
        <v>0</v>
      </c>
    </row>
    <row r="13" spans="1:6" ht="15" thickBot="1">
      <c r="A13" s="117" t="s">
        <v>191</v>
      </c>
      <c r="B13" s="118"/>
      <c r="C13" s="386">
        <f>SUM(C4:C6,C8:C12)</f>
        <v>0</v>
      </c>
      <c r="D13" s="497"/>
      <c r="E13" s="387"/>
      <c r="F13" s="388">
        <f>SUM(F4:F6,F8:F12)</f>
        <v>0</v>
      </c>
    </row>
    <row r="14" spans="1:6">
      <c r="A14" s="93" t="s">
        <v>192</v>
      </c>
      <c r="B14" s="93"/>
      <c r="C14" s="99"/>
      <c r="D14" s="99"/>
      <c r="E14" s="98"/>
      <c r="F14" s="99"/>
    </row>
    <row r="15" spans="1:6">
      <c r="A15" s="90" t="s">
        <v>193</v>
      </c>
    </row>
  </sheetData>
  <phoneticPr fontId="26" type="noConversion"/>
  <printOptions horizontalCentered="1"/>
  <pageMargins left="0.39370078740157483" right="0.19685039370078741" top="0.39370078740157483" bottom="0.39370078740157483" header="0" footer="0.19685039370078741"/>
  <pageSetup paperSize="9" scale="93" fitToHeight="2" orientation="landscape" cellComments="asDisplayed" horizontalDpi="4294967295" verticalDpi="4294967295" r:id="rId1"/>
  <headerFooter alignWithMargins="0">
    <oddFooter>&amp;C&amp;P/&amp;N&amp;R&amp;A</oddFooter>
  </headerFooter>
  <ignoredErrors>
    <ignoredError sqref="F7"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
  <sheetViews>
    <sheetView zoomScaleNormal="100" workbookViewId="0"/>
  </sheetViews>
  <sheetFormatPr defaultRowHeight="15.75"/>
  <cols>
    <col min="1" max="1" width="9" style="590"/>
    <col min="2" max="2" width="18.5" style="590" customWidth="1"/>
    <col min="3" max="4" width="18.375" style="590" customWidth="1"/>
    <col min="5" max="5" width="17.125" style="590" bestFit="1" customWidth="1"/>
    <col min="6" max="16384" width="9" style="590"/>
  </cols>
  <sheetData>
    <row r="1" spans="1:5" ht="16.5">
      <c r="A1" s="92" t="s">
        <v>694</v>
      </c>
      <c r="B1" s="633"/>
      <c r="C1" s="633"/>
      <c r="D1" s="633"/>
      <c r="E1" s="633"/>
    </row>
    <row r="2" spans="1:5" ht="30.75" customHeight="1" thickBot="1">
      <c r="A2" s="2982" t="s">
        <v>1872</v>
      </c>
      <c r="B2" s="2982"/>
      <c r="C2" s="2982"/>
      <c r="D2" s="2982"/>
      <c r="E2" s="634" t="s">
        <v>1037</v>
      </c>
    </row>
    <row r="3" spans="1:5" ht="21.75" customHeight="1">
      <c r="A3" s="2973" t="s">
        <v>1038</v>
      </c>
      <c r="B3" s="273" t="s">
        <v>1039</v>
      </c>
      <c r="C3" s="2976" t="s">
        <v>1040</v>
      </c>
      <c r="D3" s="2978" t="s">
        <v>1041</v>
      </c>
      <c r="E3" s="2980" t="s">
        <v>1042</v>
      </c>
    </row>
    <row r="4" spans="1:5" ht="21.75" customHeight="1">
      <c r="A4" s="2974"/>
      <c r="B4" s="101" t="s">
        <v>1043</v>
      </c>
      <c r="C4" s="2977"/>
      <c r="D4" s="2979"/>
      <c r="E4" s="2981"/>
    </row>
    <row r="5" spans="1:5" ht="16.5" thickBot="1">
      <c r="A5" s="2975"/>
      <c r="B5" s="102" t="s">
        <v>1044</v>
      </c>
      <c r="C5" s="102" t="s">
        <v>1045</v>
      </c>
      <c r="D5" s="102" t="s">
        <v>1046</v>
      </c>
      <c r="E5" s="103" t="s">
        <v>1047</v>
      </c>
    </row>
    <row r="6" spans="1:5">
      <c r="A6" s="635">
        <v>1</v>
      </c>
      <c r="B6" s="636" t="s">
        <v>44</v>
      </c>
      <c r="C6" s="637"/>
      <c r="D6" s="638">
        <v>2.5499999999999998E-2</v>
      </c>
      <c r="E6" s="639">
        <f t="shared" ref="E6:E12" si="0">ROUND(C6*D6,0)</f>
        <v>0</v>
      </c>
    </row>
    <row r="7" spans="1:5">
      <c r="A7" s="640">
        <v>2</v>
      </c>
      <c r="B7" s="641" t="s">
        <v>1048</v>
      </c>
      <c r="C7" s="642"/>
      <c r="D7" s="643">
        <v>2.6599999999999999E-2</v>
      </c>
      <c r="E7" s="644">
        <f t="shared" si="0"/>
        <v>0</v>
      </c>
    </row>
    <row r="8" spans="1:5">
      <c r="A8" s="640">
        <v>3</v>
      </c>
      <c r="B8" s="641" t="s">
        <v>372</v>
      </c>
      <c r="C8" s="642"/>
      <c r="D8" s="643">
        <v>2.7799999999999998E-2</v>
      </c>
      <c r="E8" s="644">
        <f t="shared" si="0"/>
        <v>0</v>
      </c>
    </row>
    <row r="9" spans="1:5">
      <c r="A9" s="640">
        <v>4</v>
      </c>
      <c r="B9" s="641" t="s">
        <v>1049</v>
      </c>
      <c r="C9" s="642"/>
      <c r="D9" s="643">
        <v>3.4099999999999998E-2</v>
      </c>
      <c r="E9" s="644">
        <f t="shared" si="0"/>
        <v>0</v>
      </c>
    </row>
    <row r="10" spans="1:5">
      <c r="A10" s="640">
        <v>5</v>
      </c>
      <c r="B10" s="641" t="s">
        <v>1050</v>
      </c>
      <c r="C10" s="642"/>
      <c r="D10" s="645">
        <v>6.7100000000000007E-2</v>
      </c>
      <c r="E10" s="644">
        <f t="shared" si="0"/>
        <v>0</v>
      </c>
    </row>
    <row r="11" spans="1:5">
      <c r="A11" s="640">
        <v>6</v>
      </c>
      <c r="B11" s="641" t="s">
        <v>373</v>
      </c>
      <c r="C11" s="642"/>
      <c r="D11" s="645">
        <v>0.14219999999999999</v>
      </c>
      <c r="E11" s="644">
        <f t="shared" si="0"/>
        <v>0</v>
      </c>
    </row>
    <row r="12" spans="1:5">
      <c r="A12" s="640">
        <v>7</v>
      </c>
      <c r="B12" s="641" t="s">
        <v>1051</v>
      </c>
      <c r="C12" s="642"/>
      <c r="D12" s="645">
        <v>0.32369999999999999</v>
      </c>
      <c r="E12" s="644">
        <f t="shared" si="0"/>
        <v>0</v>
      </c>
    </row>
    <row r="13" spans="1:5" ht="16.5" thickBot="1">
      <c r="A13" s="646">
        <v>8</v>
      </c>
      <c r="B13" s="647" t="s">
        <v>1052</v>
      </c>
      <c r="C13" s="648">
        <f>SUM(C6:C12)</f>
        <v>0</v>
      </c>
      <c r="D13" s="649"/>
      <c r="E13" s="650">
        <f>SUM(E6:E12)</f>
        <v>0</v>
      </c>
    </row>
    <row r="16" spans="1:5" ht="16.5">
      <c r="A16" s="651" t="s">
        <v>1053</v>
      </c>
      <c r="B16" s="651"/>
      <c r="C16" s="633"/>
      <c r="D16" s="633"/>
      <c r="E16" s="633"/>
    </row>
    <row r="17" spans="1:5" ht="16.5">
      <c r="A17" s="652">
        <v>1</v>
      </c>
      <c r="B17" s="651" t="s">
        <v>1873</v>
      </c>
      <c r="C17" s="633"/>
      <c r="D17" s="633"/>
      <c r="E17" s="633"/>
    </row>
    <row r="18" spans="1:5" ht="16.5">
      <c r="A18" s="652"/>
      <c r="B18" s="651" t="s">
        <v>1054</v>
      </c>
      <c r="C18" s="633"/>
      <c r="D18" s="633"/>
      <c r="E18" s="633"/>
    </row>
    <row r="19" spans="1:5">
      <c r="A19" s="652">
        <v>2</v>
      </c>
      <c r="B19" s="651" t="s">
        <v>1055</v>
      </c>
    </row>
    <row r="20" spans="1:5">
      <c r="A20" s="652"/>
      <c r="B20" s="651" t="s">
        <v>1056</v>
      </c>
    </row>
    <row r="21" spans="1:5">
      <c r="A21" s="652">
        <v>3</v>
      </c>
      <c r="B21" s="651" t="s">
        <v>1057</v>
      </c>
    </row>
    <row r="22" spans="1:5">
      <c r="B22" s="651" t="s">
        <v>1058</v>
      </c>
    </row>
    <row r="23" spans="1:5">
      <c r="A23" s="652">
        <v>4</v>
      </c>
      <c r="B23" s="651" t="s">
        <v>1059</v>
      </c>
    </row>
    <row r="25" spans="1:5">
      <c r="B25" s="653" t="s">
        <v>1079</v>
      </c>
      <c r="C25" s="653" t="s">
        <v>65</v>
      </c>
    </row>
    <row r="26" spans="1:5">
      <c r="B26" s="654" t="s">
        <v>1060</v>
      </c>
      <c r="C26" s="655">
        <f>D9</f>
        <v>3.4099999999999998E-2</v>
      </c>
    </row>
    <row r="27" spans="1:5" ht="28.5">
      <c r="B27" s="654" t="s">
        <v>1061</v>
      </c>
      <c r="C27" s="656">
        <f>D10</f>
        <v>6.7100000000000007E-2</v>
      </c>
    </row>
    <row r="28" spans="1:5">
      <c r="B28" s="654" t="s">
        <v>1062</v>
      </c>
      <c r="C28" s="656">
        <f>D11</f>
        <v>0.14219999999999999</v>
      </c>
    </row>
    <row r="29" spans="1:5">
      <c r="B29" s="654" t="s">
        <v>1063</v>
      </c>
      <c r="C29" s="656">
        <f>D12</f>
        <v>0.32369999999999999</v>
      </c>
    </row>
  </sheetData>
  <mergeCells count="5">
    <mergeCell ref="A3:A5"/>
    <mergeCell ref="C3:C4"/>
    <mergeCell ref="D3:D4"/>
    <mergeCell ref="E3:E4"/>
    <mergeCell ref="A2:D2"/>
  </mergeCells>
  <phoneticPr fontId="26" type="noConversion"/>
  <pageMargins left="0.7" right="0.7" top="0.75" bottom="0.75" header="0.3" footer="0.3"/>
  <pageSetup paperSize="9" scale="99" orientation="landscape"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9"/>
  <sheetViews>
    <sheetView zoomScaleNormal="100" workbookViewId="0"/>
  </sheetViews>
  <sheetFormatPr defaultRowHeight="15.75"/>
  <cols>
    <col min="1" max="1" width="9" style="590"/>
    <col min="2" max="2" width="18.5" style="590" customWidth="1"/>
    <col min="3" max="4" width="18.375" style="590" customWidth="1"/>
    <col min="5" max="5" width="17.125" style="590" bestFit="1" customWidth="1"/>
    <col min="6" max="16384" width="9" style="590"/>
  </cols>
  <sheetData>
    <row r="1" spans="1:5" ht="16.5">
      <c r="A1" s="92" t="s">
        <v>694</v>
      </c>
      <c r="B1" s="633"/>
      <c r="C1" s="633"/>
      <c r="D1" s="633"/>
      <c r="E1" s="633"/>
    </row>
    <row r="2" spans="1:5" ht="36" customHeight="1" thickBot="1">
      <c r="A2" s="2982" t="s">
        <v>1831</v>
      </c>
      <c r="B2" s="2982"/>
      <c r="C2" s="2982"/>
      <c r="D2" s="2982"/>
      <c r="E2" s="634" t="s">
        <v>1790</v>
      </c>
    </row>
    <row r="3" spans="1:5" ht="21.75" customHeight="1">
      <c r="A3" s="2973" t="s">
        <v>185</v>
      </c>
      <c r="B3" s="273" t="s">
        <v>176</v>
      </c>
      <c r="C3" s="2976" t="s">
        <v>1791</v>
      </c>
      <c r="D3" s="2978" t="s">
        <v>1792</v>
      </c>
      <c r="E3" s="2980" t="s">
        <v>1793</v>
      </c>
    </row>
    <row r="4" spans="1:5" ht="21.75" customHeight="1">
      <c r="A4" s="2974"/>
      <c r="B4" s="101" t="s">
        <v>1794</v>
      </c>
      <c r="C4" s="2977"/>
      <c r="D4" s="2979"/>
      <c r="E4" s="2981"/>
    </row>
    <row r="5" spans="1:5" ht="16.5" thickBot="1">
      <c r="A5" s="2975"/>
      <c r="B5" s="102" t="s">
        <v>179</v>
      </c>
      <c r="C5" s="102" t="s">
        <v>187</v>
      </c>
      <c r="D5" s="102" t="s">
        <v>332</v>
      </c>
      <c r="E5" s="103" t="s">
        <v>1795</v>
      </c>
    </row>
    <row r="6" spans="1:5">
      <c r="A6" s="635">
        <v>1</v>
      </c>
      <c r="B6" s="636" t="s">
        <v>44</v>
      </c>
      <c r="C6" s="637"/>
      <c r="D6" s="638">
        <v>4.0000000000000001E-3</v>
      </c>
      <c r="E6" s="639">
        <f t="shared" ref="E6:E12" si="0">ROUND(C6*D6,0)</f>
        <v>0</v>
      </c>
    </row>
    <row r="7" spans="1:5">
      <c r="A7" s="640">
        <v>2</v>
      </c>
      <c r="B7" s="641" t="s">
        <v>1048</v>
      </c>
      <c r="C7" s="642"/>
      <c r="D7" s="643">
        <v>5.1000000000000004E-3</v>
      </c>
      <c r="E7" s="644">
        <f t="shared" si="0"/>
        <v>0</v>
      </c>
    </row>
    <row r="8" spans="1:5">
      <c r="A8" s="640">
        <v>3</v>
      </c>
      <c r="B8" s="641" t="s">
        <v>372</v>
      </c>
      <c r="C8" s="642"/>
      <c r="D8" s="643">
        <v>6.3E-3</v>
      </c>
      <c r="E8" s="644">
        <f t="shared" si="0"/>
        <v>0</v>
      </c>
    </row>
    <row r="9" spans="1:5">
      <c r="A9" s="640">
        <v>4</v>
      </c>
      <c r="B9" s="641" t="s">
        <v>1049</v>
      </c>
      <c r="C9" s="642"/>
      <c r="D9" s="643">
        <v>1.2500000000000001E-2</v>
      </c>
      <c r="E9" s="644">
        <f t="shared" si="0"/>
        <v>0</v>
      </c>
    </row>
    <row r="10" spans="1:5">
      <c r="A10" s="640">
        <v>5</v>
      </c>
      <c r="B10" s="641" t="s">
        <v>1050</v>
      </c>
      <c r="C10" s="642"/>
      <c r="D10" s="645">
        <v>4.5499999999999999E-2</v>
      </c>
      <c r="E10" s="644">
        <f t="shared" si="0"/>
        <v>0</v>
      </c>
    </row>
    <row r="11" spans="1:5">
      <c r="A11" s="640">
        <v>6</v>
      </c>
      <c r="B11" s="641" t="s">
        <v>373</v>
      </c>
      <c r="C11" s="642"/>
      <c r="D11" s="645">
        <v>0.1207</v>
      </c>
      <c r="E11" s="644">
        <f t="shared" si="0"/>
        <v>0</v>
      </c>
    </row>
    <row r="12" spans="1:5">
      <c r="A12" s="640">
        <v>7</v>
      </c>
      <c r="B12" s="641" t="s">
        <v>1051</v>
      </c>
      <c r="C12" s="642"/>
      <c r="D12" s="645">
        <v>0.30209999999999998</v>
      </c>
      <c r="E12" s="644">
        <f t="shared" si="0"/>
        <v>0</v>
      </c>
    </row>
    <row r="13" spans="1:5" ht="16.5" thickBot="1">
      <c r="A13" s="646">
        <v>8</v>
      </c>
      <c r="B13" s="647" t="s">
        <v>1796</v>
      </c>
      <c r="C13" s="648">
        <f>SUM(C6:C12)</f>
        <v>0</v>
      </c>
      <c r="D13" s="649"/>
      <c r="E13" s="650">
        <f>SUM(E6:E12)</f>
        <v>0</v>
      </c>
    </row>
    <row r="16" spans="1:5" ht="16.5">
      <c r="A16" s="651" t="s">
        <v>1797</v>
      </c>
      <c r="B16" s="651"/>
      <c r="C16" s="633"/>
      <c r="D16" s="633"/>
      <c r="E16" s="633"/>
    </row>
    <row r="17" spans="1:5" ht="16.5">
      <c r="A17" s="652">
        <v>1</v>
      </c>
      <c r="B17" s="651" t="s">
        <v>1832</v>
      </c>
      <c r="C17" s="633"/>
      <c r="D17" s="633"/>
      <c r="E17" s="633"/>
    </row>
    <row r="18" spans="1:5" ht="16.5">
      <c r="A18" s="652"/>
      <c r="B18" s="651" t="s">
        <v>1798</v>
      </c>
      <c r="C18" s="633"/>
      <c r="D18" s="633"/>
      <c r="E18" s="633"/>
    </row>
    <row r="19" spans="1:5">
      <c r="A19" s="652">
        <v>2</v>
      </c>
      <c r="B19" s="651" t="s">
        <v>1799</v>
      </c>
    </row>
    <row r="20" spans="1:5">
      <c r="A20" s="652"/>
      <c r="B20" s="651" t="s">
        <v>1800</v>
      </c>
    </row>
    <row r="21" spans="1:5">
      <c r="A21" s="652">
        <v>3</v>
      </c>
      <c r="B21" s="651" t="s">
        <v>1801</v>
      </c>
    </row>
    <row r="22" spans="1:5">
      <c r="B22" s="651" t="s">
        <v>1802</v>
      </c>
    </row>
    <row r="23" spans="1:5">
      <c r="A23" s="652">
        <v>4</v>
      </c>
      <c r="B23" s="651" t="s">
        <v>1803</v>
      </c>
    </row>
    <row r="25" spans="1:5">
      <c r="B25" s="653" t="s">
        <v>1079</v>
      </c>
      <c r="C25" s="653" t="s">
        <v>65</v>
      </c>
    </row>
    <row r="26" spans="1:5">
      <c r="B26" s="654" t="s">
        <v>1060</v>
      </c>
      <c r="C26" s="655">
        <f>D9</f>
        <v>1.2500000000000001E-2</v>
      </c>
    </row>
    <row r="27" spans="1:5" ht="28.5">
      <c r="B27" s="654" t="s">
        <v>1061</v>
      </c>
      <c r="C27" s="656">
        <f>D10</f>
        <v>4.5499999999999999E-2</v>
      </c>
    </row>
    <row r="28" spans="1:5">
      <c r="B28" s="654" t="s">
        <v>1062</v>
      </c>
      <c r="C28" s="656">
        <f>D11</f>
        <v>0.1207</v>
      </c>
    </row>
    <row r="29" spans="1:5">
      <c r="B29" s="654" t="s">
        <v>1063</v>
      </c>
      <c r="C29" s="656">
        <f>D12</f>
        <v>0.30209999999999998</v>
      </c>
    </row>
  </sheetData>
  <mergeCells count="5">
    <mergeCell ref="A2:D2"/>
    <mergeCell ref="A3:A5"/>
    <mergeCell ref="C3:C4"/>
    <mergeCell ref="D3:D4"/>
    <mergeCell ref="E3:E4"/>
  </mergeCells>
  <phoneticPr fontId="26" type="noConversion"/>
  <pageMargins left="0.7" right="0.7" top="0.75" bottom="0.75" header="0.3" footer="0.3"/>
  <pageSetup paperSize="9" scale="96" orientation="landscape" horizontalDpi="4294967295" verticalDpi="4294967295" r:id="rId1"/>
  <colBreaks count="1" manualBreakCount="1">
    <brk id="11" max="1048575" man="1"/>
  </col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6">
    <pageSetUpPr fitToPage="1"/>
  </sheetPr>
  <dimension ref="A1:AG145"/>
  <sheetViews>
    <sheetView zoomScaleNormal="100" zoomScaleSheetLayoutView="100" workbookViewId="0">
      <selection activeCell="C4" sqref="C4"/>
    </sheetView>
  </sheetViews>
  <sheetFormatPr defaultColWidth="8.875" defaultRowHeight="16.5"/>
  <cols>
    <col min="1" max="1" width="41" style="1083" customWidth="1"/>
    <col min="2" max="2" width="53.25" style="1083" customWidth="1"/>
    <col min="3" max="4" width="16" style="1162" customWidth="1"/>
    <col min="5" max="5" width="11.5" style="1162" customWidth="1"/>
    <col min="6" max="6" width="16" style="1162" customWidth="1"/>
    <col min="7" max="7" width="8.875" style="1083" customWidth="1"/>
    <col min="8" max="11" width="8.875" style="1129" customWidth="1"/>
    <col min="12" max="13" width="8.875" style="1083" customWidth="1"/>
    <col min="14" max="19" width="8.875" style="1129" customWidth="1"/>
    <col min="20" max="16384" width="8.875" style="1083"/>
  </cols>
  <sheetData>
    <row r="1" spans="1:33" s="1082" customFormat="1" ht="14.25">
      <c r="A1" s="92" t="str">
        <f>表03!A1</f>
        <v xml:space="preserve"> 保險股份有限公司    年度(月)報表</v>
      </c>
      <c r="B1" s="1081"/>
      <c r="C1" s="1081"/>
      <c r="D1" s="1081"/>
      <c r="E1" s="1081"/>
      <c r="F1" s="1081"/>
      <c r="H1" s="1083"/>
      <c r="I1" s="1083"/>
      <c r="J1" s="1083"/>
      <c r="K1" s="1083"/>
      <c r="L1" s="1083"/>
      <c r="M1" s="1083"/>
      <c r="N1" s="1083"/>
      <c r="O1" s="1083"/>
      <c r="P1" s="1083"/>
      <c r="Q1" s="1083"/>
      <c r="R1" s="1083"/>
      <c r="S1" s="1083"/>
      <c r="T1" s="1083"/>
      <c r="U1" s="1083"/>
      <c r="V1" s="1083"/>
      <c r="W1" s="1083"/>
      <c r="X1" s="1083"/>
      <c r="Y1" s="1083"/>
      <c r="Z1" s="1083"/>
      <c r="AA1" s="1083"/>
      <c r="AB1" s="1083"/>
      <c r="AC1" s="1083"/>
      <c r="AD1" s="1083"/>
      <c r="AE1" s="1083"/>
      <c r="AF1" s="1083"/>
      <c r="AG1" s="1083"/>
    </row>
    <row r="2" spans="1:33" s="1088" customFormat="1" ht="15" thickBot="1">
      <c r="A2" s="1084" t="s">
        <v>1874</v>
      </c>
      <c r="B2" s="1085"/>
      <c r="C2" s="1086"/>
      <c r="D2" s="1086"/>
      <c r="E2" s="1086"/>
      <c r="F2" s="1087" t="s">
        <v>1875</v>
      </c>
    </row>
    <row r="3" spans="1:33" s="1093" customFormat="1" ht="30">
      <c r="A3" s="1089" t="s">
        <v>1468</v>
      </c>
      <c r="B3" s="1090" t="s">
        <v>1354</v>
      </c>
      <c r="C3" s="1091" t="s">
        <v>1608</v>
      </c>
      <c r="D3" s="808" t="s">
        <v>1876</v>
      </c>
      <c r="E3" s="1090" t="s">
        <v>2193</v>
      </c>
      <c r="F3" s="1092" t="s">
        <v>1467</v>
      </c>
    </row>
    <row r="4" spans="1:33" ht="14.25">
      <c r="A4" s="1094" t="s">
        <v>1877</v>
      </c>
      <c r="B4" s="1095"/>
      <c r="C4" s="1096">
        <f>C5+C62</f>
        <v>0</v>
      </c>
      <c r="D4" s="1097"/>
      <c r="E4" s="1098"/>
      <c r="F4" s="1099">
        <f>F5+F62</f>
        <v>0</v>
      </c>
      <c r="H4" s="1083"/>
      <c r="I4" s="1083"/>
      <c r="J4" s="1083"/>
      <c r="K4" s="1083"/>
      <c r="N4" s="1083"/>
      <c r="O4" s="1083"/>
      <c r="P4" s="1083"/>
      <c r="Q4" s="1083"/>
      <c r="R4" s="1083"/>
      <c r="S4" s="1083"/>
    </row>
    <row r="5" spans="1:33" ht="14.25">
      <c r="A5" s="1100" t="s">
        <v>1878</v>
      </c>
      <c r="B5" s="1101"/>
      <c r="C5" s="1102">
        <f>C6+C47</f>
        <v>0</v>
      </c>
      <c r="D5" s="1103"/>
      <c r="E5" s="1104"/>
      <c r="F5" s="1105">
        <f>F6+F47</f>
        <v>0</v>
      </c>
      <c r="H5" s="1083"/>
      <c r="I5" s="1083"/>
      <c r="J5" s="1083"/>
      <c r="K5" s="1083"/>
      <c r="N5" s="1083"/>
      <c r="O5" s="1083"/>
      <c r="P5" s="1083"/>
      <c r="Q5" s="1083"/>
      <c r="R5" s="1083"/>
      <c r="S5" s="1083"/>
    </row>
    <row r="6" spans="1:33" ht="14.25">
      <c r="A6" s="1106" t="s">
        <v>1879</v>
      </c>
      <c r="B6" s="1101"/>
      <c r="C6" s="1102">
        <f>C7+C38</f>
        <v>0</v>
      </c>
      <c r="D6" s="1107"/>
      <c r="E6" s="1108"/>
      <c r="F6" s="1105">
        <f>F7+F38</f>
        <v>0</v>
      </c>
      <c r="H6" s="1083"/>
      <c r="I6" s="1083"/>
      <c r="J6" s="1083"/>
      <c r="K6" s="1083"/>
      <c r="N6" s="1083"/>
      <c r="O6" s="1083"/>
      <c r="P6" s="1083"/>
      <c r="Q6" s="1083"/>
      <c r="R6" s="1083"/>
      <c r="S6" s="1083"/>
    </row>
    <row r="7" spans="1:33" ht="14.25">
      <c r="A7" s="1109" t="s">
        <v>1880</v>
      </c>
      <c r="B7" s="1101"/>
      <c r="C7" s="1102">
        <f>SUM(C8:C37)</f>
        <v>0</v>
      </c>
      <c r="D7" s="1107"/>
      <c r="E7" s="1108"/>
      <c r="F7" s="1105">
        <f>SUM(F8:F37)</f>
        <v>0</v>
      </c>
      <c r="H7" s="1083"/>
      <c r="I7" s="1083"/>
      <c r="J7" s="1083"/>
      <c r="K7" s="1083"/>
      <c r="N7" s="1083"/>
      <c r="O7" s="1083"/>
      <c r="P7" s="1083"/>
      <c r="Q7" s="1083"/>
      <c r="R7" s="1083"/>
      <c r="S7" s="1083"/>
    </row>
    <row r="8" spans="1:33" ht="14.25">
      <c r="A8" s="1110" t="s">
        <v>1881</v>
      </c>
      <c r="B8" s="1101" t="s">
        <v>1882</v>
      </c>
      <c r="C8" s="1102">
        <f>'表24-1'!K9</f>
        <v>0</v>
      </c>
      <c r="D8" s="1107"/>
      <c r="E8" s="1104">
        <v>0.29170000000000001</v>
      </c>
      <c r="F8" s="1105">
        <f t="shared" ref="F8:F36" si="0">ROUND(C8*E8,0)</f>
        <v>0</v>
      </c>
      <c r="H8" s="1083"/>
      <c r="I8" s="1083"/>
      <c r="J8" s="1083"/>
      <c r="K8" s="1083"/>
      <c r="N8" s="1083"/>
      <c r="O8" s="1083"/>
      <c r="P8" s="1083"/>
      <c r="Q8" s="1083"/>
      <c r="R8" s="1083"/>
      <c r="S8" s="1083"/>
    </row>
    <row r="9" spans="1:33" ht="14.25">
      <c r="A9" s="1110" t="s">
        <v>1883</v>
      </c>
      <c r="B9" s="1101" t="s">
        <v>1884</v>
      </c>
      <c r="C9" s="1102">
        <f>'表24-1'!K10</f>
        <v>0</v>
      </c>
      <c r="D9" s="1107"/>
      <c r="E9" s="1104">
        <v>0.29170000000000001</v>
      </c>
      <c r="F9" s="1105">
        <f t="shared" si="0"/>
        <v>0</v>
      </c>
      <c r="H9" s="1083"/>
      <c r="I9" s="1083"/>
      <c r="J9" s="1083"/>
      <c r="K9" s="1083"/>
      <c r="N9" s="1083"/>
      <c r="O9" s="1083"/>
      <c r="P9" s="1083"/>
      <c r="Q9" s="1083"/>
      <c r="R9" s="1083"/>
      <c r="S9" s="1083"/>
    </row>
    <row r="10" spans="1:33" ht="14.25">
      <c r="A10" s="1110" t="s">
        <v>1885</v>
      </c>
      <c r="B10" s="1101" t="s">
        <v>1886</v>
      </c>
      <c r="C10" s="1102">
        <f>'表24-1'!K11</f>
        <v>0</v>
      </c>
      <c r="D10" s="1107"/>
      <c r="E10" s="1104">
        <v>0.29170000000000001</v>
      </c>
      <c r="F10" s="1105">
        <f t="shared" si="0"/>
        <v>0</v>
      </c>
      <c r="H10" s="1083"/>
      <c r="I10" s="1083"/>
      <c r="J10" s="1083"/>
      <c r="K10" s="1083"/>
      <c r="N10" s="1083"/>
      <c r="O10" s="1083"/>
      <c r="P10" s="1083"/>
      <c r="Q10" s="1083"/>
      <c r="R10" s="1083"/>
      <c r="S10" s="1083"/>
    </row>
    <row r="11" spans="1:33" ht="14.25">
      <c r="A11" s="1110" t="s">
        <v>1887</v>
      </c>
      <c r="B11" s="1101" t="s">
        <v>1888</v>
      </c>
      <c r="C11" s="1102">
        <f>'表24-1'!K12</f>
        <v>0</v>
      </c>
      <c r="D11" s="1107"/>
      <c r="E11" s="1104">
        <v>0.29170000000000001</v>
      </c>
      <c r="F11" s="1105">
        <f t="shared" si="0"/>
        <v>0</v>
      </c>
      <c r="H11" s="1083"/>
      <c r="I11" s="1083"/>
      <c r="J11" s="1083"/>
      <c r="K11" s="1083"/>
      <c r="N11" s="1083"/>
      <c r="O11" s="1083"/>
      <c r="P11" s="1083"/>
      <c r="Q11" s="1083"/>
      <c r="R11" s="1083"/>
      <c r="S11" s="1083"/>
    </row>
    <row r="12" spans="1:33" ht="14.25">
      <c r="A12" s="1110" t="s">
        <v>1889</v>
      </c>
      <c r="B12" s="1101" t="s">
        <v>1890</v>
      </c>
      <c r="C12" s="1102">
        <f>'表24-1'!K13</f>
        <v>0</v>
      </c>
      <c r="D12" s="1107"/>
      <c r="E12" s="1104">
        <v>0.18459999999999999</v>
      </c>
      <c r="F12" s="1105">
        <f t="shared" si="0"/>
        <v>0</v>
      </c>
      <c r="H12" s="1083"/>
      <c r="I12" s="1083"/>
      <c r="J12" s="1083"/>
      <c r="K12" s="1083"/>
      <c r="N12" s="1083"/>
      <c r="O12" s="1083"/>
      <c r="P12" s="1083"/>
      <c r="Q12" s="1083"/>
      <c r="R12" s="1083"/>
      <c r="S12" s="1083"/>
    </row>
    <row r="13" spans="1:33" ht="14.25">
      <c r="A13" s="1110" t="s">
        <v>1891</v>
      </c>
      <c r="B13" s="1101" t="s">
        <v>1892</v>
      </c>
      <c r="C13" s="1102">
        <f>'表24-1'!K14</f>
        <v>0</v>
      </c>
      <c r="D13" s="1107"/>
      <c r="E13" s="1104">
        <v>0.18459999999999999</v>
      </c>
      <c r="F13" s="1105">
        <f t="shared" si="0"/>
        <v>0</v>
      </c>
      <c r="H13" s="1083"/>
      <c r="I13" s="1083"/>
      <c r="J13" s="1083"/>
      <c r="K13" s="1083"/>
      <c r="N13" s="1083"/>
      <c r="O13" s="1083"/>
      <c r="P13" s="1083"/>
      <c r="Q13" s="1083"/>
      <c r="R13" s="1083"/>
      <c r="S13" s="1083"/>
    </row>
    <row r="14" spans="1:33" ht="14.25">
      <c r="A14" s="1110" t="s">
        <v>1705</v>
      </c>
      <c r="B14" s="1101" t="s">
        <v>1893</v>
      </c>
      <c r="C14" s="1102">
        <f>'表24-1'!K15</f>
        <v>0</v>
      </c>
      <c r="D14" s="1107"/>
      <c r="E14" s="1104">
        <v>1.0096000000000001</v>
      </c>
      <c r="F14" s="1105">
        <f t="shared" si="0"/>
        <v>0</v>
      </c>
      <c r="H14" s="1083"/>
      <c r="I14" s="1083"/>
      <c r="J14" s="1083"/>
      <c r="K14" s="1083"/>
      <c r="N14" s="1083"/>
      <c r="O14" s="1083"/>
      <c r="P14" s="1083"/>
      <c r="Q14" s="1083"/>
      <c r="R14" s="1083"/>
      <c r="S14" s="1083"/>
    </row>
    <row r="15" spans="1:33" ht="14.25">
      <c r="A15" s="1110" t="s">
        <v>1894</v>
      </c>
      <c r="B15" s="1101" t="s">
        <v>1895</v>
      </c>
      <c r="C15" s="1102">
        <f>'表24-1'!K16</f>
        <v>0</v>
      </c>
      <c r="D15" s="1107"/>
      <c r="E15" s="1104">
        <v>0.22409999999999999</v>
      </c>
      <c r="F15" s="1105">
        <f t="shared" si="0"/>
        <v>0</v>
      </c>
      <c r="H15" s="1083"/>
      <c r="I15" s="1083"/>
      <c r="J15" s="1083"/>
      <c r="K15" s="1083"/>
      <c r="N15" s="1083"/>
      <c r="O15" s="1083"/>
      <c r="P15" s="1083"/>
      <c r="Q15" s="1083"/>
      <c r="R15" s="1083"/>
      <c r="S15" s="1083"/>
    </row>
    <row r="16" spans="1:33" ht="14.25">
      <c r="A16" s="1110" t="s">
        <v>1706</v>
      </c>
      <c r="B16" s="1101" t="s">
        <v>1896</v>
      </c>
      <c r="C16" s="1102">
        <f>'表24-1'!K17</f>
        <v>0</v>
      </c>
      <c r="D16" s="1107"/>
      <c r="E16" s="1104">
        <v>7.7195</v>
      </c>
      <c r="F16" s="1105">
        <f t="shared" si="0"/>
        <v>0</v>
      </c>
      <c r="H16" s="1083"/>
      <c r="I16" s="1083"/>
      <c r="J16" s="1083"/>
      <c r="K16" s="1083"/>
      <c r="N16" s="1083"/>
      <c r="O16" s="1083"/>
      <c r="P16" s="1083"/>
      <c r="Q16" s="1083"/>
      <c r="R16" s="1083"/>
      <c r="S16" s="1083"/>
    </row>
    <row r="17" spans="1:19" ht="14.25">
      <c r="A17" s="1110" t="s">
        <v>1897</v>
      </c>
      <c r="B17" s="1101" t="s">
        <v>1898</v>
      </c>
      <c r="C17" s="1102">
        <f>'表24-1'!K18</f>
        <v>0</v>
      </c>
      <c r="D17" s="1107"/>
      <c r="E17" s="1104">
        <v>9.4399999999999998E-2</v>
      </c>
      <c r="F17" s="1105">
        <f t="shared" si="0"/>
        <v>0</v>
      </c>
      <c r="H17" s="1083"/>
      <c r="I17" s="1083"/>
      <c r="J17" s="1083"/>
      <c r="K17" s="1083"/>
      <c r="N17" s="1083"/>
      <c r="O17" s="1083"/>
      <c r="P17" s="1083"/>
      <c r="Q17" s="1083"/>
      <c r="R17" s="1083"/>
      <c r="S17" s="1083"/>
    </row>
    <row r="18" spans="1:19" ht="14.25">
      <c r="A18" s="1110" t="s">
        <v>1899</v>
      </c>
      <c r="B18" s="1101" t="s">
        <v>1707</v>
      </c>
      <c r="C18" s="1102">
        <f>'表24-1'!K19</f>
        <v>0</v>
      </c>
      <c r="D18" s="1107"/>
      <c r="E18" s="1104">
        <v>9.4399999999999998E-2</v>
      </c>
      <c r="F18" s="1105">
        <f t="shared" si="0"/>
        <v>0</v>
      </c>
      <c r="H18" s="1083"/>
      <c r="I18" s="1083"/>
      <c r="J18" s="1083"/>
      <c r="K18" s="1083"/>
      <c r="N18" s="1083"/>
      <c r="O18" s="1083"/>
      <c r="P18" s="1083"/>
      <c r="Q18" s="1083"/>
      <c r="R18" s="1083"/>
      <c r="S18" s="1083"/>
    </row>
    <row r="19" spans="1:19" ht="14.25">
      <c r="A19" s="1110" t="s">
        <v>1900</v>
      </c>
      <c r="B19" s="1101" t="s">
        <v>1901</v>
      </c>
      <c r="C19" s="1102">
        <f>'表24-1'!K20</f>
        <v>0</v>
      </c>
      <c r="D19" s="1107"/>
      <c r="E19" s="1104">
        <v>9.4399999999999998E-2</v>
      </c>
      <c r="F19" s="1105">
        <f t="shared" si="0"/>
        <v>0</v>
      </c>
      <c r="H19" s="1083"/>
      <c r="I19" s="1083"/>
      <c r="J19" s="1083"/>
      <c r="K19" s="1083"/>
      <c r="N19" s="1083"/>
      <c r="O19" s="1083"/>
      <c r="P19" s="1083"/>
      <c r="Q19" s="1083"/>
      <c r="R19" s="1083"/>
      <c r="S19" s="1083"/>
    </row>
    <row r="20" spans="1:19" ht="14.25">
      <c r="A20" s="1110" t="s">
        <v>1902</v>
      </c>
      <c r="B20" s="1101" t="s">
        <v>1903</v>
      </c>
      <c r="C20" s="1102">
        <f>'表24-1'!K21</f>
        <v>0</v>
      </c>
      <c r="D20" s="1107"/>
      <c r="E20" s="1104">
        <v>9.4399999999999998E-2</v>
      </c>
      <c r="F20" s="1105">
        <f t="shared" si="0"/>
        <v>0</v>
      </c>
      <c r="H20" s="1083"/>
      <c r="I20" s="1083"/>
      <c r="J20" s="1083"/>
      <c r="K20" s="1083"/>
      <c r="N20" s="1083"/>
      <c r="O20" s="1083"/>
      <c r="P20" s="1083"/>
      <c r="Q20" s="1083"/>
      <c r="R20" s="1083"/>
      <c r="S20" s="1083"/>
    </row>
    <row r="21" spans="1:19" ht="14.25">
      <c r="A21" s="1110" t="s">
        <v>1904</v>
      </c>
      <c r="B21" s="1101" t="s">
        <v>1905</v>
      </c>
      <c r="C21" s="1102">
        <f>'表24-1'!K22</f>
        <v>0</v>
      </c>
      <c r="D21" s="1107"/>
      <c r="E21" s="1104">
        <v>0</v>
      </c>
      <c r="F21" s="1105">
        <f t="shared" si="0"/>
        <v>0</v>
      </c>
      <c r="H21" s="1083"/>
      <c r="I21" s="1083"/>
      <c r="J21" s="1083"/>
      <c r="K21" s="1083"/>
      <c r="N21" s="1083"/>
      <c r="O21" s="1083"/>
      <c r="P21" s="1083"/>
      <c r="Q21" s="1083"/>
      <c r="R21" s="1083"/>
      <c r="S21" s="1083"/>
    </row>
    <row r="22" spans="1:19" ht="14.25">
      <c r="A22" s="1110" t="s">
        <v>1906</v>
      </c>
      <c r="B22" s="1101" t="s">
        <v>1907</v>
      </c>
      <c r="C22" s="1102">
        <f>'表24-1'!K23</f>
        <v>0</v>
      </c>
      <c r="D22" s="1107"/>
      <c r="E22" s="1104">
        <v>0</v>
      </c>
      <c r="F22" s="1105">
        <f t="shared" si="0"/>
        <v>0</v>
      </c>
      <c r="H22" s="1083"/>
      <c r="I22" s="1083"/>
      <c r="J22" s="1083"/>
      <c r="K22" s="1083"/>
      <c r="N22" s="1083"/>
      <c r="O22" s="1083"/>
      <c r="P22" s="1083"/>
      <c r="Q22" s="1083"/>
      <c r="R22" s="1083"/>
      <c r="S22" s="1083"/>
    </row>
    <row r="23" spans="1:19" ht="14.25">
      <c r="A23" s="1110" t="s">
        <v>1908</v>
      </c>
      <c r="B23" s="1101" t="s">
        <v>1909</v>
      </c>
      <c r="C23" s="1102">
        <f>'表24-1'!K24</f>
        <v>0</v>
      </c>
      <c r="D23" s="1107"/>
      <c r="E23" s="1104">
        <v>0</v>
      </c>
      <c r="F23" s="1105">
        <f t="shared" si="0"/>
        <v>0</v>
      </c>
      <c r="H23" s="1083"/>
      <c r="I23" s="1083"/>
      <c r="J23" s="1083"/>
      <c r="K23" s="1083"/>
      <c r="N23" s="1083"/>
      <c r="O23" s="1083"/>
      <c r="P23" s="1083"/>
      <c r="Q23" s="1083"/>
      <c r="R23" s="1083"/>
      <c r="S23" s="1083"/>
    </row>
    <row r="24" spans="1:19" ht="14.25">
      <c r="A24" s="1110" t="s">
        <v>1910</v>
      </c>
      <c r="B24" s="1101" t="s">
        <v>1911</v>
      </c>
      <c r="C24" s="1102">
        <f>'表24-1'!K25</f>
        <v>0</v>
      </c>
      <c r="D24" s="1107"/>
      <c r="E24" s="1104">
        <v>0.75539999999999996</v>
      </c>
      <c r="F24" s="1105">
        <f t="shared" si="0"/>
        <v>0</v>
      </c>
      <c r="H24" s="1083"/>
      <c r="I24" s="1083"/>
      <c r="J24" s="1083"/>
      <c r="K24" s="1083"/>
      <c r="N24" s="1083"/>
      <c r="O24" s="1083"/>
      <c r="P24" s="1083"/>
      <c r="Q24" s="1083"/>
      <c r="R24" s="1083"/>
      <c r="S24" s="1083"/>
    </row>
    <row r="25" spans="1:19" ht="14.25">
      <c r="A25" s="1110" t="s">
        <v>1912</v>
      </c>
      <c r="B25" s="1101" t="s">
        <v>1913</v>
      </c>
      <c r="C25" s="1102">
        <f>'表24-1'!K26</f>
        <v>0</v>
      </c>
      <c r="D25" s="1107"/>
      <c r="E25" s="1104">
        <v>0.75539999999999996</v>
      </c>
      <c r="F25" s="1105">
        <f t="shared" si="0"/>
        <v>0</v>
      </c>
      <c r="H25" s="1083"/>
      <c r="I25" s="1083"/>
      <c r="J25" s="1083"/>
      <c r="K25" s="1083"/>
      <c r="N25" s="1083"/>
      <c r="O25" s="1083"/>
      <c r="P25" s="1083"/>
      <c r="Q25" s="1083"/>
      <c r="R25" s="1083"/>
      <c r="S25" s="1083"/>
    </row>
    <row r="26" spans="1:19" ht="14.25">
      <c r="A26" s="1110" t="s">
        <v>1914</v>
      </c>
      <c r="B26" s="1101" t="s">
        <v>1915</v>
      </c>
      <c r="C26" s="1102">
        <f>'表24-1'!K27</f>
        <v>0</v>
      </c>
      <c r="D26" s="1107"/>
      <c r="E26" s="1104">
        <v>1.2151000000000001</v>
      </c>
      <c r="F26" s="1105">
        <f t="shared" si="0"/>
        <v>0</v>
      </c>
      <c r="H26" s="1083"/>
      <c r="I26" s="1083"/>
      <c r="J26" s="1083"/>
      <c r="K26" s="1083"/>
      <c r="N26" s="1083"/>
      <c r="O26" s="1083"/>
      <c r="P26" s="1083"/>
      <c r="Q26" s="1083"/>
      <c r="R26" s="1083"/>
      <c r="S26" s="1083"/>
    </row>
    <row r="27" spans="1:19" ht="14.25">
      <c r="A27" s="1110" t="s">
        <v>1916</v>
      </c>
      <c r="B27" s="1101" t="s">
        <v>1708</v>
      </c>
      <c r="C27" s="1102">
        <f>'表24-1'!K28</f>
        <v>0</v>
      </c>
      <c r="D27" s="1107"/>
      <c r="E27" s="1104">
        <v>7.7195</v>
      </c>
      <c r="F27" s="1105">
        <f t="shared" si="0"/>
        <v>0</v>
      </c>
      <c r="H27" s="1083"/>
      <c r="I27" s="1083"/>
      <c r="J27" s="1083"/>
      <c r="K27" s="1083"/>
      <c r="N27" s="1083"/>
      <c r="O27" s="1083"/>
      <c r="P27" s="1083"/>
      <c r="Q27" s="1083"/>
      <c r="R27" s="1083"/>
      <c r="S27" s="1083"/>
    </row>
    <row r="28" spans="1:19" ht="14.25">
      <c r="A28" s="1110" t="s">
        <v>1709</v>
      </c>
      <c r="B28" s="1101" t="s">
        <v>1917</v>
      </c>
      <c r="C28" s="1102">
        <f>'表24-1'!K29</f>
        <v>0</v>
      </c>
      <c r="D28" s="1107"/>
      <c r="E28" s="1104">
        <v>0.12809999999999999</v>
      </c>
      <c r="F28" s="1105">
        <f t="shared" si="0"/>
        <v>0</v>
      </c>
      <c r="H28" s="1083"/>
      <c r="I28" s="1083"/>
      <c r="J28" s="1083"/>
      <c r="K28" s="1083"/>
      <c r="N28" s="1083"/>
      <c r="O28" s="1083"/>
      <c r="P28" s="1083"/>
      <c r="Q28" s="1083"/>
      <c r="R28" s="1083"/>
      <c r="S28" s="1083"/>
    </row>
    <row r="29" spans="1:19" ht="14.25">
      <c r="A29" s="1110" t="s">
        <v>1918</v>
      </c>
      <c r="B29" s="1101" t="s">
        <v>1710</v>
      </c>
      <c r="C29" s="1102">
        <f>'表24-1'!K30</f>
        <v>0</v>
      </c>
      <c r="D29" s="1107"/>
      <c r="E29" s="1104">
        <v>0.12809999999999999</v>
      </c>
      <c r="F29" s="1105">
        <f t="shared" si="0"/>
        <v>0</v>
      </c>
      <c r="H29" s="1083"/>
      <c r="I29" s="1083"/>
      <c r="J29" s="1083"/>
      <c r="K29" s="1083"/>
      <c r="N29" s="1083"/>
      <c r="O29" s="1083"/>
      <c r="P29" s="1083"/>
      <c r="Q29" s="1083"/>
      <c r="R29" s="1083"/>
      <c r="S29" s="1083"/>
    </row>
    <row r="30" spans="1:19" ht="14.25">
      <c r="A30" s="1110" t="s">
        <v>1919</v>
      </c>
      <c r="B30" s="1101" t="s">
        <v>1711</v>
      </c>
      <c r="C30" s="1102">
        <f>'表24-1'!K31</f>
        <v>0</v>
      </c>
      <c r="D30" s="1107"/>
      <c r="E30" s="1104">
        <v>0.12809999999999999</v>
      </c>
      <c r="F30" s="1105">
        <f t="shared" si="0"/>
        <v>0</v>
      </c>
      <c r="H30" s="1083"/>
      <c r="I30" s="1083"/>
      <c r="J30" s="1083"/>
      <c r="K30" s="1083"/>
      <c r="N30" s="1083"/>
      <c r="O30" s="1083"/>
      <c r="P30" s="1083"/>
      <c r="Q30" s="1083"/>
      <c r="R30" s="1083"/>
      <c r="S30" s="1083"/>
    </row>
    <row r="31" spans="1:19" ht="14.25">
      <c r="A31" s="1110" t="s">
        <v>1920</v>
      </c>
      <c r="B31" s="1101" t="s">
        <v>1921</v>
      </c>
      <c r="C31" s="1102">
        <f>'表24-1'!K32</f>
        <v>0</v>
      </c>
      <c r="D31" s="1107"/>
      <c r="E31" s="1104">
        <v>0.36</v>
      </c>
      <c r="F31" s="1105">
        <f t="shared" si="0"/>
        <v>0</v>
      </c>
      <c r="H31" s="1083"/>
      <c r="I31" s="1083"/>
      <c r="J31" s="1083"/>
      <c r="K31" s="1083"/>
      <c r="N31" s="1083"/>
      <c r="O31" s="1083"/>
      <c r="P31" s="1083"/>
      <c r="Q31" s="1083"/>
      <c r="R31" s="1083"/>
      <c r="S31" s="1083"/>
    </row>
    <row r="32" spans="1:19" ht="14.25">
      <c r="A32" s="1110" t="s">
        <v>1922</v>
      </c>
      <c r="B32" s="1101" t="s">
        <v>1923</v>
      </c>
      <c r="C32" s="1102">
        <f>'表24-1'!K33</f>
        <v>0</v>
      </c>
      <c r="D32" s="1107"/>
      <c r="E32" s="1104">
        <v>0.75539999999999996</v>
      </c>
      <c r="F32" s="1105">
        <f t="shared" si="0"/>
        <v>0</v>
      </c>
      <c r="H32" s="1083"/>
      <c r="I32" s="1083"/>
      <c r="J32" s="1083"/>
      <c r="K32" s="1083"/>
      <c r="N32" s="1083"/>
      <c r="O32" s="1083"/>
      <c r="P32" s="1083"/>
      <c r="Q32" s="1083"/>
      <c r="R32" s="1083"/>
      <c r="S32" s="1083"/>
    </row>
    <row r="33" spans="1:19" ht="14.25">
      <c r="A33" s="1110" t="s">
        <v>1924</v>
      </c>
      <c r="B33" s="1101" t="s">
        <v>1712</v>
      </c>
      <c r="C33" s="1102">
        <f>'表24-1'!K34</f>
        <v>0</v>
      </c>
      <c r="D33" s="1107"/>
      <c r="E33" s="1104">
        <v>0.47339999999999999</v>
      </c>
      <c r="F33" s="1105">
        <f t="shared" si="0"/>
        <v>0</v>
      </c>
      <c r="H33" s="1083"/>
      <c r="I33" s="1083"/>
      <c r="J33" s="1083"/>
      <c r="K33" s="1083"/>
      <c r="N33" s="1083"/>
      <c r="O33" s="1083"/>
      <c r="P33" s="1083"/>
      <c r="Q33" s="1083"/>
      <c r="R33" s="1083"/>
      <c r="S33" s="1083"/>
    </row>
    <row r="34" spans="1:19" ht="14.25">
      <c r="A34" s="1110" t="s">
        <v>1925</v>
      </c>
      <c r="B34" s="1101" t="s">
        <v>1926</v>
      </c>
      <c r="C34" s="1102">
        <f>'表24-1'!K35</f>
        <v>0</v>
      </c>
      <c r="D34" s="1107"/>
      <c r="E34" s="1104">
        <v>0.47339999999999999</v>
      </c>
      <c r="F34" s="1105">
        <f t="shared" si="0"/>
        <v>0</v>
      </c>
      <c r="H34" s="1083"/>
      <c r="I34" s="1083"/>
      <c r="J34" s="1083"/>
      <c r="K34" s="1083"/>
      <c r="N34" s="1083"/>
      <c r="O34" s="1083"/>
      <c r="P34" s="1083"/>
      <c r="Q34" s="1083"/>
      <c r="R34" s="1083"/>
      <c r="S34" s="1083"/>
    </row>
    <row r="35" spans="1:19" ht="14.25">
      <c r="A35" s="1110" t="s">
        <v>1927</v>
      </c>
      <c r="B35" s="1101" t="s">
        <v>1713</v>
      </c>
      <c r="C35" s="1102">
        <f>'表24-1'!K36</f>
        <v>0</v>
      </c>
      <c r="D35" s="1107"/>
      <c r="E35" s="1104">
        <v>0.2399</v>
      </c>
      <c r="F35" s="1105">
        <f t="shared" si="0"/>
        <v>0</v>
      </c>
      <c r="H35" s="1083"/>
      <c r="I35" s="1083"/>
      <c r="J35" s="1083"/>
      <c r="K35" s="1083"/>
      <c r="N35" s="1083"/>
      <c r="O35" s="1083"/>
      <c r="P35" s="1083"/>
      <c r="Q35" s="1083"/>
      <c r="R35" s="1083"/>
      <c r="S35" s="1083"/>
    </row>
    <row r="36" spans="1:19" ht="14.25">
      <c r="A36" s="1110" t="s">
        <v>1928</v>
      </c>
      <c r="B36" s="1101" t="s">
        <v>1929</v>
      </c>
      <c r="C36" s="1102">
        <f>'表24-1'!K37</f>
        <v>0</v>
      </c>
      <c r="D36" s="1107"/>
      <c r="E36" s="1104">
        <v>0.2399</v>
      </c>
      <c r="F36" s="1105">
        <f t="shared" si="0"/>
        <v>0</v>
      </c>
      <c r="H36" s="1083"/>
      <c r="I36" s="1083"/>
      <c r="J36" s="1083"/>
      <c r="K36" s="1083"/>
      <c r="N36" s="1083"/>
      <c r="O36" s="1083"/>
      <c r="P36" s="1083"/>
      <c r="Q36" s="1083"/>
      <c r="R36" s="1083"/>
      <c r="S36" s="1083"/>
    </row>
    <row r="37" spans="1:19" ht="14.25">
      <c r="A37" s="1110" t="s">
        <v>1930</v>
      </c>
      <c r="B37" s="1101" t="s">
        <v>1931</v>
      </c>
      <c r="C37" s="1102">
        <f>'表24-1'!K38</f>
        <v>0</v>
      </c>
      <c r="D37" s="1107"/>
      <c r="E37" s="1104">
        <v>0.1351</v>
      </c>
      <c r="F37" s="1105">
        <f>ROUND(C37*E37,0)</f>
        <v>0</v>
      </c>
      <c r="H37" s="1083"/>
      <c r="I37" s="1083"/>
      <c r="J37" s="1083"/>
      <c r="K37" s="1083"/>
      <c r="N37" s="1083"/>
      <c r="O37" s="1083"/>
      <c r="P37" s="1083"/>
      <c r="Q37" s="1083"/>
      <c r="R37" s="1083"/>
      <c r="S37" s="1083"/>
    </row>
    <row r="38" spans="1:19" ht="14.25">
      <c r="A38" s="1109" t="s">
        <v>1714</v>
      </c>
      <c r="B38" s="1101"/>
      <c r="C38" s="1102">
        <f>SUM(C39:C46)</f>
        <v>0</v>
      </c>
      <c r="D38" s="1107"/>
      <c r="E38" s="1104"/>
      <c r="F38" s="1105">
        <f>SUM(F39:F46)</f>
        <v>0</v>
      </c>
      <c r="H38" s="1083"/>
      <c r="I38" s="1083"/>
      <c r="J38" s="1083"/>
      <c r="K38" s="1083"/>
      <c r="N38" s="1083"/>
      <c r="O38" s="1083"/>
      <c r="P38" s="1083"/>
      <c r="Q38" s="1083"/>
      <c r="R38" s="1083"/>
      <c r="S38" s="1083"/>
    </row>
    <row r="39" spans="1:19" ht="14.25">
      <c r="A39" s="1110" t="s">
        <v>2079</v>
      </c>
      <c r="B39" s="1101" t="s">
        <v>1932</v>
      </c>
      <c r="C39" s="1102">
        <f>'表24-1'!K40</f>
        <v>0</v>
      </c>
      <c r="D39" s="1107"/>
      <c r="E39" s="1104">
        <v>0.60589999999999999</v>
      </c>
      <c r="F39" s="1105">
        <f t="shared" ref="F39:F46" si="1">ROUND(C39*E39,0)</f>
        <v>0</v>
      </c>
      <c r="H39" s="1083"/>
      <c r="I39" s="1083"/>
      <c r="J39" s="1083"/>
      <c r="K39" s="1083"/>
      <c r="N39" s="1083"/>
      <c r="O39" s="1083"/>
      <c r="P39" s="1083"/>
      <c r="Q39" s="1083"/>
      <c r="R39" s="1083"/>
      <c r="S39" s="1083"/>
    </row>
    <row r="40" spans="1:19" ht="14.25">
      <c r="A40" s="1110" t="s">
        <v>2080</v>
      </c>
      <c r="B40" s="1101" t="s">
        <v>1933</v>
      </c>
      <c r="C40" s="1102">
        <f>'表24-1'!K41</f>
        <v>0</v>
      </c>
      <c r="D40" s="1107"/>
      <c r="E40" s="1104">
        <v>0.4158</v>
      </c>
      <c r="F40" s="1105">
        <f t="shared" si="1"/>
        <v>0</v>
      </c>
      <c r="H40" s="1083"/>
      <c r="I40" s="1083"/>
      <c r="J40" s="1083"/>
      <c r="K40" s="1083"/>
      <c r="N40" s="1083"/>
      <c r="O40" s="1083"/>
      <c r="P40" s="1083"/>
      <c r="Q40" s="1083"/>
      <c r="R40" s="1083"/>
      <c r="S40" s="1083"/>
    </row>
    <row r="41" spans="1:19" ht="14.25">
      <c r="A41" s="1110" t="s">
        <v>1934</v>
      </c>
      <c r="B41" s="1101" t="s">
        <v>1935</v>
      </c>
      <c r="C41" s="1102">
        <f>'表24-1'!K42</f>
        <v>0</v>
      </c>
      <c r="D41" s="1107"/>
      <c r="E41" s="1104">
        <v>0.4158</v>
      </c>
      <c r="F41" s="1105">
        <f t="shared" si="1"/>
        <v>0</v>
      </c>
      <c r="H41" s="1083"/>
      <c r="I41" s="1083"/>
      <c r="J41" s="1083"/>
      <c r="K41" s="1083"/>
      <c r="N41" s="1083"/>
      <c r="O41" s="1083"/>
      <c r="P41" s="1083"/>
      <c r="Q41" s="1083"/>
      <c r="R41" s="1083"/>
      <c r="S41" s="1083"/>
    </row>
    <row r="42" spans="1:19" ht="14.25">
      <c r="A42" s="1110" t="s">
        <v>2081</v>
      </c>
      <c r="B42" s="1101" t="s">
        <v>1936</v>
      </c>
      <c r="C42" s="1102">
        <f>'表24-1'!K43</f>
        <v>0</v>
      </c>
      <c r="D42" s="1107"/>
      <c r="E42" s="1104">
        <v>0.4158</v>
      </c>
      <c r="F42" s="1105">
        <f t="shared" si="1"/>
        <v>0</v>
      </c>
      <c r="H42" s="1083"/>
      <c r="I42" s="1083"/>
      <c r="J42" s="1083"/>
      <c r="K42" s="1083"/>
      <c r="N42" s="1083"/>
      <c r="O42" s="1083"/>
      <c r="P42" s="1083"/>
      <c r="Q42" s="1083"/>
      <c r="R42" s="1083"/>
      <c r="S42" s="1083"/>
    </row>
    <row r="43" spans="1:19" ht="14.25">
      <c r="A43" s="1110" t="s">
        <v>1937</v>
      </c>
      <c r="B43" s="1101" t="s">
        <v>1938</v>
      </c>
      <c r="C43" s="1102">
        <f>'表24-1'!K44</f>
        <v>0</v>
      </c>
      <c r="D43" s="1107"/>
      <c r="E43" s="1104">
        <v>0.4647</v>
      </c>
      <c r="F43" s="1105">
        <f t="shared" si="1"/>
        <v>0</v>
      </c>
      <c r="H43" s="1083"/>
      <c r="I43" s="1083"/>
      <c r="J43" s="1083"/>
      <c r="K43" s="1083"/>
      <c r="N43" s="1083"/>
      <c r="O43" s="1083"/>
      <c r="P43" s="1083"/>
      <c r="Q43" s="1083"/>
      <c r="R43" s="1083"/>
      <c r="S43" s="1083"/>
    </row>
    <row r="44" spans="1:19" ht="14.25">
      <c r="A44" s="1110" t="s">
        <v>1939</v>
      </c>
      <c r="B44" s="1101" t="s">
        <v>1940</v>
      </c>
      <c r="C44" s="1102">
        <f>'表24-1'!K45</f>
        <v>0</v>
      </c>
      <c r="D44" s="1107"/>
      <c r="E44" s="1104">
        <v>1.1553</v>
      </c>
      <c r="F44" s="1105">
        <f t="shared" si="1"/>
        <v>0</v>
      </c>
      <c r="H44" s="1083"/>
      <c r="I44" s="1083"/>
      <c r="J44" s="1083"/>
      <c r="K44" s="1083"/>
      <c r="N44" s="1083"/>
      <c r="O44" s="1083"/>
      <c r="P44" s="1083"/>
      <c r="Q44" s="1083"/>
      <c r="R44" s="1083"/>
      <c r="S44" s="1083"/>
    </row>
    <row r="45" spans="1:19" ht="14.25">
      <c r="A45" s="1110" t="s">
        <v>1941</v>
      </c>
      <c r="B45" s="1101" t="s">
        <v>1715</v>
      </c>
      <c r="C45" s="1102">
        <f>'表24-1'!K46</f>
        <v>0</v>
      </c>
      <c r="D45" s="1107"/>
      <c r="E45" s="1104">
        <v>0.60589999999999999</v>
      </c>
      <c r="F45" s="1105">
        <f t="shared" si="1"/>
        <v>0</v>
      </c>
      <c r="H45" s="1083"/>
      <c r="I45" s="1083"/>
      <c r="J45" s="1083"/>
      <c r="K45" s="1083"/>
      <c r="N45" s="1083"/>
      <c r="O45" s="1083"/>
      <c r="P45" s="1083"/>
      <c r="Q45" s="1083"/>
      <c r="R45" s="1083"/>
      <c r="S45" s="1083"/>
    </row>
    <row r="46" spans="1:19" ht="14.25">
      <c r="A46" s="1110" t="s">
        <v>2082</v>
      </c>
      <c r="B46" s="1101" t="s">
        <v>1942</v>
      </c>
      <c r="C46" s="1102">
        <f>'表24-1'!K47</f>
        <v>0</v>
      </c>
      <c r="D46" s="1107"/>
      <c r="E46" s="1104">
        <v>0.67479999999999996</v>
      </c>
      <c r="F46" s="1105">
        <f t="shared" si="1"/>
        <v>0</v>
      </c>
      <c r="H46" s="1083"/>
      <c r="I46" s="1083"/>
      <c r="J46" s="1083"/>
      <c r="K46" s="1083"/>
      <c r="N46" s="1083"/>
      <c r="O46" s="1083"/>
      <c r="P46" s="1083"/>
      <c r="Q46" s="1083"/>
      <c r="R46" s="1083"/>
      <c r="S46" s="1083"/>
    </row>
    <row r="47" spans="1:19" ht="14.25">
      <c r="A47" s="1106" t="s">
        <v>1943</v>
      </c>
      <c r="B47" s="1101"/>
      <c r="C47" s="1102">
        <f>C48+C56</f>
        <v>0</v>
      </c>
      <c r="D47" s="1107"/>
      <c r="E47" s="1108"/>
      <c r="F47" s="1105">
        <f>F48+F56</f>
        <v>0</v>
      </c>
      <c r="H47" s="1083"/>
      <c r="I47" s="1083"/>
      <c r="J47" s="1083"/>
      <c r="K47" s="1083"/>
      <c r="N47" s="1083"/>
      <c r="O47" s="1083"/>
      <c r="P47" s="1083"/>
      <c r="Q47" s="1083"/>
      <c r="R47" s="1083"/>
      <c r="S47" s="1083"/>
    </row>
    <row r="48" spans="1:19" ht="14.25">
      <c r="A48" s="1109" t="s">
        <v>1944</v>
      </c>
      <c r="B48" s="1101"/>
      <c r="C48" s="1102">
        <f>SUM(C49:C55)</f>
        <v>0</v>
      </c>
      <c r="D48" s="1107"/>
      <c r="E48" s="1108"/>
      <c r="F48" s="1105">
        <f>SUM(F49:F55)</f>
        <v>0</v>
      </c>
      <c r="H48" s="1083"/>
      <c r="I48" s="1083"/>
      <c r="J48" s="1083"/>
      <c r="K48" s="1083"/>
      <c r="N48" s="1083"/>
      <c r="O48" s="1083"/>
      <c r="P48" s="1083"/>
      <c r="Q48" s="1083"/>
      <c r="R48" s="1083"/>
      <c r="S48" s="1083"/>
    </row>
    <row r="49" spans="1:19" ht="14.25">
      <c r="A49" s="1110" t="s">
        <v>1716</v>
      </c>
      <c r="B49" s="1101" t="s">
        <v>1945</v>
      </c>
      <c r="C49" s="1102">
        <f>'表24-2'!K9</f>
        <v>0</v>
      </c>
      <c r="D49" s="1107"/>
      <c r="E49" s="1104">
        <v>3.0000000000000001E-3</v>
      </c>
      <c r="F49" s="1105">
        <f t="shared" ref="F49:F55" si="2">ROUND(C49*E49,0)</f>
        <v>0</v>
      </c>
      <c r="H49" s="1083"/>
      <c r="I49" s="1083"/>
      <c r="J49" s="1083"/>
      <c r="K49" s="1083"/>
      <c r="N49" s="1083"/>
      <c r="O49" s="1083"/>
      <c r="P49" s="1083"/>
      <c r="Q49" s="1083"/>
      <c r="R49" s="1083"/>
      <c r="S49" s="1083"/>
    </row>
    <row r="50" spans="1:19" ht="14.25">
      <c r="A50" s="1110" t="s">
        <v>1717</v>
      </c>
      <c r="B50" s="1101" t="s">
        <v>1946</v>
      </c>
      <c r="C50" s="1102">
        <f>'表24-2'!K10</f>
        <v>0</v>
      </c>
      <c r="D50" s="1107"/>
      <c r="E50" s="1104">
        <v>0.02</v>
      </c>
      <c r="F50" s="1105">
        <f t="shared" si="2"/>
        <v>0</v>
      </c>
      <c r="H50" s="1083"/>
      <c r="I50" s="1083"/>
      <c r="J50" s="1083"/>
      <c r="K50" s="1083"/>
      <c r="N50" s="1083"/>
      <c r="O50" s="1083"/>
      <c r="P50" s="1083"/>
      <c r="Q50" s="1083"/>
      <c r="R50" s="1083"/>
      <c r="S50" s="1083"/>
    </row>
    <row r="51" spans="1:19" ht="14.25">
      <c r="A51" s="1110" t="s">
        <v>1947</v>
      </c>
      <c r="B51" s="1101" t="s">
        <v>1718</v>
      </c>
      <c r="C51" s="1102">
        <f>'表24-2'!K11</f>
        <v>0</v>
      </c>
      <c r="D51" s="1107"/>
      <c r="E51" s="1104">
        <v>0.1351</v>
      </c>
      <c r="F51" s="1105">
        <f t="shared" si="2"/>
        <v>0</v>
      </c>
      <c r="H51" s="1083"/>
      <c r="I51" s="1083"/>
      <c r="J51" s="1083"/>
      <c r="K51" s="1083"/>
      <c r="N51" s="1083"/>
      <c r="O51" s="1083"/>
      <c r="P51" s="1083"/>
      <c r="Q51" s="1083"/>
      <c r="R51" s="1083"/>
      <c r="S51" s="1083"/>
    </row>
    <row r="52" spans="1:19" ht="14.25">
      <c r="A52" s="1110" t="s">
        <v>1948</v>
      </c>
      <c r="B52" s="1101" t="s">
        <v>1949</v>
      </c>
      <c r="C52" s="1102">
        <f>'表24-2'!K12</f>
        <v>0</v>
      </c>
      <c r="D52" s="1107"/>
      <c r="E52" s="1111">
        <v>7.5000000000000002E-4</v>
      </c>
      <c r="F52" s="1105">
        <f t="shared" si="2"/>
        <v>0</v>
      </c>
      <c r="H52" s="1083"/>
      <c r="I52" s="1083"/>
      <c r="J52" s="1083"/>
      <c r="K52" s="1083"/>
      <c r="N52" s="1083"/>
      <c r="O52" s="1083"/>
      <c r="P52" s="1083"/>
      <c r="Q52" s="1083"/>
      <c r="R52" s="1083"/>
      <c r="S52" s="1083"/>
    </row>
    <row r="53" spans="1:19" ht="14.25">
      <c r="A53" s="1110" t="s">
        <v>1950</v>
      </c>
      <c r="B53" s="1101" t="s">
        <v>1951</v>
      </c>
      <c r="C53" s="1102">
        <f>'表24-2'!K13</f>
        <v>0</v>
      </c>
      <c r="D53" s="1107"/>
      <c r="E53" s="1111">
        <v>0</v>
      </c>
      <c r="F53" s="1105">
        <f t="shared" si="2"/>
        <v>0</v>
      </c>
      <c r="H53" s="1083"/>
      <c r="I53" s="1083"/>
      <c r="J53" s="1083"/>
      <c r="K53" s="1083"/>
      <c r="N53" s="1083"/>
      <c r="O53" s="1083"/>
      <c r="P53" s="1083"/>
      <c r="Q53" s="1083"/>
      <c r="R53" s="1083"/>
      <c r="S53" s="1083"/>
    </row>
    <row r="54" spans="1:19" ht="14.25">
      <c r="A54" s="1110" t="s">
        <v>1719</v>
      </c>
      <c r="B54" s="1101" t="s">
        <v>1720</v>
      </c>
      <c r="C54" s="1102">
        <f>'表24-2'!K14</f>
        <v>0</v>
      </c>
      <c r="D54" s="1107"/>
      <c r="E54" s="1111">
        <v>1.2500000000000001E-2</v>
      </c>
      <c r="F54" s="1105">
        <f t="shared" si="2"/>
        <v>0</v>
      </c>
      <c r="H54" s="1083"/>
      <c r="I54" s="1083"/>
      <c r="J54" s="1083"/>
      <c r="K54" s="1083"/>
      <c r="N54" s="1083"/>
      <c r="O54" s="1083"/>
      <c r="P54" s="1083"/>
      <c r="Q54" s="1083"/>
      <c r="R54" s="1083"/>
      <c r="S54" s="1083"/>
    </row>
    <row r="55" spans="1:19" ht="14.25">
      <c r="A55" s="1110" t="s">
        <v>1721</v>
      </c>
      <c r="B55" s="1101" t="s">
        <v>1722</v>
      </c>
      <c r="C55" s="1102">
        <f>'表24-2'!K15</f>
        <v>0</v>
      </c>
      <c r="D55" s="1107"/>
      <c r="E55" s="1111">
        <v>1.2500000000000001E-2</v>
      </c>
      <c r="F55" s="1105">
        <f t="shared" si="2"/>
        <v>0</v>
      </c>
      <c r="H55" s="1083"/>
      <c r="I55" s="1083"/>
      <c r="J55" s="1083"/>
      <c r="K55" s="1083"/>
      <c r="N55" s="1083"/>
      <c r="O55" s="1083"/>
      <c r="P55" s="1083"/>
      <c r="Q55" s="1083"/>
      <c r="R55" s="1083"/>
      <c r="S55" s="1083"/>
    </row>
    <row r="56" spans="1:19" ht="14.25">
      <c r="A56" s="1109" t="s">
        <v>1952</v>
      </c>
      <c r="B56" s="1101"/>
      <c r="C56" s="1102">
        <f>SUM(C57:C61)</f>
        <v>0</v>
      </c>
      <c r="D56" s="1107"/>
      <c r="E56" s="1104"/>
      <c r="F56" s="1105">
        <f>SUM(F57:F61)</f>
        <v>0</v>
      </c>
      <c r="H56" s="1083"/>
      <c r="I56" s="1083"/>
      <c r="J56" s="1083"/>
      <c r="K56" s="1083"/>
      <c r="N56" s="1083"/>
      <c r="O56" s="1083"/>
      <c r="P56" s="1083"/>
      <c r="Q56" s="1083"/>
      <c r="R56" s="1083"/>
      <c r="S56" s="1083"/>
    </row>
    <row r="57" spans="1:19" ht="14.25">
      <c r="A57" s="1110" t="s">
        <v>1953</v>
      </c>
      <c r="B57" s="1101" t="s">
        <v>1954</v>
      </c>
      <c r="C57" s="1102">
        <f>'表24-2'!K17</f>
        <v>0</v>
      </c>
      <c r="D57" s="1107"/>
      <c r="E57" s="1104">
        <v>3.0000000000000001E-3</v>
      </c>
      <c r="F57" s="1105">
        <f>ROUND(C57*E57,0)</f>
        <v>0</v>
      </c>
      <c r="H57" s="1083"/>
      <c r="I57" s="1083"/>
      <c r="J57" s="1083"/>
      <c r="K57" s="1083"/>
      <c r="N57" s="1083"/>
      <c r="O57" s="1083"/>
      <c r="P57" s="1083"/>
      <c r="Q57" s="1083"/>
      <c r="R57" s="1083"/>
      <c r="S57" s="1083"/>
    </row>
    <row r="58" spans="1:19" ht="14.25">
      <c r="A58" s="1110" t="s">
        <v>1723</v>
      </c>
      <c r="B58" s="1101" t="s">
        <v>1955</v>
      </c>
      <c r="C58" s="1102">
        <f>'表24-2'!K18</f>
        <v>0</v>
      </c>
      <c r="D58" s="1107"/>
      <c r="E58" s="1104">
        <v>0.02</v>
      </c>
      <c r="F58" s="1105">
        <f>ROUND(C58*E58,0)</f>
        <v>0</v>
      </c>
      <c r="H58" s="1083"/>
      <c r="I58" s="1083"/>
      <c r="J58" s="1083"/>
      <c r="K58" s="1083"/>
      <c r="N58" s="1083"/>
      <c r="O58" s="1083"/>
      <c r="P58" s="1083"/>
      <c r="Q58" s="1083"/>
      <c r="R58" s="1083"/>
      <c r="S58" s="1083"/>
    </row>
    <row r="59" spans="1:19" ht="14.25">
      <c r="A59" s="1110" t="s">
        <v>1956</v>
      </c>
      <c r="B59" s="1101" t="s">
        <v>1957</v>
      </c>
      <c r="C59" s="1102">
        <f>'表24-2'!K19</f>
        <v>0</v>
      </c>
      <c r="D59" s="1107"/>
      <c r="E59" s="1104">
        <v>0.1351</v>
      </c>
      <c r="F59" s="1105">
        <f>ROUND(C59*E59,0)</f>
        <v>0</v>
      </c>
      <c r="H59" s="1083"/>
      <c r="I59" s="1083"/>
      <c r="J59" s="1083"/>
      <c r="K59" s="1083"/>
      <c r="N59" s="1083"/>
      <c r="O59" s="1083"/>
      <c r="P59" s="1083"/>
      <c r="Q59" s="1083"/>
      <c r="R59" s="1083"/>
      <c r="S59" s="1083"/>
    </row>
    <row r="60" spans="1:19" ht="14.25">
      <c r="A60" s="1110" t="s">
        <v>1958</v>
      </c>
      <c r="B60" s="1101" t="s">
        <v>1959</v>
      </c>
      <c r="C60" s="1102">
        <f>'表24-2'!K20</f>
        <v>0</v>
      </c>
      <c r="D60" s="1107"/>
      <c r="E60" s="1111">
        <v>7.5000000000000002E-4</v>
      </c>
      <c r="F60" s="1105">
        <f>ROUND(C60*E60,0)</f>
        <v>0</v>
      </c>
      <c r="H60" s="1083"/>
      <c r="I60" s="1083"/>
      <c r="J60" s="1083"/>
      <c r="K60" s="1083"/>
      <c r="N60" s="1083"/>
      <c r="O60" s="1083"/>
      <c r="P60" s="1083"/>
      <c r="Q60" s="1083"/>
      <c r="R60" s="1083"/>
      <c r="S60" s="1083"/>
    </row>
    <row r="61" spans="1:19" ht="14.25">
      <c r="A61" s="1110" t="s">
        <v>1960</v>
      </c>
      <c r="B61" s="1101" t="s">
        <v>1961</v>
      </c>
      <c r="C61" s="1102">
        <f>'表24-2'!K21</f>
        <v>0</v>
      </c>
      <c r="D61" s="1107"/>
      <c r="E61" s="1111">
        <v>0</v>
      </c>
      <c r="F61" s="1105">
        <f>ROUND(C61*E61,0)</f>
        <v>0</v>
      </c>
      <c r="H61" s="1083"/>
      <c r="I61" s="1083"/>
      <c r="J61" s="1083"/>
      <c r="K61" s="1083"/>
      <c r="N61" s="1083"/>
      <c r="O61" s="1083"/>
      <c r="P61" s="1083"/>
      <c r="Q61" s="1083"/>
      <c r="R61" s="1083"/>
      <c r="S61" s="1083"/>
    </row>
    <row r="62" spans="1:19" ht="14.25">
      <c r="A62" s="1100" t="s">
        <v>1962</v>
      </c>
      <c r="B62" s="1101"/>
      <c r="C62" s="1102">
        <f>C63+C66</f>
        <v>0</v>
      </c>
      <c r="D62" s="1107"/>
      <c r="E62" s="1104"/>
      <c r="F62" s="1105">
        <f>F63+F66</f>
        <v>0</v>
      </c>
      <c r="H62" s="1083"/>
      <c r="I62" s="1083"/>
      <c r="J62" s="1083"/>
      <c r="K62" s="1083"/>
      <c r="N62" s="1083"/>
      <c r="O62" s="1083"/>
      <c r="P62" s="1083"/>
      <c r="Q62" s="1083"/>
      <c r="R62" s="1083"/>
      <c r="S62" s="1083"/>
    </row>
    <row r="63" spans="1:19" ht="14.25">
      <c r="A63" s="1106" t="s">
        <v>1963</v>
      </c>
      <c r="B63" s="1101"/>
      <c r="C63" s="1102">
        <f>SUM(C64:C65)</f>
        <v>0</v>
      </c>
      <c r="D63" s="1107"/>
      <c r="E63" s="1104"/>
      <c r="F63" s="1105">
        <f>SUM(F64:F65)</f>
        <v>0</v>
      </c>
      <c r="H63" s="1083"/>
      <c r="I63" s="1083"/>
      <c r="J63" s="1083"/>
      <c r="K63" s="1083"/>
      <c r="N63" s="1083"/>
      <c r="O63" s="1083"/>
      <c r="P63" s="1083"/>
      <c r="Q63" s="1083"/>
      <c r="R63" s="1083"/>
      <c r="S63" s="1083"/>
    </row>
    <row r="64" spans="1:19" ht="14.25">
      <c r="A64" s="1109" t="s">
        <v>1724</v>
      </c>
      <c r="B64" s="1101" t="s">
        <v>2071</v>
      </c>
      <c r="C64" s="1102">
        <f>'表24-1'!W8</f>
        <v>0</v>
      </c>
      <c r="D64" s="1107"/>
      <c r="E64" s="1104">
        <v>0.21840000000000001</v>
      </c>
      <c r="F64" s="1105">
        <f>ROUND(C64*E64,0)</f>
        <v>0</v>
      </c>
      <c r="H64" s="1083"/>
      <c r="I64" s="1083"/>
      <c r="J64" s="1083"/>
      <c r="K64" s="1083"/>
      <c r="N64" s="1083"/>
      <c r="O64" s="1083"/>
      <c r="P64" s="1083"/>
      <c r="Q64" s="1083"/>
      <c r="R64" s="1083"/>
      <c r="S64" s="1083"/>
    </row>
    <row r="65" spans="1:19" ht="14.25">
      <c r="A65" s="1109" t="s">
        <v>1964</v>
      </c>
      <c r="B65" s="1101" t="s">
        <v>2072</v>
      </c>
      <c r="C65" s="1102">
        <f>'表24-1'!W39</f>
        <v>0</v>
      </c>
      <c r="D65" s="1107"/>
      <c r="E65" s="1104">
        <v>0.49819999999999998</v>
      </c>
      <c r="F65" s="1105">
        <f>ROUND(C65*E65,0)</f>
        <v>0</v>
      </c>
      <c r="H65" s="1083"/>
      <c r="I65" s="1083"/>
      <c r="J65" s="1083"/>
      <c r="K65" s="1083"/>
      <c r="N65" s="1083"/>
      <c r="O65" s="1083"/>
      <c r="P65" s="1083"/>
      <c r="Q65" s="1083"/>
      <c r="R65" s="1083"/>
      <c r="S65" s="1083"/>
    </row>
    <row r="66" spans="1:19" ht="14.25">
      <c r="A66" s="1106" t="s">
        <v>1965</v>
      </c>
      <c r="B66" s="1101"/>
      <c r="C66" s="1102">
        <f>SUM(C67:C68)</f>
        <v>0</v>
      </c>
      <c r="D66" s="1107"/>
      <c r="E66" s="1104"/>
      <c r="F66" s="1105">
        <f>SUM(F67:F68)</f>
        <v>0</v>
      </c>
      <c r="H66" s="1083"/>
      <c r="I66" s="1083"/>
      <c r="J66" s="1083"/>
      <c r="K66" s="1083"/>
      <c r="N66" s="1083"/>
      <c r="O66" s="1083"/>
      <c r="P66" s="1083"/>
      <c r="Q66" s="1083"/>
      <c r="R66" s="1083"/>
      <c r="S66" s="1083"/>
    </row>
    <row r="67" spans="1:19" ht="14.25">
      <c r="A67" s="1109" t="s">
        <v>1966</v>
      </c>
      <c r="B67" s="1101" t="s">
        <v>2073</v>
      </c>
      <c r="C67" s="1102">
        <f>'表24-2'!W8</f>
        <v>0</v>
      </c>
      <c r="D67" s="1107"/>
      <c r="E67" s="1104">
        <v>0.1351</v>
      </c>
      <c r="F67" s="1105">
        <f>ROUND(C67*E67,0)</f>
        <v>0</v>
      </c>
      <c r="H67" s="1083"/>
      <c r="I67" s="1083"/>
      <c r="J67" s="1083"/>
      <c r="K67" s="1083"/>
      <c r="N67" s="1083"/>
      <c r="O67" s="1083"/>
      <c r="P67" s="1083"/>
      <c r="Q67" s="1083"/>
      <c r="R67" s="1083"/>
      <c r="S67" s="1083"/>
    </row>
    <row r="68" spans="1:19" ht="14.25">
      <c r="A68" s="1109" t="s">
        <v>1725</v>
      </c>
      <c r="B68" s="1101" t="s">
        <v>2074</v>
      </c>
      <c r="C68" s="1102">
        <f>'表24-2'!W16</f>
        <v>0</v>
      </c>
      <c r="D68" s="1107"/>
      <c r="E68" s="1104">
        <v>0.1351</v>
      </c>
      <c r="F68" s="1105">
        <f>ROUND(C68*E68,0)</f>
        <v>0</v>
      </c>
      <c r="H68" s="1083"/>
      <c r="I68" s="1083"/>
      <c r="J68" s="1083"/>
      <c r="K68" s="1083"/>
      <c r="N68" s="1083"/>
      <c r="O68" s="1083"/>
      <c r="P68" s="1083"/>
      <c r="Q68" s="1083"/>
      <c r="R68" s="1083"/>
      <c r="S68" s="1083"/>
    </row>
    <row r="69" spans="1:19" ht="14.25">
      <c r="A69" s="1112" t="s">
        <v>1967</v>
      </c>
      <c r="B69" s="1101"/>
      <c r="C69" s="1102">
        <f>F4</f>
        <v>0</v>
      </c>
      <c r="D69" s="1103"/>
      <c r="E69" s="1104">
        <v>1</v>
      </c>
      <c r="F69" s="1105">
        <f>ROUND(C69*E69,0)</f>
        <v>0</v>
      </c>
      <c r="H69" s="1083"/>
      <c r="I69" s="1083"/>
      <c r="J69" s="1083"/>
      <c r="K69" s="1083"/>
      <c r="N69" s="1083"/>
      <c r="O69" s="1083"/>
      <c r="P69" s="1083"/>
      <c r="Q69" s="1083"/>
      <c r="R69" s="1083"/>
      <c r="S69" s="1083"/>
    </row>
    <row r="70" spans="1:19" ht="14.25">
      <c r="A70" s="1112" t="s">
        <v>1968</v>
      </c>
      <c r="B70" s="1101"/>
      <c r="C70" s="1102">
        <f>F69</f>
        <v>0</v>
      </c>
      <c r="D70" s="1103"/>
      <c r="E70" s="1104" t="e">
        <f>'表30-11'!D70</f>
        <v>#DIV/0!</v>
      </c>
      <c r="F70" s="1105" t="e">
        <f>ROUND(C70*E70,0)</f>
        <v>#DIV/0!</v>
      </c>
      <c r="H70" s="1083"/>
      <c r="I70" s="1083"/>
      <c r="J70" s="1083"/>
      <c r="K70" s="1083"/>
      <c r="N70" s="1083"/>
      <c r="O70" s="1083"/>
      <c r="P70" s="1083"/>
      <c r="Q70" s="1083"/>
      <c r="R70" s="1083"/>
      <c r="S70" s="1083"/>
    </row>
    <row r="71" spans="1:19" ht="15" thickBot="1">
      <c r="A71" s="1113" t="s">
        <v>1969</v>
      </c>
      <c r="B71" s="1114"/>
      <c r="C71" s="1115">
        <f>C4</f>
        <v>0</v>
      </c>
      <c r="D71" s="1116"/>
      <c r="E71" s="1116">
        <f>'表30-12'!G13</f>
        <v>0</v>
      </c>
      <c r="F71" s="1117">
        <f>ROUND(C71*E71,0)</f>
        <v>0</v>
      </c>
      <c r="H71" s="1083"/>
      <c r="I71" s="1083"/>
      <c r="J71" s="1083"/>
      <c r="K71" s="1083"/>
      <c r="N71" s="1083"/>
      <c r="O71" s="1083"/>
      <c r="P71" s="1083"/>
      <c r="Q71" s="1083"/>
      <c r="R71" s="1083"/>
      <c r="S71" s="1083"/>
    </row>
    <row r="72" spans="1:19" ht="15.75" thickTop="1" thickBot="1">
      <c r="A72" s="1118" t="s">
        <v>1970</v>
      </c>
      <c r="B72" s="1119"/>
      <c r="C72" s="1120">
        <f>C4</f>
        <v>0</v>
      </c>
      <c r="D72" s="1121"/>
      <c r="E72" s="1121"/>
      <c r="F72" s="1122" t="e">
        <f>F70+F71</f>
        <v>#DIV/0!</v>
      </c>
      <c r="H72" s="1083"/>
      <c r="I72" s="1083"/>
      <c r="J72" s="1083"/>
      <c r="K72" s="1083"/>
      <c r="N72" s="1083"/>
      <c r="O72" s="1083"/>
      <c r="P72" s="1083"/>
      <c r="Q72" s="1083"/>
      <c r="R72" s="1083"/>
      <c r="S72" s="1083"/>
    </row>
    <row r="73" spans="1:19" ht="14.25">
      <c r="A73" s="1123" t="s">
        <v>1971</v>
      </c>
      <c r="B73" s="1124"/>
      <c r="C73" s="1125">
        <f>C74+C131</f>
        <v>0</v>
      </c>
      <c r="D73" s="1126"/>
      <c r="E73" s="1127"/>
      <c r="F73" s="1128">
        <f>F74+F131</f>
        <v>0</v>
      </c>
    </row>
    <row r="74" spans="1:19">
      <c r="A74" s="1130" t="s">
        <v>1972</v>
      </c>
      <c r="B74" s="1411"/>
      <c r="C74" s="1233">
        <f>C75+C116</f>
        <v>0</v>
      </c>
      <c r="D74" s="1235"/>
      <c r="E74" s="1098"/>
      <c r="F74" s="1105">
        <f>F75+F116</f>
        <v>0</v>
      </c>
    </row>
    <row r="75" spans="1:19">
      <c r="A75" s="1106" t="s">
        <v>1726</v>
      </c>
      <c r="B75" s="1412"/>
      <c r="C75" s="1234">
        <f>C76+C107</f>
        <v>0</v>
      </c>
      <c r="D75" s="1236"/>
      <c r="E75" s="1104"/>
      <c r="F75" s="1105">
        <f>F76+F107</f>
        <v>0</v>
      </c>
    </row>
    <row r="76" spans="1:19">
      <c r="A76" s="1109" t="s">
        <v>1973</v>
      </c>
      <c r="B76" s="1412"/>
      <c r="C76" s="1234">
        <f>SUM(C77:C106)</f>
        <v>0</v>
      </c>
      <c r="D76" s="1236"/>
      <c r="E76" s="1104"/>
      <c r="F76" s="1105">
        <f>SUM(F77:F106)</f>
        <v>0</v>
      </c>
    </row>
    <row r="77" spans="1:19">
      <c r="A77" s="1110" t="s">
        <v>1727</v>
      </c>
      <c r="B77" s="1412" t="s">
        <v>1609</v>
      </c>
      <c r="C77" s="1234">
        <f>'表22-3'!E8</f>
        <v>0</v>
      </c>
      <c r="D77" s="1236"/>
      <c r="E77" s="1104">
        <v>0.29170000000000001</v>
      </c>
      <c r="F77" s="1105">
        <f>ROUND((C77+D77)*E77,0)</f>
        <v>0</v>
      </c>
    </row>
    <row r="78" spans="1:19">
      <c r="A78" s="1110" t="s">
        <v>1974</v>
      </c>
      <c r="B78" s="1412" t="s">
        <v>1610</v>
      </c>
      <c r="C78" s="1234">
        <f>'表22-3'!E9</f>
        <v>0</v>
      </c>
      <c r="D78" s="1236"/>
      <c r="E78" s="1104">
        <v>0.29170000000000001</v>
      </c>
      <c r="F78" s="1105">
        <f t="shared" ref="F78:F115" si="3">ROUND((C78+D78)*E78,0)</f>
        <v>0</v>
      </c>
    </row>
    <row r="79" spans="1:19">
      <c r="A79" s="1110" t="s">
        <v>1975</v>
      </c>
      <c r="B79" s="1412" t="s">
        <v>1611</v>
      </c>
      <c r="C79" s="1234">
        <f>'表22-3'!E10</f>
        <v>0</v>
      </c>
      <c r="D79" s="1236"/>
      <c r="E79" s="1104">
        <v>0.29170000000000001</v>
      </c>
      <c r="F79" s="1105">
        <f t="shared" si="3"/>
        <v>0</v>
      </c>
    </row>
    <row r="80" spans="1:19">
      <c r="A80" s="1110" t="s">
        <v>1976</v>
      </c>
      <c r="B80" s="1412" t="s">
        <v>1612</v>
      </c>
      <c r="C80" s="1234">
        <f>'表22-3'!E11</f>
        <v>0</v>
      </c>
      <c r="D80" s="1236"/>
      <c r="E80" s="1104">
        <v>0.29170000000000001</v>
      </c>
      <c r="F80" s="1105">
        <f t="shared" si="3"/>
        <v>0</v>
      </c>
    </row>
    <row r="81" spans="1:6">
      <c r="A81" s="1110" t="s">
        <v>1977</v>
      </c>
      <c r="B81" s="1412" t="s">
        <v>1613</v>
      </c>
      <c r="C81" s="1234">
        <f>'表22-3'!E12</f>
        <v>0</v>
      </c>
      <c r="D81" s="1236"/>
      <c r="E81" s="1104">
        <v>0.18459999999999999</v>
      </c>
      <c r="F81" s="1105">
        <f t="shared" si="3"/>
        <v>0</v>
      </c>
    </row>
    <row r="82" spans="1:6">
      <c r="A82" s="1110" t="s">
        <v>1728</v>
      </c>
      <c r="B82" s="1412" t="s">
        <v>1614</v>
      </c>
      <c r="C82" s="1234">
        <f>'表22-3'!E13</f>
        <v>0</v>
      </c>
      <c r="D82" s="1236"/>
      <c r="E82" s="1104">
        <v>0.18459999999999999</v>
      </c>
      <c r="F82" s="1105">
        <f t="shared" si="3"/>
        <v>0</v>
      </c>
    </row>
    <row r="83" spans="1:6">
      <c r="A83" s="1110" t="s">
        <v>1978</v>
      </c>
      <c r="B83" s="1412" t="s">
        <v>1615</v>
      </c>
      <c r="C83" s="1234">
        <f>'表22-3'!E14</f>
        <v>0</v>
      </c>
      <c r="D83" s="1236"/>
      <c r="E83" s="1104">
        <v>1.0096000000000001</v>
      </c>
      <c r="F83" s="1105">
        <f t="shared" si="3"/>
        <v>0</v>
      </c>
    </row>
    <row r="84" spans="1:6">
      <c r="A84" s="1110" t="s">
        <v>1979</v>
      </c>
      <c r="B84" s="1412" t="s">
        <v>1616</v>
      </c>
      <c r="C84" s="1234">
        <f>'表22-3'!E15</f>
        <v>0</v>
      </c>
      <c r="D84" s="1236"/>
      <c r="E84" s="1104">
        <v>0.22409999999999999</v>
      </c>
      <c r="F84" s="1105">
        <f t="shared" si="3"/>
        <v>0</v>
      </c>
    </row>
    <row r="85" spans="1:6">
      <c r="A85" s="1110" t="s">
        <v>1980</v>
      </c>
      <c r="B85" s="1412" t="s">
        <v>1617</v>
      </c>
      <c r="C85" s="1234">
        <f>'表22-3'!E16</f>
        <v>0</v>
      </c>
      <c r="D85" s="1236"/>
      <c r="E85" s="1104">
        <v>7.7195</v>
      </c>
      <c r="F85" s="1105">
        <f t="shared" si="3"/>
        <v>0</v>
      </c>
    </row>
    <row r="86" spans="1:6">
      <c r="A86" s="1110" t="s">
        <v>1981</v>
      </c>
      <c r="B86" s="1412" t="s">
        <v>1618</v>
      </c>
      <c r="C86" s="1234">
        <f>'表22-3'!E17</f>
        <v>0</v>
      </c>
      <c r="D86" s="1236"/>
      <c r="E86" s="1104">
        <v>9.4399999999999998E-2</v>
      </c>
      <c r="F86" s="1105">
        <f t="shared" si="3"/>
        <v>0</v>
      </c>
    </row>
    <row r="87" spans="1:6">
      <c r="A87" s="1110" t="s">
        <v>1982</v>
      </c>
      <c r="B87" s="1412" t="s">
        <v>1619</v>
      </c>
      <c r="C87" s="1234">
        <f>'表22-3'!E18</f>
        <v>0</v>
      </c>
      <c r="D87" s="1236"/>
      <c r="E87" s="1104">
        <v>9.4399999999999998E-2</v>
      </c>
      <c r="F87" s="1105">
        <f t="shared" si="3"/>
        <v>0</v>
      </c>
    </row>
    <row r="88" spans="1:6">
      <c r="A88" s="1110" t="s">
        <v>1983</v>
      </c>
      <c r="B88" s="1412" t="s">
        <v>1620</v>
      </c>
      <c r="C88" s="1234">
        <f>'表22-3'!E19</f>
        <v>0</v>
      </c>
      <c r="D88" s="1236"/>
      <c r="E88" s="1104">
        <v>9.4399999999999998E-2</v>
      </c>
      <c r="F88" s="1105">
        <f t="shared" si="3"/>
        <v>0</v>
      </c>
    </row>
    <row r="89" spans="1:6">
      <c r="A89" s="1110" t="s">
        <v>1729</v>
      </c>
      <c r="B89" s="1412" t="s">
        <v>1621</v>
      </c>
      <c r="C89" s="1234">
        <f>'表22-3'!E20</f>
        <v>0</v>
      </c>
      <c r="D89" s="1236"/>
      <c r="E89" s="1104">
        <v>9.4399999999999998E-2</v>
      </c>
      <c r="F89" s="1105">
        <f t="shared" si="3"/>
        <v>0</v>
      </c>
    </row>
    <row r="90" spans="1:6">
      <c r="A90" s="1110" t="s">
        <v>1984</v>
      </c>
      <c r="B90" s="1412" t="s">
        <v>1985</v>
      </c>
      <c r="C90" s="1234">
        <f>'表22-3'!E21</f>
        <v>0</v>
      </c>
      <c r="D90" s="1236"/>
      <c r="E90" s="1104">
        <v>0</v>
      </c>
      <c r="F90" s="1105">
        <f t="shared" si="3"/>
        <v>0</v>
      </c>
    </row>
    <row r="91" spans="1:6">
      <c r="A91" s="1110" t="s">
        <v>1986</v>
      </c>
      <c r="B91" s="1412" t="s">
        <v>1987</v>
      </c>
      <c r="C91" s="1234">
        <f>'表22-3'!E22</f>
        <v>0</v>
      </c>
      <c r="D91" s="1236"/>
      <c r="E91" s="1104">
        <v>0</v>
      </c>
      <c r="F91" s="1105">
        <f t="shared" si="3"/>
        <v>0</v>
      </c>
    </row>
    <row r="92" spans="1:6">
      <c r="A92" s="1110" t="s">
        <v>1908</v>
      </c>
      <c r="B92" s="1412" t="s">
        <v>1988</v>
      </c>
      <c r="C92" s="1234">
        <f>'表22-3'!E23</f>
        <v>0</v>
      </c>
      <c r="D92" s="1236"/>
      <c r="E92" s="1104">
        <v>0</v>
      </c>
      <c r="F92" s="1105">
        <f t="shared" si="3"/>
        <v>0</v>
      </c>
    </row>
    <row r="93" spans="1:6">
      <c r="A93" s="1110" t="s">
        <v>1989</v>
      </c>
      <c r="B93" s="1412" t="s">
        <v>1622</v>
      </c>
      <c r="C93" s="1234">
        <f>'表22-3'!E24</f>
        <v>0</v>
      </c>
      <c r="D93" s="1236"/>
      <c r="E93" s="1104">
        <v>0.75539999999999996</v>
      </c>
      <c r="F93" s="1105">
        <f t="shared" si="3"/>
        <v>0</v>
      </c>
    </row>
    <row r="94" spans="1:6">
      <c r="A94" s="1110" t="s">
        <v>1990</v>
      </c>
      <c r="B94" s="1412" t="s">
        <v>1623</v>
      </c>
      <c r="C94" s="1234">
        <f>'表22-3'!E25</f>
        <v>0</v>
      </c>
      <c r="D94" s="1236"/>
      <c r="E94" s="1104">
        <v>0.75539999999999996</v>
      </c>
      <c r="F94" s="1105">
        <f t="shared" si="3"/>
        <v>0</v>
      </c>
    </row>
    <row r="95" spans="1:6">
      <c r="A95" s="1110" t="s">
        <v>1991</v>
      </c>
      <c r="B95" s="1412" t="s">
        <v>1624</v>
      </c>
      <c r="C95" s="1234">
        <f>'表22-3'!E26</f>
        <v>0</v>
      </c>
      <c r="D95" s="1236"/>
      <c r="E95" s="1104">
        <v>1.2151000000000001</v>
      </c>
      <c r="F95" s="1105">
        <f t="shared" si="3"/>
        <v>0</v>
      </c>
    </row>
    <row r="96" spans="1:6">
      <c r="A96" s="1110" t="s">
        <v>1992</v>
      </c>
      <c r="B96" s="1412" t="s">
        <v>1625</v>
      </c>
      <c r="C96" s="1234">
        <f>'表22-3'!E27</f>
        <v>0</v>
      </c>
      <c r="D96" s="1236"/>
      <c r="E96" s="1104">
        <v>7.7195</v>
      </c>
      <c r="F96" s="1105">
        <f t="shared" si="3"/>
        <v>0</v>
      </c>
    </row>
    <row r="97" spans="1:6">
      <c r="A97" s="1110" t="s">
        <v>1993</v>
      </c>
      <c r="B97" s="1412" t="s">
        <v>1626</v>
      </c>
      <c r="C97" s="1234">
        <f>'表22-3'!E28</f>
        <v>0</v>
      </c>
      <c r="D97" s="1236"/>
      <c r="E97" s="1104">
        <v>0.12809999999999999</v>
      </c>
      <c r="F97" s="1105">
        <f t="shared" si="3"/>
        <v>0</v>
      </c>
    </row>
    <row r="98" spans="1:6">
      <c r="A98" s="1110" t="s">
        <v>1994</v>
      </c>
      <c r="B98" s="1412" t="s">
        <v>1627</v>
      </c>
      <c r="C98" s="1234">
        <f>'表22-3'!E29</f>
        <v>0</v>
      </c>
      <c r="D98" s="1236"/>
      <c r="E98" s="1104">
        <v>0.12809999999999999</v>
      </c>
      <c r="F98" s="1105">
        <f t="shared" si="3"/>
        <v>0</v>
      </c>
    </row>
    <row r="99" spans="1:6">
      <c r="A99" s="1110" t="s">
        <v>1995</v>
      </c>
      <c r="B99" s="1412" t="s">
        <v>1628</v>
      </c>
      <c r="C99" s="1234">
        <f>'表22-3'!E30</f>
        <v>0</v>
      </c>
      <c r="D99" s="1236"/>
      <c r="E99" s="1104">
        <v>0.12809999999999999</v>
      </c>
      <c r="F99" s="1105">
        <f t="shared" si="3"/>
        <v>0</v>
      </c>
    </row>
    <row r="100" spans="1:6">
      <c r="A100" s="1110" t="s">
        <v>1996</v>
      </c>
      <c r="B100" s="1412" t="s">
        <v>1629</v>
      </c>
      <c r="C100" s="1234">
        <f>'表22-3'!E31</f>
        <v>0</v>
      </c>
      <c r="D100" s="1236"/>
      <c r="E100" s="1104">
        <v>0.36</v>
      </c>
      <c r="F100" s="1105">
        <f t="shared" si="3"/>
        <v>0</v>
      </c>
    </row>
    <row r="101" spans="1:6">
      <c r="A101" s="1110" t="s">
        <v>1997</v>
      </c>
      <c r="B101" s="1412" t="s">
        <v>1630</v>
      </c>
      <c r="C101" s="1234">
        <f>'表22-3'!E32</f>
        <v>0</v>
      </c>
      <c r="D101" s="1236"/>
      <c r="E101" s="1104">
        <v>0.75539999999999996</v>
      </c>
      <c r="F101" s="1105">
        <f t="shared" si="3"/>
        <v>0</v>
      </c>
    </row>
    <row r="102" spans="1:6">
      <c r="A102" s="1110" t="s">
        <v>1998</v>
      </c>
      <c r="B102" s="1412" t="s">
        <v>1631</v>
      </c>
      <c r="C102" s="1234">
        <f>'表22-3'!E33</f>
        <v>0</v>
      </c>
      <c r="D102" s="1236"/>
      <c r="E102" s="1104">
        <v>0.47339999999999999</v>
      </c>
      <c r="F102" s="1105">
        <f t="shared" si="3"/>
        <v>0</v>
      </c>
    </row>
    <row r="103" spans="1:6">
      <c r="A103" s="1110" t="s">
        <v>1999</v>
      </c>
      <c r="B103" s="1412" t="s">
        <v>1632</v>
      </c>
      <c r="C103" s="1234">
        <f>'表22-3'!E34</f>
        <v>0</v>
      </c>
      <c r="D103" s="1236"/>
      <c r="E103" s="1104">
        <v>0.47339999999999999</v>
      </c>
      <c r="F103" s="1105">
        <f t="shared" si="3"/>
        <v>0</v>
      </c>
    </row>
    <row r="104" spans="1:6">
      <c r="A104" s="1110" t="s">
        <v>2000</v>
      </c>
      <c r="B104" s="1412" t="s">
        <v>1633</v>
      </c>
      <c r="C104" s="1234">
        <f>'表22-3'!E35</f>
        <v>0</v>
      </c>
      <c r="D104" s="1236"/>
      <c r="E104" s="1104">
        <v>0.2399</v>
      </c>
      <c r="F104" s="1105">
        <f t="shared" si="3"/>
        <v>0</v>
      </c>
    </row>
    <row r="105" spans="1:6">
      <c r="A105" s="1110" t="s">
        <v>2001</v>
      </c>
      <c r="B105" s="1412" t="s">
        <v>1634</v>
      </c>
      <c r="C105" s="1234">
        <f>'表22-3'!E36</f>
        <v>0</v>
      </c>
      <c r="D105" s="1236"/>
      <c r="E105" s="1104">
        <v>0.2399</v>
      </c>
      <c r="F105" s="1105">
        <f t="shared" si="3"/>
        <v>0</v>
      </c>
    </row>
    <row r="106" spans="1:6">
      <c r="A106" s="1110" t="s">
        <v>2002</v>
      </c>
      <c r="B106" s="1412" t="s">
        <v>2003</v>
      </c>
      <c r="C106" s="1234">
        <f>'表22-3'!E37</f>
        <v>0</v>
      </c>
      <c r="D106" s="1236"/>
      <c r="E106" s="1104">
        <v>0.1351</v>
      </c>
      <c r="F106" s="1105">
        <f>ROUND((C106+D106)*E106,0)</f>
        <v>0</v>
      </c>
    </row>
    <row r="107" spans="1:6">
      <c r="A107" s="1109" t="s">
        <v>2004</v>
      </c>
      <c r="B107" s="1412"/>
      <c r="C107" s="1234">
        <f>SUM(C108:C115)</f>
        <v>0</v>
      </c>
      <c r="D107" s="1236"/>
      <c r="E107" s="1108"/>
      <c r="F107" s="1105">
        <f>SUM(F108:F115)</f>
        <v>0</v>
      </c>
    </row>
    <row r="108" spans="1:6">
      <c r="A108" s="1110" t="s">
        <v>2005</v>
      </c>
      <c r="B108" s="1412" t="s">
        <v>1730</v>
      </c>
      <c r="C108" s="1234">
        <f>'表22-3'!E39</f>
        <v>0</v>
      </c>
      <c r="D108" s="1236"/>
      <c r="E108" s="1104">
        <v>0.60589999999999999</v>
      </c>
      <c r="F108" s="1105">
        <f t="shared" si="3"/>
        <v>0</v>
      </c>
    </row>
    <row r="109" spans="1:6">
      <c r="A109" s="1110" t="s">
        <v>2006</v>
      </c>
      <c r="B109" s="1412" t="s">
        <v>2007</v>
      </c>
      <c r="C109" s="1234">
        <f>'表22-3'!E40</f>
        <v>0</v>
      </c>
      <c r="D109" s="1236"/>
      <c r="E109" s="1104">
        <v>0.4158</v>
      </c>
      <c r="F109" s="1105">
        <f t="shared" si="3"/>
        <v>0</v>
      </c>
    </row>
    <row r="110" spans="1:6">
      <c r="A110" s="1110" t="s">
        <v>2008</v>
      </c>
      <c r="B110" s="1412" t="s">
        <v>2009</v>
      </c>
      <c r="C110" s="1234">
        <f>'表22-3'!E41</f>
        <v>0</v>
      </c>
      <c r="D110" s="1236"/>
      <c r="E110" s="1104">
        <v>0.4158</v>
      </c>
      <c r="F110" s="1105">
        <f t="shared" si="3"/>
        <v>0</v>
      </c>
    </row>
    <row r="111" spans="1:6">
      <c r="A111" s="1110" t="s">
        <v>2010</v>
      </c>
      <c r="B111" s="1412" t="s">
        <v>2011</v>
      </c>
      <c r="C111" s="1234">
        <f>'表22-3'!E42</f>
        <v>0</v>
      </c>
      <c r="D111" s="1236"/>
      <c r="E111" s="1104">
        <v>0.4158</v>
      </c>
      <c r="F111" s="1105">
        <f t="shared" si="3"/>
        <v>0</v>
      </c>
    </row>
    <row r="112" spans="1:6">
      <c r="A112" s="1110" t="s">
        <v>2012</v>
      </c>
      <c r="B112" s="1412" t="s">
        <v>2013</v>
      </c>
      <c r="C112" s="1234">
        <f>'表22-3'!E43</f>
        <v>0</v>
      </c>
      <c r="D112" s="1236"/>
      <c r="E112" s="1104">
        <v>0.4647</v>
      </c>
      <c r="F112" s="1105">
        <f t="shared" si="3"/>
        <v>0</v>
      </c>
    </row>
    <row r="113" spans="1:6">
      <c r="A113" s="1110" t="s">
        <v>2014</v>
      </c>
      <c r="B113" s="1412" t="s">
        <v>2015</v>
      </c>
      <c r="C113" s="1234">
        <f>'表22-3'!E44</f>
        <v>0</v>
      </c>
      <c r="D113" s="1236"/>
      <c r="E113" s="1104">
        <v>1.1553</v>
      </c>
      <c r="F113" s="1105">
        <f t="shared" si="3"/>
        <v>0</v>
      </c>
    </row>
    <row r="114" spans="1:6">
      <c r="A114" s="1110" t="s">
        <v>2016</v>
      </c>
      <c r="B114" s="1412" t="s">
        <v>2017</v>
      </c>
      <c r="C114" s="1234">
        <f>'表22-3'!E45</f>
        <v>0</v>
      </c>
      <c r="D114" s="1236"/>
      <c r="E114" s="1104">
        <v>0.60589999999999999</v>
      </c>
      <c r="F114" s="1105">
        <f t="shared" si="3"/>
        <v>0</v>
      </c>
    </row>
    <row r="115" spans="1:6">
      <c r="A115" s="1110" t="s">
        <v>1731</v>
      </c>
      <c r="B115" s="1412" t="s">
        <v>2018</v>
      </c>
      <c r="C115" s="1234">
        <f>'表22-3'!E46</f>
        <v>0</v>
      </c>
      <c r="D115" s="1236"/>
      <c r="E115" s="1104">
        <v>0.67479999999999996</v>
      </c>
      <c r="F115" s="1105">
        <f t="shared" si="3"/>
        <v>0</v>
      </c>
    </row>
    <row r="116" spans="1:6">
      <c r="A116" s="1106" t="s">
        <v>2019</v>
      </c>
      <c r="B116" s="1412"/>
      <c r="C116" s="1234">
        <f>C117+C125</f>
        <v>0</v>
      </c>
      <c r="D116" s="1236"/>
      <c r="E116" s="1104"/>
      <c r="F116" s="1105">
        <f>F117+F125</f>
        <v>0</v>
      </c>
    </row>
    <row r="117" spans="1:6">
      <c r="A117" s="1109" t="s">
        <v>1732</v>
      </c>
      <c r="B117" s="1412"/>
      <c r="C117" s="1234">
        <f>SUM(C118:C124)</f>
        <v>0</v>
      </c>
      <c r="D117" s="1236"/>
      <c r="E117" s="1104"/>
      <c r="F117" s="1105">
        <f>SUM(F118:F124)</f>
        <v>0</v>
      </c>
    </row>
    <row r="118" spans="1:6">
      <c r="A118" s="1110" t="s">
        <v>2020</v>
      </c>
      <c r="B118" s="1412" t="s">
        <v>2021</v>
      </c>
      <c r="C118" s="1234">
        <f>'表23-2'!F8</f>
        <v>0</v>
      </c>
      <c r="D118" s="1237"/>
      <c r="E118" s="1104">
        <v>3.0000000000000001E-3</v>
      </c>
      <c r="F118" s="1105">
        <f>ROUND((C118+D118)*E118,0)</f>
        <v>0</v>
      </c>
    </row>
    <row r="119" spans="1:6">
      <c r="A119" s="1110" t="s">
        <v>2022</v>
      </c>
      <c r="B119" s="1412" t="s">
        <v>2023</v>
      </c>
      <c r="C119" s="1234">
        <f>'表23-2'!F9</f>
        <v>0</v>
      </c>
      <c r="D119" s="1237"/>
      <c r="E119" s="1104">
        <v>0.02</v>
      </c>
      <c r="F119" s="1105">
        <f>ROUND((C119+D119)*E119,0)</f>
        <v>0</v>
      </c>
    </row>
    <row r="120" spans="1:6">
      <c r="A120" s="1110" t="s">
        <v>2024</v>
      </c>
      <c r="B120" s="1412" t="s">
        <v>2025</v>
      </c>
      <c r="C120" s="1234">
        <f>'表23-2'!F10</f>
        <v>0</v>
      </c>
      <c r="D120" s="1237"/>
      <c r="E120" s="1104">
        <v>0.1351</v>
      </c>
      <c r="F120" s="1105">
        <f>ROUND((C120+D120)*E120,0)</f>
        <v>0</v>
      </c>
    </row>
    <row r="121" spans="1:6">
      <c r="A121" s="1110" t="s">
        <v>2026</v>
      </c>
      <c r="B121" s="1412" t="s">
        <v>1733</v>
      </c>
      <c r="C121" s="1234">
        <f>'表23-2'!F11</f>
        <v>0</v>
      </c>
      <c r="D121" s="1237"/>
      <c r="E121" s="1111">
        <v>7.5000000000000002E-4</v>
      </c>
      <c r="F121" s="1105">
        <f>ROUND((C121+D121)*E121,0)</f>
        <v>0</v>
      </c>
    </row>
    <row r="122" spans="1:6">
      <c r="A122" s="1110" t="s">
        <v>2027</v>
      </c>
      <c r="B122" s="1412" t="s">
        <v>1734</v>
      </c>
      <c r="C122" s="1234">
        <f>'表23-2'!F12</f>
        <v>0</v>
      </c>
      <c r="D122" s="1237"/>
      <c r="E122" s="1111">
        <v>0</v>
      </c>
      <c r="F122" s="1105">
        <f>ROUND((C122+D122)*E122,0)</f>
        <v>0</v>
      </c>
    </row>
    <row r="123" spans="1:6">
      <c r="A123" s="1110" t="s">
        <v>1735</v>
      </c>
      <c r="B123" s="1412" t="s">
        <v>1636</v>
      </c>
      <c r="C123" s="1234">
        <f>'表23-2'!F13</f>
        <v>0</v>
      </c>
      <c r="D123" s="1237"/>
      <c r="E123" s="1111"/>
      <c r="F123" s="1105">
        <f>'表30-5-1'!E4</f>
        <v>0</v>
      </c>
    </row>
    <row r="124" spans="1:6">
      <c r="A124" s="1110" t="s">
        <v>1736</v>
      </c>
      <c r="B124" s="1412" t="s">
        <v>1637</v>
      </c>
      <c r="C124" s="1234">
        <f>'表23-2'!F14</f>
        <v>0</v>
      </c>
      <c r="D124" s="1237"/>
      <c r="E124" s="1111"/>
      <c r="F124" s="1105">
        <f>'表30-5-1'!E62</f>
        <v>0</v>
      </c>
    </row>
    <row r="125" spans="1:6">
      <c r="A125" s="1109" t="s">
        <v>2028</v>
      </c>
      <c r="B125" s="1412"/>
      <c r="C125" s="1234">
        <f>SUM(C126:C130)</f>
        <v>0</v>
      </c>
      <c r="D125" s="1236"/>
      <c r="E125" s="1108"/>
      <c r="F125" s="1105">
        <f>SUM(F126:F130)</f>
        <v>0</v>
      </c>
    </row>
    <row r="126" spans="1:6">
      <c r="A126" s="1110" t="s">
        <v>2029</v>
      </c>
      <c r="B126" s="1412" t="s">
        <v>2030</v>
      </c>
      <c r="C126" s="1234">
        <f>'表23-2'!F16</f>
        <v>0</v>
      </c>
      <c r="D126" s="1237"/>
      <c r="E126" s="1104">
        <v>3.0000000000000001E-3</v>
      </c>
      <c r="F126" s="1105">
        <f>ROUND((C126+D126)*E126,0)</f>
        <v>0</v>
      </c>
    </row>
    <row r="127" spans="1:6">
      <c r="A127" s="1110" t="s">
        <v>1737</v>
      </c>
      <c r="B127" s="1412" t="s">
        <v>2031</v>
      </c>
      <c r="C127" s="1234">
        <f>'表23-2'!F17</f>
        <v>0</v>
      </c>
      <c r="D127" s="1237"/>
      <c r="E127" s="1104">
        <v>0.02</v>
      </c>
      <c r="F127" s="1105">
        <f>ROUND((C127+D127)*E127,0)</f>
        <v>0</v>
      </c>
    </row>
    <row r="128" spans="1:6">
      <c r="A128" s="1110" t="s">
        <v>2032</v>
      </c>
      <c r="B128" s="1412" t="s">
        <v>2033</v>
      </c>
      <c r="C128" s="1234">
        <f>'表23-2'!F18</f>
        <v>0</v>
      </c>
      <c r="D128" s="1237"/>
      <c r="E128" s="1104">
        <v>0.1351</v>
      </c>
      <c r="F128" s="1105">
        <f>ROUND((C128+D128)*E128,0)</f>
        <v>0</v>
      </c>
    </row>
    <row r="129" spans="1:6">
      <c r="A129" s="1110" t="s">
        <v>2034</v>
      </c>
      <c r="B129" s="1412" t="s">
        <v>2035</v>
      </c>
      <c r="C129" s="1234">
        <f>'表23-2'!F19</f>
        <v>0</v>
      </c>
      <c r="D129" s="1237"/>
      <c r="E129" s="1111">
        <v>7.5000000000000002E-4</v>
      </c>
      <c r="F129" s="1105">
        <f>ROUND((C129+D129)*E129,0)</f>
        <v>0</v>
      </c>
    </row>
    <row r="130" spans="1:6">
      <c r="A130" s="1110" t="s">
        <v>2036</v>
      </c>
      <c r="B130" s="1412" t="s">
        <v>2037</v>
      </c>
      <c r="C130" s="1234">
        <f>'表23-2'!F20</f>
        <v>0</v>
      </c>
      <c r="D130" s="1237"/>
      <c r="E130" s="1111">
        <v>0</v>
      </c>
      <c r="F130" s="1105">
        <f>ROUND((C130+D130)*E130,0)</f>
        <v>0</v>
      </c>
    </row>
    <row r="131" spans="1:6">
      <c r="A131" s="1100" t="s">
        <v>2038</v>
      </c>
      <c r="B131" s="1412"/>
      <c r="C131" s="1234">
        <f>C132+C135</f>
        <v>0</v>
      </c>
      <c r="D131" s="1236"/>
      <c r="E131" s="1104"/>
      <c r="F131" s="1105">
        <f>F132+F135</f>
        <v>0</v>
      </c>
    </row>
    <row r="132" spans="1:6">
      <c r="A132" s="1106" t="s">
        <v>2039</v>
      </c>
      <c r="B132" s="1412"/>
      <c r="C132" s="1234">
        <f>SUM(C133:C134)</f>
        <v>0</v>
      </c>
      <c r="D132" s="1236"/>
      <c r="E132" s="1108"/>
      <c r="F132" s="1105">
        <f>SUM(F133:F134)</f>
        <v>0</v>
      </c>
    </row>
    <row r="133" spans="1:6">
      <c r="A133" s="1109" t="s">
        <v>1738</v>
      </c>
      <c r="B133" s="1412" t="s">
        <v>2040</v>
      </c>
      <c r="C133" s="1234">
        <f>'表22-3'!H7</f>
        <v>0</v>
      </c>
      <c r="D133" s="1236"/>
      <c r="E133" s="1104">
        <v>0.21840000000000001</v>
      </c>
      <c r="F133" s="1105">
        <f>ROUND((C133+D133)*E133,0)</f>
        <v>0</v>
      </c>
    </row>
    <row r="134" spans="1:6">
      <c r="A134" s="1109" t="s">
        <v>2041</v>
      </c>
      <c r="B134" s="1412" t="s">
        <v>2042</v>
      </c>
      <c r="C134" s="1234">
        <f>'表22-3'!H38</f>
        <v>0</v>
      </c>
      <c r="D134" s="1236"/>
      <c r="E134" s="1104">
        <v>0.49819999999999998</v>
      </c>
      <c r="F134" s="1105">
        <f>ROUND((C134+D134)*E134,0)</f>
        <v>0</v>
      </c>
    </row>
    <row r="135" spans="1:6">
      <c r="A135" s="1106" t="s">
        <v>2043</v>
      </c>
      <c r="B135" s="1412"/>
      <c r="C135" s="1234">
        <f>SUM(C136:C137)</f>
        <v>0</v>
      </c>
      <c r="D135" s="1236"/>
      <c r="E135" s="1108"/>
      <c r="F135" s="1105">
        <f>SUM(F136:F137)</f>
        <v>0</v>
      </c>
    </row>
    <row r="136" spans="1:6">
      <c r="A136" s="1109" t="s">
        <v>2044</v>
      </c>
      <c r="B136" s="1412" t="s">
        <v>1739</v>
      </c>
      <c r="C136" s="1234">
        <f>'表22-4'!H7</f>
        <v>0</v>
      </c>
      <c r="D136" s="1236"/>
      <c r="E136" s="1104">
        <v>0.1351</v>
      </c>
      <c r="F136" s="1105">
        <f>ROUND((C136+D136)*E136,0)</f>
        <v>0</v>
      </c>
    </row>
    <row r="137" spans="1:6">
      <c r="A137" s="1109" t="s">
        <v>2045</v>
      </c>
      <c r="B137" s="1412" t="s">
        <v>2046</v>
      </c>
      <c r="C137" s="1234">
        <f>'表22-4'!H15</f>
        <v>0</v>
      </c>
      <c r="D137" s="1236"/>
      <c r="E137" s="1104">
        <v>0.1351</v>
      </c>
      <c r="F137" s="1105">
        <f>ROUND((C137+D137)*E137,0)</f>
        <v>0</v>
      </c>
    </row>
    <row r="138" spans="1:6" ht="14.25">
      <c r="A138" s="1112" t="s">
        <v>1740</v>
      </c>
      <c r="B138" s="1101"/>
      <c r="C138" s="1234">
        <f>F73</f>
        <v>0</v>
      </c>
      <c r="D138" s="1236"/>
      <c r="E138" s="1104">
        <v>1</v>
      </c>
      <c r="F138" s="1105">
        <f>ROUND(C138*E138,0)</f>
        <v>0</v>
      </c>
    </row>
    <row r="139" spans="1:6" ht="14.25">
      <c r="A139" s="1112" t="s">
        <v>2047</v>
      </c>
      <c r="B139" s="1101"/>
      <c r="C139" s="1234">
        <f>F138</f>
        <v>0</v>
      </c>
      <c r="D139" s="1236"/>
      <c r="E139" s="1104" t="e">
        <f>'表30-11'!D139</f>
        <v>#DIV/0!</v>
      </c>
      <c r="F139" s="1105" t="e">
        <f>ROUND(C139*E139,0)</f>
        <v>#DIV/0!</v>
      </c>
    </row>
    <row r="140" spans="1:6" ht="14.25">
      <c r="A140" s="1238" t="s">
        <v>2048</v>
      </c>
      <c r="B140" s="1239"/>
      <c r="C140" s="1240">
        <f>C73</f>
        <v>0</v>
      </c>
      <c r="D140" s="1241"/>
      <c r="E140" s="1242">
        <f>'表30-12'!C20</f>
        <v>0</v>
      </c>
      <c r="F140" s="1243">
        <f>ROUND((C140+D140)*E140,0)</f>
        <v>0</v>
      </c>
    </row>
    <row r="141" spans="1:6" ht="17.25" thickBot="1">
      <c r="A141" s="1413" t="s">
        <v>2049</v>
      </c>
      <c r="B141" s="1414"/>
      <c r="C141" s="1245">
        <f>C73</f>
        <v>0</v>
      </c>
      <c r="D141" s="1247">
        <f>D73</f>
        <v>0</v>
      </c>
      <c r="E141" s="1414"/>
      <c r="F141" s="1246" t="e">
        <f>F139+F140</f>
        <v>#DIV/0!</v>
      </c>
    </row>
    <row r="142" spans="1:6" ht="18" thickTop="1" thickBot="1">
      <c r="A142" s="1415" t="s">
        <v>2050</v>
      </c>
      <c r="B142" s="1416"/>
      <c r="C142" s="1244">
        <f>C72+C141</f>
        <v>0</v>
      </c>
      <c r="D142" s="1248">
        <f>D72+D141</f>
        <v>0</v>
      </c>
      <c r="E142" s="1417"/>
      <c r="F142" s="1122" t="e">
        <f>F72+F141</f>
        <v>#DIV/0!</v>
      </c>
    </row>
    <row r="143" spans="1:6">
      <c r="A143" s="1083" t="s">
        <v>1635</v>
      </c>
      <c r="B143" s="1162"/>
    </row>
    <row r="144" spans="1:6">
      <c r="A144" s="1083" t="s">
        <v>1741</v>
      </c>
    </row>
    <row r="145" spans="1:1">
      <c r="A145" s="1083" t="s">
        <v>1742</v>
      </c>
    </row>
  </sheetData>
  <phoneticPr fontId="26" type="noConversion"/>
  <printOptions horizontalCentered="1"/>
  <pageMargins left="0.39370078740157483" right="0.19685039370078741" top="0.39370078740157483" bottom="0.39370078740157483" header="0" footer="0"/>
  <pageSetup paperSize="9" scale="63" fitToHeight="0" orientation="portrait" horizontalDpi="4294967295" verticalDpi="4294967295" r:id="rId1"/>
  <headerFooter alignWithMargins="0">
    <oddFooter>&amp;C&amp;P/&amp;N&amp;R&amp;"Times New Roman,標準"&amp;A</oddFooter>
  </headerFooter>
  <rowBreaks count="1" manualBreakCount="1">
    <brk id="72" max="16383" man="1"/>
  </rowBreaks>
  <drawing r:id="rId2"/>
  <legacyDrawing r:id="rId3"/>
  <oleObjects>
    <mc:AlternateContent xmlns:mc="http://schemas.openxmlformats.org/markup-compatibility/2006">
      <mc:Choice Requires="x14">
        <oleObject progId="Equation.3" shapeId="13313" r:id="rId4">
          <objectPr defaultSize="0" autoPict="0" r:id="rId5">
            <anchor moveWithCells="1">
              <from>
                <xdr:col>0</xdr:col>
                <xdr:colOff>1266825</xdr:colOff>
                <xdr:row>1</xdr:row>
                <xdr:rowOff>0</xdr:rowOff>
              </from>
              <to>
                <xdr:col>0</xdr:col>
                <xdr:colOff>1266825</xdr:colOff>
                <xdr:row>2</xdr:row>
                <xdr:rowOff>200025</xdr:rowOff>
              </to>
            </anchor>
          </objectPr>
        </oleObject>
      </mc:Choice>
      <mc:Fallback>
        <oleObject progId="Equation.3" shapeId="13313" r:id="rId4"/>
      </mc:Fallback>
    </mc:AlternateContent>
    <mc:AlternateContent xmlns:mc="http://schemas.openxmlformats.org/markup-compatibility/2006">
      <mc:Choice Requires="x14">
        <oleObject progId="Equation.3" shapeId="13314" r:id="rId6">
          <objectPr defaultSize="0" autoPict="0" r:id="rId5">
            <anchor moveWithCells="1">
              <from>
                <xdr:col>0</xdr:col>
                <xdr:colOff>1266825</xdr:colOff>
                <xdr:row>1</xdr:row>
                <xdr:rowOff>0</xdr:rowOff>
              </from>
              <to>
                <xdr:col>0</xdr:col>
                <xdr:colOff>1266825</xdr:colOff>
                <xdr:row>2</xdr:row>
                <xdr:rowOff>200025</xdr:rowOff>
              </to>
            </anchor>
          </objectPr>
        </oleObject>
      </mc:Choice>
      <mc:Fallback>
        <oleObject progId="Equation.3" shapeId="13314" r:id="rId6"/>
      </mc:Fallback>
    </mc:AlternateContent>
    <mc:AlternateContent xmlns:mc="http://schemas.openxmlformats.org/markup-compatibility/2006">
      <mc:Choice Requires="x14">
        <oleObject progId="Equation.3" shapeId="13315" r:id="rId7">
          <objectPr defaultSize="0" autoPict="0" r:id="rId5">
            <anchor moveWithCells="1">
              <from>
                <xdr:col>0</xdr:col>
                <xdr:colOff>1266825</xdr:colOff>
                <xdr:row>1</xdr:row>
                <xdr:rowOff>0</xdr:rowOff>
              </from>
              <to>
                <xdr:col>0</xdr:col>
                <xdr:colOff>1266825</xdr:colOff>
                <xdr:row>2</xdr:row>
                <xdr:rowOff>200025</xdr:rowOff>
              </to>
            </anchor>
          </objectPr>
        </oleObject>
      </mc:Choice>
      <mc:Fallback>
        <oleObject progId="Equation.3" shapeId="13315" r:id="rId7"/>
      </mc:Fallback>
    </mc:AlternateContent>
    <mc:AlternateContent xmlns:mc="http://schemas.openxmlformats.org/markup-compatibility/2006">
      <mc:Choice Requires="x14">
        <oleObject progId="Equation.3" shapeId="13316" r:id="rId8">
          <objectPr defaultSize="0" autoPict="0" r:id="rId5">
            <anchor moveWithCells="1">
              <from>
                <xdr:col>0</xdr:col>
                <xdr:colOff>1266825</xdr:colOff>
                <xdr:row>1</xdr:row>
                <xdr:rowOff>0</xdr:rowOff>
              </from>
              <to>
                <xdr:col>0</xdr:col>
                <xdr:colOff>1266825</xdr:colOff>
                <xdr:row>2</xdr:row>
                <xdr:rowOff>200025</xdr:rowOff>
              </to>
            </anchor>
          </objectPr>
        </oleObject>
      </mc:Choice>
      <mc:Fallback>
        <oleObject progId="Equation.3" shapeId="13316" r:id="rId8"/>
      </mc:Fallback>
    </mc:AlternateContent>
  </oleObjec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4"/>
  <sheetViews>
    <sheetView workbookViewId="0"/>
  </sheetViews>
  <sheetFormatPr defaultRowHeight="16.5"/>
  <cols>
    <col min="1" max="1" width="59.25" style="1162" customWidth="1"/>
    <col min="2" max="2" width="30.5" style="1162" customWidth="1"/>
    <col min="3" max="4" width="9" style="1162"/>
    <col min="5" max="5" width="12.375" style="1162" customWidth="1"/>
    <col min="6" max="16384" width="9" style="1162"/>
  </cols>
  <sheetData>
    <row r="1" spans="1:5">
      <c r="A1" s="104" t="str">
        <f>表03!A1</f>
        <v xml:space="preserve"> 保險股份有限公司    年度(月)報表</v>
      </c>
    </row>
    <row r="2" spans="1:5" ht="17.25" thickBot="1">
      <c r="A2" s="104" t="s">
        <v>2059</v>
      </c>
      <c r="E2" s="1171" t="s">
        <v>252</v>
      </c>
    </row>
    <row r="3" spans="1:5">
      <c r="A3" s="1172" t="s">
        <v>1494</v>
      </c>
      <c r="B3" s="1173" t="s">
        <v>1495</v>
      </c>
      <c r="C3" s="100" t="s">
        <v>64</v>
      </c>
      <c r="D3" s="1174" t="s">
        <v>65</v>
      </c>
      <c r="E3" s="1175" t="s">
        <v>1496</v>
      </c>
    </row>
    <row r="4" spans="1:5">
      <c r="A4" s="1176" t="s">
        <v>1497</v>
      </c>
      <c r="B4" s="1177"/>
      <c r="C4" s="1178">
        <f>C5+C32+C59</f>
        <v>0</v>
      </c>
      <c r="D4" s="1179"/>
      <c r="E4" s="1180">
        <f>E5+E32+E59</f>
        <v>0</v>
      </c>
    </row>
    <row r="5" spans="1:5">
      <c r="A5" s="1181" t="s">
        <v>1498</v>
      </c>
      <c r="B5" s="1182"/>
      <c r="C5" s="1183">
        <f>C6+C19</f>
        <v>0</v>
      </c>
      <c r="D5" s="1184"/>
      <c r="E5" s="1169">
        <f>E6+E19</f>
        <v>0</v>
      </c>
    </row>
    <row r="6" spans="1:5">
      <c r="A6" s="1185" t="s">
        <v>1499</v>
      </c>
      <c r="B6" s="1182"/>
      <c r="C6" s="1183">
        <f>C7+C13</f>
        <v>0</v>
      </c>
      <c r="D6" s="1186"/>
      <c r="E6" s="1169">
        <f>E7+E13</f>
        <v>0</v>
      </c>
    </row>
    <row r="7" spans="1:5" ht="28.5">
      <c r="A7" s="1187" t="s">
        <v>1500</v>
      </c>
      <c r="B7" s="1182" t="s">
        <v>1501</v>
      </c>
      <c r="C7" s="1170">
        <f>'表30-5-2'!I8</f>
        <v>0</v>
      </c>
      <c r="D7" s="1188"/>
      <c r="E7" s="1167">
        <f>SUM(E8:E12)</f>
        <v>0</v>
      </c>
    </row>
    <row r="8" spans="1:5">
      <c r="A8" s="1189" t="s">
        <v>1502</v>
      </c>
      <c r="B8" s="1182"/>
      <c r="C8" s="1183">
        <f>IF(C7&lt;60000000000,C7,0)</f>
        <v>0</v>
      </c>
      <c r="D8" s="1186">
        <v>1.5E-3</v>
      </c>
      <c r="E8" s="1169">
        <f>ROUND(C8*D8,0)</f>
        <v>0</v>
      </c>
    </row>
    <row r="9" spans="1:5">
      <c r="A9" s="1189" t="s">
        <v>1503</v>
      </c>
      <c r="B9" s="1182"/>
      <c r="C9" s="1183">
        <f>IF(AND(60000000000&lt;=C7,C7&lt;100000000000),C7,0)</f>
        <v>0</v>
      </c>
      <c r="D9" s="1186">
        <v>1.3699999999999999E-3</v>
      </c>
      <c r="E9" s="1169">
        <f>ROUND(C9*D9,0)</f>
        <v>0</v>
      </c>
    </row>
    <row r="10" spans="1:5">
      <c r="A10" s="1189" t="s">
        <v>1504</v>
      </c>
      <c r="B10" s="1182"/>
      <c r="C10" s="1183">
        <f>IF(AND(100000000000&lt;=C7,C7&lt;200000000000),C7,0)</f>
        <v>0</v>
      </c>
      <c r="D10" s="1186">
        <v>1.06E-3</v>
      </c>
      <c r="E10" s="1169">
        <f>ROUND(C10*D10,0)</f>
        <v>0</v>
      </c>
    </row>
    <row r="11" spans="1:5">
      <c r="A11" s="1189" t="s">
        <v>1505</v>
      </c>
      <c r="B11" s="1182"/>
      <c r="C11" s="1183">
        <f>IF(AND(200000000000&lt;=C7,C7&lt;1000000000000),C7,0)</f>
        <v>0</v>
      </c>
      <c r="D11" s="1186">
        <v>7.5000000000000002E-4</v>
      </c>
      <c r="E11" s="1169">
        <f>ROUND(C11*D11,0)</f>
        <v>0</v>
      </c>
    </row>
    <row r="12" spans="1:5">
      <c r="A12" s="1189" t="s">
        <v>1506</v>
      </c>
      <c r="B12" s="1182"/>
      <c r="C12" s="1183">
        <f>IF(C7&gt;=1000000000000,C7,0)</f>
        <v>0</v>
      </c>
      <c r="D12" s="1186">
        <v>3.4000000000000002E-4</v>
      </c>
      <c r="E12" s="1169">
        <f>ROUND(C12*D12,0)</f>
        <v>0</v>
      </c>
    </row>
    <row r="13" spans="1:5" ht="28.5">
      <c r="A13" s="1187" t="s">
        <v>1507</v>
      </c>
      <c r="B13" s="1182" t="s">
        <v>1508</v>
      </c>
      <c r="C13" s="1170">
        <f>'表30-5-2'!I9</f>
        <v>0</v>
      </c>
      <c r="D13" s="1188"/>
      <c r="E13" s="1167">
        <f>SUM(E14:E18)</f>
        <v>0</v>
      </c>
    </row>
    <row r="14" spans="1:5">
      <c r="A14" s="1189" t="s">
        <v>1509</v>
      </c>
      <c r="B14" s="1182"/>
      <c r="C14" s="1183">
        <f>IF(C13&lt;60000000000,C13,0)</f>
        <v>0</v>
      </c>
      <c r="D14" s="1186">
        <f>D8</f>
        <v>1.5E-3</v>
      </c>
      <c r="E14" s="1169">
        <f>ROUND(C14*D14,0)</f>
        <v>0</v>
      </c>
    </row>
    <row r="15" spans="1:5">
      <c r="A15" s="1189" t="s">
        <v>1503</v>
      </c>
      <c r="B15" s="1182"/>
      <c r="C15" s="1183">
        <f>IF(AND(60000000000&lt;=C13,C13&lt;100000000000),C13,0)</f>
        <v>0</v>
      </c>
      <c r="D15" s="1186">
        <f>D9</f>
        <v>1.3699999999999999E-3</v>
      </c>
      <c r="E15" s="1169">
        <f>ROUND(C15*D15,0)</f>
        <v>0</v>
      </c>
    </row>
    <row r="16" spans="1:5">
      <c r="A16" s="1189" t="s">
        <v>1504</v>
      </c>
      <c r="B16" s="1182"/>
      <c r="C16" s="1183">
        <f>IF(AND(100000000000&lt;=C13,C13&lt;200000000000),C13,0)</f>
        <v>0</v>
      </c>
      <c r="D16" s="1186">
        <f>D10</f>
        <v>1.06E-3</v>
      </c>
      <c r="E16" s="1169">
        <f>ROUND(C16*D16,0)</f>
        <v>0</v>
      </c>
    </row>
    <row r="17" spans="1:5">
      <c r="A17" s="1189" t="s">
        <v>1505</v>
      </c>
      <c r="B17" s="1182"/>
      <c r="C17" s="1183">
        <f>IF(AND(200000000000&lt;=C13,C13&lt;1000000000000),C13,0)</f>
        <v>0</v>
      </c>
      <c r="D17" s="1186">
        <f>D11</f>
        <v>7.5000000000000002E-4</v>
      </c>
      <c r="E17" s="1169">
        <f>ROUND(C17*D17,0)</f>
        <v>0</v>
      </c>
    </row>
    <row r="18" spans="1:5">
      <c r="A18" s="1189" t="s">
        <v>1506</v>
      </c>
      <c r="B18" s="1182"/>
      <c r="C18" s="1183">
        <f>IF(C13&gt;=1000000000000,C13,0)</f>
        <v>0</v>
      </c>
      <c r="D18" s="1186">
        <f>D12</f>
        <v>3.4000000000000002E-4</v>
      </c>
      <c r="E18" s="1169">
        <f>ROUND(C18*D18,0)</f>
        <v>0</v>
      </c>
    </row>
    <row r="19" spans="1:5">
      <c r="A19" s="1185" t="s">
        <v>1510</v>
      </c>
      <c r="B19" s="1182"/>
      <c r="C19" s="1183">
        <f>C20+C26</f>
        <v>0</v>
      </c>
      <c r="D19" s="1186"/>
      <c r="E19" s="1169">
        <f>E20+E26</f>
        <v>0</v>
      </c>
    </row>
    <row r="20" spans="1:5" ht="28.5">
      <c r="A20" s="1187" t="s">
        <v>1511</v>
      </c>
      <c r="B20" s="1182" t="s">
        <v>1512</v>
      </c>
      <c r="C20" s="1170">
        <f>'表30-5-2'!I11</f>
        <v>0</v>
      </c>
      <c r="D20" s="1188"/>
      <c r="E20" s="1167">
        <f>SUM(E21:E25)</f>
        <v>0</v>
      </c>
    </row>
    <row r="21" spans="1:5">
      <c r="A21" s="1189" t="s">
        <v>1513</v>
      </c>
      <c r="B21" s="1182"/>
      <c r="C21" s="1183">
        <f>IF(C20&lt;20000000000,C20,0)</f>
        <v>0</v>
      </c>
      <c r="D21" s="1186">
        <v>1E-3</v>
      </c>
      <c r="E21" s="1169">
        <f>ROUND(C21*D21,0)</f>
        <v>0</v>
      </c>
    </row>
    <row r="22" spans="1:5">
      <c r="A22" s="1189" t="s">
        <v>1514</v>
      </c>
      <c r="B22" s="1182"/>
      <c r="C22" s="1183">
        <f>IF(AND(20000000000&lt;=C20,C20&lt;50000000000),C19,0)</f>
        <v>0</v>
      </c>
      <c r="D22" s="1186">
        <v>8.7000000000000001E-4</v>
      </c>
      <c r="E22" s="1169">
        <f>ROUND(C22*D22,0)</f>
        <v>0</v>
      </c>
    </row>
    <row r="23" spans="1:5">
      <c r="A23" s="1189" t="s">
        <v>1515</v>
      </c>
      <c r="B23" s="1182"/>
      <c r="C23" s="1183">
        <f>IF(AND(50000000000&lt;=C20,C20&lt;100000000000),C20,0)</f>
        <v>0</v>
      </c>
      <c r="D23" s="1186">
        <v>5.5000000000000003E-4</v>
      </c>
      <c r="E23" s="1169">
        <f>ROUND(C23*D23,0)</f>
        <v>0</v>
      </c>
    </row>
    <row r="24" spans="1:5">
      <c r="A24" s="1189" t="s">
        <v>1516</v>
      </c>
      <c r="B24" s="1182"/>
      <c r="C24" s="1183">
        <f>IF(AND(100000000000&lt;=C20,C20&lt;500000000000),C20,0)</f>
        <v>0</v>
      </c>
      <c r="D24" s="1186">
        <v>3.8999999999999999E-4</v>
      </c>
      <c r="E24" s="1169">
        <f>ROUND(C24*D24,0)</f>
        <v>0</v>
      </c>
    </row>
    <row r="25" spans="1:5">
      <c r="A25" s="1189" t="s">
        <v>1517</v>
      </c>
      <c r="B25" s="1182"/>
      <c r="C25" s="1183">
        <f>IF(C20&gt;=500000000000,C20,0)</f>
        <v>0</v>
      </c>
      <c r="D25" s="1186">
        <v>1.7000000000000001E-4</v>
      </c>
      <c r="E25" s="1169">
        <f>ROUND(C25*D25,0)</f>
        <v>0</v>
      </c>
    </row>
    <row r="26" spans="1:5" ht="28.5">
      <c r="A26" s="1187" t="s">
        <v>1518</v>
      </c>
      <c r="B26" s="1182" t="s">
        <v>1519</v>
      </c>
      <c r="C26" s="1170">
        <f>'表30-5-2'!I12</f>
        <v>0</v>
      </c>
      <c r="D26" s="1188"/>
      <c r="E26" s="1167">
        <f>SUM(E27:E31)</f>
        <v>0</v>
      </c>
    </row>
    <row r="27" spans="1:5">
      <c r="A27" s="1189" t="s">
        <v>1513</v>
      </c>
      <c r="B27" s="1182"/>
      <c r="C27" s="1183">
        <f>IF(C26&lt;20000000000,C26,0)</f>
        <v>0</v>
      </c>
      <c r="D27" s="1186">
        <f>D21</f>
        <v>1E-3</v>
      </c>
      <c r="E27" s="1169">
        <f>ROUND(C27*D27,0)</f>
        <v>0</v>
      </c>
    </row>
    <row r="28" spans="1:5">
      <c r="A28" s="1189" t="s">
        <v>1514</v>
      </c>
      <c r="B28" s="1182"/>
      <c r="C28" s="1183">
        <f>IF(AND(20000000000&lt;=C26,C26&lt;50000000000),C26,0)</f>
        <v>0</v>
      </c>
      <c r="D28" s="1186">
        <f>D22</f>
        <v>8.7000000000000001E-4</v>
      </c>
      <c r="E28" s="1169">
        <f>ROUND(C28*D28,0)</f>
        <v>0</v>
      </c>
    </row>
    <row r="29" spans="1:5">
      <c r="A29" s="1189" t="s">
        <v>1515</v>
      </c>
      <c r="B29" s="1182"/>
      <c r="C29" s="1183">
        <f>IF(AND(50000000000&lt;=C26,C26&lt;100000000000),C26,0)</f>
        <v>0</v>
      </c>
      <c r="D29" s="1186">
        <f>D23</f>
        <v>5.5000000000000003E-4</v>
      </c>
      <c r="E29" s="1169">
        <f>ROUND(C29*D29,0)</f>
        <v>0</v>
      </c>
    </row>
    <row r="30" spans="1:5">
      <c r="A30" s="1189" t="s">
        <v>1520</v>
      </c>
      <c r="B30" s="1182"/>
      <c r="C30" s="1183">
        <f>IF(AND(100000000000&lt;=C26,C26&lt;500000000000),C26,0)</f>
        <v>0</v>
      </c>
      <c r="D30" s="1186">
        <f>D24</f>
        <v>3.8999999999999999E-4</v>
      </c>
      <c r="E30" s="1169">
        <f>ROUND(C30*D30,0)</f>
        <v>0</v>
      </c>
    </row>
    <row r="31" spans="1:5">
      <c r="A31" s="1189" t="s">
        <v>1521</v>
      </c>
      <c r="B31" s="1182"/>
      <c r="C31" s="1183">
        <f>IF(C26&gt;=500000000000,C26,0)</f>
        <v>0</v>
      </c>
      <c r="D31" s="1186">
        <f>D25</f>
        <v>1.7000000000000001E-4</v>
      </c>
      <c r="E31" s="1169">
        <f>ROUND(C31*D31,0)</f>
        <v>0</v>
      </c>
    </row>
    <row r="32" spans="1:5">
      <c r="A32" s="1181" t="s">
        <v>1522</v>
      </c>
      <c r="B32" s="1182"/>
      <c r="C32" s="1183">
        <f>C33+C46</f>
        <v>0</v>
      </c>
      <c r="D32" s="1186"/>
      <c r="E32" s="1169">
        <f>E33+E46</f>
        <v>0</v>
      </c>
    </row>
    <row r="33" spans="1:5">
      <c r="A33" s="1185" t="s">
        <v>1523</v>
      </c>
      <c r="B33" s="1182"/>
      <c r="C33" s="1183">
        <f>C34+C40</f>
        <v>0</v>
      </c>
      <c r="D33" s="1186"/>
      <c r="E33" s="1169">
        <f>E34+E40</f>
        <v>0</v>
      </c>
    </row>
    <row r="34" spans="1:5" ht="28.5">
      <c r="A34" s="1187" t="s">
        <v>1524</v>
      </c>
      <c r="B34" s="1182" t="s">
        <v>1525</v>
      </c>
      <c r="C34" s="1170">
        <f>'表30-5-2'!I15</f>
        <v>0</v>
      </c>
      <c r="D34" s="1188"/>
      <c r="E34" s="1167">
        <f>SUM(E35:E39)</f>
        <v>0</v>
      </c>
    </row>
    <row r="35" spans="1:5">
      <c r="A35" s="1189" t="s">
        <v>1513</v>
      </c>
      <c r="B35" s="1182"/>
      <c r="C35" s="1183">
        <f>IF(C34&lt;20000000000,C34,0)</f>
        <v>0</v>
      </c>
      <c r="D35" s="1186">
        <v>2E-3</v>
      </c>
      <c r="E35" s="1169">
        <f>ROUND(C35*D35,0)</f>
        <v>0</v>
      </c>
    </row>
    <row r="36" spans="1:5">
      <c r="A36" s="1189" t="s">
        <v>1514</v>
      </c>
      <c r="B36" s="1182"/>
      <c r="C36" s="1183">
        <f>IF(AND(20000000000&lt;=C34,C34&lt;50000000000),C34,0)</f>
        <v>0</v>
      </c>
      <c r="D36" s="1186">
        <v>1.73E-3</v>
      </c>
      <c r="E36" s="1169">
        <f>ROUND(C36*D36,0)</f>
        <v>0</v>
      </c>
    </row>
    <row r="37" spans="1:5">
      <c r="A37" s="1189" t="s">
        <v>1515</v>
      </c>
      <c r="B37" s="1182"/>
      <c r="C37" s="1183">
        <f>IF(AND(50000000000&lt;=C34,C34&lt;100000000000),C34,0)</f>
        <v>0</v>
      </c>
      <c r="D37" s="1186">
        <v>1.1000000000000001E-3</v>
      </c>
      <c r="E37" s="1169">
        <f>ROUND(C37*D37,0)</f>
        <v>0</v>
      </c>
    </row>
    <row r="38" spans="1:5">
      <c r="A38" s="1189" t="s">
        <v>1516</v>
      </c>
      <c r="B38" s="1182"/>
      <c r="C38" s="1183">
        <f>IF(AND(100000000000&lt;=C34,C33&lt;500000000000),C34,0)</f>
        <v>0</v>
      </c>
      <c r="D38" s="1186">
        <v>7.6999999999999996E-4</v>
      </c>
      <c r="E38" s="1169">
        <f>ROUND(C38*D38,0)</f>
        <v>0</v>
      </c>
    </row>
    <row r="39" spans="1:5">
      <c r="A39" s="1189" t="s">
        <v>1517</v>
      </c>
      <c r="B39" s="1182"/>
      <c r="C39" s="1183">
        <f>IF(C34&gt;=500000000000,C34,0)</f>
        <v>0</v>
      </c>
      <c r="D39" s="1186">
        <v>3.5E-4</v>
      </c>
      <c r="E39" s="1169">
        <f>ROUND(C39*D39,0)</f>
        <v>0</v>
      </c>
    </row>
    <row r="40" spans="1:5" ht="28.5">
      <c r="A40" s="1187" t="s">
        <v>1526</v>
      </c>
      <c r="B40" s="1182" t="s">
        <v>1527</v>
      </c>
      <c r="C40" s="1170">
        <f>'表30-5-2'!I16</f>
        <v>0</v>
      </c>
      <c r="D40" s="1188"/>
      <c r="E40" s="1167">
        <f>SUM(E41:E45)</f>
        <v>0</v>
      </c>
    </row>
    <row r="41" spans="1:5">
      <c r="A41" s="1189" t="s">
        <v>1528</v>
      </c>
      <c r="B41" s="1182"/>
      <c r="C41" s="1183">
        <f>IF(C40&lt;20000000000,C40,0)</f>
        <v>0</v>
      </c>
      <c r="D41" s="1186">
        <f>D35</f>
        <v>2E-3</v>
      </c>
      <c r="E41" s="1169">
        <f>ROUND(C41*D41,0)</f>
        <v>0</v>
      </c>
    </row>
    <row r="42" spans="1:5">
      <c r="A42" s="1189" t="s">
        <v>1514</v>
      </c>
      <c r="B42" s="1182"/>
      <c r="C42" s="1183">
        <f>IF(AND(20000000000&lt;=C40,C40&lt;50000000000),C40,0)</f>
        <v>0</v>
      </c>
      <c r="D42" s="1186">
        <f>D36</f>
        <v>1.73E-3</v>
      </c>
      <c r="E42" s="1169">
        <f>ROUND(C42*D42,0)</f>
        <v>0</v>
      </c>
    </row>
    <row r="43" spans="1:5">
      <c r="A43" s="1189" t="s">
        <v>1515</v>
      </c>
      <c r="B43" s="1182"/>
      <c r="C43" s="1183">
        <f>IF(AND(50000000000&lt;=C40,C40&lt;100000000000),C40,0)</f>
        <v>0</v>
      </c>
      <c r="D43" s="1186">
        <f>D37</f>
        <v>1.1000000000000001E-3</v>
      </c>
      <c r="E43" s="1169">
        <f>ROUND(C43*D43,0)</f>
        <v>0</v>
      </c>
    </row>
    <row r="44" spans="1:5">
      <c r="A44" s="1189" t="s">
        <v>1516</v>
      </c>
      <c r="B44" s="1182"/>
      <c r="C44" s="1183">
        <f>IF(AND(100000000000&lt;=C40,C40&lt;500000000000),C40,0)</f>
        <v>0</v>
      </c>
      <c r="D44" s="1186">
        <f>D38</f>
        <v>7.6999999999999996E-4</v>
      </c>
      <c r="E44" s="1169">
        <f>ROUND(C44*D44,0)</f>
        <v>0</v>
      </c>
    </row>
    <row r="45" spans="1:5">
      <c r="A45" s="1189" t="s">
        <v>1517</v>
      </c>
      <c r="B45" s="1182"/>
      <c r="C45" s="1183">
        <f>IF(C40&gt;=500000000000,C40,0)</f>
        <v>0</v>
      </c>
      <c r="D45" s="1186">
        <f>D39</f>
        <v>3.5E-4</v>
      </c>
      <c r="E45" s="1169">
        <f>ROUND(C45*D45,0)</f>
        <v>0</v>
      </c>
    </row>
    <row r="46" spans="1:5">
      <c r="A46" s="1185" t="s">
        <v>1529</v>
      </c>
      <c r="B46" s="1182"/>
      <c r="C46" s="1183">
        <f>C47+C53</f>
        <v>0</v>
      </c>
      <c r="D46" s="1186"/>
      <c r="E46" s="1169">
        <f>E47+E53</f>
        <v>0</v>
      </c>
    </row>
    <row r="47" spans="1:5" ht="28.5">
      <c r="A47" s="1187" t="s">
        <v>1530</v>
      </c>
      <c r="B47" s="1182" t="s">
        <v>1531</v>
      </c>
      <c r="C47" s="1170">
        <f>'表30-5-2'!I18</f>
        <v>0</v>
      </c>
      <c r="D47" s="1190"/>
      <c r="E47" s="1167">
        <f>SUM(E48:E52)</f>
        <v>0</v>
      </c>
    </row>
    <row r="48" spans="1:5">
      <c r="A48" s="1189" t="s">
        <v>1513</v>
      </c>
      <c r="B48" s="1182"/>
      <c r="C48" s="1183">
        <f>IF(C47&lt;20000000000,C47,0)</f>
        <v>0</v>
      </c>
      <c r="D48" s="1186">
        <v>3.0000000000000001E-3</v>
      </c>
      <c r="E48" s="1169">
        <f>ROUND(C48*D48,0)</f>
        <v>0</v>
      </c>
    </row>
    <row r="49" spans="1:5">
      <c r="A49" s="1189" t="s">
        <v>1514</v>
      </c>
      <c r="B49" s="1182"/>
      <c r="C49" s="1183">
        <f>IF(AND(20000000000&lt;=C47,C47&lt;50000000000),C47,0)</f>
        <v>0</v>
      </c>
      <c r="D49" s="1186">
        <v>2.5999999999999999E-3</v>
      </c>
      <c r="E49" s="1169">
        <f>ROUND(C49*D49,0)</f>
        <v>0</v>
      </c>
    </row>
    <row r="50" spans="1:5">
      <c r="A50" s="1189" t="s">
        <v>1515</v>
      </c>
      <c r="B50" s="1182"/>
      <c r="C50" s="1183">
        <f>IF(AND(50000000000&lt;=C47,C47&lt;100000000000),C47,0)</f>
        <v>0</v>
      </c>
      <c r="D50" s="1186">
        <v>1.16E-3</v>
      </c>
      <c r="E50" s="1169">
        <f>ROUND(C50*D50,0)</f>
        <v>0</v>
      </c>
    </row>
    <row r="51" spans="1:5">
      <c r="A51" s="1189" t="s">
        <v>1516</v>
      </c>
      <c r="B51" s="1182"/>
      <c r="C51" s="1183">
        <f>IF(AND(100000000000&lt;=C47,C47&lt;500000000000),C47,0)</f>
        <v>0</v>
      </c>
      <c r="D51" s="1186">
        <v>5.1999999999999995E-4</v>
      </c>
      <c r="E51" s="1169">
        <f>ROUND(C51*D51,0)</f>
        <v>0</v>
      </c>
    </row>
    <row r="52" spans="1:5">
      <c r="A52" s="1189" t="s">
        <v>1517</v>
      </c>
      <c r="B52" s="1182"/>
      <c r="C52" s="1183">
        <f>IF(C47&gt;=500000000000,C47,0)</f>
        <v>0</v>
      </c>
      <c r="D52" s="1186">
        <v>3.6999999999999999E-4</v>
      </c>
      <c r="E52" s="1169">
        <f>ROUND(C52*D52,0)</f>
        <v>0</v>
      </c>
    </row>
    <row r="53" spans="1:5" ht="28.5">
      <c r="A53" s="1187" t="s">
        <v>1532</v>
      </c>
      <c r="B53" s="1182" t="s">
        <v>1533</v>
      </c>
      <c r="C53" s="1170">
        <f>'表30-5-2'!I19</f>
        <v>0</v>
      </c>
      <c r="D53" s="1188"/>
      <c r="E53" s="1167">
        <f>SUM(E54:E58)</f>
        <v>0</v>
      </c>
    </row>
    <row r="54" spans="1:5">
      <c r="A54" s="1189" t="s">
        <v>1513</v>
      </c>
      <c r="B54" s="1182"/>
      <c r="C54" s="1183">
        <f>IF(C53&lt;20000000000,C53,0)</f>
        <v>0</v>
      </c>
      <c r="D54" s="1186">
        <f>D48</f>
        <v>3.0000000000000001E-3</v>
      </c>
      <c r="E54" s="1169">
        <f>ROUND(C54*D54,0)</f>
        <v>0</v>
      </c>
    </row>
    <row r="55" spans="1:5">
      <c r="A55" s="1189" t="s">
        <v>1534</v>
      </c>
      <c r="B55" s="1182"/>
      <c r="C55" s="1183">
        <f>IF(AND(20000000000&lt;=C53,C53&lt;50000000000),C53,0)</f>
        <v>0</v>
      </c>
      <c r="D55" s="1186">
        <f>D49</f>
        <v>2.5999999999999999E-3</v>
      </c>
      <c r="E55" s="1169">
        <f>ROUND(C55*D55,0)</f>
        <v>0</v>
      </c>
    </row>
    <row r="56" spans="1:5">
      <c r="A56" s="1189" t="s">
        <v>1535</v>
      </c>
      <c r="B56" s="1182"/>
      <c r="C56" s="1183">
        <f>IF(AND(50000000000&lt;=C53,C53&lt;100000000000),C53,0)</f>
        <v>0</v>
      </c>
      <c r="D56" s="1186">
        <f>D50</f>
        <v>1.16E-3</v>
      </c>
      <c r="E56" s="1169">
        <f>ROUND(C56*D56,0)</f>
        <v>0</v>
      </c>
    </row>
    <row r="57" spans="1:5">
      <c r="A57" s="1189" t="s">
        <v>1536</v>
      </c>
      <c r="B57" s="1182"/>
      <c r="C57" s="1183">
        <f>IF(AND(100000000000&lt;=C53,C53&lt;500000000000),C53,0)</f>
        <v>0</v>
      </c>
      <c r="D57" s="1186">
        <f>D51</f>
        <v>5.1999999999999995E-4</v>
      </c>
      <c r="E57" s="1169">
        <f>ROUND(C57*D57,0)</f>
        <v>0</v>
      </c>
    </row>
    <row r="58" spans="1:5">
      <c r="A58" s="1189" t="s">
        <v>1537</v>
      </c>
      <c r="B58" s="1182"/>
      <c r="C58" s="1183">
        <f>IF(C53&gt;=500000000000,C53,0)</f>
        <v>0</v>
      </c>
      <c r="D58" s="1186">
        <f>D52</f>
        <v>3.6999999999999999E-4</v>
      </c>
      <c r="E58" s="1169">
        <f>ROUND(C58*D58,0)</f>
        <v>0</v>
      </c>
    </row>
    <row r="59" spans="1:5">
      <c r="A59" s="1181" t="s">
        <v>1538</v>
      </c>
      <c r="B59" s="1182"/>
      <c r="C59" s="1183">
        <f>SUM(C60:C61)</f>
        <v>0</v>
      </c>
      <c r="D59" s="1186"/>
      <c r="E59" s="1169">
        <f>SUM(E60:E61)</f>
        <v>0</v>
      </c>
    </row>
    <row r="60" spans="1:5" ht="28.5">
      <c r="A60" s="1185" t="s">
        <v>1539</v>
      </c>
      <c r="B60" s="1182" t="s">
        <v>1540</v>
      </c>
      <c r="C60" s="1170">
        <f>'表30-5-2'!H21</f>
        <v>0</v>
      </c>
      <c r="D60" s="1188">
        <v>3.8000000000000002E-4</v>
      </c>
      <c r="E60" s="1167">
        <f>ROUND(C60*D60,0)</f>
        <v>0</v>
      </c>
    </row>
    <row r="61" spans="1:5" ht="28.5">
      <c r="A61" s="1185" t="s">
        <v>1541</v>
      </c>
      <c r="B61" s="1182" t="s">
        <v>1542</v>
      </c>
      <c r="C61" s="1170">
        <f>'表30-5-2'!H22</f>
        <v>0</v>
      </c>
      <c r="D61" s="1188">
        <f>D60</f>
        <v>3.8000000000000002E-4</v>
      </c>
      <c r="E61" s="1167">
        <f>ROUND(C61*D61,0)</f>
        <v>0</v>
      </c>
    </row>
    <row r="62" spans="1:5" ht="29.25" thickBot="1">
      <c r="A62" s="1191" t="s">
        <v>1543</v>
      </c>
      <c r="B62" s="1192" t="s">
        <v>1544</v>
      </c>
      <c r="C62" s="1170">
        <f>'表30-5-2'!H23</f>
        <v>0</v>
      </c>
      <c r="D62" s="1193">
        <v>7.5000000000000002E-4</v>
      </c>
      <c r="E62" s="1167">
        <f>ROUND(C62*D62,0)</f>
        <v>0</v>
      </c>
    </row>
    <row r="63" spans="1:5" ht="18" thickTop="1" thickBot="1">
      <c r="A63" s="1194" t="s">
        <v>1545</v>
      </c>
      <c r="B63" s="1195"/>
      <c r="C63" s="1196">
        <f>C4+C62</f>
        <v>0</v>
      </c>
      <c r="D63" s="1197"/>
      <c r="E63" s="1198">
        <f>E4+E62</f>
        <v>0</v>
      </c>
    </row>
    <row r="64" spans="1:5">
      <c r="A64" s="2983" t="s">
        <v>1546</v>
      </c>
      <c r="B64" s="2983"/>
    </row>
  </sheetData>
  <mergeCells count="1">
    <mergeCell ref="A64:B64"/>
  </mergeCells>
  <phoneticPr fontId="26" type="noConversion"/>
  <pageMargins left="0.7" right="0.7" top="0.75" bottom="0.75" header="0.3" footer="0.3"/>
  <pageSetup paperSize="9" scale="64"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workbookViewId="0"/>
  </sheetViews>
  <sheetFormatPr defaultRowHeight="16.5"/>
  <cols>
    <col min="1" max="1" width="9" style="1168"/>
    <col min="2" max="2" width="34.875" style="1168" customWidth="1"/>
    <col min="3" max="3" width="11.875" style="1168" customWidth="1"/>
    <col min="4" max="4" width="11.625" style="1168" customWidth="1"/>
    <col min="5" max="5" width="11.875" style="1168" customWidth="1"/>
    <col min="6" max="6" width="11.375" style="1168" customWidth="1"/>
    <col min="7" max="7" width="11.125" style="1168" customWidth="1"/>
    <col min="8" max="8" width="11.25" style="1168" customWidth="1"/>
    <col min="9" max="9" width="13.5" style="1168" customWidth="1"/>
    <col min="10" max="16384" width="9" style="1168"/>
  </cols>
  <sheetData>
    <row r="1" spans="1:9">
      <c r="A1" s="104" t="str">
        <f>表03!A1</f>
        <v xml:space="preserve"> 保險股份有限公司    年度(月)報表</v>
      </c>
    </row>
    <row r="2" spans="1:9">
      <c r="A2" s="1199" t="s">
        <v>1547</v>
      </c>
      <c r="I2" s="1171" t="s">
        <v>252</v>
      </c>
    </row>
    <row r="3" spans="1:9" ht="28.5">
      <c r="A3" s="2984" t="s">
        <v>236</v>
      </c>
      <c r="B3" s="1200" t="s">
        <v>1548</v>
      </c>
      <c r="C3" s="2253" t="s">
        <v>1549</v>
      </c>
      <c r="D3" s="2253" t="s">
        <v>1550</v>
      </c>
      <c r="E3" s="2253" t="s">
        <v>1551</v>
      </c>
      <c r="F3" s="1201" t="s">
        <v>1552</v>
      </c>
      <c r="G3" s="1201" t="s">
        <v>1553</v>
      </c>
      <c r="H3" s="1201" t="s">
        <v>1554</v>
      </c>
      <c r="I3" s="1201" t="s">
        <v>1555</v>
      </c>
    </row>
    <row r="4" spans="1:9">
      <c r="A4" s="2985"/>
      <c r="B4" s="1202" t="s">
        <v>1556</v>
      </c>
      <c r="C4" s="1202" t="s">
        <v>187</v>
      </c>
      <c r="D4" s="1202" t="s">
        <v>308</v>
      </c>
      <c r="E4" s="1202" t="s">
        <v>1557</v>
      </c>
      <c r="F4" s="1202" t="s">
        <v>70</v>
      </c>
      <c r="G4" s="1202" t="s">
        <v>71</v>
      </c>
      <c r="H4" s="1202" t="s">
        <v>1558</v>
      </c>
      <c r="I4" s="1202" t="s">
        <v>1559</v>
      </c>
    </row>
    <row r="5" spans="1:9">
      <c r="A5" s="1203">
        <v>1</v>
      </c>
      <c r="B5" s="1204" t="s">
        <v>1560</v>
      </c>
      <c r="C5" s="1205">
        <f>C6+C13</f>
        <v>0</v>
      </c>
      <c r="D5" s="1205">
        <f t="shared" ref="D5:I5" si="0">D6+D13</f>
        <v>0</v>
      </c>
      <c r="E5" s="1205">
        <f t="shared" si="0"/>
        <v>0</v>
      </c>
      <c r="F5" s="1205">
        <f>F6+F13+F20</f>
        <v>0</v>
      </c>
      <c r="G5" s="1205">
        <f>G6+G13+G20</f>
        <v>0</v>
      </c>
      <c r="H5" s="1205">
        <f>H6+H13+H20</f>
        <v>0</v>
      </c>
      <c r="I5" s="1205">
        <f t="shared" si="0"/>
        <v>0</v>
      </c>
    </row>
    <row r="6" spans="1:9">
      <c r="A6" s="1203">
        <v>2</v>
      </c>
      <c r="B6" s="1206" t="s">
        <v>1561</v>
      </c>
      <c r="C6" s="1205">
        <f>C7+C10</f>
        <v>0</v>
      </c>
      <c r="D6" s="1205">
        <f t="shared" ref="D6:I6" si="1">D7+D10</f>
        <v>0</v>
      </c>
      <c r="E6" s="1205">
        <f t="shared" si="1"/>
        <v>0</v>
      </c>
      <c r="F6" s="1205">
        <f t="shared" si="1"/>
        <v>0</v>
      </c>
      <c r="G6" s="1205">
        <f t="shared" si="1"/>
        <v>0</v>
      </c>
      <c r="H6" s="1205">
        <f t="shared" si="1"/>
        <v>0</v>
      </c>
      <c r="I6" s="1205">
        <f t="shared" si="1"/>
        <v>0</v>
      </c>
    </row>
    <row r="7" spans="1:9">
      <c r="A7" s="1203">
        <v>3</v>
      </c>
      <c r="B7" s="1207" t="s">
        <v>1562</v>
      </c>
      <c r="C7" s="1205">
        <f>C8+C9</f>
        <v>0</v>
      </c>
      <c r="D7" s="1205">
        <f t="shared" ref="D7:I7" si="2">D8+D9</f>
        <v>0</v>
      </c>
      <c r="E7" s="1205">
        <f t="shared" si="2"/>
        <v>0</v>
      </c>
      <c r="F7" s="1205">
        <f t="shared" si="2"/>
        <v>0</v>
      </c>
      <c r="G7" s="1205">
        <f t="shared" si="2"/>
        <v>0</v>
      </c>
      <c r="H7" s="1205">
        <f t="shared" si="2"/>
        <v>0</v>
      </c>
      <c r="I7" s="1205">
        <f t="shared" si="2"/>
        <v>0</v>
      </c>
    </row>
    <row r="8" spans="1:9">
      <c r="A8" s="1203">
        <v>4</v>
      </c>
      <c r="B8" s="1208" t="s">
        <v>1563</v>
      </c>
      <c r="C8" s="1209"/>
      <c r="D8" s="1209"/>
      <c r="E8" s="1210">
        <f>C8-D8</f>
        <v>0</v>
      </c>
      <c r="F8" s="1211"/>
      <c r="G8" s="1211"/>
      <c r="H8" s="1210">
        <f>F8-G8</f>
        <v>0</v>
      </c>
      <c r="I8" s="1205">
        <f>E8-H8</f>
        <v>0</v>
      </c>
    </row>
    <row r="9" spans="1:9">
      <c r="A9" s="1203">
        <v>5</v>
      </c>
      <c r="B9" s="1208" t="s">
        <v>1564</v>
      </c>
      <c r="C9" s="1209"/>
      <c r="D9" s="1209"/>
      <c r="E9" s="1210">
        <f>C9-D9</f>
        <v>0</v>
      </c>
      <c r="F9" s="1211"/>
      <c r="G9" s="1211"/>
      <c r="H9" s="1210">
        <f>F9-G9</f>
        <v>0</v>
      </c>
      <c r="I9" s="1205">
        <f>E9-H9</f>
        <v>0</v>
      </c>
    </row>
    <row r="10" spans="1:9">
      <c r="A10" s="1203">
        <v>6</v>
      </c>
      <c r="B10" s="1207" t="s">
        <v>1565</v>
      </c>
      <c r="C10" s="1205">
        <f t="shared" ref="C10:I10" si="3">C11+C12</f>
        <v>0</v>
      </c>
      <c r="D10" s="1205">
        <f t="shared" si="3"/>
        <v>0</v>
      </c>
      <c r="E10" s="1205">
        <f t="shared" si="3"/>
        <v>0</v>
      </c>
      <c r="F10" s="1205">
        <f t="shared" si="3"/>
        <v>0</v>
      </c>
      <c r="G10" s="1205">
        <f t="shared" si="3"/>
        <v>0</v>
      </c>
      <c r="H10" s="1205">
        <f t="shared" si="3"/>
        <v>0</v>
      </c>
      <c r="I10" s="1205">
        <f t="shared" si="3"/>
        <v>0</v>
      </c>
    </row>
    <row r="11" spans="1:9">
      <c r="A11" s="1203">
        <v>7</v>
      </c>
      <c r="B11" s="1208" t="s">
        <v>1566</v>
      </c>
      <c r="C11" s="1209"/>
      <c r="D11" s="1209"/>
      <c r="E11" s="1210">
        <f>C11-D11</f>
        <v>0</v>
      </c>
      <c r="F11" s="1211"/>
      <c r="G11" s="1211"/>
      <c r="H11" s="1210">
        <f>F11-G11</f>
        <v>0</v>
      </c>
      <c r="I11" s="1205">
        <f>E11-H11</f>
        <v>0</v>
      </c>
    </row>
    <row r="12" spans="1:9">
      <c r="A12" s="1203">
        <v>8</v>
      </c>
      <c r="B12" s="1208" t="s">
        <v>1567</v>
      </c>
      <c r="C12" s="1209"/>
      <c r="D12" s="1209"/>
      <c r="E12" s="1210">
        <f>C12-D12</f>
        <v>0</v>
      </c>
      <c r="F12" s="1211"/>
      <c r="G12" s="1211"/>
      <c r="H12" s="1210">
        <f>F12-G12</f>
        <v>0</v>
      </c>
      <c r="I12" s="1205">
        <f>E12-H12</f>
        <v>0</v>
      </c>
    </row>
    <row r="13" spans="1:9">
      <c r="A13" s="1203">
        <v>9</v>
      </c>
      <c r="B13" s="1206" t="s">
        <v>1568</v>
      </c>
      <c r="C13" s="1205">
        <f>C14+C17</f>
        <v>0</v>
      </c>
      <c r="D13" s="1205">
        <f t="shared" ref="D13:I13" si="4">D14+D17</f>
        <v>0</v>
      </c>
      <c r="E13" s="1205">
        <f t="shared" si="4"/>
        <v>0</v>
      </c>
      <c r="F13" s="1205">
        <f t="shared" si="4"/>
        <v>0</v>
      </c>
      <c r="G13" s="1205">
        <f t="shared" si="4"/>
        <v>0</v>
      </c>
      <c r="H13" s="1205">
        <f t="shared" si="4"/>
        <v>0</v>
      </c>
      <c r="I13" s="1205">
        <f t="shared" si="4"/>
        <v>0</v>
      </c>
    </row>
    <row r="14" spans="1:9">
      <c r="A14" s="1203">
        <v>10</v>
      </c>
      <c r="B14" s="1207" t="s">
        <v>1569</v>
      </c>
      <c r="C14" s="1205">
        <f t="shared" ref="C14:I14" si="5">C15+C16</f>
        <v>0</v>
      </c>
      <c r="D14" s="1205">
        <f t="shared" si="5"/>
        <v>0</v>
      </c>
      <c r="E14" s="1205">
        <f t="shared" si="5"/>
        <v>0</v>
      </c>
      <c r="F14" s="1205">
        <f t="shared" si="5"/>
        <v>0</v>
      </c>
      <c r="G14" s="1205">
        <f t="shared" si="5"/>
        <v>0</v>
      </c>
      <c r="H14" s="1205">
        <f t="shared" si="5"/>
        <v>0</v>
      </c>
      <c r="I14" s="1205">
        <f t="shared" si="5"/>
        <v>0</v>
      </c>
    </row>
    <row r="15" spans="1:9">
      <c r="A15" s="1203">
        <v>11</v>
      </c>
      <c r="B15" s="1208" t="s">
        <v>1570</v>
      </c>
      <c r="C15" s="1209"/>
      <c r="D15" s="1209"/>
      <c r="E15" s="1210">
        <f>C15-D15</f>
        <v>0</v>
      </c>
      <c r="F15" s="1211"/>
      <c r="G15" s="1211"/>
      <c r="H15" s="1210">
        <f>F15-G15</f>
        <v>0</v>
      </c>
      <c r="I15" s="1205">
        <f>E15-H15</f>
        <v>0</v>
      </c>
    </row>
    <row r="16" spans="1:9">
      <c r="A16" s="1203">
        <v>12</v>
      </c>
      <c r="B16" s="1208" t="s">
        <v>1571</v>
      </c>
      <c r="C16" s="1209"/>
      <c r="D16" s="1209"/>
      <c r="E16" s="1210">
        <f>C16-D16</f>
        <v>0</v>
      </c>
      <c r="F16" s="1211"/>
      <c r="G16" s="1211"/>
      <c r="H16" s="1210">
        <f>F16-G16</f>
        <v>0</v>
      </c>
      <c r="I16" s="1205">
        <f>E16-H16</f>
        <v>0</v>
      </c>
    </row>
    <row r="17" spans="1:9">
      <c r="A17" s="1203">
        <v>13</v>
      </c>
      <c r="B17" s="1207" t="s">
        <v>1572</v>
      </c>
      <c r="C17" s="1205">
        <f t="shared" ref="C17:I17" si="6">C18+C19</f>
        <v>0</v>
      </c>
      <c r="D17" s="1205">
        <f t="shared" si="6"/>
        <v>0</v>
      </c>
      <c r="E17" s="1205">
        <f t="shared" si="6"/>
        <v>0</v>
      </c>
      <c r="F17" s="1205">
        <f t="shared" si="6"/>
        <v>0</v>
      </c>
      <c r="G17" s="1205">
        <f t="shared" si="6"/>
        <v>0</v>
      </c>
      <c r="H17" s="1205">
        <f t="shared" si="6"/>
        <v>0</v>
      </c>
      <c r="I17" s="1205">
        <f t="shared" si="6"/>
        <v>0</v>
      </c>
    </row>
    <row r="18" spans="1:9">
      <c r="A18" s="1203">
        <v>14</v>
      </c>
      <c r="B18" s="1208" t="s">
        <v>1573</v>
      </c>
      <c r="C18" s="1209"/>
      <c r="D18" s="1209"/>
      <c r="E18" s="1210">
        <f>C18-D18</f>
        <v>0</v>
      </c>
      <c r="F18" s="1211"/>
      <c r="G18" s="1211"/>
      <c r="H18" s="1210">
        <f>F18-G18</f>
        <v>0</v>
      </c>
      <c r="I18" s="1205">
        <f>E18-H18</f>
        <v>0</v>
      </c>
    </row>
    <row r="19" spans="1:9">
      <c r="A19" s="1203">
        <v>15</v>
      </c>
      <c r="B19" s="1208" t="s">
        <v>1574</v>
      </c>
      <c r="C19" s="1209"/>
      <c r="D19" s="1209"/>
      <c r="E19" s="1210">
        <f>C19-D19</f>
        <v>0</v>
      </c>
      <c r="F19" s="1211"/>
      <c r="G19" s="1211"/>
      <c r="H19" s="1210">
        <f>F19-G19</f>
        <v>0</v>
      </c>
      <c r="I19" s="1205">
        <f>E19-H19</f>
        <v>0</v>
      </c>
    </row>
    <row r="20" spans="1:9">
      <c r="A20" s="1203">
        <v>16</v>
      </c>
      <c r="B20" s="1206" t="s">
        <v>1575</v>
      </c>
      <c r="C20" s="2986"/>
      <c r="D20" s="2987"/>
      <c r="E20" s="2988"/>
      <c r="F20" s="1205">
        <f>F21+F22</f>
        <v>0</v>
      </c>
      <c r="G20" s="1205">
        <f>G21+G22</f>
        <v>0</v>
      </c>
      <c r="H20" s="1205">
        <f>H21+H22</f>
        <v>0</v>
      </c>
      <c r="I20" s="2995"/>
    </row>
    <row r="21" spans="1:9">
      <c r="A21" s="1203">
        <v>17</v>
      </c>
      <c r="B21" s="1207" t="s">
        <v>1576</v>
      </c>
      <c r="C21" s="2989"/>
      <c r="D21" s="2990"/>
      <c r="E21" s="2991"/>
      <c r="F21" s="1211"/>
      <c r="G21" s="1211"/>
      <c r="H21" s="1210">
        <f>F21-G21</f>
        <v>0</v>
      </c>
      <c r="I21" s="2996"/>
    </row>
    <row r="22" spans="1:9">
      <c r="A22" s="1203">
        <v>18</v>
      </c>
      <c r="B22" s="1207" t="s">
        <v>1577</v>
      </c>
      <c r="C22" s="2989"/>
      <c r="D22" s="2990"/>
      <c r="E22" s="2991"/>
      <c r="F22" s="1211"/>
      <c r="G22" s="1211"/>
      <c r="H22" s="1210">
        <f>F22-G22</f>
        <v>0</v>
      </c>
      <c r="I22" s="2996"/>
    </row>
    <row r="23" spans="1:9">
      <c r="A23" s="1203">
        <v>19</v>
      </c>
      <c r="B23" s="1204" t="s">
        <v>1578</v>
      </c>
      <c r="C23" s="2992"/>
      <c r="D23" s="2993"/>
      <c r="E23" s="2994"/>
      <c r="F23" s="1211"/>
      <c r="G23" s="1211"/>
      <c r="H23" s="1210">
        <f>F23-G23</f>
        <v>0</v>
      </c>
      <c r="I23" s="2997"/>
    </row>
    <row r="24" spans="1:9">
      <c r="A24" s="1203">
        <v>20</v>
      </c>
      <c r="B24" s="1212" t="s">
        <v>1579</v>
      </c>
      <c r="C24" s="1205">
        <f>C5</f>
        <v>0</v>
      </c>
      <c r="D24" s="1205">
        <f>D5</f>
        <v>0</v>
      </c>
      <c r="E24" s="1205">
        <f>E5</f>
        <v>0</v>
      </c>
      <c r="F24" s="1205">
        <f>F5+F23</f>
        <v>0</v>
      </c>
      <c r="G24" s="1205">
        <f>G5+G23</f>
        <v>0</v>
      </c>
      <c r="H24" s="1205">
        <f>H5+H23</f>
        <v>0</v>
      </c>
      <c r="I24" s="1205">
        <f>I5</f>
        <v>0</v>
      </c>
    </row>
    <row r="25" spans="1:9">
      <c r="A25" s="1213" t="s">
        <v>1580</v>
      </c>
      <c r="B25" s="1214"/>
      <c r="C25" s="1214"/>
      <c r="D25" s="1214"/>
      <c r="E25" s="1214"/>
      <c r="F25" s="1214"/>
      <c r="G25" s="1214"/>
      <c r="H25" s="1214"/>
      <c r="I25" s="1215"/>
    </row>
  </sheetData>
  <mergeCells count="3">
    <mergeCell ref="A3:A4"/>
    <mergeCell ref="C20:E23"/>
    <mergeCell ref="I20:I23"/>
  </mergeCells>
  <phoneticPr fontId="26" type="noConversion"/>
  <pageMargins left="0.7" right="0.7" top="0.75" bottom="0.75" header="0.3" footer="0.3"/>
  <pageSetup paperSize="9" orientation="landscape"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F16"/>
  <sheetViews>
    <sheetView workbookViewId="0"/>
  </sheetViews>
  <sheetFormatPr defaultColWidth="8.875" defaultRowHeight="13.5"/>
  <cols>
    <col min="1" max="1" width="42.5" style="832" customWidth="1"/>
    <col min="2" max="2" width="92.25" style="832" customWidth="1"/>
    <col min="3" max="3" width="11.375" style="833" customWidth="1"/>
    <col min="4" max="4" width="10.625" style="1070" customWidth="1"/>
    <col min="5" max="5" width="9.625" style="1070" customWidth="1"/>
    <col min="6" max="6" width="12.125" style="833" customWidth="1"/>
    <col min="7" max="16384" width="8.875" style="832"/>
  </cols>
  <sheetData>
    <row r="1" spans="1:6" s="686" customFormat="1" ht="14.25">
      <c r="A1" s="105" t="str">
        <f>表03!A1</f>
        <v xml:space="preserve"> 保險股份有限公司    年度(月)報表</v>
      </c>
      <c r="B1" s="681"/>
      <c r="C1" s="683"/>
      <c r="D1" s="682"/>
      <c r="E1" s="683"/>
    </row>
    <row r="2" spans="1:6" s="686" customFormat="1" ht="17.25" thickBot="1">
      <c r="A2" s="685" t="s">
        <v>1582</v>
      </c>
      <c r="B2" s="803"/>
      <c r="C2" s="1162"/>
      <c r="D2" s="1162"/>
      <c r="E2" s="1162"/>
      <c r="F2" s="1162" t="s">
        <v>978</v>
      </c>
    </row>
    <row r="3" spans="1:6" ht="38.25" customHeight="1">
      <c r="A3" s="1131" t="s">
        <v>1468</v>
      </c>
      <c r="B3" s="1067" t="s">
        <v>1354</v>
      </c>
      <c r="C3" s="1132" t="s">
        <v>1608</v>
      </c>
      <c r="D3" s="1132" t="s">
        <v>1641</v>
      </c>
      <c r="E3" s="1132" t="s">
        <v>1639</v>
      </c>
      <c r="F3" s="1133" t="s">
        <v>1467</v>
      </c>
    </row>
    <row r="4" spans="1:6" ht="14.45" customHeight="1">
      <c r="A4" s="811" t="s">
        <v>2194</v>
      </c>
      <c r="B4" s="1134" t="s">
        <v>1642</v>
      </c>
      <c r="C4" s="1134">
        <f>'表23-1'!F9+'表23-1'!K9</f>
        <v>0</v>
      </c>
      <c r="D4" s="1134">
        <v>7.8E-2</v>
      </c>
      <c r="E4" s="1134">
        <f>'表30-8-6'!H8</f>
        <v>0</v>
      </c>
      <c r="F4" s="1135">
        <f>ROUND(C4*MAX((D4-E4),0),0)</f>
        <v>0</v>
      </c>
    </row>
    <row r="5" spans="1:6" ht="14.45" customHeight="1">
      <c r="A5" s="1423" t="s">
        <v>2195</v>
      </c>
      <c r="B5" s="2277" t="s">
        <v>1642</v>
      </c>
      <c r="C5" s="2277"/>
      <c r="D5" s="2277"/>
      <c r="E5" s="2277">
        <f>'表30-8-6'!$H$8</f>
        <v>0</v>
      </c>
      <c r="F5" s="1136">
        <f>ROUND(C5*MAX((D5-E5),0),0)</f>
        <v>0</v>
      </c>
    </row>
    <row r="6" spans="1:6" ht="14.45" customHeight="1">
      <c r="A6" s="1423" t="s">
        <v>2196</v>
      </c>
      <c r="B6" s="2277"/>
      <c r="C6" s="2277"/>
      <c r="D6" s="1068"/>
      <c r="E6" s="1068"/>
      <c r="F6" s="1136">
        <f>SUM(F7:F8)</f>
        <v>0</v>
      </c>
    </row>
    <row r="7" spans="1:6" ht="14.45" customHeight="1">
      <c r="A7" s="1425" t="s">
        <v>2197</v>
      </c>
      <c r="B7" s="2277" t="s">
        <v>1642</v>
      </c>
      <c r="C7" s="2277"/>
      <c r="D7" s="2277"/>
      <c r="E7" s="2277">
        <f>'表30-8-6'!$H$8</f>
        <v>0</v>
      </c>
      <c r="F7" s="1136">
        <f>ROUND(C7*MAX((D7-E7),0),0)</f>
        <v>0</v>
      </c>
    </row>
    <row r="8" spans="1:6" ht="14.45" customHeight="1">
      <c r="A8" s="1425" t="s">
        <v>2198</v>
      </c>
      <c r="B8" s="2277" t="s">
        <v>1642</v>
      </c>
      <c r="C8" s="2277"/>
      <c r="D8" s="2277"/>
      <c r="E8" s="2277">
        <f>'表30-8-6'!$H$8</f>
        <v>0</v>
      </c>
      <c r="F8" s="1136">
        <f>ROUND(C8*MAX((D8-E8),0),0)</f>
        <v>0</v>
      </c>
    </row>
    <row r="9" spans="1:6" ht="14.45" customHeight="1">
      <c r="A9" s="1423" t="s">
        <v>2199</v>
      </c>
      <c r="B9" s="2277"/>
      <c r="C9" s="2277"/>
      <c r="D9" s="1068"/>
      <c r="E9" s="1068"/>
      <c r="F9" s="1136">
        <f>SUM(F10:F11)</f>
        <v>0</v>
      </c>
    </row>
    <row r="10" spans="1:6" ht="14.45" customHeight="1">
      <c r="A10" s="1425" t="s">
        <v>2200</v>
      </c>
      <c r="B10" s="2277" t="s">
        <v>1642</v>
      </c>
      <c r="C10" s="2277"/>
      <c r="D10" s="2277"/>
      <c r="E10" s="2277">
        <f>'表30-8-6'!$H$8</f>
        <v>0</v>
      </c>
      <c r="F10" s="1136">
        <f>ROUND(C10*MAX((D10-E10),0),0)</f>
        <v>0</v>
      </c>
    </row>
    <row r="11" spans="1:6" ht="14.45" customHeight="1">
      <c r="A11" s="1425" t="s">
        <v>2201</v>
      </c>
      <c r="B11" s="2277" t="s">
        <v>1642</v>
      </c>
      <c r="C11" s="2277"/>
      <c r="D11" s="2277"/>
      <c r="E11" s="2277">
        <f>'表30-8-6'!$H$8</f>
        <v>0</v>
      </c>
      <c r="F11" s="1136">
        <f>ROUND(C11*MAX((D11-E11),0),0)</f>
        <v>0</v>
      </c>
    </row>
    <row r="12" spans="1:6" ht="14.45" customHeight="1">
      <c r="A12" s="1423" t="s">
        <v>2202</v>
      </c>
      <c r="B12" s="2277"/>
      <c r="C12" s="2998"/>
      <c r="D12" s="2998"/>
      <c r="E12" s="2998"/>
      <c r="F12" s="1136">
        <f>F13+F14</f>
        <v>0</v>
      </c>
    </row>
    <row r="13" spans="1:6" ht="14.25" customHeight="1">
      <c r="A13" s="1423" t="s">
        <v>2203</v>
      </c>
      <c r="B13" s="1344" t="s">
        <v>1743</v>
      </c>
      <c r="C13" s="2998"/>
      <c r="D13" s="2998"/>
      <c r="E13" s="2998"/>
      <c r="F13" s="1136">
        <f>'表30-6-1'!L6</f>
        <v>0</v>
      </c>
    </row>
    <row r="14" spans="1:6" ht="14.25" customHeight="1" thickBot="1">
      <c r="A14" s="1424" t="s">
        <v>2204</v>
      </c>
      <c r="B14" s="1345" t="s">
        <v>1744</v>
      </c>
      <c r="C14" s="2999"/>
      <c r="D14" s="2999"/>
      <c r="E14" s="2999"/>
      <c r="F14" s="1137">
        <f>'表30-6-1'!L14</f>
        <v>0</v>
      </c>
    </row>
    <row r="15" spans="1:6" ht="20.25" customHeight="1" thickTop="1" thickBot="1">
      <c r="A15" s="1138" t="s">
        <v>1640</v>
      </c>
      <c r="B15" s="1069"/>
      <c r="C15" s="1139">
        <f>SUM(C4:C5,C7:C8,C10:C11)</f>
        <v>0</v>
      </c>
      <c r="D15" s="1139"/>
      <c r="E15" s="1139"/>
      <c r="F15" s="1139">
        <f>SUM(F4:F5,F7:F8,F10:F11,F12)</f>
        <v>0</v>
      </c>
    </row>
    <row r="16" spans="1:6" ht="14.25">
      <c r="A16" s="832" t="s">
        <v>1581</v>
      </c>
    </row>
  </sheetData>
  <mergeCells count="1">
    <mergeCell ref="C12:E14"/>
  </mergeCells>
  <phoneticPr fontId="26" type="noConversion"/>
  <printOptions horizontalCentered="1"/>
  <pageMargins left="0.39370078740157483" right="0.19685039370078741" top="0.39370078740157483" bottom="0.39370078740157483" header="0" footer="0"/>
  <pageSetup paperSize="9" scale="75" fitToHeight="0" orientation="landscape" cellComments="asDisplayed" horizontalDpi="4294967295" verticalDpi="4294967295" r:id="rId1"/>
  <headerFooter alignWithMargins="0">
    <oddFooter>&amp;C&amp;"Times New Roman,標準"156&amp;R&amp;"Times New Roman,標準"&amp;A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workbookViewId="0"/>
  </sheetViews>
  <sheetFormatPr defaultRowHeight="13.5"/>
  <cols>
    <col min="1" max="1" width="4" style="2279" customWidth="1"/>
    <col min="2" max="2" width="34.375" style="2279" customWidth="1"/>
    <col min="3" max="3" width="17.875" style="2279" customWidth="1"/>
    <col min="4" max="4" width="18.125" style="2279" customWidth="1"/>
    <col min="5" max="5" width="18.5" style="2279" customWidth="1"/>
    <col min="6" max="6" width="16.25" style="2279" customWidth="1"/>
    <col min="7" max="9" width="17.125" style="2279" customWidth="1"/>
    <col min="10" max="10" width="16.875" style="2279" customWidth="1"/>
    <col min="11" max="11" width="19.125" style="2279" customWidth="1"/>
    <col min="12" max="12" width="16.125" style="2279" bestFit="1" customWidth="1"/>
    <col min="13" max="16384" width="9" style="2279"/>
  </cols>
  <sheetData>
    <row r="1" spans="1:12" ht="14.25">
      <c r="A1" s="104" t="s">
        <v>2057</v>
      </c>
    </row>
    <row r="2" spans="1:12" ht="14.25">
      <c r="A2" s="1216" t="s">
        <v>1745</v>
      </c>
      <c r="B2" s="1216"/>
      <c r="C2" s="1216"/>
      <c r="D2" s="1216"/>
      <c r="E2" s="1216"/>
      <c r="L2" s="2279" t="s">
        <v>1589</v>
      </c>
    </row>
    <row r="3" spans="1:12" ht="14.25">
      <c r="A3" s="3005" t="s">
        <v>1746</v>
      </c>
      <c r="B3" s="3005" t="s">
        <v>1590</v>
      </c>
      <c r="C3" s="3005" t="s">
        <v>1591</v>
      </c>
      <c r="D3" s="3000" t="s">
        <v>1592</v>
      </c>
      <c r="E3" s="3001"/>
      <c r="F3" s="3001"/>
      <c r="G3" s="3001"/>
      <c r="H3" s="3002"/>
      <c r="I3" s="3000" t="s">
        <v>1593</v>
      </c>
      <c r="J3" s="3001"/>
      <c r="K3" s="3002"/>
      <c r="L3" s="2280" t="s">
        <v>1594</v>
      </c>
    </row>
    <row r="4" spans="1:12" ht="28.5">
      <c r="A4" s="3005"/>
      <c r="B4" s="3006"/>
      <c r="C4" s="3006"/>
      <c r="D4" s="1217" t="s">
        <v>1596</v>
      </c>
      <c r="E4" s="1218" t="s">
        <v>1747</v>
      </c>
      <c r="F4" s="1217" t="s">
        <v>1748</v>
      </c>
      <c r="G4" s="2281" t="s">
        <v>1595</v>
      </c>
      <c r="H4" s="2281" t="s">
        <v>1466</v>
      </c>
      <c r="I4" s="1418" t="s">
        <v>1596</v>
      </c>
      <c r="J4" s="2281" t="s">
        <v>1597</v>
      </c>
      <c r="K4" s="2281" t="s">
        <v>1466</v>
      </c>
      <c r="L4" s="2281" t="s">
        <v>1466</v>
      </c>
    </row>
    <row r="5" spans="1:12">
      <c r="A5" s="3005"/>
      <c r="B5" s="700" t="s">
        <v>122</v>
      </c>
      <c r="C5" s="700" t="s">
        <v>187</v>
      </c>
      <c r="D5" s="700" t="s">
        <v>68</v>
      </c>
      <c r="E5" s="700" t="s">
        <v>69</v>
      </c>
      <c r="F5" s="700" t="s">
        <v>70</v>
      </c>
      <c r="G5" s="700" t="s">
        <v>71</v>
      </c>
      <c r="H5" s="700" t="s">
        <v>72</v>
      </c>
      <c r="I5" s="700" t="s">
        <v>73</v>
      </c>
      <c r="J5" s="700" t="s">
        <v>74</v>
      </c>
      <c r="K5" s="700" t="s">
        <v>75</v>
      </c>
      <c r="L5" s="700" t="s">
        <v>234</v>
      </c>
    </row>
    <row r="6" spans="1:12" ht="14.25">
      <c r="A6" s="2278">
        <v>1</v>
      </c>
      <c r="B6" s="2278" t="s">
        <v>1598</v>
      </c>
      <c r="C6" s="1219"/>
      <c r="D6" s="2278">
        <f>SUM(D7:D13)</f>
        <v>0</v>
      </c>
      <c r="E6" s="2278"/>
      <c r="F6" s="2278"/>
      <c r="G6" s="2278"/>
      <c r="H6" s="2278">
        <f>SUM(H7:H13)</f>
        <v>0</v>
      </c>
      <c r="I6" s="2278">
        <f>SUM(I7:I13)</f>
        <v>0</v>
      </c>
      <c r="J6" s="2278"/>
      <c r="K6" s="2278">
        <f>SUM(K7:K13)</f>
        <v>0</v>
      </c>
      <c r="L6" s="2278">
        <f>SUM(L7:L13)</f>
        <v>0</v>
      </c>
    </row>
    <row r="7" spans="1:12">
      <c r="A7" s="2278">
        <v>2</v>
      </c>
      <c r="B7" s="2278"/>
      <c r="C7" s="1220"/>
      <c r="D7" s="2278"/>
      <c r="E7" s="2278"/>
      <c r="F7" s="2278"/>
      <c r="G7" s="2278"/>
      <c r="H7" s="2278">
        <f>IF(D7*(MAX(E7,F7)-G7)&lt;0,0,D7*(MAX(E7,F7)-G7))</f>
        <v>0</v>
      </c>
      <c r="I7" s="2278"/>
      <c r="J7" s="2278"/>
      <c r="K7" s="2278">
        <f>IF(I7*(MAX(E7,F7)-J7)&lt;0,0,I7*(MAX(E7,F7)-J7))</f>
        <v>0</v>
      </c>
      <c r="L7" s="2278">
        <f>H7+K7</f>
        <v>0</v>
      </c>
    </row>
    <row r="8" spans="1:12">
      <c r="A8" s="2278">
        <v>3</v>
      </c>
      <c r="B8" s="2278"/>
      <c r="C8" s="1221"/>
      <c r="D8" s="2278"/>
      <c r="E8" s="2278"/>
      <c r="F8" s="2278"/>
      <c r="G8" s="2278"/>
      <c r="H8" s="2278">
        <f t="shared" ref="H8:H21" si="0">IF(D8*(MAX(E8,F8)-G8)&lt;0,0,D8*(MAX(E8,F8)-G8))</f>
        <v>0</v>
      </c>
      <c r="I8" s="2278"/>
      <c r="J8" s="2278"/>
      <c r="K8" s="2278">
        <f t="shared" ref="K8:K21" si="1">IF(I8*(MAX(E8,F8)-J8)&lt;0,0,I8*(MAX(E8,F8)-J8))</f>
        <v>0</v>
      </c>
      <c r="L8" s="2278">
        <f t="shared" ref="L8:L21" si="2">H8+K8</f>
        <v>0</v>
      </c>
    </row>
    <row r="9" spans="1:12">
      <c r="A9" s="2278">
        <v>4</v>
      </c>
      <c r="B9" s="2278"/>
      <c r="C9" s="1222"/>
      <c r="D9" s="1222"/>
      <c r="E9" s="2278"/>
      <c r="F9" s="2278"/>
      <c r="G9" s="2278"/>
      <c r="H9" s="2278">
        <f>IF(D9*(MAX(E9,F9)-G9)&lt;0,0,D9*(MAX(E9,F9)-G9))</f>
        <v>0</v>
      </c>
      <c r="I9" s="2278"/>
      <c r="J9" s="2278"/>
      <c r="K9" s="2278">
        <f>IF(I9*(MAX(E9,F9)-J9)&lt;0,0,I9*(MAX(E9,F9)-J9))</f>
        <v>0</v>
      </c>
      <c r="L9" s="2278">
        <f>H9+K9</f>
        <v>0</v>
      </c>
    </row>
    <row r="10" spans="1:12">
      <c r="A10" s="2278">
        <v>5</v>
      </c>
      <c r="B10" s="2278"/>
      <c r="C10" s="1222"/>
      <c r="D10" s="1222"/>
      <c r="E10" s="2278"/>
      <c r="F10" s="2278"/>
      <c r="G10" s="2278"/>
      <c r="H10" s="2278">
        <f t="shared" si="0"/>
        <v>0</v>
      </c>
      <c r="I10" s="2278"/>
      <c r="J10" s="2278"/>
      <c r="K10" s="2278">
        <f>IF(I10*(MAX(E10,F10)-J10)&lt;0,0,I10*(MAX(E10,F10)-J10))</f>
        <v>0</v>
      </c>
      <c r="L10" s="2278">
        <f t="shared" si="2"/>
        <v>0</v>
      </c>
    </row>
    <row r="11" spans="1:12">
      <c r="A11" s="2278">
        <v>6</v>
      </c>
      <c r="B11" s="2278"/>
      <c r="C11" s="1221"/>
      <c r="D11" s="2278"/>
      <c r="E11" s="2278"/>
      <c r="F11" s="2278"/>
      <c r="G11" s="2278"/>
      <c r="H11" s="2278">
        <f t="shared" si="0"/>
        <v>0</v>
      </c>
      <c r="I11" s="2278"/>
      <c r="J11" s="2278"/>
      <c r="K11" s="2278">
        <f t="shared" si="1"/>
        <v>0</v>
      </c>
      <c r="L11" s="2278">
        <f t="shared" si="2"/>
        <v>0</v>
      </c>
    </row>
    <row r="12" spans="1:12">
      <c r="A12" s="2278">
        <v>7</v>
      </c>
      <c r="B12" s="1223"/>
      <c r="C12" s="1222"/>
      <c r="D12" s="1222"/>
      <c r="E12" s="2278"/>
      <c r="F12" s="2278"/>
      <c r="G12" s="2278"/>
      <c r="H12" s="2278">
        <f t="shared" si="0"/>
        <v>0</v>
      </c>
      <c r="I12" s="2278"/>
      <c r="J12" s="2278"/>
      <c r="K12" s="2278">
        <f t="shared" si="1"/>
        <v>0</v>
      </c>
      <c r="L12" s="2278">
        <f t="shared" si="2"/>
        <v>0</v>
      </c>
    </row>
    <row r="13" spans="1:12">
      <c r="A13" s="2278">
        <v>8</v>
      </c>
      <c r="B13" s="1223"/>
      <c r="C13" s="1222"/>
      <c r="D13" s="1222"/>
      <c r="E13" s="2278"/>
      <c r="F13" s="2278"/>
      <c r="G13" s="2278"/>
      <c r="H13" s="2278">
        <f t="shared" si="0"/>
        <v>0</v>
      </c>
      <c r="I13" s="2278"/>
      <c r="J13" s="2278"/>
      <c r="K13" s="2278">
        <f t="shared" si="1"/>
        <v>0</v>
      </c>
      <c r="L13" s="2278">
        <f t="shared" si="2"/>
        <v>0</v>
      </c>
    </row>
    <row r="14" spans="1:12" ht="14.25">
      <c r="A14" s="2278">
        <v>9</v>
      </c>
      <c r="B14" s="2278" t="s">
        <v>1599</v>
      </c>
      <c r="C14" s="1220"/>
      <c r="D14" s="2278">
        <f>SUM(D15:D21)</f>
        <v>0</v>
      </c>
      <c r="E14" s="2278"/>
      <c r="F14" s="2278"/>
      <c r="G14" s="2278"/>
      <c r="H14" s="2278">
        <f>SUM(H15:H21)</f>
        <v>0</v>
      </c>
      <c r="I14" s="2278">
        <f>SUM(I15:I21)</f>
        <v>0</v>
      </c>
      <c r="J14" s="2278"/>
      <c r="K14" s="2278">
        <f>SUM(K15:K21)</f>
        <v>0</v>
      </c>
      <c r="L14" s="2278">
        <f>SUM(L15:L21)</f>
        <v>0</v>
      </c>
    </row>
    <row r="15" spans="1:12">
      <c r="A15" s="2278">
        <v>10</v>
      </c>
      <c r="B15" s="2278"/>
      <c r="C15" s="1221"/>
      <c r="D15" s="2278"/>
      <c r="E15" s="2278"/>
      <c r="F15" s="2278"/>
      <c r="G15" s="2278"/>
      <c r="H15" s="2278">
        <f t="shared" si="0"/>
        <v>0</v>
      </c>
      <c r="I15" s="2278"/>
      <c r="J15" s="2278"/>
      <c r="K15" s="2278">
        <f t="shared" si="1"/>
        <v>0</v>
      </c>
      <c r="L15" s="2278">
        <f t="shared" si="2"/>
        <v>0</v>
      </c>
    </row>
    <row r="16" spans="1:12">
      <c r="A16" s="2278">
        <v>11</v>
      </c>
      <c r="B16" s="2278"/>
      <c r="C16" s="1222"/>
      <c r="D16" s="1222"/>
      <c r="E16" s="2278"/>
      <c r="F16" s="2278"/>
      <c r="G16" s="2278"/>
      <c r="H16" s="2278">
        <f t="shared" si="0"/>
        <v>0</v>
      </c>
      <c r="I16" s="2278"/>
      <c r="J16" s="2278"/>
      <c r="K16" s="2278">
        <f t="shared" si="1"/>
        <v>0</v>
      </c>
      <c r="L16" s="2278">
        <f t="shared" si="2"/>
        <v>0</v>
      </c>
    </row>
    <row r="17" spans="1:12">
      <c r="A17" s="2278">
        <v>12</v>
      </c>
      <c r="B17" s="1223"/>
      <c r="C17" s="1222"/>
      <c r="D17" s="1222"/>
      <c r="E17" s="2278"/>
      <c r="F17" s="2278"/>
      <c r="G17" s="2278"/>
      <c r="H17" s="2278">
        <f t="shared" si="0"/>
        <v>0</v>
      </c>
      <c r="I17" s="2278"/>
      <c r="J17" s="2278"/>
      <c r="K17" s="2278">
        <f t="shared" si="1"/>
        <v>0</v>
      </c>
      <c r="L17" s="2278">
        <f t="shared" si="2"/>
        <v>0</v>
      </c>
    </row>
    <row r="18" spans="1:12">
      <c r="A18" s="2278">
        <v>13</v>
      </c>
      <c r="B18" s="1223"/>
      <c r="C18" s="1221"/>
      <c r="D18" s="2278"/>
      <c r="E18" s="2278"/>
      <c r="F18" s="2278"/>
      <c r="G18" s="2278"/>
      <c r="H18" s="2278">
        <f t="shared" si="0"/>
        <v>0</v>
      </c>
      <c r="I18" s="2278"/>
      <c r="J18" s="2278"/>
      <c r="K18" s="2278">
        <f t="shared" si="1"/>
        <v>0</v>
      </c>
      <c r="L18" s="2278">
        <f t="shared" si="2"/>
        <v>0</v>
      </c>
    </row>
    <row r="19" spans="1:12">
      <c r="A19" s="2278">
        <v>14</v>
      </c>
      <c r="B19" s="1223"/>
      <c r="C19" s="1222"/>
      <c r="D19" s="1222"/>
      <c r="E19" s="2278"/>
      <c r="F19" s="2278"/>
      <c r="G19" s="2278"/>
      <c r="H19" s="2278">
        <f t="shared" si="0"/>
        <v>0</v>
      </c>
      <c r="I19" s="2278"/>
      <c r="J19" s="2278"/>
      <c r="K19" s="2278">
        <f t="shared" si="1"/>
        <v>0</v>
      </c>
      <c r="L19" s="2278">
        <f t="shared" si="2"/>
        <v>0</v>
      </c>
    </row>
    <row r="20" spans="1:12">
      <c r="A20" s="2278">
        <v>15</v>
      </c>
      <c r="B20" s="1223"/>
      <c r="C20" s="1222"/>
      <c r="D20" s="1222"/>
      <c r="E20" s="2278"/>
      <c r="F20" s="2278"/>
      <c r="G20" s="2278"/>
      <c r="H20" s="2278">
        <f t="shared" si="0"/>
        <v>0</v>
      </c>
      <c r="I20" s="2278"/>
      <c r="J20" s="2278"/>
      <c r="K20" s="2278">
        <f t="shared" si="1"/>
        <v>0</v>
      </c>
      <c r="L20" s="2278">
        <f t="shared" si="2"/>
        <v>0</v>
      </c>
    </row>
    <row r="21" spans="1:12">
      <c r="A21" s="2278">
        <v>19</v>
      </c>
      <c r="B21" s="1223"/>
      <c r="C21" s="1219"/>
      <c r="D21" s="1219"/>
      <c r="E21" s="2278"/>
      <c r="F21" s="2278"/>
      <c r="G21" s="2278"/>
      <c r="H21" s="2278">
        <f t="shared" si="0"/>
        <v>0</v>
      </c>
      <c r="I21" s="2278"/>
      <c r="J21" s="2278"/>
      <c r="K21" s="2278">
        <f t="shared" si="1"/>
        <v>0</v>
      </c>
      <c r="L21" s="2278">
        <f t="shared" si="2"/>
        <v>0</v>
      </c>
    </row>
    <row r="22" spans="1:12" ht="14.25">
      <c r="A22" s="3003" t="s">
        <v>1600</v>
      </c>
      <c r="B22" s="3003"/>
      <c r="C22" s="3003"/>
      <c r="D22" s="2278">
        <f>D6+D14</f>
        <v>0</v>
      </c>
      <c r="E22" s="2278"/>
      <c r="F22" s="2278"/>
      <c r="G22" s="2278"/>
      <c r="H22" s="2278">
        <f>H6+H14</f>
        <v>0</v>
      </c>
      <c r="I22" s="2278"/>
      <c r="J22" s="2278"/>
      <c r="K22" s="2278">
        <f>K6+K14</f>
        <v>0</v>
      </c>
      <c r="L22" s="2278">
        <f>L6+L14</f>
        <v>0</v>
      </c>
    </row>
    <row r="23" spans="1:12" ht="14.25">
      <c r="A23" s="3004" t="s">
        <v>1749</v>
      </c>
      <c r="B23" s="3004"/>
      <c r="C23" s="3004"/>
      <c r="D23" s="3004"/>
      <c r="E23" s="3004"/>
      <c r="F23" s="3004"/>
      <c r="G23" s="3004"/>
      <c r="H23" s="1224"/>
      <c r="I23" s="1224"/>
      <c r="J23" s="1224"/>
      <c r="K23" s="1225"/>
    </row>
    <row r="24" spans="1:12" ht="14.25">
      <c r="A24" s="2279" t="s">
        <v>1750</v>
      </c>
      <c r="K24" s="1225"/>
    </row>
    <row r="25" spans="1:12" ht="14.25">
      <c r="A25" s="2279" t="s">
        <v>2067</v>
      </c>
    </row>
    <row r="26" spans="1:12" ht="14.25">
      <c r="A26" s="2279" t="s">
        <v>1751</v>
      </c>
    </row>
    <row r="27" spans="1:12" ht="14.25">
      <c r="A27" s="2279" t="s">
        <v>2058</v>
      </c>
    </row>
    <row r="28" spans="1:12" ht="14.25">
      <c r="A28" s="2279" t="s">
        <v>1752</v>
      </c>
    </row>
    <row r="31" spans="1:12" ht="14.25">
      <c r="B31" s="3000" t="s">
        <v>1753</v>
      </c>
      <c r="C31" s="3002"/>
    </row>
    <row r="32" spans="1:12" ht="14.25">
      <c r="B32" s="2280" t="s">
        <v>1754</v>
      </c>
      <c r="C32" s="2280" t="s">
        <v>981</v>
      </c>
    </row>
    <row r="33" spans="2:3" ht="14.25">
      <c r="B33" s="2278" t="s">
        <v>1601</v>
      </c>
      <c r="C33" s="2278" t="s">
        <v>672</v>
      </c>
    </row>
    <row r="34" spans="2:3" ht="14.25">
      <c r="B34" s="2278" t="s">
        <v>1602</v>
      </c>
      <c r="C34" s="2278" t="s">
        <v>1583</v>
      </c>
    </row>
    <row r="35" spans="2:3" ht="14.25">
      <c r="B35" s="2278" t="s">
        <v>1603</v>
      </c>
      <c r="C35" s="2278" t="s">
        <v>1584</v>
      </c>
    </row>
    <row r="36" spans="2:3" ht="14.25">
      <c r="B36" s="2278" t="s">
        <v>1604</v>
      </c>
      <c r="C36" s="2278" t="s">
        <v>1585</v>
      </c>
    </row>
    <row r="37" spans="2:3" ht="14.25">
      <c r="B37" s="2278" t="s">
        <v>1605</v>
      </c>
      <c r="C37" s="2278" t="s">
        <v>1586</v>
      </c>
    </row>
    <row r="38" spans="2:3" ht="14.25">
      <c r="B38" s="2278" t="s">
        <v>1606</v>
      </c>
      <c r="C38" s="2278" t="s">
        <v>1587</v>
      </c>
    </row>
    <row r="39" spans="2:3" ht="14.25">
      <c r="B39" s="2278" t="s">
        <v>1607</v>
      </c>
      <c r="C39" s="2278" t="s">
        <v>1588</v>
      </c>
    </row>
  </sheetData>
  <mergeCells count="8">
    <mergeCell ref="I3:K3"/>
    <mergeCell ref="A22:C22"/>
    <mergeCell ref="B31:C31"/>
    <mergeCell ref="A23:G23"/>
    <mergeCell ref="A3:A5"/>
    <mergeCell ref="B3:B4"/>
    <mergeCell ref="C3:C4"/>
    <mergeCell ref="D3:H3"/>
  </mergeCells>
  <phoneticPr fontId="26" type="noConversion"/>
  <pageMargins left="0.7" right="0.7" top="0.75" bottom="0.75" header="0.3" footer="0.3"/>
  <pageSetup paperSize="9" scale="61" orientation="landscape"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L23"/>
  <sheetViews>
    <sheetView workbookViewId="0"/>
  </sheetViews>
  <sheetFormatPr defaultRowHeight="15.75"/>
  <cols>
    <col min="1" max="1" width="20.5" style="694" customWidth="1"/>
    <col min="2" max="2" width="60.5" style="694" customWidth="1"/>
    <col min="3" max="5" width="13.625" style="694" customWidth="1"/>
    <col min="6" max="6" width="15.625" style="694" customWidth="1"/>
    <col min="7" max="16384" width="9" style="694"/>
  </cols>
  <sheetData>
    <row r="1" spans="1:12">
      <c r="A1" s="105" t="str">
        <f>表03!A1</f>
        <v xml:space="preserve"> 保險股份有限公司    年度(月)報表</v>
      </c>
      <c r="B1" s="681"/>
      <c r="C1" s="683"/>
      <c r="D1" s="683"/>
      <c r="E1" s="682"/>
      <c r="F1" s="683"/>
    </row>
    <row r="2" spans="1:12" ht="16.5" thickBot="1">
      <c r="A2" s="685" t="s">
        <v>1352</v>
      </c>
      <c r="B2" s="803"/>
      <c r="C2" s="804"/>
      <c r="D2" s="804"/>
      <c r="E2" s="686"/>
      <c r="F2" s="687" t="s">
        <v>978</v>
      </c>
    </row>
    <row r="3" spans="1:12" ht="30">
      <c r="A3" s="805" t="s">
        <v>1353</v>
      </c>
      <c r="B3" s="806" t="s">
        <v>1354</v>
      </c>
      <c r="C3" s="807" t="s">
        <v>1355</v>
      </c>
      <c r="D3" s="808" t="s">
        <v>1356</v>
      </c>
      <c r="E3" s="809" t="s">
        <v>1345</v>
      </c>
      <c r="F3" s="810" t="s">
        <v>1346</v>
      </c>
      <c r="I3" s="684"/>
      <c r="J3" s="684"/>
      <c r="K3" s="684"/>
      <c r="L3" s="684"/>
    </row>
    <row r="4" spans="1:12" ht="24" customHeight="1">
      <c r="A4" s="811" t="s">
        <v>1347</v>
      </c>
      <c r="B4" s="812"/>
      <c r="C4" s="813">
        <f>SUM(C5:C6)</f>
        <v>0</v>
      </c>
      <c r="D4" s="814">
        <f>SUM(D5:D6)</f>
        <v>0</v>
      </c>
      <c r="E4" s="815"/>
      <c r="F4" s="816">
        <f>SUM(F5:F6)</f>
        <v>0</v>
      </c>
      <c r="I4" s="684"/>
      <c r="J4" s="684"/>
      <c r="K4" s="684"/>
      <c r="L4" s="684"/>
    </row>
    <row r="5" spans="1:12" ht="33" customHeight="1">
      <c r="A5" s="817" t="s">
        <v>1348</v>
      </c>
      <c r="B5" s="818" t="s">
        <v>1357</v>
      </c>
      <c r="C5" s="819">
        <f>'表20-1'!C46-'表20-1'!C20-'表20-1'!C21-'表20-1'!C22</f>
        <v>0</v>
      </c>
      <c r="D5" s="820"/>
      <c r="E5" s="821">
        <v>5.0000000000000001E-3</v>
      </c>
      <c r="F5" s="822">
        <f>ROUND((C5+D5)*E5,0)</f>
        <v>0</v>
      </c>
      <c r="I5" s="684"/>
      <c r="J5" s="684"/>
      <c r="K5" s="684"/>
      <c r="L5" s="684"/>
    </row>
    <row r="6" spans="1:12" ht="33" customHeight="1">
      <c r="A6" s="817" t="s">
        <v>1349</v>
      </c>
      <c r="B6" s="818" t="s">
        <v>1638</v>
      </c>
      <c r="C6" s="819">
        <f>'表20-2'!C20</f>
        <v>0</v>
      </c>
      <c r="D6" s="820"/>
      <c r="E6" s="821">
        <v>5.0000000000000001E-3</v>
      </c>
      <c r="F6" s="822">
        <f>ROUND((C6+D6)*E6,0)</f>
        <v>0</v>
      </c>
      <c r="I6" s="684"/>
      <c r="J6" s="684"/>
      <c r="K6" s="684"/>
      <c r="L6" s="684"/>
    </row>
    <row r="7" spans="1:12" ht="29.25" thickBot="1">
      <c r="A7" s="823" t="s">
        <v>1350</v>
      </c>
      <c r="B7" s="800" t="s">
        <v>2364</v>
      </c>
      <c r="C7" s="1420">
        <f>表03!H104-表03!H98-表03!H68-表03!H69-表03!H70-表03!H71-表03!H72-'表30-8-3'!D26</f>
        <v>0</v>
      </c>
      <c r="D7" s="824"/>
      <c r="E7" s="825">
        <v>2.5000000000000001E-3</v>
      </c>
      <c r="F7" s="839">
        <f>ROUND(C7*E7,0)</f>
        <v>0</v>
      </c>
      <c r="I7" s="684"/>
      <c r="J7" s="684"/>
      <c r="K7" s="684"/>
      <c r="L7" s="684"/>
    </row>
    <row r="8" spans="1:12" s="684" customFormat="1" ht="17.25" thickTop="1" thickBot="1">
      <c r="A8" s="826" t="s">
        <v>1351</v>
      </c>
      <c r="B8" s="827"/>
      <c r="C8" s="828">
        <f>SUM(C5:C7)</f>
        <v>0</v>
      </c>
      <c r="D8" s="829">
        <f>SUM(D5:D7)</f>
        <v>0</v>
      </c>
      <c r="E8" s="830"/>
      <c r="F8" s="831">
        <f>SUM(F5:F7)</f>
        <v>0</v>
      </c>
    </row>
    <row r="9" spans="1:12">
      <c r="A9" s="693" t="s">
        <v>1358</v>
      </c>
      <c r="B9" s="832"/>
      <c r="C9" s="833"/>
      <c r="D9" s="833"/>
      <c r="E9" s="834"/>
      <c r="F9" s="833"/>
      <c r="I9" s="684"/>
      <c r="J9" s="684"/>
      <c r="K9" s="684"/>
      <c r="L9" s="684"/>
    </row>
    <row r="10" spans="1:12">
      <c r="A10" s="835"/>
      <c r="I10" s="684"/>
      <c r="J10" s="684"/>
      <c r="K10" s="684"/>
      <c r="L10" s="684"/>
    </row>
    <row r="11" spans="1:12">
      <c r="B11" s="684"/>
      <c r="I11" s="684"/>
      <c r="J11" s="684"/>
      <c r="K11" s="684"/>
      <c r="L11" s="684"/>
    </row>
    <row r="12" spans="1:12">
      <c r="A12" s="684"/>
    </row>
    <row r="13" spans="1:12">
      <c r="A13" s="684"/>
    </row>
    <row r="14" spans="1:12">
      <c r="A14" s="684"/>
    </row>
    <row r="15" spans="1:12">
      <c r="A15" s="684"/>
    </row>
    <row r="16" spans="1:12">
      <c r="A16" s="684"/>
    </row>
    <row r="17" spans="1:1">
      <c r="A17" s="684"/>
    </row>
    <row r="18" spans="1:1">
      <c r="A18" s="684"/>
    </row>
    <row r="19" spans="1:1">
      <c r="A19" s="684"/>
    </row>
    <row r="20" spans="1:1">
      <c r="A20" s="684"/>
    </row>
    <row r="21" spans="1:1">
      <c r="A21" s="684"/>
    </row>
    <row r="22" spans="1:1">
      <c r="A22" s="684"/>
    </row>
    <row r="23" spans="1:1">
      <c r="A23" s="684"/>
    </row>
  </sheetData>
  <phoneticPr fontId="26" type="noConversion"/>
  <printOptions horizontalCentered="1"/>
  <pageMargins left="0.39370078740157483" right="0.19685039370078741" top="0.39370078740157483" bottom="0.39370078740157483" header="0" footer="0"/>
  <pageSetup paperSize="9" fitToHeight="2" orientation="landscape" cellComments="asDisplayed" horizontalDpi="4294967295" verticalDpi="4294967295" r:id="rId1"/>
  <headerFooter alignWithMargins="0">
    <oddFooter>&amp;C&amp;"Times New Roman,標準"157&amp;R&amp;"Times New Roman,標準"&amp;A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37"/>
  <sheetViews>
    <sheetView workbookViewId="0"/>
  </sheetViews>
  <sheetFormatPr defaultColWidth="15.625" defaultRowHeight="15.75"/>
  <cols>
    <col min="1" max="1" width="5.625" style="1856" customWidth="1"/>
    <col min="2" max="16384" width="15.625" style="1856"/>
  </cols>
  <sheetData>
    <row r="1" spans="1:32" ht="16.5">
      <c r="A1" s="2410" t="s">
        <v>7072</v>
      </c>
      <c r="H1" s="1857"/>
      <c r="I1" s="1857"/>
      <c r="J1" s="1857"/>
      <c r="K1" s="1857"/>
      <c r="L1" s="1857"/>
      <c r="M1" s="1857"/>
      <c r="N1" s="1857"/>
      <c r="O1" s="1857"/>
      <c r="P1" s="1857"/>
      <c r="Q1" s="1857"/>
      <c r="R1" s="1857"/>
      <c r="S1" s="1857"/>
      <c r="T1" s="1857"/>
      <c r="U1" s="1857"/>
      <c r="V1" s="1857"/>
      <c r="W1" s="1857"/>
      <c r="X1" s="1857"/>
      <c r="Y1" s="1857"/>
      <c r="Z1" s="1857"/>
      <c r="AA1" s="1857"/>
      <c r="AB1" s="1857"/>
      <c r="AC1" s="1857"/>
      <c r="AD1" s="1857"/>
      <c r="AE1" s="1857"/>
    </row>
    <row r="2" spans="1:32" ht="16.5">
      <c r="A2" s="1839" t="s">
        <v>3540</v>
      </c>
      <c r="B2" s="1858"/>
      <c r="C2" s="1858"/>
      <c r="D2" s="1858"/>
      <c r="E2" s="1858"/>
      <c r="F2" s="1858"/>
      <c r="G2" s="1857"/>
      <c r="H2" s="1857"/>
      <c r="I2" s="1857"/>
      <c r="J2" s="1857"/>
      <c r="K2" s="1857"/>
      <c r="L2" s="1857"/>
      <c r="M2" s="1857"/>
      <c r="N2" s="1857"/>
      <c r="O2" s="1857"/>
      <c r="P2" s="1857"/>
      <c r="Q2" s="1857"/>
      <c r="R2" s="1857"/>
      <c r="S2" s="1857"/>
      <c r="T2" s="1857"/>
      <c r="U2" s="1857"/>
      <c r="V2" s="1857"/>
      <c r="W2" s="1857"/>
      <c r="X2" s="1857"/>
      <c r="Z2" s="1857"/>
      <c r="AA2" s="1857"/>
      <c r="AB2" s="1857"/>
      <c r="AC2" s="1857"/>
      <c r="AD2" s="1857"/>
      <c r="AE2" s="1857"/>
      <c r="AF2" s="1874" t="s">
        <v>3798</v>
      </c>
    </row>
    <row r="3" spans="1:32" ht="15.75" customHeight="1">
      <c r="A3" s="2552" t="s">
        <v>2343</v>
      </c>
      <c r="B3" s="2549" t="s">
        <v>3768</v>
      </c>
      <c r="C3" s="2549" t="s">
        <v>3769</v>
      </c>
      <c r="D3" s="2549" t="s">
        <v>3770</v>
      </c>
      <c r="E3" s="2549" t="s">
        <v>3771</v>
      </c>
      <c r="F3" s="2549" t="s">
        <v>3772</v>
      </c>
      <c r="G3" s="2549" t="s">
        <v>3773</v>
      </c>
      <c r="H3" s="2549" t="s">
        <v>3774</v>
      </c>
      <c r="I3" s="2549" t="s">
        <v>7047</v>
      </c>
      <c r="J3" s="2549" t="s">
        <v>3775</v>
      </c>
      <c r="K3" s="2549"/>
      <c r="L3" s="2549" t="s">
        <v>3776</v>
      </c>
      <c r="M3" s="2549"/>
      <c r="N3" s="2549"/>
      <c r="O3" s="2549"/>
      <c r="P3" s="2549"/>
      <c r="Q3" s="2549" t="s">
        <v>3777</v>
      </c>
      <c r="R3" s="2549"/>
      <c r="S3" s="2549" t="s">
        <v>3778</v>
      </c>
      <c r="T3" s="2549" t="s">
        <v>3779</v>
      </c>
      <c r="U3" s="2549" t="s">
        <v>3780</v>
      </c>
      <c r="V3" s="2549" t="s">
        <v>3781</v>
      </c>
      <c r="W3" s="2549" t="s">
        <v>3782</v>
      </c>
      <c r="X3" s="2549" t="s">
        <v>3783</v>
      </c>
      <c r="Y3" s="2549" t="s">
        <v>3784</v>
      </c>
      <c r="Z3" s="2550" t="s">
        <v>3785</v>
      </c>
      <c r="AA3" s="2550"/>
      <c r="AB3" s="2549" t="s">
        <v>3786</v>
      </c>
      <c r="AC3" s="2549" t="s">
        <v>3787</v>
      </c>
      <c r="AD3" s="2549" t="s">
        <v>3788</v>
      </c>
      <c r="AE3" s="2549" t="s">
        <v>3789</v>
      </c>
      <c r="AF3" s="2549" t="s">
        <v>2436</v>
      </c>
    </row>
    <row r="4" spans="1:32" ht="33">
      <c r="A4" s="2552"/>
      <c r="B4" s="2549"/>
      <c r="C4" s="2549"/>
      <c r="D4" s="2549"/>
      <c r="E4" s="2549"/>
      <c r="F4" s="2549"/>
      <c r="G4" s="2549"/>
      <c r="H4" s="2549"/>
      <c r="I4" s="2549"/>
      <c r="J4" s="2212" t="s">
        <v>3790</v>
      </c>
      <c r="K4" s="2212" t="s">
        <v>3791</v>
      </c>
      <c r="L4" s="2212" t="s">
        <v>3792</v>
      </c>
      <c r="M4" s="2212" t="s">
        <v>3793</v>
      </c>
      <c r="N4" s="2212" t="s">
        <v>3790</v>
      </c>
      <c r="O4" s="2212" t="s">
        <v>3791</v>
      </c>
      <c r="P4" s="2212" t="s">
        <v>3794</v>
      </c>
      <c r="Q4" s="2212" t="s">
        <v>3792</v>
      </c>
      <c r="R4" s="2212" t="s">
        <v>3793</v>
      </c>
      <c r="S4" s="2549"/>
      <c r="T4" s="2549"/>
      <c r="U4" s="2549"/>
      <c r="V4" s="2549"/>
      <c r="W4" s="2549"/>
      <c r="X4" s="2549"/>
      <c r="Y4" s="2549"/>
      <c r="Z4" s="2213" t="s">
        <v>3795</v>
      </c>
      <c r="AA4" s="2213" t="s">
        <v>3796</v>
      </c>
      <c r="AB4" s="2551"/>
      <c r="AC4" s="2549"/>
      <c r="AD4" s="2549"/>
      <c r="AE4" s="2549"/>
      <c r="AF4" s="2549"/>
    </row>
    <row r="5" spans="1:32">
      <c r="A5" s="2552"/>
      <c r="B5" s="1860" t="s">
        <v>66</v>
      </c>
      <c r="C5" s="1860" t="s">
        <v>67</v>
      </c>
      <c r="D5" s="1860" t="s">
        <v>68</v>
      </c>
      <c r="E5" s="1860" t="s">
        <v>69</v>
      </c>
      <c r="F5" s="1860" t="s">
        <v>70</v>
      </c>
      <c r="G5" s="1860" t="s">
        <v>71</v>
      </c>
      <c r="H5" s="1860" t="s">
        <v>72</v>
      </c>
      <c r="I5" s="1860" t="s">
        <v>470</v>
      </c>
      <c r="J5" s="1860" t="s">
        <v>74</v>
      </c>
      <c r="K5" s="1860" t="s">
        <v>75</v>
      </c>
      <c r="L5" s="1860" t="s">
        <v>234</v>
      </c>
      <c r="M5" s="1860" t="s">
        <v>235</v>
      </c>
      <c r="N5" s="1860" t="s">
        <v>286</v>
      </c>
      <c r="O5" s="1860" t="s">
        <v>287</v>
      </c>
      <c r="P5" s="1860" t="s">
        <v>288</v>
      </c>
      <c r="Q5" s="1860" t="s">
        <v>289</v>
      </c>
      <c r="R5" s="1860" t="s">
        <v>290</v>
      </c>
      <c r="S5" s="1860" t="s">
        <v>138</v>
      </c>
      <c r="T5" s="1860" t="s">
        <v>139</v>
      </c>
      <c r="U5" s="1860" t="s">
        <v>140</v>
      </c>
      <c r="V5" s="1860" t="s">
        <v>141</v>
      </c>
      <c r="W5" s="1860" t="s">
        <v>209</v>
      </c>
      <c r="X5" s="1860" t="s">
        <v>210</v>
      </c>
      <c r="Y5" s="1860" t="s">
        <v>974</v>
      </c>
      <c r="Z5" s="1860" t="s">
        <v>255</v>
      </c>
      <c r="AA5" s="1860" t="s">
        <v>256</v>
      </c>
      <c r="AB5" s="1860" t="s">
        <v>257</v>
      </c>
      <c r="AC5" s="1860" t="s">
        <v>258</v>
      </c>
      <c r="AD5" s="1860" t="s">
        <v>259</v>
      </c>
      <c r="AE5" s="1860" t="s">
        <v>260</v>
      </c>
      <c r="AF5" s="1860" t="s">
        <v>3797</v>
      </c>
    </row>
    <row r="6" spans="1:32">
      <c r="A6" s="1861">
        <v>1</v>
      </c>
      <c r="B6" s="1840"/>
      <c r="C6" s="1840"/>
      <c r="D6" s="1840"/>
      <c r="E6" s="1840"/>
      <c r="F6" s="1840"/>
      <c r="G6" s="1840"/>
      <c r="H6" s="1840"/>
      <c r="I6" s="1840"/>
      <c r="J6" s="1840"/>
      <c r="K6" s="1840"/>
      <c r="L6" s="1840"/>
      <c r="M6" s="1840"/>
      <c r="N6" s="1840"/>
      <c r="O6" s="1840"/>
      <c r="P6" s="1840"/>
      <c r="Q6" s="1840"/>
      <c r="R6" s="1840"/>
      <c r="S6" s="1840"/>
      <c r="T6" s="1840"/>
      <c r="U6" s="1862"/>
      <c r="V6" s="1840"/>
      <c r="W6" s="1863"/>
      <c r="X6" s="1863"/>
      <c r="Y6" s="1863"/>
      <c r="Z6" s="1864"/>
      <c r="AA6" s="1863"/>
      <c r="AB6" s="1862"/>
      <c r="AC6" s="1840"/>
      <c r="AD6" s="1840"/>
      <c r="AE6" s="1840"/>
      <c r="AF6" s="1840"/>
    </row>
    <row r="7" spans="1:32">
      <c r="A7" s="1861">
        <v>2</v>
      </c>
      <c r="B7" s="1840"/>
      <c r="C7" s="1840"/>
      <c r="D7" s="1840"/>
      <c r="E7" s="1840"/>
      <c r="F7" s="1840"/>
      <c r="G7" s="1840"/>
      <c r="H7" s="1840"/>
      <c r="I7" s="1840"/>
      <c r="J7" s="1840"/>
      <c r="K7" s="1840"/>
      <c r="L7" s="1840"/>
      <c r="M7" s="1840"/>
      <c r="N7" s="1840"/>
      <c r="O7" s="1840"/>
      <c r="P7" s="1840"/>
      <c r="Q7" s="1840"/>
      <c r="R7" s="1840"/>
      <c r="S7" s="1840"/>
      <c r="T7" s="1840"/>
      <c r="U7" s="1862"/>
      <c r="V7" s="1840"/>
      <c r="W7" s="1863"/>
      <c r="X7" s="1863"/>
      <c r="Y7" s="1863"/>
      <c r="Z7" s="1864"/>
      <c r="AA7" s="1863"/>
      <c r="AB7" s="1862"/>
      <c r="AC7" s="1840"/>
      <c r="AD7" s="1840"/>
      <c r="AE7" s="1840"/>
      <c r="AF7" s="1840"/>
    </row>
    <row r="8" spans="1:32">
      <c r="A8" s="1861">
        <v>3</v>
      </c>
      <c r="B8" s="1840"/>
      <c r="C8" s="1840"/>
      <c r="D8" s="1840"/>
      <c r="E8" s="1840"/>
      <c r="F8" s="1840"/>
      <c r="G8" s="1840"/>
      <c r="H8" s="1840"/>
      <c r="I8" s="1840"/>
      <c r="J8" s="1840"/>
      <c r="K8" s="1840"/>
      <c r="L8" s="1840"/>
      <c r="M8" s="1840"/>
      <c r="N8" s="1840"/>
      <c r="O8" s="1840"/>
      <c r="P8" s="1840"/>
      <c r="Q8" s="1840"/>
      <c r="R8" s="1840"/>
      <c r="S8" s="1840"/>
      <c r="T8" s="1840"/>
      <c r="U8" s="1862"/>
      <c r="V8" s="1840"/>
      <c r="W8" s="1863"/>
      <c r="X8" s="1863"/>
      <c r="Y8" s="1863"/>
      <c r="Z8" s="1864"/>
      <c r="AA8" s="1863"/>
      <c r="AB8" s="1862"/>
      <c r="AC8" s="1840"/>
      <c r="AD8" s="1840"/>
      <c r="AE8" s="1840"/>
      <c r="AF8" s="1840"/>
    </row>
    <row r="9" spans="1:32">
      <c r="A9" s="1861">
        <v>4</v>
      </c>
      <c r="B9" s="1840"/>
      <c r="C9" s="1840"/>
      <c r="D9" s="1840"/>
      <c r="E9" s="1840"/>
      <c r="F9" s="1840"/>
      <c r="G9" s="1840"/>
      <c r="H9" s="1840"/>
      <c r="I9" s="1840"/>
      <c r="J9" s="1840"/>
      <c r="K9" s="1840"/>
      <c r="L9" s="1840"/>
      <c r="M9" s="1840"/>
      <c r="N9" s="1840"/>
      <c r="O9" s="1840"/>
      <c r="P9" s="1840"/>
      <c r="Q9" s="1840"/>
      <c r="R9" s="1840"/>
      <c r="S9" s="1840"/>
      <c r="T9" s="1840"/>
      <c r="U9" s="1862"/>
      <c r="V9" s="1840"/>
      <c r="W9" s="1863"/>
      <c r="X9" s="1863"/>
      <c r="Y9" s="1863"/>
      <c r="Z9" s="1864"/>
      <c r="AA9" s="1863"/>
      <c r="AB9" s="1862"/>
      <c r="AC9" s="1840"/>
      <c r="AD9" s="1840"/>
      <c r="AE9" s="1840"/>
      <c r="AF9" s="1840"/>
    </row>
    <row r="10" spans="1:32">
      <c r="A10" s="1861">
        <v>5</v>
      </c>
      <c r="B10" s="1840"/>
      <c r="C10" s="1840"/>
      <c r="D10" s="1840"/>
      <c r="E10" s="1840"/>
      <c r="F10" s="1840"/>
      <c r="G10" s="1840"/>
      <c r="H10" s="1840"/>
      <c r="I10" s="1840"/>
      <c r="J10" s="1840"/>
      <c r="K10" s="1840"/>
      <c r="L10" s="1840"/>
      <c r="M10" s="1840"/>
      <c r="N10" s="1840"/>
      <c r="O10" s="1840"/>
      <c r="P10" s="1840"/>
      <c r="Q10" s="1840"/>
      <c r="R10" s="1840"/>
      <c r="S10" s="1840"/>
      <c r="T10" s="1840"/>
      <c r="U10" s="1862"/>
      <c r="V10" s="1840"/>
      <c r="W10" s="1863"/>
      <c r="X10" s="1863"/>
      <c r="Y10" s="1863"/>
      <c r="Z10" s="1864"/>
      <c r="AA10" s="1863"/>
      <c r="AB10" s="1862"/>
      <c r="AC10" s="1840"/>
      <c r="AD10" s="1840"/>
      <c r="AE10" s="1840"/>
      <c r="AF10" s="1840"/>
    </row>
    <row r="11" spans="1:32">
      <c r="A11" s="1861">
        <v>6</v>
      </c>
      <c r="B11" s="1840"/>
      <c r="C11" s="1840"/>
      <c r="D11" s="1840"/>
      <c r="E11" s="1840"/>
      <c r="F11" s="1840"/>
      <c r="G11" s="1840"/>
      <c r="H11" s="1840"/>
      <c r="I11" s="1840"/>
      <c r="J11" s="1840"/>
      <c r="K11" s="1840"/>
      <c r="L11" s="1840"/>
      <c r="M11" s="1840"/>
      <c r="N11" s="1840"/>
      <c r="O11" s="1840"/>
      <c r="P11" s="1840"/>
      <c r="Q11" s="1840"/>
      <c r="R11" s="1840"/>
      <c r="S11" s="1840"/>
      <c r="T11" s="1840"/>
      <c r="U11" s="1862"/>
      <c r="V11" s="1840"/>
      <c r="W11" s="1863"/>
      <c r="X11" s="1863"/>
      <c r="Y11" s="1863"/>
      <c r="Z11" s="1864"/>
      <c r="AA11" s="1863"/>
      <c r="AB11" s="1862"/>
      <c r="AC11" s="1840"/>
      <c r="AD11" s="1840"/>
      <c r="AE11" s="1840"/>
      <c r="AF11" s="1840"/>
    </row>
    <row r="12" spans="1:32">
      <c r="A12" s="1861">
        <v>7</v>
      </c>
      <c r="B12" s="1840"/>
      <c r="C12" s="1840"/>
      <c r="D12" s="1840"/>
      <c r="E12" s="1840"/>
      <c r="F12" s="1840"/>
      <c r="G12" s="1840"/>
      <c r="H12" s="1840"/>
      <c r="I12" s="1840"/>
      <c r="J12" s="1840"/>
      <c r="K12" s="1840"/>
      <c r="L12" s="1840"/>
      <c r="M12" s="1840"/>
      <c r="N12" s="1840"/>
      <c r="O12" s="1840"/>
      <c r="P12" s="1840"/>
      <c r="Q12" s="1840"/>
      <c r="R12" s="1840"/>
      <c r="S12" s="1840"/>
      <c r="T12" s="1840"/>
      <c r="U12" s="1862"/>
      <c r="V12" s="1840"/>
      <c r="W12" s="1863"/>
      <c r="X12" s="1863"/>
      <c r="Y12" s="1863"/>
      <c r="Z12" s="1864"/>
      <c r="AA12" s="1863"/>
      <c r="AB12" s="1862"/>
      <c r="AC12" s="1840"/>
      <c r="AD12" s="1840"/>
      <c r="AE12" s="1840"/>
      <c r="AF12" s="1840"/>
    </row>
    <row r="13" spans="1:32">
      <c r="A13" s="1861">
        <v>8</v>
      </c>
      <c r="B13" s="1840"/>
      <c r="C13" s="1840"/>
      <c r="D13" s="1840"/>
      <c r="E13" s="1840"/>
      <c r="F13" s="1840"/>
      <c r="G13" s="1840"/>
      <c r="H13" s="1840"/>
      <c r="I13" s="1840"/>
      <c r="J13" s="1840"/>
      <c r="K13" s="1840"/>
      <c r="L13" s="1840"/>
      <c r="M13" s="1840"/>
      <c r="N13" s="1840"/>
      <c r="O13" s="1840"/>
      <c r="P13" s="1840"/>
      <c r="Q13" s="1840"/>
      <c r="R13" s="1840"/>
      <c r="S13" s="1840"/>
      <c r="T13" s="1840"/>
      <c r="U13" s="1862"/>
      <c r="V13" s="1840"/>
      <c r="W13" s="1863"/>
      <c r="X13" s="1863"/>
      <c r="Y13" s="1863"/>
      <c r="Z13" s="1864"/>
      <c r="AA13" s="1863"/>
      <c r="AB13" s="1862"/>
      <c r="AC13" s="1840"/>
      <c r="AD13" s="1840"/>
      <c r="AE13" s="1840"/>
      <c r="AF13" s="1840"/>
    </row>
    <row r="14" spans="1:32">
      <c r="A14" s="1861">
        <v>9</v>
      </c>
      <c r="B14" s="1840"/>
      <c r="C14" s="1840"/>
      <c r="D14" s="1840"/>
      <c r="E14" s="1840"/>
      <c r="F14" s="1840"/>
      <c r="G14" s="1840"/>
      <c r="H14" s="1840"/>
      <c r="I14" s="1840"/>
      <c r="J14" s="1840"/>
      <c r="K14" s="1840"/>
      <c r="L14" s="1840"/>
      <c r="M14" s="1840"/>
      <c r="N14" s="1840"/>
      <c r="O14" s="1840"/>
      <c r="P14" s="1840"/>
      <c r="Q14" s="1840"/>
      <c r="R14" s="1840"/>
      <c r="S14" s="1840"/>
      <c r="T14" s="1840"/>
      <c r="U14" s="1862"/>
      <c r="V14" s="1840"/>
      <c r="W14" s="1863"/>
      <c r="X14" s="1863"/>
      <c r="Y14" s="1863"/>
      <c r="Z14" s="1864"/>
      <c r="AA14" s="1863"/>
      <c r="AB14" s="1862"/>
      <c r="AC14" s="1840"/>
      <c r="AD14" s="1840"/>
      <c r="AE14" s="1840"/>
      <c r="AF14" s="1840"/>
    </row>
    <row r="15" spans="1:32">
      <c r="A15" s="1861">
        <v>10</v>
      </c>
      <c r="B15" s="1840"/>
      <c r="C15" s="1840"/>
      <c r="D15" s="1840"/>
      <c r="E15" s="1840"/>
      <c r="F15" s="1840"/>
      <c r="G15" s="1840"/>
      <c r="H15" s="1840"/>
      <c r="I15" s="1840"/>
      <c r="J15" s="1840"/>
      <c r="K15" s="1840"/>
      <c r="L15" s="1840"/>
      <c r="M15" s="1840"/>
      <c r="N15" s="1840"/>
      <c r="O15" s="1840"/>
      <c r="P15" s="1840"/>
      <c r="Q15" s="1840"/>
      <c r="R15" s="1840"/>
      <c r="S15" s="1840"/>
      <c r="T15" s="1840"/>
      <c r="U15" s="1862"/>
      <c r="V15" s="1840"/>
      <c r="W15" s="1863"/>
      <c r="X15" s="1863"/>
      <c r="Y15" s="1863"/>
      <c r="Z15" s="1864"/>
      <c r="AA15" s="1863"/>
      <c r="AB15" s="1862"/>
      <c r="AC15" s="1840"/>
      <c r="AD15" s="1840"/>
      <c r="AE15" s="1840"/>
      <c r="AF15" s="1840"/>
    </row>
    <row r="16" spans="1:32" ht="16.5">
      <c r="A16" s="1861">
        <v>11</v>
      </c>
      <c r="B16" s="1842" t="s">
        <v>3765</v>
      </c>
      <c r="C16" s="1842" t="s">
        <v>3766</v>
      </c>
      <c r="D16" s="1843"/>
      <c r="E16" s="1843"/>
      <c r="F16" s="1843"/>
      <c r="G16" s="1843"/>
      <c r="H16" s="1843"/>
      <c r="I16" s="1843"/>
      <c r="J16" s="1843"/>
      <c r="K16" s="1843"/>
      <c r="L16" s="1843"/>
      <c r="M16" s="1843"/>
      <c r="N16" s="1843"/>
      <c r="O16" s="1843"/>
      <c r="P16" s="1843"/>
      <c r="Q16" s="1843"/>
      <c r="R16" s="1843"/>
      <c r="S16" s="1843"/>
      <c r="T16" s="1843"/>
      <c r="U16" s="1865"/>
      <c r="V16" s="1843"/>
      <c r="W16" s="1866">
        <f>SUMIF($D$6:$D$15,"J",W6:W15)</f>
        <v>0</v>
      </c>
      <c r="X16" s="1866">
        <f>SUMIF($D$6:$D$15,"J",X6:X15)</f>
        <v>0</v>
      </c>
      <c r="Y16" s="1866">
        <f>SUMIF($D$6:$D$15,"J",Y6:Y15)</f>
        <v>0</v>
      </c>
      <c r="Z16" s="1867"/>
      <c r="AA16" s="1867"/>
      <c r="AB16" s="1868"/>
      <c r="AC16" s="1868"/>
      <c r="AD16" s="1869">
        <f>SUMIF($D$6:$D$15,"J",AD6:AD15)</f>
        <v>0</v>
      </c>
      <c r="AE16" s="1869">
        <f>SUMIF($D$6:$D$15,"J",AE6:AE15)</f>
        <v>0</v>
      </c>
      <c r="AF16" s="1868"/>
    </row>
    <row r="17" spans="1:32">
      <c r="A17" s="1870"/>
      <c r="B17" s="1844"/>
      <c r="C17" s="1845"/>
      <c r="D17" s="1845"/>
      <c r="E17" s="1845"/>
      <c r="F17" s="1845"/>
      <c r="G17" s="1845"/>
      <c r="H17" s="1845"/>
      <c r="I17" s="1845"/>
      <c r="J17" s="1845"/>
      <c r="K17" s="1845"/>
      <c r="L17" s="1844"/>
      <c r="M17" s="1845"/>
      <c r="N17" s="1845"/>
      <c r="O17" s="1845"/>
      <c r="P17" s="1845"/>
      <c r="Q17" s="1844"/>
      <c r="R17" s="1845"/>
      <c r="S17" s="1845"/>
      <c r="T17" s="1845"/>
      <c r="U17" s="1846"/>
      <c r="V17" s="1845"/>
      <c r="W17" s="1847"/>
      <c r="X17" s="1847"/>
      <c r="Y17" s="1847"/>
      <c r="Z17" s="1847"/>
      <c r="AA17" s="1847"/>
      <c r="AB17" s="1846"/>
      <c r="AC17" s="1845"/>
      <c r="AD17" s="1845"/>
      <c r="AE17" s="1845"/>
      <c r="AF17" s="1845"/>
    </row>
    <row r="18" spans="1:32" ht="16.5">
      <c r="A18" s="1871" t="s">
        <v>3799</v>
      </c>
      <c r="B18" s="1857"/>
      <c r="C18" s="1848"/>
      <c r="D18" s="1857"/>
      <c r="E18" s="1857"/>
      <c r="F18" s="1857"/>
      <c r="G18" s="1857"/>
      <c r="H18" s="1857"/>
      <c r="I18" s="1857"/>
      <c r="J18" s="1857"/>
      <c r="K18" s="1857"/>
      <c r="L18" s="1857"/>
      <c r="M18" s="1857"/>
      <c r="N18" s="1857"/>
      <c r="O18" s="1857"/>
      <c r="P18" s="1857"/>
      <c r="Q18" s="1857"/>
      <c r="R18" s="1857"/>
      <c r="S18" s="1857"/>
      <c r="T18" s="1857"/>
      <c r="U18" s="1857"/>
      <c r="V18" s="1857"/>
      <c r="W18" s="1857"/>
      <c r="X18" s="1857"/>
      <c r="Y18" s="1857"/>
      <c r="Z18" s="1857"/>
      <c r="AA18" s="1857"/>
      <c r="AB18" s="1857"/>
      <c r="AC18" s="1857"/>
      <c r="AD18" s="1857"/>
      <c r="AE18" s="1857"/>
    </row>
    <row r="19" spans="1:32" ht="15.75" customHeight="1">
      <c r="A19" s="1870">
        <v>1</v>
      </c>
      <c r="B19" s="1838" t="s">
        <v>3800</v>
      </c>
      <c r="J19" s="1857"/>
      <c r="K19" s="1857"/>
      <c r="L19" s="1857"/>
      <c r="M19" s="1857"/>
      <c r="N19" s="1857"/>
      <c r="O19" s="1857"/>
      <c r="P19" s="1857"/>
      <c r="Q19" s="1857"/>
      <c r="R19" s="1857"/>
      <c r="S19" s="1857"/>
      <c r="T19" s="1857"/>
      <c r="U19" s="1857"/>
      <c r="V19" s="1857"/>
      <c r="W19" s="1857"/>
      <c r="X19" s="1857"/>
      <c r="Y19" s="1857"/>
      <c r="Z19" s="1857"/>
      <c r="AA19" s="1857"/>
      <c r="AB19" s="1857"/>
      <c r="AC19" s="1857"/>
      <c r="AD19" s="1857"/>
      <c r="AE19" s="1857"/>
    </row>
    <row r="20" spans="1:32" ht="15.75" customHeight="1">
      <c r="A20" s="1870">
        <v>2</v>
      </c>
      <c r="B20" s="1852" t="s">
        <v>3801</v>
      </c>
      <c r="C20" s="1854"/>
      <c r="D20" s="1854"/>
      <c r="E20" s="1854"/>
      <c r="F20" s="1854"/>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7"/>
    </row>
    <row r="21" spans="1:32" ht="16.5">
      <c r="A21" s="1870"/>
      <c r="B21" s="1852" t="s">
        <v>7048</v>
      </c>
      <c r="C21" s="1854"/>
      <c r="D21" s="1854"/>
      <c r="E21" s="1854"/>
      <c r="F21" s="1854"/>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7"/>
    </row>
    <row r="22" spans="1:32" ht="16.5">
      <c r="A22" s="1870"/>
      <c r="B22" s="1852" t="s">
        <v>7049</v>
      </c>
      <c r="C22" s="1854"/>
      <c r="D22" s="1854"/>
      <c r="E22" s="1854"/>
      <c r="F22" s="1854"/>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7"/>
    </row>
    <row r="23" spans="1:32" ht="15.75" customHeight="1">
      <c r="A23" s="1870">
        <v>3</v>
      </c>
      <c r="B23" s="1851" t="s">
        <v>3802</v>
      </c>
      <c r="C23" s="1848"/>
      <c r="D23" s="1848"/>
      <c r="E23" s="1848"/>
      <c r="F23" s="1848"/>
      <c r="G23" s="1848"/>
      <c r="H23" s="1848"/>
      <c r="I23" s="1848"/>
      <c r="J23" s="1848"/>
      <c r="K23" s="1848"/>
      <c r="L23" s="1848"/>
      <c r="M23" s="1848"/>
      <c r="N23" s="1848"/>
      <c r="O23" s="1848"/>
      <c r="P23" s="1848"/>
      <c r="Q23" s="1848"/>
      <c r="R23" s="1848"/>
      <c r="S23" s="1848"/>
      <c r="T23" s="1848"/>
      <c r="U23" s="1848"/>
      <c r="V23" s="1848"/>
      <c r="W23" s="1848"/>
      <c r="X23" s="1848"/>
      <c r="Y23" s="1848"/>
      <c r="Z23" s="1848"/>
      <c r="AA23" s="1848"/>
      <c r="AB23" s="1848"/>
      <c r="AC23" s="1848"/>
      <c r="AD23" s="1848"/>
      <c r="AE23" s="1857"/>
    </row>
    <row r="24" spans="1:32" ht="15.75" customHeight="1">
      <c r="A24" s="1849">
        <v>4</v>
      </c>
      <c r="B24" s="1851" t="s">
        <v>3803</v>
      </c>
      <c r="C24" s="1848"/>
      <c r="D24" s="1848"/>
      <c r="E24" s="1848"/>
      <c r="F24" s="1848"/>
      <c r="G24" s="1848"/>
      <c r="H24" s="1848"/>
      <c r="I24" s="1848"/>
      <c r="J24" s="1848"/>
      <c r="K24" s="1848"/>
      <c r="L24" s="1848"/>
      <c r="M24" s="1848"/>
      <c r="N24" s="1848"/>
      <c r="O24" s="1848"/>
      <c r="P24" s="1848"/>
      <c r="Q24" s="1848"/>
      <c r="R24" s="1848"/>
      <c r="S24" s="1848"/>
      <c r="T24" s="1848"/>
      <c r="U24" s="1848"/>
      <c r="V24" s="1848"/>
      <c r="W24" s="1848"/>
      <c r="X24" s="1848"/>
      <c r="Y24" s="1848"/>
      <c r="Z24" s="1848"/>
      <c r="AA24" s="1848"/>
      <c r="AB24" s="1848"/>
      <c r="AC24" s="1848"/>
      <c r="AD24" s="1848"/>
      <c r="AE24" s="1857"/>
    </row>
    <row r="25" spans="1:32" ht="15.75" customHeight="1">
      <c r="A25" s="1849">
        <v>5</v>
      </c>
      <c r="B25" s="1851" t="s">
        <v>3804</v>
      </c>
      <c r="C25" s="1848"/>
      <c r="D25" s="1848"/>
      <c r="E25" s="1848"/>
      <c r="F25" s="1848"/>
      <c r="G25" s="1848"/>
      <c r="H25" s="1848"/>
      <c r="I25" s="1848"/>
      <c r="J25" s="1848"/>
      <c r="K25" s="1848"/>
      <c r="L25" s="1848"/>
      <c r="M25" s="1848"/>
      <c r="N25" s="1848"/>
      <c r="O25" s="1848"/>
      <c r="P25" s="1848"/>
      <c r="Q25" s="1848"/>
      <c r="R25" s="1848"/>
      <c r="S25" s="1848"/>
      <c r="T25" s="1848"/>
      <c r="U25" s="1848"/>
      <c r="V25" s="1848"/>
      <c r="W25" s="1848"/>
      <c r="X25" s="1848"/>
      <c r="Y25" s="1848"/>
      <c r="Z25" s="1848"/>
      <c r="AA25" s="1848"/>
      <c r="AB25" s="1848"/>
      <c r="AC25" s="1848"/>
      <c r="AD25" s="1848"/>
      <c r="AE25" s="1857"/>
    </row>
    <row r="26" spans="1:32" ht="15.75" customHeight="1">
      <c r="A26" s="1849">
        <v>6</v>
      </c>
      <c r="B26" s="1855" t="s">
        <v>3805</v>
      </c>
      <c r="C26" s="1872"/>
      <c r="D26" s="1872"/>
      <c r="E26" s="1872"/>
      <c r="F26" s="1872"/>
      <c r="G26" s="1872"/>
      <c r="H26" s="1872"/>
      <c r="I26" s="1872"/>
      <c r="J26" s="1872"/>
      <c r="K26" s="1872"/>
      <c r="L26" s="1872"/>
      <c r="M26" s="1872"/>
      <c r="N26" s="1872"/>
      <c r="O26" s="1872"/>
      <c r="P26" s="1872"/>
      <c r="Q26" s="1872"/>
      <c r="R26" s="1872"/>
      <c r="S26" s="1872"/>
      <c r="T26" s="1872"/>
      <c r="U26" s="1872"/>
      <c r="V26" s="1872"/>
      <c r="W26" s="1872"/>
      <c r="X26" s="1872"/>
      <c r="Y26" s="1872"/>
      <c r="Z26" s="1872"/>
      <c r="AA26" s="1872"/>
      <c r="AB26" s="1872"/>
      <c r="AC26" s="1872"/>
      <c r="AD26" s="1872"/>
      <c r="AE26" s="1857"/>
    </row>
    <row r="27" spans="1:32" ht="15.75" customHeight="1">
      <c r="A27" s="1849">
        <v>7</v>
      </c>
      <c r="B27" s="1850" t="s">
        <v>3806</v>
      </c>
      <c r="C27" s="1848"/>
      <c r="D27" s="1848"/>
      <c r="E27" s="1848"/>
      <c r="F27" s="1848"/>
      <c r="G27" s="1848"/>
      <c r="H27" s="1848"/>
      <c r="I27" s="1848"/>
      <c r="J27" s="1848"/>
      <c r="K27" s="1848"/>
      <c r="L27" s="1848"/>
      <c r="M27" s="1848"/>
      <c r="N27" s="1848"/>
      <c r="O27" s="1848"/>
      <c r="P27" s="1848"/>
      <c r="Q27" s="1848"/>
      <c r="R27" s="1848"/>
      <c r="S27" s="1848"/>
      <c r="T27" s="1848"/>
      <c r="U27" s="1848"/>
      <c r="V27" s="1848"/>
      <c r="W27" s="1848"/>
      <c r="X27" s="1848"/>
      <c r="Y27" s="1848"/>
      <c r="Z27" s="1848"/>
      <c r="AA27" s="1848"/>
      <c r="AB27" s="1848"/>
      <c r="AC27" s="1848"/>
      <c r="AD27" s="1848"/>
      <c r="AE27" s="1857"/>
    </row>
    <row r="28" spans="1:32" ht="15.75" customHeight="1">
      <c r="A28" s="1849">
        <v>8</v>
      </c>
      <c r="B28" s="1850" t="s">
        <v>3807</v>
      </c>
      <c r="C28" s="1848"/>
      <c r="D28" s="1848"/>
      <c r="E28" s="1848"/>
      <c r="F28" s="1848"/>
      <c r="G28" s="1848"/>
      <c r="H28" s="1848"/>
      <c r="I28" s="1848"/>
      <c r="J28" s="1848"/>
      <c r="K28" s="1848"/>
      <c r="L28" s="1848"/>
      <c r="M28" s="1848"/>
      <c r="N28" s="1848"/>
      <c r="O28" s="1848"/>
      <c r="P28" s="1848"/>
      <c r="Q28" s="1848"/>
      <c r="R28" s="1848"/>
      <c r="S28" s="1848"/>
      <c r="T28" s="1848"/>
      <c r="U28" s="1848"/>
      <c r="V28" s="1848"/>
      <c r="W28" s="1848"/>
      <c r="X28" s="1848"/>
      <c r="Y28" s="1848"/>
      <c r="Z28" s="1848"/>
      <c r="AA28" s="1848"/>
      <c r="AB28" s="1848"/>
      <c r="AC28" s="1848"/>
      <c r="AD28" s="1848"/>
      <c r="AE28" s="1857"/>
    </row>
    <row r="29" spans="1:32" ht="15.75" customHeight="1">
      <c r="A29" s="1849">
        <v>9</v>
      </c>
      <c r="B29" s="1851" t="s">
        <v>3808</v>
      </c>
      <c r="C29" s="1848"/>
      <c r="D29" s="1848"/>
      <c r="E29" s="1848"/>
      <c r="F29" s="1848"/>
      <c r="G29" s="1848"/>
      <c r="H29" s="1848"/>
      <c r="I29" s="1848"/>
      <c r="J29" s="1848"/>
      <c r="K29" s="1848"/>
      <c r="L29" s="1848"/>
      <c r="M29" s="1848"/>
      <c r="N29" s="1848"/>
      <c r="O29" s="1848"/>
      <c r="P29" s="1848"/>
      <c r="Q29" s="1848"/>
      <c r="R29" s="1848"/>
      <c r="S29" s="1848"/>
      <c r="T29" s="1848"/>
      <c r="U29" s="1848"/>
      <c r="V29" s="1848"/>
      <c r="W29" s="1848"/>
      <c r="X29" s="1848"/>
      <c r="Y29" s="1848"/>
      <c r="Z29" s="1848"/>
      <c r="AA29" s="1848"/>
      <c r="AB29" s="1848"/>
      <c r="AC29" s="1848"/>
      <c r="AD29" s="1848"/>
      <c r="AE29" s="1857"/>
    </row>
    <row r="30" spans="1:32" ht="15.75" customHeight="1">
      <c r="A30" s="1849"/>
      <c r="B30" s="1851" t="s">
        <v>3809</v>
      </c>
      <c r="C30" s="1848"/>
      <c r="D30" s="1848"/>
      <c r="E30" s="1848"/>
      <c r="F30" s="1848"/>
      <c r="G30" s="1848"/>
      <c r="H30" s="1848"/>
      <c r="I30" s="1848"/>
      <c r="J30" s="1848"/>
      <c r="K30" s="1848"/>
      <c r="L30" s="1848"/>
      <c r="M30" s="1848"/>
      <c r="N30" s="1848"/>
      <c r="O30" s="1848"/>
      <c r="P30" s="1848"/>
      <c r="Q30" s="1848"/>
      <c r="R30" s="1848"/>
      <c r="S30" s="1848"/>
      <c r="T30" s="1848"/>
      <c r="U30" s="1848"/>
      <c r="V30" s="1848"/>
      <c r="W30" s="1848"/>
      <c r="X30" s="1848"/>
      <c r="Y30" s="1848"/>
      <c r="Z30" s="1848"/>
      <c r="AA30" s="1848"/>
      <c r="AB30" s="1848"/>
      <c r="AC30" s="1848"/>
      <c r="AD30" s="1848"/>
      <c r="AE30" s="1857"/>
    </row>
    <row r="31" spans="1:32" ht="15.75" customHeight="1">
      <c r="A31" s="1849">
        <v>10</v>
      </c>
      <c r="B31" s="1850" t="s">
        <v>3810</v>
      </c>
      <c r="C31" s="1848"/>
      <c r="D31" s="1848"/>
      <c r="E31" s="1848"/>
      <c r="F31" s="1848"/>
      <c r="G31" s="1848"/>
      <c r="H31" s="1848"/>
      <c r="I31" s="1848"/>
      <c r="J31" s="1848"/>
      <c r="K31" s="1848"/>
      <c r="L31" s="1848"/>
      <c r="M31" s="1848"/>
      <c r="N31" s="1848"/>
      <c r="O31" s="1848"/>
      <c r="P31" s="1848"/>
      <c r="Q31" s="1848"/>
      <c r="R31" s="1848"/>
      <c r="S31" s="1848"/>
      <c r="T31" s="1848"/>
      <c r="U31" s="1848"/>
      <c r="V31" s="1848"/>
      <c r="W31" s="1848"/>
      <c r="X31" s="1848"/>
      <c r="Y31" s="1848"/>
      <c r="Z31" s="1848"/>
      <c r="AA31" s="1848"/>
      <c r="AB31" s="1848"/>
      <c r="AC31" s="1848"/>
      <c r="AD31" s="1848"/>
      <c r="AE31" s="1857"/>
    </row>
    <row r="32" spans="1:32" ht="15.75" customHeight="1">
      <c r="A32" s="1849">
        <v>11</v>
      </c>
      <c r="B32" s="1851" t="s">
        <v>3811</v>
      </c>
      <c r="C32" s="1848"/>
      <c r="D32" s="1848"/>
      <c r="E32" s="1848"/>
      <c r="F32" s="1848"/>
      <c r="G32" s="1848"/>
      <c r="H32" s="1848"/>
      <c r="I32" s="1848"/>
      <c r="J32" s="1848"/>
      <c r="K32" s="1848"/>
      <c r="L32" s="1848"/>
      <c r="M32" s="1848"/>
      <c r="N32" s="1848"/>
      <c r="O32" s="1848"/>
      <c r="P32" s="1848"/>
      <c r="Q32" s="1848"/>
      <c r="R32" s="1848"/>
      <c r="S32" s="1848"/>
      <c r="T32" s="1848"/>
      <c r="U32" s="1848"/>
      <c r="V32" s="1848"/>
      <c r="W32" s="1873"/>
      <c r="X32" s="1873"/>
      <c r="Y32" s="1873"/>
      <c r="Z32" s="1873"/>
      <c r="AA32" s="1873"/>
      <c r="AB32" s="1873"/>
      <c r="AC32" s="1857"/>
      <c r="AD32" s="1857"/>
    </row>
    <row r="33" spans="1:14" ht="15.75" customHeight="1">
      <c r="A33" s="1849">
        <v>12</v>
      </c>
      <c r="B33" s="1851" t="s">
        <v>3812</v>
      </c>
      <c r="C33" s="1848"/>
      <c r="D33" s="1848"/>
      <c r="E33" s="1848"/>
      <c r="F33" s="1848"/>
      <c r="G33" s="1848"/>
      <c r="H33" s="1848"/>
      <c r="I33" s="1848"/>
      <c r="J33" s="1848"/>
      <c r="K33" s="1848"/>
      <c r="L33" s="1848"/>
      <c r="M33" s="1848"/>
      <c r="N33" s="1848"/>
    </row>
    <row r="34" spans="1:14" ht="15.75" customHeight="1">
      <c r="A34" s="1849">
        <v>13</v>
      </c>
      <c r="B34" s="1851" t="s">
        <v>3813</v>
      </c>
      <c r="C34" s="1848"/>
      <c r="D34" s="1848"/>
      <c r="E34" s="1848"/>
      <c r="F34" s="1848"/>
      <c r="G34" s="1848"/>
      <c r="H34" s="1848"/>
      <c r="I34" s="1848"/>
      <c r="J34" s="1848"/>
      <c r="K34" s="1848"/>
      <c r="L34" s="1848"/>
      <c r="M34" s="1848"/>
      <c r="N34" s="1848"/>
    </row>
    <row r="35" spans="1:14" ht="16.5">
      <c r="A35" s="1849">
        <v>14</v>
      </c>
      <c r="B35" s="1851" t="s">
        <v>3814</v>
      </c>
    </row>
    <row r="36" spans="1:14" ht="16.5">
      <c r="A36" s="1849" t="s">
        <v>3815</v>
      </c>
      <c r="B36" s="1503" t="s">
        <v>3262</v>
      </c>
    </row>
    <row r="37" spans="1:14" ht="16.5">
      <c r="A37" s="1918">
        <v>16</v>
      </c>
      <c r="B37" s="1515" t="s">
        <v>4008</v>
      </c>
    </row>
  </sheetData>
  <mergeCells count="25">
    <mergeCell ref="T3:T4"/>
    <mergeCell ref="I3:I4"/>
    <mergeCell ref="A3:A5"/>
    <mergeCell ref="B3:B4"/>
    <mergeCell ref="C3:C4"/>
    <mergeCell ref="D3:D4"/>
    <mergeCell ref="E3:E4"/>
    <mergeCell ref="F3:F4"/>
    <mergeCell ref="G3:G4"/>
    <mergeCell ref="H3:H4"/>
    <mergeCell ref="J3:K3"/>
    <mergeCell ref="L3:P3"/>
    <mergeCell ref="Q3:R3"/>
    <mergeCell ref="S3:S4"/>
    <mergeCell ref="AC3:AC4"/>
    <mergeCell ref="AD3:AD4"/>
    <mergeCell ref="AE3:AE4"/>
    <mergeCell ref="AF3:AF4"/>
    <mergeCell ref="Y3:Y4"/>
    <mergeCell ref="AB3:AB4"/>
    <mergeCell ref="U3:U4"/>
    <mergeCell ref="V3:V4"/>
    <mergeCell ref="W3:W4"/>
    <mergeCell ref="X3:X4"/>
    <mergeCell ref="Z3:AA3"/>
  </mergeCells>
  <phoneticPr fontId="29" type="noConversion"/>
  <pageMargins left="0.28000000000000003" right="0.36" top="0.74803149606299213" bottom="0.74803149606299213" header="0.31496062992125984" footer="0.31496062992125984"/>
  <pageSetup paperSize="9" scale="49" orientation="landscape"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8"/>
  <sheetViews>
    <sheetView view="pageBreakPreview" zoomScale="140" zoomScaleNormal="100" zoomScaleSheetLayoutView="140" workbookViewId="0"/>
  </sheetViews>
  <sheetFormatPr defaultRowHeight="12.75"/>
  <cols>
    <col min="1" max="1" width="4.625" style="591" customWidth="1"/>
    <col min="2" max="2" width="40.625" style="591" customWidth="1"/>
    <col min="3" max="5" width="25.625" style="591" customWidth="1"/>
    <col min="6" max="16384" width="9" style="591"/>
  </cols>
  <sheetData>
    <row r="1" spans="1:9" ht="14.25">
      <c r="A1" s="2401" t="s">
        <v>7065</v>
      </c>
      <c r="B1" s="593"/>
      <c r="C1" s="593"/>
      <c r="D1" s="593"/>
      <c r="E1" s="593"/>
    </row>
    <row r="2" spans="1:9" ht="15" thickBot="1">
      <c r="A2" s="592" t="s">
        <v>956</v>
      </c>
      <c r="E2" s="594" t="s">
        <v>957</v>
      </c>
    </row>
    <row r="3" spans="1:9" s="595" customFormat="1">
      <c r="A3" s="3007" t="s">
        <v>958</v>
      </c>
      <c r="B3" s="3010" t="s">
        <v>959</v>
      </c>
      <c r="C3" s="3013" t="s">
        <v>960</v>
      </c>
      <c r="D3" s="3013"/>
      <c r="E3" s="3014"/>
    </row>
    <row r="4" spans="1:9" s="595" customFormat="1" ht="14.25">
      <c r="A4" s="3008"/>
      <c r="B4" s="3011"/>
      <c r="C4" s="596" t="s">
        <v>961</v>
      </c>
      <c r="D4" s="596" t="s">
        <v>962</v>
      </c>
      <c r="E4" s="597" t="s">
        <v>963</v>
      </c>
    </row>
    <row r="5" spans="1:9" s="595" customFormat="1">
      <c r="A5" s="3009"/>
      <c r="B5" s="3012"/>
      <c r="C5" s="598" t="s">
        <v>955</v>
      </c>
      <c r="D5" s="598" t="s">
        <v>67</v>
      </c>
      <c r="E5" s="599" t="s">
        <v>68</v>
      </c>
    </row>
    <row r="6" spans="1:9" ht="14.25">
      <c r="A6" s="600">
        <v>1</v>
      </c>
      <c r="B6" s="601" t="s">
        <v>964</v>
      </c>
      <c r="C6" s="602"/>
      <c r="D6" s="602"/>
      <c r="E6" s="603"/>
    </row>
    <row r="7" spans="1:9" ht="14.25">
      <c r="A7" s="600">
        <v>2</v>
      </c>
      <c r="B7" s="601" t="s">
        <v>965</v>
      </c>
      <c r="C7" s="602"/>
      <c r="D7" s="602"/>
      <c r="E7" s="603"/>
    </row>
    <row r="8" spans="1:9" ht="14.25">
      <c r="A8" s="600">
        <v>3</v>
      </c>
      <c r="B8" s="601" t="s">
        <v>966</v>
      </c>
      <c r="C8" s="602"/>
      <c r="D8" s="602"/>
      <c r="E8" s="603"/>
    </row>
    <row r="9" spans="1:9" ht="14.25">
      <c r="A9" s="600">
        <v>4</v>
      </c>
      <c r="B9" s="601" t="s">
        <v>967</v>
      </c>
      <c r="C9" s="602"/>
      <c r="D9" s="602"/>
      <c r="E9" s="603">
        <f>C9-D9</f>
        <v>0</v>
      </c>
    </row>
    <row r="10" spans="1:9" ht="14.25">
      <c r="A10" s="600">
        <v>5</v>
      </c>
      <c r="B10" s="601" t="s">
        <v>968</v>
      </c>
      <c r="C10" s="602"/>
      <c r="D10" s="602"/>
      <c r="E10" s="603">
        <f>C10-D10</f>
        <v>0</v>
      </c>
    </row>
    <row r="11" spans="1:9" ht="15" thickBot="1">
      <c r="A11" s="604">
        <v>6</v>
      </c>
      <c r="B11" s="605" t="s">
        <v>969</v>
      </c>
      <c r="C11" s="606">
        <f>SUM(C9:C10)</f>
        <v>0</v>
      </c>
      <c r="D11" s="606"/>
      <c r="E11" s="607">
        <f>SUM(E9:E10)</f>
        <v>0</v>
      </c>
    </row>
    <row r="12" spans="1:9" ht="14.25">
      <c r="A12" s="591" t="s">
        <v>970</v>
      </c>
    </row>
    <row r="13" spans="1:9" ht="14.25">
      <c r="A13" s="608">
        <v>1</v>
      </c>
      <c r="B13" s="591" t="s">
        <v>971</v>
      </c>
      <c r="F13" s="609"/>
      <c r="G13" s="609"/>
      <c r="H13" s="610"/>
      <c r="I13" s="610"/>
    </row>
    <row r="14" spans="1:9" ht="14.25">
      <c r="A14" s="608">
        <v>2</v>
      </c>
      <c r="B14" s="591" t="s">
        <v>972</v>
      </c>
    </row>
    <row r="15" spans="1:9" ht="14.25">
      <c r="A15" s="608">
        <v>3</v>
      </c>
      <c r="B15" s="591" t="s">
        <v>973</v>
      </c>
    </row>
    <row r="16" spans="1:9" ht="14.25">
      <c r="A16" s="608">
        <v>4</v>
      </c>
      <c r="B16" s="591" t="s">
        <v>2365</v>
      </c>
    </row>
    <row r="17" spans="1:2" ht="14.25">
      <c r="A17" s="608">
        <v>5</v>
      </c>
      <c r="B17" s="591" t="s">
        <v>2366</v>
      </c>
    </row>
    <row r="18" spans="1:2" ht="14.25">
      <c r="A18" s="608">
        <v>6</v>
      </c>
      <c r="B18" s="591" t="s">
        <v>2367</v>
      </c>
    </row>
  </sheetData>
  <mergeCells count="3">
    <mergeCell ref="A3:A5"/>
    <mergeCell ref="B3:B5"/>
    <mergeCell ref="C3:E3"/>
  </mergeCells>
  <phoneticPr fontId="26" type="noConversion"/>
  <printOptions horizontalCentered="1"/>
  <pageMargins left="0.39370078740157483" right="0.39370078740157483" top="0.39370078740157483" bottom="0.39370078740157483" header="0" footer="0"/>
  <pageSetup paperSize="9" firstPageNumber="182" orientation="landscape" useFirstPageNumber="1" horizontalDpi="4294967295" verticalDpi="4294967295" r:id="rId1"/>
  <headerFooter alignWithMargins="0">
    <oddFooter>&amp;C&amp;"Times New Roman,標準"&amp;P&amp;R&amp;"標楷體,標準"表&amp;"Times New Roman,標準"30-7-1</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E25"/>
  <sheetViews>
    <sheetView zoomScaleNormal="100" zoomScaleSheetLayoutView="110" workbookViewId="0">
      <pane xSplit="1" ySplit="3" topLeftCell="B7" activePane="bottomRight" state="frozen"/>
      <selection pane="topRight"/>
      <selection pane="bottomLeft"/>
      <selection pane="bottomRight"/>
    </sheetView>
  </sheetViews>
  <sheetFormatPr defaultColWidth="15.625" defaultRowHeight="15.75"/>
  <cols>
    <col min="1" max="1" width="66.625" style="1638" customWidth="1"/>
    <col min="2" max="2" width="83.625" style="1638" customWidth="1"/>
    <col min="3" max="3" width="24.625" style="1638" customWidth="1"/>
    <col min="4" max="4" width="15.625" style="1638" customWidth="1"/>
    <col min="5" max="5" width="20.625" style="1638" customWidth="1"/>
    <col min="6" max="16384" width="15.625" style="1638"/>
  </cols>
  <sheetData>
    <row r="1" spans="1:5" ht="16.5">
      <c r="A1" s="2400" t="s">
        <v>7064</v>
      </c>
      <c r="B1" s="2325"/>
      <c r="C1" s="1640"/>
      <c r="D1" s="2326"/>
      <c r="E1" s="1640"/>
    </row>
    <row r="2" spans="1:5" ht="17.25" thickBot="1">
      <c r="A2" s="1603" t="s">
        <v>3224</v>
      </c>
      <c r="B2" s="2327"/>
      <c r="C2" s="2328"/>
      <c r="D2" s="1553"/>
      <c r="E2" s="2329" t="s">
        <v>3203</v>
      </c>
    </row>
    <row r="3" spans="1:5" ht="16.5">
      <c r="A3" s="1641" t="s">
        <v>3225</v>
      </c>
      <c r="B3" s="1642" t="s">
        <v>3226</v>
      </c>
      <c r="C3" s="1643" t="s">
        <v>3227</v>
      </c>
      <c r="D3" s="1644" t="s">
        <v>3228</v>
      </c>
      <c r="E3" s="1645" t="s">
        <v>3229</v>
      </c>
    </row>
    <row r="4" spans="1:5" ht="16.5">
      <c r="A4" s="2330" t="s">
        <v>6739</v>
      </c>
      <c r="B4" s="2331" t="s">
        <v>6740</v>
      </c>
      <c r="C4" s="2332">
        <f>表03!O101</f>
        <v>0</v>
      </c>
      <c r="D4" s="2333">
        <v>1</v>
      </c>
      <c r="E4" s="2334">
        <f>ROUND(C4*D4,0)</f>
        <v>0</v>
      </c>
    </row>
    <row r="5" spans="1:5" ht="16.5">
      <c r="A5" s="2335" t="s">
        <v>6741</v>
      </c>
      <c r="B5" s="2336"/>
      <c r="C5" s="2337"/>
      <c r="D5" s="2338"/>
      <c r="E5" s="2339"/>
    </row>
    <row r="6" spans="1:5" ht="33">
      <c r="A6" s="2340" t="s">
        <v>6742</v>
      </c>
      <c r="B6" s="2336" t="s">
        <v>6743</v>
      </c>
      <c r="C6" s="2337">
        <f>'表25-1'!R46-SUM('表25-1'!R20:R22)+'表25-2'!R20</f>
        <v>0</v>
      </c>
      <c r="D6" s="2338">
        <v>1</v>
      </c>
      <c r="E6" s="2339">
        <f t="shared" ref="E6:E12" si="0">ROUND(C6*D6,0)</f>
        <v>0</v>
      </c>
    </row>
    <row r="7" spans="1:5" ht="16.5">
      <c r="A7" s="1637" t="s">
        <v>6744</v>
      </c>
      <c r="B7" s="2341" t="s">
        <v>6745</v>
      </c>
      <c r="C7" s="2337">
        <f>'表25-2'!AA20</f>
        <v>0</v>
      </c>
      <c r="D7" s="2338">
        <v>1</v>
      </c>
      <c r="E7" s="2339">
        <f t="shared" si="0"/>
        <v>0</v>
      </c>
    </row>
    <row r="8" spans="1:5" ht="33">
      <c r="A8" s="1637" t="s">
        <v>6746</v>
      </c>
      <c r="B8" s="2341" t="s">
        <v>6747</v>
      </c>
      <c r="C8" s="2337">
        <f>'表30-8-1 '!M31</f>
        <v>0</v>
      </c>
      <c r="D8" s="2338">
        <v>1</v>
      </c>
      <c r="E8" s="2339">
        <f t="shared" si="0"/>
        <v>0</v>
      </c>
    </row>
    <row r="9" spans="1:5" s="2342" customFormat="1" ht="33">
      <c r="A9" s="1637" t="s">
        <v>6748</v>
      </c>
      <c r="B9" s="2341" t="s">
        <v>6749</v>
      </c>
      <c r="C9" s="2337">
        <f>'表30-8-2'!M31</f>
        <v>0</v>
      </c>
      <c r="D9" s="2338">
        <v>1</v>
      </c>
      <c r="E9" s="2339">
        <f t="shared" si="0"/>
        <v>0</v>
      </c>
    </row>
    <row r="10" spans="1:5" s="2342" customFormat="1" ht="16.5">
      <c r="A10" s="1637" t="s">
        <v>6750</v>
      </c>
      <c r="B10" s="2341" t="s">
        <v>6751</v>
      </c>
      <c r="C10" s="2337">
        <f>'表30-8-3'!J6</f>
        <v>0</v>
      </c>
      <c r="D10" s="2338">
        <v>1</v>
      </c>
      <c r="E10" s="2339">
        <f t="shared" si="0"/>
        <v>0</v>
      </c>
    </row>
    <row r="11" spans="1:5" s="2342" customFormat="1" ht="49.5">
      <c r="A11" s="1637" t="s">
        <v>6752</v>
      </c>
      <c r="B11" s="2341" t="s">
        <v>6753</v>
      </c>
      <c r="C11" s="2337">
        <f>+'表30-8-3'!I6-'表30-8-3'!J6-'表30-8-3'!G6</f>
        <v>0</v>
      </c>
      <c r="D11" s="2338">
        <v>1</v>
      </c>
      <c r="E11" s="2339">
        <f t="shared" si="0"/>
        <v>0</v>
      </c>
    </row>
    <row r="12" spans="1:5" ht="16.5">
      <c r="A12" s="2335" t="s">
        <v>6754</v>
      </c>
      <c r="B12" s="2343"/>
      <c r="C12" s="2337">
        <v>0</v>
      </c>
      <c r="D12" s="2344">
        <v>1</v>
      </c>
      <c r="E12" s="2339">
        <f t="shared" si="0"/>
        <v>0</v>
      </c>
    </row>
    <row r="13" spans="1:5" ht="16.5">
      <c r="A13" s="1637" t="s">
        <v>6755</v>
      </c>
      <c r="B13" s="2341"/>
      <c r="C13" s="2337"/>
      <c r="D13" s="2338"/>
      <c r="E13" s="2339"/>
    </row>
    <row r="14" spans="1:5" ht="16.5">
      <c r="A14" s="1637" t="s">
        <v>6756</v>
      </c>
      <c r="B14" s="2341" t="s">
        <v>6757</v>
      </c>
      <c r="C14" s="2337">
        <f>-'表30-8-5'!$J$12</f>
        <v>0</v>
      </c>
      <c r="D14" s="2338">
        <v>1</v>
      </c>
      <c r="E14" s="2339">
        <f t="shared" ref="E14:E21" si="1">ROUND(C14*D14,0)</f>
        <v>0</v>
      </c>
    </row>
    <row r="15" spans="1:5" ht="33">
      <c r="A15" s="1637" t="s">
        <v>6758</v>
      </c>
      <c r="B15" s="2341" t="s">
        <v>6759</v>
      </c>
      <c r="C15" s="2337">
        <f>IF('表30-8-5'!$I$7&gt;0,'表30-8-5'!$I$7,0)</f>
        <v>0</v>
      </c>
      <c r="D15" s="2338">
        <v>0.2</v>
      </c>
      <c r="E15" s="2339">
        <f t="shared" si="1"/>
        <v>0</v>
      </c>
    </row>
    <row r="16" spans="1:5" ht="33">
      <c r="A16" s="1637" t="s">
        <v>6760</v>
      </c>
      <c r="B16" s="2345" t="s">
        <v>6761</v>
      </c>
      <c r="C16" s="2337">
        <f>IF('表30-8-5'!$I$8&gt;0,'表30-8-5'!$I$8,0)</f>
        <v>0</v>
      </c>
      <c r="D16" s="2338">
        <v>0.2</v>
      </c>
      <c r="E16" s="2339">
        <f t="shared" si="1"/>
        <v>0</v>
      </c>
    </row>
    <row r="17" spans="1:5" ht="33">
      <c r="A17" s="1637" t="s">
        <v>6762</v>
      </c>
      <c r="B17" s="2345" t="s">
        <v>6763</v>
      </c>
      <c r="C17" s="2337">
        <f>'表30-8-7'!M27</f>
        <v>0</v>
      </c>
      <c r="D17" s="2338">
        <v>1</v>
      </c>
      <c r="E17" s="2339">
        <f t="shared" si="1"/>
        <v>0</v>
      </c>
    </row>
    <row r="18" spans="1:5" ht="33">
      <c r="A18" s="1637" t="s">
        <v>6764</v>
      </c>
      <c r="B18" s="2345" t="s">
        <v>6765</v>
      </c>
      <c r="C18" s="2337">
        <f>'表30-8-7'!M28</f>
        <v>0</v>
      </c>
      <c r="D18" s="2338">
        <v>1</v>
      </c>
      <c r="E18" s="2339">
        <f t="shared" si="1"/>
        <v>0</v>
      </c>
    </row>
    <row r="19" spans="1:5" ht="16.5">
      <c r="A19" s="1637" t="s">
        <v>6766</v>
      </c>
      <c r="B19" s="2345" t="s">
        <v>6767</v>
      </c>
      <c r="C19" s="2337">
        <f>'表25-1'!AB46-SUM('表25-1'!AB20:AB22)</f>
        <v>0</v>
      </c>
      <c r="D19" s="2338">
        <v>1</v>
      </c>
      <c r="E19" s="2339">
        <f t="shared" si="1"/>
        <v>0</v>
      </c>
    </row>
    <row r="20" spans="1:5" ht="16.5">
      <c r="A20" s="1637" t="s">
        <v>6768</v>
      </c>
      <c r="B20" s="2341" t="s">
        <v>6769</v>
      </c>
      <c r="C20" s="2346">
        <f>'表30-8-3'!D28</f>
        <v>0</v>
      </c>
      <c r="D20" s="2347">
        <v>1</v>
      </c>
      <c r="E20" s="2339">
        <f t="shared" si="1"/>
        <v>0</v>
      </c>
    </row>
    <row r="21" spans="1:5" ht="16.5">
      <c r="A21" s="1637" t="s">
        <v>6770</v>
      </c>
      <c r="B21" s="2341"/>
      <c r="C21" s="2346">
        <v>0</v>
      </c>
      <c r="D21" s="2347">
        <v>1</v>
      </c>
      <c r="E21" s="2339">
        <f t="shared" si="1"/>
        <v>0</v>
      </c>
    </row>
    <row r="22" spans="1:5" ht="17.25" thickBot="1">
      <c r="A22" s="2348" t="s">
        <v>6771</v>
      </c>
      <c r="B22" s="2349" t="s">
        <v>6772</v>
      </c>
      <c r="C22" s="2350">
        <f>+'表30-8-5'!J23</f>
        <v>0</v>
      </c>
      <c r="D22" s="2351">
        <v>0.2</v>
      </c>
      <c r="E22" s="2352">
        <f>ROUND(C22*D22,0)</f>
        <v>0</v>
      </c>
    </row>
    <row r="23" spans="1:5" ht="18" thickTop="1" thickBot="1">
      <c r="A23" s="1646" t="s">
        <v>6773</v>
      </c>
      <c r="B23" s="1647"/>
      <c r="C23" s="1648">
        <f>SUM(C4:C12)-SUM(C14:C22)</f>
        <v>0</v>
      </c>
      <c r="D23" s="1649"/>
      <c r="E23" s="1650">
        <f>SUM(E4:E12)-SUM(E14:E22)</f>
        <v>0</v>
      </c>
    </row>
    <row r="25" spans="1:5" ht="16.5">
      <c r="A25" s="2353" t="s">
        <v>6774</v>
      </c>
    </row>
  </sheetData>
  <phoneticPr fontId="26" type="noConversion"/>
  <printOptions horizontalCentered="1"/>
  <pageMargins left="0.39370078740157483" right="0.19685039370078741" top="0.39370078740157483" bottom="0.39370078740157483" header="0" footer="0.19685039370078741"/>
  <pageSetup paperSize="9" scale="86" orientation="landscape" cellComments="asDisplayed" horizontalDpi="4294967295" verticalDpi="4294967295" r:id="rId1"/>
  <headerFooter alignWithMargins="0">
    <oddFooter>&amp;C&amp;"Times New Roman,標準"159&amp;R&amp;"Times New Roman,標準"&amp;A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4"/>
  <sheetViews>
    <sheetView zoomScaleNormal="100" zoomScaleSheetLayoutView="110" workbookViewId="0"/>
  </sheetViews>
  <sheetFormatPr defaultRowHeight="15.75"/>
  <cols>
    <col min="1" max="1" width="5.625" style="1504" customWidth="1"/>
    <col min="2" max="13" width="15.625" style="1504" customWidth="1"/>
    <col min="14" max="14" width="30.625" style="1504" customWidth="1"/>
    <col min="15" max="16384" width="9" style="1504"/>
  </cols>
  <sheetData>
    <row r="1" spans="1:14" ht="16.5">
      <c r="A1" s="2399" t="s">
        <v>7064</v>
      </c>
      <c r="B1" s="1503"/>
      <c r="C1" s="1503"/>
      <c r="D1" s="1503"/>
      <c r="E1" s="1503"/>
      <c r="F1" s="1503"/>
    </row>
    <row r="2" spans="1:14" ht="16.5">
      <c r="A2" s="1504" t="s">
        <v>2342</v>
      </c>
    </row>
    <row r="3" spans="1:14" s="1505" customFormat="1" ht="16.5">
      <c r="A3" s="1515" t="s">
        <v>2379</v>
      </c>
      <c r="M3" s="1516"/>
      <c r="N3" s="1516" t="s">
        <v>2351</v>
      </c>
    </row>
    <row r="4" spans="1:14" ht="49.5">
      <c r="A4" s="3015" t="s">
        <v>2343</v>
      </c>
      <c r="B4" s="1519" t="s">
        <v>2380</v>
      </c>
      <c r="C4" s="1519" t="s">
        <v>2344</v>
      </c>
      <c r="D4" s="1519" t="s">
        <v>2381</v>
      </c>
      <c r="E4" s="1519" t="s">
        <v>2345</v>
      </c>
      <c r="F4" s="1519" t="s">
        <v>2346</v>
      </c>
      <c r="G4" s="1519" t="s">
        <v>2382</v>
      </c>
      <c r="H4" s="1519" t="s">
        <v>2347</v>
      </c>
      <c r="I4" s="2274" t="s">
        <v>2383</v>
      </c>
      <c r="J4" s="2274" t="s">
        <v>2384</v>
      </c>
      <c r="K4" s="1519" t="s">
        <v>2348</v>
      </c>
      <c r="L4" s="1519" t="s">
        <v>2349</v>
      </c>
      <c r="M4" s="1519" t="s">
        <v>2385</v>
      </c>
      <c r="N4" s="1519" t="s">
        <v>2350</v>
      </c>
    </row>
    <row r="5" spans="1:14">
      <c r="A5" s="3015"/>
      <c r="B5" s="1520">
        <v>1</v>
      </c>
      <c r="C5" s="1520">
        <v>2</v>
      </c>
      <c r="D5" s="1520">
        <v>3</v>
      </c>
      <c r="E5" s="1520">
        <v>4</v>
      </c>
      <c r="F5" s="1520">
        <v>5</v>
      </c>
      <c r="G5" s="1520">
        <v>6</v>
      </c>
      <c r="H5" s="1520">
        <v>7</v>
      </c>
      <c r="I5" s="2274">
        <v>8</v>
      </c>
      <c r="J5" s="2274">
        <v>9</v>
      </c>
      <c r="K5" s="2274">
        <v>10</v>
      </c>
      <c r="L5" s="2274">
        <v>11</v>
      </c>
      <c r="M5" s="2274">
        <v>12</v>
      </c>
      <c r="N5" s="2274">
        <v>13</v>
      </c>
    </row>
    <row r="6" spans="1:14">
      <c r="A6" s="1519">
        <v>1</v>
      </c>
      <c r="B6" s="1506"/>
      <c r="C6" s="1507"/>
      <c r="D6" s="1507"/>
      <c r="E6" s="1507"/>
      <c r="F6" s="1507"/>
      <c r="G6" s="1507"/>
      <c r="H6" s="1507"/>
      <c r="I6" s="1507"/>
      <c r="J6" s="1507"/>
      <c r="K6" s="1507"/>
      <c r="L6" s="1507"/>
      <c r="M6" s="1507"/>
      <c r="N6" s="1507"/>
    </row>
    <row r="7" spans="1:14">
      <c r="A7" s="1519">
        <f t="shared" ref="A7:A30" si="0">A6+1</f>
        <v>2</v>
      </c>
      <c r="B7" s="1507"/>
      <c r="C7" s="1507"/>
      <c r="D7" s="1507"/>
      <c r="E7" s="1507"/>
      <c r="F7" s="1507"/>
      <c r="G7" s="1507"/>
      <c r="H7" s="1507"/>
      <c r="I7" s="1507"/>
      <c r="J7" s="1507"/>
      <c r="K7" s="1507"/>
      <c r="L7" s="1507"/>
      <c r="M7" s="1507"/>
      <c r="N7" s="1507"/>
    </row>
    <row r="8" spans="1:14">
      <c r="A8" s="1519">
        <f t="shared" si="0"/>
        <v>3</v>
      </c>
      <c r="B8" s="1507"/>
      <c r="C8" s="1507"/>
      <c r="D8" s="1507"/>
      <c r="E8" s="1507"/>
      <c r="F8" s="1507"/>
      <c r="G8" s="1507"/>
      <c r="H8" s="1507"/>
      <c r="I8" s="1507"/>
      <c r="J8" s="1507"/>
      <c r="K8" s="1507"/>
      <c r="L8" s="1507"/>
      <c r="M8" s="1507"/>
      <c r="N8" s="1507"/>
    </row>
    <row r="9" spans="1:14">
      <c r="A9" s="1519">
        <f t="shared" si="0"/>
        <v>4</v>
      </c>
      <c r="B9" s="1507"/>
      <c r="C9" s="1507"/>
      <c r="D9" s="1507"/>
      <c r="E9" s="1507"/>
      <c r="F9" s="1507"/>
      <c r="G9" s="1507"/>
      <c r="H9" s="1507"/>
      <c r="I9" s="1507"/>
      <c r="J9" s="1507"/>
      <c r="K9" s="1507"/>
      <c r="L9" s="1507"/>
      <c r="M9" s="1507"/>
      <c r="N9" s="1507"/>
    </row>
    <row r="10" spans="1:14">
      <c r="A10" s="1519">
        <f t="shared" si="0"/>
        <v>5</v>
      </c>
      <c r="B10" s="1507"/>
      <c r="C10" s="1507"/>
      <c r="D10" s="1507"/>
      <c r="E10" s="1507"/>
      <c r="F10" s="1507"/>
      <c r="G10" s="1507"/>
      <c r="H10" s="1507"/>
      <c r="I10" s="1507"/>
      <c r="J10" s="1507"/>
      <c r="K10" s="1507"/>
      <c r="L10" s="1507"/>
      <c r="M10" s="1507"/>
      <c r="N10" s="1507"/>
    </row>
    <row r="11" spans="1:14">
      <c r="A11" s="1519">
        <f t="shared" si="0"/>
        <v>6</v>
      </c>
      <c r="B11" s="1507"/>
      <c r="C11" s="1507"/>
      <c r="D11" s="1507"/>
      <c r="E11" s="1507"/>
      <c r="F11" s="1507"/>
      <c r="G11" s="1507"/>
      <c r="H11" s="1507"/>
      <c r="I11" s="1507"/>
      <c r="J11" s="1507"/>
      <c r="K11" s="1507"/>
      <c r="L11" s="1507"/>
      <c r="M11" s="1507"/>
      <c r="N11" s="1507"/>
    </row>
    <row r="12" spans="1:14">
      <c r="A12" s="1519">
        <f t="shared" si="0"/>
        <v>7</v>
      </c>
      <c r="B12" s="1507"/>
      <c r="C12" s="1507"/>
      <c r="D12" s="1507"/>
      <c r="E12" s="1507"/>
      <c r="F12" s="1507"/>
      <c r="G12" s="1507"/>
      <c r="H12" s="1507"/>
      <c r="I12" s="1507"/>
      <c r="J12" s="1507"/>
      <c r="K12" s="1507"/>
      <c r="L12" s="1507"/>
      <c r="M12" s="1507"/>
      <c r="N12" s="1507"/>
    </row>
    <row r="13" spans="1:14">
      <c r="A13" s="1519">
        <f t="shared" si="0"/>
        <v>8</v>
      </c>
      <c r="B13" s="1507"/>
      <c r="C13" s="1507"/>
      <c r="D13" s="1507"/>
      <c r="E13" s="1507"/>
      <c r="F13" s="1507"/>
      <c r="G13" s="1507"/>
      <c r="H13" s="1507"/>
      <c r="I13" s="1507"/>
      <c r="J13" s="1507"/>
      <c r="K13" s="1507"/>
      <c r="L13" s="1507"/>
      <c r="M13" s="1507"/>
      <c r="N13" s="1507"/>
    </row>
    <row r="14" spans="1:14">
      <c r="A14" s="1519">
        <f t="shared" si="0"/>
        <v>9</v>
      </c>
      <c r="B14" s="1507"/>
      <c r="C14" s="1507"/>
      <c r="D14" s="1507"/>
      <c r="E14" s="1507"/>
      <c r="F14" s="1507"/>
      <c r="G14" s="1507"/>
      <c r="H14" s="1507"/>
      <c r="I14" s="1507"/>
      <c r="J14" s="1507"/>
      <c r="K14" s="1507"/>
      <c r="L14" s="1507"/>
      <c r="M14" s="1507"/>
      <c r="N14" s="1507"/>
    </row>
    <row r="15" spans="1:14" ht="33">
      <c r="A15" s="1519">
        <f t="shared" si="0"/>
        <v>10</v>
      </c>
      <c r="B15" s="1532" t="s">
        <v>2368</v>
      </c>
      <c r="C15" s="1508"/>
      <c r="D15" s="1508"/>
      <c r="E15" s="1508"/>
      <c r="F15" s="1508"/>
      <c r="G15" s="1508"/>
      <c r="H15" s="1508"/>
      <c r="I15" s="1508"/>
      <c r="J15" s="1508"/>
      <c r="K15" s="1508"/>
      <c r="L15" s="1508"/>
      <c r="M15" s="1508"/>
      <c r="N15" s="1508" t="s">
        <v>2390</v>
      </c>
    </row>
    <row r="16" spans="1:14">
      <c r="A16" s="1519">
        <f t="shared" si="0"/>
        <v>11</v>
      </c>
      <c r="B16" s="1507"/>
      <c r="C16" s="1507"/>
      <c r="D16" s="1507"/>
      <c r="E16" s="1507"/>
      <c r="F16" s="1507"/>
      <c r="G16" s="1507"/>
      <c r="H16" s="1507"/>
      <c r="I16" s="1507"/>
      <c r="J16" s="1507"/>
      <c r="K16" s="1507"/>
      <c r="L16" s="1507"/>
      <c r="M16" s="1507"/>
      <c r="N16" s="1507"/>
    </row>
    <row r="17" spans="1:14">
      <c r="A17" s="1519">
        <f t="shared" si="0"/>
        <v>12</v>
      </c>
      <c r="B17" s="1507"/>
      <c r="C17" s="1507"/>
      <c r="D17" s="1507"/>
      <c r="E17" s="1507"/>
      <c r="F17" s="1507"/>
      <c r="G17" s="1507"/>
      <c r="H17" s="1507"/>
      <c r="I17" s="1507"/>
      <c r="J17" s="1507"/>
      <c r="K17" s="1507"/>
      <c r="L17" s="1507"/>
      <c r="M17" s="1507"/>
      <c r="N17" s="1507"/>
    </row>
    <row r="18" spans="1:14">
      <c r="A18" s="1519">
        <f t="shared" si="0"/>
        <v>13</v>
      </c>
      <c r="B18" s="1507"/>
      <c r="C18" s="1507"/>
      <c r="D18" s="1507"/>
      <c r="E18" s="1507"/>
      <c r="F18" s="1507"/>
      <c r="G18" s="1507"/>
      <c r="H18" s="1507"/>
      <c r="I18" s="1507"/>
      <c r="J18" s="1507"/>
      <c r="K18" s="1507"/>
      <c r="L18" s="1507"/>
      <c r="M18" s="1507"/>
      <c r="N18" s="1507"/>
    </row>
    <row r="19" spans="1:14">
      <c r="A19" s="1519">
        <f t="shared" si="0"/>
        <v>14</v>
      </c>
      <c r="B19" s="1507"/>
      <c r="C19" s="1507"/>
      <c r="D19" s="1507"/>
      <c r="E19" s="1507"/>
      <c r="F19" s="1507"/>
      <c r="G19" s="1507"/>
      <c r="H19" s="1507"/>
      <c r="I19" s="1507"/>
      <c r="J19" s="1507"/>
      <c r="K19" s="1507"/>
      <c r="L19" s="1507"/>
      <c r="M19" s="1507"/>
      <c r="N19" s="1507"/>
    </row>
    <row r="20" spans="1:14">
      <c r="A20" s="1519">
        <f t="shared" si="0"/>
        <v>15</v>
      </c>
      <c r="B20" s="1507"/>
      <c r="C20" s="1507"/>
      <c r="D20" s="1507"/>
      <c r="E20" s="1507"/>
      <c r="F20" s="1507"/>
      <c r="G20" s="1507"/>
      <c r="H20" s="1507"/>
      <c r="I20" s="1507"/>
      <c r="J20" s="1507"/>
      <c r="K20" s="1507"/>
      <c r="L20" s="1507"/>
      <c r="M20" s="1507"/>
      <c r="N20" s="1507"/>
    </row>
    <row r="21" spans="1:14">
      <c r="A21" s="1519">
        <f t="shared" si="0"/>
        <v>16</v>
      </c>
      <c r="B21" s="1507"/>
      <c r="C21" s="1507"/>
      <c r="D21" s="1507"/>
      <c r="E21" s="1507"/>
      <c r="F21" s="1507"/>
      <c r="G21" s="1507"/>
      <c r="H21" s="1507"/>
      <c r="I21" s="1507"/>
      <c r="J21" s="1507"/>
      <c r="K21" s="1507"/>
      <c r="L21" s="1507"/>
      <c r="M21" s="1507"/>
      <c r="N21" s="1507"/>
    </row>
    <row r="22" spans="1:14" s="1517" customFormat="1">
      <c r="A22" s="1519">
        <f t="shared" si="0"/>
        <v>17</v>
      </c>
      <c r="B22" s="1509"/>
      <c r="C22" s="1510"/>
      <c r="D22" s="1511"/>
      <c r="E22" s="1511"/>
      <c r="F22" s="1511"/>
      <c r="G22" s="1511"/>
      <c r="H22" s="1511"/>
      <c r="I22" s="1511"/>
      <c r="J22" s="1511"/>
      <c r="K22" s="1511"/>
      <c r="L22" s="1511"/>
      <c r="M22" s="1511"/>
      <c r="N22" s="1511"/>
    </row>
    <row r="23" spans="1:14" s="1517" customFormat="1">
      <c r="A23" s="1519">
        <f t="shared" si="0"/>
        <v>18</v>
      </c>
      <c r="B23" s="1507"/>
      <c r="C23" s="1507"/>
      <c r="D23" s="1507"/>
      <c r="E23" s="1507"/>
      <c r="F23" s="1507"/>
      <c r="G23" s="1507"/>
      <c r="H23" s="1507"/>
      <c r="I23" s="1507"/>
      <c r="J23" s="1507"/>
      <c r="K23" s="1507"/>
      <c r="L23" s="1507"/>
      <c r="M23" s="1507"/>
      <c r="N23" s="1507"/>
    </row>
    <row r="24" spans="1:14" s="1517" customFormat="1">
      <c r="A24" s="1519">
        <f t="shared" si="0"/>
        <v>19</v>
      </c>
      <c r="B24" s="1509"/>
      <c r="C24" s="1510"/>
      <c r="D24" s="1511"/>
      <c r="E24" s="1511"/>
      <c r="F24" s="1511"/>
      <c r="G24" s="1511"/>
      <c r="H24" s="1511"/>
      <c r="I24" s="1511"/>
      <c r="J24" s="1511"/>
      <c r="K24" s="1511"/>
      <c r="L24" s="1511"/>
      <c r="M24" s="1511"/>
      <c r="N24" s="1511"/>
    </row>
    <row r="25" spans="1:14" s="1517" customFormat="1" ht="33">
      <c r="A25" s="1519">
        <f t="shared" si="0"/>
        <v>20</v>
      </c>
      <c r="B25" s="1532" t="s">
        <v>2368</v>
      </c>
      <c r="C25" s="1508"/>
      <c r="D25" s="1508"/>
      <c r="E25" s="1508"/>
      <c r="F25" s="1508"/>
      <c r="G25" s="1508"/>
      <c r="H25" s="1508"/>
      <c r="I25" s="1508"/>
      <c r="J25" s="1508"/>
      <c r="K25" s="1508"/>
      <c r="L25" s="1508"/>
      <c r="M25" s="1508"/>
      <c r="N25" s="1508" t="s">
        <v>2390</v>
      </c>
    </row>
    <row r="26" spans="1:14" s="1517" customFormat="1">
      <c r="A26" s="1519">
        <f t="shared" si="0"/>
        <v>21</v>
      </c>
      <c r="B26" s="1509"/>
      <c r="C26" s="1510"/>
      <c r="D26" s="1511"/>
      <c r="E26" s="1511"/>
      <c r="F26" s="1511"/>
      <c r="G26" s="1511"/>
      <c r="H26" s="1511"/>
      <c r="I26" s="1511"/>
      <c r="J26" s="1511"/>
      <c r="K26" s="1511"/>
      <c r="L26" s="1511"/>
      <c r="M26" s="1511"/>
      <c r="N26" s="1511"/>
    </row>
    <row r="27" spans="1:14" s="1517" customFormat="1">
      <c r="A27" s="1519">
        <f t="shared" si="0"/>
        <v>22</v>
      </c>
      <c r="B27" s="1507"/>
      <c r="C27" s="1507"/>
      <c r="D27" s="1507"/>
      <c r="E27" s="1507"/>
      <c r="F27" s="1507"/>
      <c r="G27" s="1507"/>
      <c r="H27" s="1507"/>
      <c r="I27" s="1507"/>
      <c r="J27" s="1507"/>
      <c r="K27" s="1507"/>
      <c r="L27" s="1507"/>
      <c r="M27" s="1507"/>
      <c r="N27" s="1507"/>
    </row>
    <row r="28" spans="1:14" s="1517" customFormat="1">
      <c r="A28" s="1519">
        <f t="shared" si="0"/>
        <v>23</v>
      </c>
      <c r="B28" s="1509"/>
      <c r="C28" s="1510"/>
      <c r="D28" s="1511"/>
      <c r="E28" s="1511"/>
      <c r="F28" s="1511"/>
      <c r="G28" s="1511"/>
      <c r="H28" s="1511"/>
      <c r="I28" s="1511"/>
      <c r="J28" s="1511"/>
      <c r="K28" s="1511"/>
      <c r="L28" s="1511"/>
      <c r="M28" s="1511"/>
      <c r="N28" s="1511"/>
    </row>
    <row r="29" spans="1:14" s="1517" customFormat="1">
      <c r="A29" s="1519">
        <f t="shared" si="0"/>
        <v>24</v>
      </c>
      <c r="B29" s="1509"/>
      <c r="C29" s="1510"/>
      <c r="D29" s="1511"/>
      <c r="E29" s="1511"/>
      <c r="F29" s="1511"/>
      <c r="G29" s="1511"/>
      <c r="H29" s="1511"/>
      <c r="I29" s="1511"/>
      <c r="J29" s="1511"/>
      <c r="K29" s="1511"/>
      <c r="L29" s="1511"/>
      <c r="M29" s="1511"/>
      <c r="N29" s="1511"/>
    </row>
    <row r="30" spans="1:14" s="1517" customFormat="1">
      <c r="A30" s="1519">
        <f t="shared" si="0"/>
        <v>25</v>
      </c>
      <c r="B30" s="1509"/>
      <c r="C30" s="1510"/>
      <c r="D30" s="1511"/>
      <c r="E30" s="1511"/>
      <c r="F30" s="1511"/>
      <c r="G30" s="1511"/>
      <c r="H30" s="1511"/>
      <c r="I30" s="1511"/>
      <c r="J30" s="1511"/>
      <c r="K30" s="1511"/>
      <c r="L30" s="1511"/>
      <c r="M30" s="1511"/>
      <c r="N30" s="1511"/>
    </row>
    <row r="31" spans="1:14" ht="16.5">
      <c r="A31" s="1519">
        <v>26</v>
      </c>
      <c r="B31" s="1512" t="s">
        <v>2341</v>
      </c>
      <c r="C31" s="1513"/>
      <c r="D31" s="1513"/>
      <c r="E31" s="1513"/>
      <c r="F31" s="1513"/>
      <c r="G31" s="1513"/>
      <c r="H31" s="1513"/>
      <c r="I31" s="1513"/>
      <c r="J31" s="1513"/>
      <c r="K31" s="1507"/>
      <c r="L31" s="1513"/>
      <c r="M31" s="1514"/>
      <c r="N31" s="1511"/>
    </row>
    <row r="32" spans="1:14" s="1517" customFormat="1" ht="16.5">
      <c r="A32" s="1518" t="s">
        <v>2369</v>
      </c>
    </row>
    <row r="33" spans="1:1" s="1515" customFormat="1" ht="16.5">
      <c r="A33" s="1515" t="s">
        <v>2370</v>
      </c>
    </row>
    <row r="34" spans="1:1" s="1515" customFormat="1" ht="16.5">
      <c r="A34" s="1533" t="s">
        <v>2371</v>
      </c>
    </row>
    <row r="35" spans="1:1" s="1515" customFormat="1" ht="16.5">
      <c r="A35" s="1533" t="s">
        <v>2372</v>
      </c>
    </row>
    <row r="36" spans="1:1" s="1515" customFormat="1" ht="16.5">
      <c r="A36" s="1515" t="s">
        <v>2373</v>
      </c>
    </row>
    <row r="37" spans="1:1" s="1515" customFormat="1" ht="16.5">
      <c r="A37" s="1515" t="s">
        <v>2374</v>
      </c>
    </row>
    <row r="38" spans="1:1" s="1515" customFormat="1" ht="16.5">
      <c r="A38" s="1515" t="s">
        <v>2375</v>
      </c>
    </row>
    <row r="39" spans="1:1" s="1515" customFormat="1" ht="16.5">
      <c r="A39" s="1515" t="s">
        <v>2376</v>
      </c>
    </row>
    <row r="40" spans="1:1" s="1515" customFormat="1" ht="16.5">
      <c r="A40" s="1515" t="s">
        <v>2377</v>
      </c>
    </row>
    <row r="41" spans="1:1" s="1515" customFormat="1" ht="16.5">
      <c r="A41" s="1515" t="s">
        <v>2378</v>
      </c>
    </row>
    <row r="42" spans="1:1" s="1517" customFormat="1" ht="16.5">
      <c r="A42" s="1515" t="s">
        <v>6738</v>
      </c>
    </row>
    <row r="43" spans="1:1">
      <c r="A43" s="1518"/>
    </row>
    <row r="44" spans="1:1">
      <c r="A44" s="1518"/>
    </row>
  </sheetData>
  <mergeCells count="1">
    <mergeCell ref="A4:A5"/>
  </mergeCells>
  <phoneticPr fontId="26" type="noConversion"/>
  <printOptions horizontalCentered="1"/>
  <pageMargins left="0.39370078740157483" right="0.39370078740157483" top="0.39370078740157483" bottom="0.39370078740157483" header="0.19685039370078741" footer="0.19685039370078741"/>
  <pageSetup paperSize="9" scale="61" orientation="landscape" horizontalDpi="4294967295" verticalDpi="4294967295" r:id="rId1"/>
  <headerFooter alignWithMargins="0">
    <oddFooter>&amp;C&amp;"Times New Roman,標準"160&amp;R&amp;"Times New Roman,標準"&amp;A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4"/>
  <sheetViews>
    <sheetView workbookViewId="0"/>
  </sheetViews>
  <sheetFormatPr defaultRowHeight="15.75"/>
  <cols>
    <col min="1" max="1" width="5.625" style="1504" customWidth="1"/>
    <col min="2" max="13" width="15.625" style="1504" customWidth="1"/>
    <col min="14" max="14" width="30.625" style="1505" customWidth="1"/>
    <col min="15" max="16384" width="9" style="1504"/>
  </cols>
  <sheetData>
    <row r="1" spans="1:14" ht="16.5">
      <c r="A1" s="2399" t="s">
        <v>7064</v>
      </c>
      <c r="B1" s="1503"/>
      <c r="C1" s="1503"/>
      <c r="D1" s="1503"/>
      <c r="E1" s="1503"/>
      <c r="F1" s="1503"/>
    </row>
    <row r="2" spans="1:14" ht="16.5">
      <c r="A2" s="1504" t="s">
        <v>2386</v>
      </c>
    </row>
    <row r="3" spans="1:14" s="1505" customFormat="1" ht="16.5">
      <c r="A3" s="1515" t="s">
        <v>2387</v>
      </c>
      <c r="N3" s="1516" t="s">
        <v>2351</v>
      </c>
    </row>
    <row r="4" spans="1:14" ht="49.5">
      <c r="A4" s="3016" t="s">
        <v>2343</v>
      </c>
      <c r="B4" s="1519" t="s">
        <v>2388</v>
      </c>
      <c r="C4" s="1519" t="s">
        <v>2344</v>
      </c>
      <c r="D4" s="1521" t="s">
        <v>2381</v>
      </c>
      <c r="E4" s="1519" t="s">
        <v>2389</v>
      </c>
      <c r="F4" s="1519" t="s">
        <v>2346</v>
      </c>
      <c r="G4" s="1519" t="s">
        <v>2382</v>
      </c>
      <c r="H4" s="1519" t="s">
        <v>2347</v>
      </c>
      <c r="I4" s="2274" t="s">
        <v>2383</v>
      </c>
      <c r="J4" s="2274" t="s">
        <v>2384</v>
      </c>
      <c r="K4" s="2274" t="s">
        <v>2348</v>
      </c>
      <c r="L4" s="1519" t="s">
        <v>2349</v>
      </c>
      <c r="M4" s="1519" t="s">
        <v>2385</v>
      </c>
      <c r="N4" s="2274" t="s">
        <v>2350</v>
      </c>
    </row>
    <row r="5" spans="1:14">
      <c r="A5" s="3017"/>
      <c r="B5" s="1519">
        <v>1</v>
      </c>
      <c r="C5" s="1519">
        <v>2</v>
      </c>
      <c r="D5" s="1519">
        <v>3</v>
      </c>
      <c r="E5" s="1519">
        <v>4</v>
      </c>
      <c r="F5" s="1519">
        <v>5</v>
      </c>
      <c r="G5" s="1519">
        <v>6</v>
      </c>
      <c r="H5" s="1519">
        <v>7</v>
      </c>
      <c r="I5" s="2274">
        <v>8</v>
      </c>
      <c r="J5" s="2274">
        <v>9</v>
      </c>
      <c r="K5" s="2274">
        <v>10</v>
      </c>
      <c r="L5" s="2274">
        <v>11</v>
      </c>
      <c r="M5" s="2274">
        <v>12</v>
      </c>
      <c r="N5" s="2274">
        <v>13</v>
      </c>
    </row>
    <row r="6" spans="1:14">
      <c r="A6" s="1519">
        <v>1</v>
      </c>
      <c r="B6" s="1506"/>
      <c r="C6" s="1507"/>
      <c r="D6" s="1507"/>
      <c r="E6" s="1507"/>
      <c r="F6" s="1507"/>
      <c r="G6" s="1507"/>
      <c r="H6" s="1507"/>
      <c r="I6" s="1507"/>
      <c r="J6" s="1507"/>
      <c r="K6" s="1507"/>
      <c r="L6" s="1507"/>
      <c r="M6" s="1507"/>
      <c r="N6" s="1508"/>
    </row>
    <row r="7" spans="1:14">
      <c r="A7" s="1519">
        <f t="shared" ref="A7:A30" si="0">A6+1</f>
        <v>2</v>
      </c>
      <c r="B7" s="1507"/>
      <c r="C7" s="1507"/>
      <c r="D7" s="1507"/>
      <c r="E7" s="1507"/>
      <c r="F7" s="1507"/>
      <c r="G7" s="1507"/>
      <c r="H7" s="1507"/>
      <c r="I7" s="1507"/>
      <c r="J7" s="1507"/>
      <c r="K7" s="1507"/>
      <c r="L7" s="1507"/>
      <c r="M7" s="1507"/>
      <c r="N7" s="1508"/>
    </row>
    <row r="8" spans="1:14">
      <c r="A8" s="1519">
        <f t="shared" si="0"/>
        <v>3</v>
      </c>
      <c r="B8" s="1507"/>
      <c r="C8" s="1507"/>
      <c r="D8" s="1507"/>
      <c r="E8" s="1507"/>
      <c r="F8" s="1507"/>
      <c r="G8" s="1507"/>
      <c r="H8" s="1507"/>
      <c r="I8" s="1507"/>
      <c r="J8" s="1507"/>
      <c r="K8" s="1507"/>
      <c r="L8" s="1507"/>
      <c r="M8" s="1507"/>
      <c r="N8" s="1508"/>
    </row>
    <row r="9" spans="1:14">
      <c r="A9" s="1519">
        <f t="shared" si="0"/>
        <v>4</v>
      </c>
      <c r="B9" s="1507"/>
      <c r="C9" s="1507"/>
      <c r="D9" s="1507"/>
      <c r="E9" s="1507"/>
      <c r="F9" s="1507"/>
      <c r="G9" s="1507"/>
      <c r="H9" s="1507"/>
      <c r="I9" s="1507"/>
      <c r="J9" s="1507"/>
      <c r="K9" s="1507"/>
      <c r="L9" s="1507"/>
      <c r="M9" s="1507"/>
      <c r="N9" s="1508"/>
    </row>
    <row r="10" spans="1:14">
      <c r="A10" s="1519">
        <f t="shared" si="0"/>
        <v>5</v>
      </c>
      <c r="B10" s="1507"/>
      <c r="C10" s="1507"/>
      <c r="D10" s="1507"/>
      <c r="E10" s="1507"/>
      <c r="F10" s="1507"/>
      <c r="G10" s="1507"/>
      <c r="H10" s="1507"/>
      <c r="I10" s="1507"/>
      <c r="J10" s="1507"/>
      <c r="K10" s="1507"/>
      <c r="L10" s="1507"/>
      <c r="M10" s="1507"/>
      <c r="N10" s="1508"/>
    </row>
    <row r="11" spans="1:14">
      <c r="A11" s="1519">
        <f t="shared" si="0"/>
        <v>6</v>
      </c>
      <c r="B11" s="1507"/>
      <c r="C11" s="1507"/>
      <c r="D11" s="1507"/>
      <c r="E11" s="1507"/>
      <c r="F11" s="1507"/>
      <c r="G11" s="1507"/>
      <c r="H11" s="1507"/>
      <c r="I11" s="1507"/>
      <c r="J11" s="1507"/>
      <c r="K11" s="1507"/>
      <c r="L11" s="1507"/>
      <c r="M11" s="1507"/>
      <c r="N11" s="1508"/>
    </row>
    <row r="12" spans="1:14">
      <c r="A12" s="1519">
        <f t="shared" si="0"/>
        <v>7</v>
      </c>
      <c r="B12" s="1507"/>
      <c r="C12" s="1507"/>
      <c r="D12" s="1507"/>
      <c r="E12" s="1507"/>
      <c r="F12" s="1507"/>
      <c r="G12" s="1507"/>
      <c r="H12" s="1507"/>
      <c r="I12" s="1507"/>
      <c r="J12" s="1507"/>
      <c r="K12" s="1507"/>
      <c r="L12" s="1507"/>
      <c r="M12" s="1507"/>
      <c r="N12" s="1508"/>
    </row>
    <row r="13" spans="1:14">
      <c r="A13" s="1519">
        <f t="shared" si="0"/>
        <v>8</v>
      </c>
      <c r="B13" s="1507"/>
      <c r="C13" s="1507"/>
      <c r="D13" s="1507"/>
      <c r="E13" s="1507"/>
      <c r="F13" s="1507"/>
      <c r="G13" s="1507"/>
      <c r="H13" s="1507"/>
      <c r="I13" s="1507"/>
      <c r="J13" s="1507"/>
      <c r="K13" s="1507"/>
      <c r="L13" s="1507"/>
      <c r="M13" s="1507"/>
      <c r="N13" s="1508"/>
    </row>
    <row r="14" spans="1:14">
      <c r="A14" s="1519">
        <f t="shared" si="0"/>
        <v>9</v>
      </c>
      <c r="B14" s="1507"/>
      <c r="C14" s="1507"/>
      <c r="D14" s="1507"/>
      <c r="E14" s="1507"/>
      <c r="F14" s="1507"/>
      <c r="G14" s="1507"/>
      <c r="H14" s="1507"/>
      <c r="I14" s="1507"/>
      <c r="J14" s="1507"/>
      <c r="K14" s="1507"/>
      <c r="L14" s="1507"/>
      <c r="M14" s="1507"/>
      <c r="N14" s="1508"/>
    </row>
    <row r="15" spans="1:14" ht="33">
      <c r="A15" s="1519">
        <f t="shared" si="0"/>
        <v>10</v>
      </c>
      <c r="B15" s="1532" t="s">
        <v>2368</v>
      </c>
      <c r="C15" s="1508"/>
      <c r="D15" s="1508"/>
      <c r="E15" s="1508"/>
      <c r="F15" s="1508"/>
      <c r="G15" s="1508"/>
      <c r="H15" s="1508"/>
      <c r="I15" s="1508"/>
      <c r="J15" s="1508"/>
      <c r="K15" s="1508"/>
      <c r="L15" s="1508"/>
      <c r="M15" s="1508"/>
      <c r="N15" s="1534" t="s">
        <v>2390</v>
      </c>
    </row>
    <row r="16" spans="1:14">
      <c r="A16" s="1519">
        <f t="shared" si="0"/>
        <v>11</v>
      </c>
      <c r="B16" s="1507"/>
      <c r="C16" s="1507"/>
      <c r="D16" s="1507"/>
      <c r="E16" s="1507"/>
      <c r="F16" s="1507"/>
      <c r="G16" s="1507"/>
      <c r="H16" s="1507"/>
      <c r="I16" s="1507"/>
      <c r="J16" s="1507"/>
      <c r="K16" s="1507"/>
      <c r="L16" s="1507"/>
      <c r="M16" s="1507"/>
      <c r="N16" s="1508"/>
    </row>
    <row r="17" spans="1:14">
      <c r="A17" s="1519">
        <f t="shared" si="0"/>
        <v>12</v>
      </c>
      <c r="B17" s="1507"/>
      <c r="C17" s="1507"/>
      <c r="D17" s="1507"/>
      <c r="E17" s="1507"/>
      <c r="F17" s="1507"/>
      <c r="G17" s="1507"/>
      <c r="H17" s="1507"/>
      <c r="I17" s="1507"/>
      <c r="J17" s="1507"/>
      <c r="K17" s="1507"/>
      <c r="L17" s="1507"/>
      <c r="M17" s="1507"/>
      <c r="N17" s="1508"/>
    </row>
    <row r="18" spans="1:14">
      <c r="A18" s="1519">
        <f t="shared" si="0"/>
        <v>13</v>
      </c>
      <c r="B18" s="1507"/>
      <c r="C18" s="1507"/>
      <c r="D18" s="1507"/>
      <c r="E18" s="1507"/>
      <c r="F18" s="1507"/>
      <c r="G18" s="1507"/>
      <c r="H18" s="1507"/>
      <c r="I18" s="1507"/>
      <c r="J18" s="1507"/>
      <c r="K18" s="1507"/>
      <c r="L18" s="1507"/>
      <c r="M18" s="1507"/>
      <c r="N18" s="1508"/>
    </row>
    <row r="19" spans="1:14">
      <c r="A19" s="1519">
        <f t="shared" si="0"/>
        <v>14</v>
      </c>
      <c r="B19" s="1507"/>
      <c r="C19" s="1507"/>
      <c r="D19" s="1507"/>
      <c r="E19" s="1507"/>
      <c r="F19" s="1507"/>
      <c r="G19" s="1507"/>
      <c r="H19" s="1507"/>
      <c r="I19" s="1507"/>
      <c r="J19" s="1507"/>
      <c r="K19" s="1507"/>
      <c r="L19" s="1507"/>
      <c r="M19" s="1507"/>
      <c r="N19" s="1508"/>
    </row>
    <row r="20" spans="1:14">
      <c r="A20" s="1519">
        <f t="shared" si="0"/>
        <v>15</v>
      </c>
      <c r="B20" s="1507"/>
      <c r="C20" s="1507"/>
      <c r="D20" s="1507"/>
      <c r="E20" s="1507"/>
      <c r="F20" s="1507"/>
      <c r="G20" s="1507"/>
      <c r="H20" s="1507"/>
      <c r="I20" s="1507"/>
      <c r="J20" s="1507"/>
      <c r="K20" s="1507"/>
      <c r="L20" s="1507"/>
      <c r="M20" s="1507"/>
      <c r="N20" s="1508"/>
    </row>
    <row r="21" spans="1:14">
      <c r="A21" s="1519">
        <f t="shared" si="0"/>
        <v>16</v>
      </c>
      <c r="B21" s="1507"/>
      <c r="C21" s="1507"/>
      <c r="D21" s="1507"/>
      <c r="E21" s="1507"/>
      <c r="F21" s="1507"/>
      <c r="G21" s="1507"/>
      <c r="H21" s="1507"/>
      <c r="I21" s="1507"/>
      <c r="J21" s="1507"/>
      <c r="K21" s="1507"/>
      <c r="L21" s="1507"/>
      <c r="M21" s="1507"/>
      <c r="N21" s="1508"/>
    </row>
    <row r="22" spans="1:14">
      <c r="A22" s="1519">
        <f t="shared" si="0"/>
        <v>17</v>
      </c>
      <c r="B22" s="1507"/>
      <c r="C22" s="1507"/>
      <c r="D22" s="1507"/>
      <c r="E22" s="1507"/>
      <c r="F22" s="1507"/>
      <c r="G22" s="1507"/>
      <c r="H22" s="1507"/>
      <c r="I22" s="1507"/>
      <c r="J22" s="1507"/>
      <c r="K22" s="1507"/>
      <c r="L22" s="1507"/>
      <c r="M22" s="1507"/>
      <c r="N22" s="1508"/>
    </row>
    <row r="23" spans="1:14">
      <c r="A23" s="1519">
        <f t="shared" si="0"/>
        <v>18</v>
      </c>
      <c r="B23" s="1507"/>
      <c r="C23" s="1507"/>
      <c r="D23" s="1507"/>
      <c r="E23" s="1507"/>
      <c r="F23" s="1507"/>
      <c r="G23" s="1507"/>
      <c r="H23" s="1507"/>
      <c r="I23" s="1507"/>
      <c r="J23" s="1507"/>
      <c r="K23" s="1507"/>
      <c r="L23" s="1507"/>
      <c r="M23" s="1507"/>
      <c r="N23" s="1508"/>
    </row>
    <row r="24" spans="1:14">
      <c r="A24" s="1519">
        <f t="shared" si="0"/>
        <v>19</v>
      </c>
      <c r="B24" s="1507"/>
      <c r="C24" s="1507"/>
      <c r="D24" s="1507"/>
      <c r="E24" s="1507"/>
      <c r="F24" s="1507"/>
      <c r="G24" s="1507"/>
      <c r="H24" s="1507"/>
      <c r="I24" s="1507"/>
      <c r="J24" s="1507"/>
      <c r="K24" s="1507"/>
      <c r="L24" s="1507"/>
      <c r="M24" s="1507"/>
      <c r="N24" s="1508"/>
    </row>
    <row r="25" spans="1:14" ht="33">
      <c r="A25" s="1519">
        <f t="shared" si="0"/>
        <v>20</v>
      </c>
      <c r="B25" s="1532" t="s">
        <v>2368</v>
      </c>
      <c r="C25" s="1508"/>
      <c r="D25" s="1508"/>
      <c r="E25" s="1508"/>
      <c r="F25" s="1508"/>
      <c r="G25" s="1508"/>
      <c r="H25" s="1508"/>
      <c r="I25" s="1508"/>
      <c r="J25" s="1508"/>
      <c r="K25" s="1508"/>
      <c r="L25" s="1508"/>
      <c r="M25" s="1508"/>
      <c r="N25" s="1534" t="s">
        <v>2390</v>
      </c>
    </row>
    <row r="26" spans="1:14">
      <c r="A26" s="1519">
        <f t="shared" si="0"/>
        <v>21</v>
      </c>
      <c r="B26" s="1507"/>
      <c r="C26" s="1507"/>
      <c r="D26" s="1507"/>
      <c r="E26" s="1507"/>
      <c r="F26" s="1507"/>
      <c r="G26" s="1507"/>
      <c r="H26" s="1507"/>
      <c r="I26" s="1507"/>
      <c r="J26" s="1507"/>
      <c r="K26" s="1507"/>
      <c r="L26" s="1507"/>
      <c r="M26" s="1507"/>
      <c r="N26" s="1508"/>
    </row>
    <row r="27" spans="1:14">
      <c r="A27" s="1519">
        <f t="shared" si="0"/>
        <v>22</v>
      </c>
      <c r="B27" s="1507"/>
      <c r="C27" s="1507"/>
      <c r="D27" s="1507"/>
      <c r="E27" s="1507"/>
      <c r="F27" s="1507"/>
      <c r="G27" s="1507"/>
      <c r="H27" s="1507"/>
      <c r="I27" s="1507"/>
      <c r="J27" s="1507"/>
      <c r="K27" s="1507"/>
      <c r="L27" s="1507"/>
      <c r="M27" s="1507"/>
      <c r="N27" s="1508"/>
    </row>
    <row r="28" spans="1:14">
      <c r="A28" s="1519">
        <f t="shared" si="0"/>
        <v>23</v>
      </c>
      <c r="B28" s="1507"/>
      <c r="C28" s="1507"/>
      <c r="D28" s="1507"/>
      <c r="E28" s="1507"/>
      <c r="F28" s="1507"/>
      <c r="G28" s="1507"/>
      <c r="H28" s="1507"/>
      <c r="I28" s="1507"/>
      <c r="J28" s="1507"/>
      <c r="K28" s="1507"/>
      <c r="L28" s="1507"/>
      <c r="M28" s="1507"/>
      <c r="N28" s="1508"/>
    </row>
    <row r="29" spans="1:14">
      <c r="A29" s="1519">
        <f t="shared" si="0"/>
        <v>24</v>
      </c>
      <c r="B29" s="1507"/>
      <c r="C29" s="1507"/>
      <c r="D29" s="1507"/>
      <c r="E29" s="1507"/>
      <c r="F29" s="1507"/>
      <c r="G29" s="1507"/>
      <c r="H29" s="1507"/>
      <c r="I29" s="1507"/>
      <c r="J29" s="1507"/>
      <c r="K29" s="1507"/>
      <c r="L29" s="1507"/>
      <c r="M29" s="1507"/>
      <c r="N29" s="1508"/>
    </row>
    <row r="30" spans="1:14">
      <c r="A30" s="1519">
        <f t="shared" si="0"/>
        <v>25</v>
      </c>
      <c r="B30" s="1507"/>
      <c r="C30" s="1507"/>
      <c r="D30" s="1507"/>
      <c r="E30" s="1507"/>
      <c r="F30" s="1507"/>
      <c r="G30" s="1507"/>
      <c r="H30" s="1507"/>
      <c r="I30" s="1507"/>
      <c r="J30" s="1507"/>
      <c r="K30" s="1507"/>
      <c r="L30" s="1507"/>
      <c r="M30" s="1507"/>
      <c r="N30" s="1508"/>
    </row>
    <row r="31" spans="1:14" s="1523" customFormat="1" ht="16.5">
      <c r="A31" s="1519">
        <v>26</v>
      </c>
      <c r="B31" s="1524" t="s">
        <v>2352</v>
      </c>
      <c r="C31" s="1525"/>
      <c r="D31" s="1525"/>
      <c r="E31" s="1525"/>
      <c r="F31" s="1525"/>
      <c r="G31" s="1525"/>
      <c r="H31" s="1525"/>
      <c r="I31" s="1525"/>
      <c r="J31" s="1525"/>
      <c r="K31" s="1526"/>
      <c r="L31" s="1525"/>
      <c r="M31" s="1526"/>
      <c r="N31" s="1527"/>
    </row>
    <row r="32" spans="1:14" s="1517" customFormat="1" ht="16.5">
      <c r="A32" s="1518" t="s">
        <v>2391</v>
      </c>
      <c r="N32" s="1515"/>
    </row>
    <row r="33" spans="1:14" s="1515" customFormat="1" ht="16.5">
      <c r="A33" s="1515" t="s">
        <v>2370</v>
      </c>
    </row>
    <row r="34" spans="1:14" s="1515" customFormat="1" ht="16.5">
      <c r="A34" s="1533" t="s">
        <v>2371</v>
      </c>
    </row>
    <row r="35" spans="1:14" s="1515" customFormat="1" ht="16.5">
      <c r="A35" s="1533" t="s">
        <v>2372</v>
      </c>
    </row>
    <row r="36" spans="1:14" s="1515" customFormat="1" ht="16.5">
      <c r="A36" s="1515" t="s">
        <v>2392</v>
      </c>
    </row>
    <row r="37" spans="1:14" s="1515" customFormat="1" ht="16.5">
      <c r="A37" s="1518" t="s">
        <v>2374</v>
      </c>
    </row>
    <row r="38" spans="1:14" s="1515" customFormat="1" ht="16.5">
      <c r="A38" s="1518" t="s">
        <v>2393</v>
      </c>
    </row>
    <row r="39" spans="1:14" s="1515" customFormat="1" ht="16.5">
      <c r="A39" s="1515" t="s">
        <v>2394</v>
      </c>
    </row>
    <row r="40" spans="1:14" s="1515" customFormat="1" ht="16.5">
      <c r="A40" s="1515" t="s">
        <v>2377</v>
      </c>
    </row>
    <row r="41" spans="1:14" s="1515" customFormat="1" ht="16.5">
      <c r="A41" s="1518" t="s">
        <v>2395</v>
      </c>
    </row>
    <row r="42" spans="1:14" s="1515" customFormat="1" ht="16.5">
      <c r="A42" s="1518" t="s">
        <v>6738</v>
      </c>
    </row>
    <row r="43" spans="1:14" s="1517" customFormat="1">
      <c r="A43" s="1518"/>
      <c r="N43" s="1515"/>
    </row>
    <row r="44" spans="1:14">
      <c r="A44" s="1518"/>
    </row>
  </sheetData>
  <mergeCells count="1">
    <mergeCell ref="A4:A5"/>
  </mergeCells>
  <phoneticPr fontId="26" type="noConversion"/>
  <printOptions horizontalCentered="1"/>
  <pageMargins left="0.39370078740157483" right="0.39370078740157483" top="0.39370078740157483" bottom="0.39370078740157483" header="0.19685039370078741" footer="0.19685039370078741"/>
  <pageSetup paperSize="9" orientation="landscape" horizontalDpi="4294967295" verticalDpi="4294967295" r:id="rId1"/>
  <headerFooter alignWithMargins="0">
    <oddFooter>&amp;C&amp;"Times New Roman,標準"161&amp;R&amp;"Times New Roman,標準"&amp;A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J45"/>
  <sheetViews>
    <sheetView zoomScaleNormal="100" workbookViewId="0"/>
  </sheetViews>
  <sheetFormatPr defaultRowHeight="14.25"/>
  <cols>
    <col min="1" max="1" width="5.125" style="1079" customWidth="1"/>
    <col min="2" max="2" width="20.625" style="2279" customWidth="1"/>
    <col min="3" max="3" width="31.375" style="2279" customWidth="1"/>
    <col min="4" max="4" width="17.375" style="2279" customWidth="1"/>
    <col min="5" max="5" width="16.125" style="2279" bestFit="1" customWidth="1"/>
    <col min="6" max="7" width="17" style="2279" customWidth="1"/>
    <col min="8" max="8" width="16.375" style="2279" customWidth="1"/>
    <col min="9" max="9" width="14.625" style="2279" customWidth="1"/>
    <col min="10" max="10" width="13.125" style="2279" customWidth="1"/>
    <col min="11" max="16384" width="9" style="2279"/>
  </cols>
  <sheetData>
    <row r="1" spans="1:10" s="701" customFormat="1">
      <c r="A1" s="105" t="str">
        <f>表03!A1</f>
        <v xml:space="preserve"> 保險股份有限公司    年度(月)報表</v>
      </c>
      <c r="B1" s="2279"/>
      <c r="C1" s="2279"/>
      <c r="D1" s="2279"/>
      <c r="E1" s="2279"/>
      <c r="F1" s="2279"/>
      <c r="G1" s="2279"/>
      <c r="H1" s="2279"/>
    </row>
    <row r="2" spans="1:10" s="701" customFormat="1">
      <c r="A2" s="696" t="s">
        <v>1755</v>
      </c>
      <c r="B2" s="2279"/>
      <c r="C2" s="2279"/>
      <c r="D2" s="2279"/>
      <c r="E2" s="2279"/>
      <c r="F2" s="2279"/>
      <c r="G2" s="2279"/>
      <c r="H2" s="2279"/>
    </row>
    <row r="3" spans="1:10" s="701" customFormat="1">
      <c r="A3" s="696" t="s">
        <v>1756</v>
      </c>
      <c r="B3" s="2279"/>
      <c r="C3" s="2279"/>
      <c r="D3" s="2279"/>
      <c r="E3" s="2279"/>
      <c r="F3" s="2279"/>
      <c r="G3" s="2279"/>
      <c r="H3" s="2279"/>
    </row>
    <row r="4" spans="1:10" s="698" customFormat="1" ht="55.5">
      <c r="A4" s="697" t="s">
        <v>1757</v>
      </c>
      <c r="B4" s="1226" t="s">
        <v>1833</v>
      </c>
      <c r="C4" s="1071" t="s">
        <v>1758</v>
      </c>
      <c r="D4" s="1071" t="s">
        <v>2209</v>
      </c>
      <c r="E4" s="1226" t="s">
        <v>2092</v>
      </c>
      <c r="F4" s="2227" t="s">
        <v>1759</v>
      </c>
      <c r="G4" s="2227" t="s">
        <v>2205</v>
      </c>
      <c r="H4" s="2227" t="s">
        <v>2206</v>
      </c>
      <c r="I4" s="689" t="s">
        <v>2207</v>
      </c>
      <c r="J4" s="748" t="s">
        <v>2208</v>
      </c>
    </row>
    <row r="5" spans="1:10" s="701" customFormat="1" ht="13.5">
      <c r="A5" s="699"/>
      <c r="B5" s="700" t="s">
        <v>240</v>
      </c>
      <c r="C5" s="1227" t="s">
        <v>187</v>
      </c>
      <c r="D5" s="1227" t="s">
        <v>68</v>
      </c>
      <c r="E5" s="1227" t="s">
        <v>319</v>
      </c>
      <c r="F5" s="1405" t="s">
        <v>2093</v>
      </c>
      <c r="G5" s="1227" t="s">
        <v>2094</v>
      </c>
      <c r="H5" s="1227" t="s">
        <v>2095</v>
      </c>
      <c r="I5" s="1405" t="s">
        <v>2096</v>
      </c>
      <c r="J5" s="1405" t="s">
        <v>2097</v>
      </c>
    </row>
    <row r="6" spans="1:10" s="701" customFormat="1" ht="18.75" customHeight="1">
      <c r="A6" s="2282">
        <v>1</v>
      </c>
      <c r="B6" s="1433">
        <f>(SUM('表30-8'!E4,'表30-8'!E6:E9,'表30-8'!E12)-SUM('表30-8'!E14:E22))</f>
        <v>0</v>
      </c>
      <c r="C6" s="702"/>
      <c r="D6" s="703">
        <f>C6*50%</f>
        <v>0</v>
      </c>
      <c r="E6" s="703"/>
      <c r="F6" s="1080">
        <f>'表25-3'!$E$8</f>
        <v>0</v>
      </c>
      <c r="G6" s="702"/>
      <c r="H6" s="791">
        <f>D23+F6+G6</f>
        <v>0</v>
      </c>
      <c r="I6" s="507">
        <f>MIN(MAX(B6,D6,E6),H6)</f>
        <v>0</v>
      </c>
      <c r="J6" s="1080">
        <f>IF(H6=0,0,IF(F6+G6&gt;I6,0,I6-F6-G6))</f>
        <v>0</v>
      </c>
    </row>
    <row r="7" spans="1:10" s="701" customFormat="1" ht="18.75" customHeight="1">
      <c r="A7" s="704"/>
      <c r="B7" s="705"/>
      <c r="C7" s="705"/>
      <c r="D7" s="705"/>
      <c r="E7" s="705"/>
      <c r="F7" s="705"/>
      <c r="G7" s="705"/>
      <c r="H7" s="705"/>
    </row>
    <row r="8" spans="1:10" s="701" customFormat="1">
      <c r="A8" s="706" t="s">
        <v>1359</v>
      </c>
      <c r="B8" s="707"/>
      <c r="C8" s="707"/>
      <c r="D8" s="707"/>
      <c r="E8" s="707"/>
      <c r="F8" s="707"/>
      <c r="G8" s="705"/>
      <c r="H8" s="2279"/>
    </row>
    <row r="9" spans="1:10" s="688" customFormat="1" ht="48" customHeight="1">
      <c r="A9" s="3027" t="s">
        <v>677</v>
      </c>
      <c r="B9" s="3020" t="s">
        <v>1360</v>
      </c>
      <c r="C9" s="3021"/>
      <c r="D9" s="2284" t="s">
        <v>2099</v>
      </c>
      <c r="E9" s="690" t="s">
        <v>2210</v>
      </c>
      <c r="F9" s="2284" t="s">
        <v>2211</v>
      </c>
      <c r="G9" s="789"/>
    </row>
    <row r="10" spans="1:10" ht="13.5">
      <c r="A10" s="3027"/>
      <c r="B10" s="3022"/>
      <c r="C10" s="3023"/>
      <c r="D10" s="1426" t="s">
        <v>464</v>
      </c>
      <c r="E10" s="1426" t="s">
        <v>2100</v>
      </c>
      <c r="F10" s="1427" t="s">
        <v>465</v>
      </c>
      <c r="G10" s="712"/>
    </row>
    <row r="11" spans="1:10">
      <c r="A11" s="2282">
        <v>2</v>
      </c>
      <c r="B11" s="3024" t="s">
        <v>1361</v>
      </c>
      <c r="C11" s="2278" t="s">
        <v>1362</v>
      </c>
      <c r="D11" s="2278">
        <f>'表13-2'!Y8+'表13-2'!Y7</f>
        <v>0</v>
      </c>
      <c r="E11" s="708">
        <f>IF($J$6=0,0,$J$6/$D$23)</f>
        <v>0</v>
      </c>
      <c r="F11" s="2278">
        <f>D11*E11</f>
        <v>0</v>
      </c>
      <c r="G11" s="705"/>
    </row>
    <row r="12" spans="1:10">
      <c r="A12" s="2282">
        <v>3</v>
      </c>
      <c r="B12" s="3025"/>
      <c r="C12" s="2278" t="s">
        <v>1363</v>
      </c>
      <c r="D12" s="2278">
        <f>'表13-2'!Y9</f>
        <v>0</v>
      </c>
      <c r="E12" s="708">
        <f>IF($J$6=0,0,$J$6/$D$23)</f>
        <v>0</v>
      </c>
      <c r="F12" s="2278">
        <f t="shared" ref="F12:F21" si="0">D12*E12</f>
        <v>0</v>
      </c>
      <c r="G12" s="705"/>
    </row>
    <row r="13" spans="1:10">
      <c r="A13" s="2282">
        <v>4</v>
      </c>
      <c r="B13" s="3025"/>
      <c r="C13" s="2278" t="s">
        <v>1364</v>
      </c>
      <c r="D13" s="2278">
        <f>'表13-2'!Y10</f>
        <v>0</v>
      </c>
      <c r="E13" s="708">
        <f>IF($J$6=0,0,$J$6/$D$23)</f>
        <v>0</v>
      </c>
      <c r="F13" s="2278">
        <f>D13*E13</f>
        <v>0</v>
      </c>
      <c r="G13" s="705"/>
    </row>
    <row r="14" spans="1:10">
      <c r="A14" s="2282">
        <v>5</v>
      </c>
      <c r="B14" s="3026"/>
      <c r="C14" s="2278" t="s">
        <v>572</v>
      </c>
      <c r="D14" s="2278">
        <f>SUM(D11:D13)</f>
        <v>0</v>
      </c>
      <c r="E14" s="2278"/>
      <c r="F14" s="2278">
        <f>SUM(F11:F13)</f>
        <v>0</v>
      </c>
      <c r="G14" s="705"/>
    </row>
    <row r="15" spans="1:10" ht="13.5">
      <c r="A15" s="2282">
        <v>6</v>
      </c>
      <c r="B15" s="3024" t="s">
        <v>1184</v>
      </c>
      <c r="C15" s="1072" t="s">
        <v>1760</v>
      </c>
      <c r="D15" s="2278">
        <f>'表13-2'!Y16</f>
        <v>0</v>
      </c>
      <c r="E15" s="708">
        <f>IF($J$6=0,0,$J$6/$D$23)</f>
        <v>0</v>
      </c>
      <c r="F15" s="2278">
        <f t="shared" si="0"/>
        <v>0</v>
      </c>
      <c r="G15" s="705"/>
    </row>
    <row r="16" spans="1:10" ht="13.5">
      <c r="A16" s="2282">
        <v>7</v>
      </c>
      <c r="B16" s="3025"/>
      <c r="C16" s="1072" t="s">
        <v>1761</v>
      </c>
      <c r="D16" s="2278">
        <f>'表13-2'!Y17</f>
        <v>0</v>
      </c>
      <c r="E16" s="708">
        <f>IF($J$6=0,0,$J$6/$D$23)</f>
        <v>0</v>
      </c>
      <c r="F16" s="2278">
        <f t="shared" si="0"/>
        <v>0</v>
      </c>
      <c r="G16" s="705"/>
    </row>
    <row r="17" spans="1:7">
      <c r="A17" s="2282">
        <v>8</v>
      </c>
      <c r="B17" s="3026"/>
      <c r="C17" s="2278" t="s">
        <v>572</v>
      </c>
      <c r="D17" s="2278">
        <f>SUM(D15:D16)</f>
        <v>0</v>
      </c>
      <c r="E17" s="2278"/>
      <c r="F17" s="2278">
        <f>SUM(F15:F16)</f>
        <v>0</v>
      </c>
      <c r="G17" s="705"/>
    </row>
    <row r="18" spans="1:7">
      <c r="A18" s="2282">
        <v>9</v>
      </c>
      <c r="B18" s="3028" t="s">
        <v>1185</v>
      </c>
      <c r="C18" s="2278" t="s">
        <v>1186</v>
      </c>
      <c r="D18" s="2278">
        <f>'表13-2'!Y20</f>
        <v>0</v>
      </c>
      <c r="E18" s="708">
        <f>IF($J$6=0,0,$J$6/$D$23)</f>
        <v>0</v>
      </c>
      <c r="F18" s="2278">
        <f t="shared" si="0"/>
        <v>0</v>
      </c>
      <c r="G18" s="705"/>
    </row>
    <row r="19" spans="1:7" s="688" customFormat="1">
      <c r="A19" s="2282">
        <v>10</v>
      </c>
      <c r="B19" s="3029"/>
      <c r="C19" s="708" t="s">
        <v>1187</v>
      </c>
      <c r="D19" s="2278">
        <f>'表13-2'!Y21</f>
        <v>0</v>
      </c>
      <c r="E19" s="708">
        <f>IF($J$6=0,0,$J$6/$D$23)</f>
        <v>0</v>
      </c>
      <c r="F19" s="709">
        <f t="shared" si="0"/>
        <v>0</v>
      </c>
      <c r="G19" s="790"/>
    </row>
    <row r="20" spans="1:7">
      <c r="A20" s="2282">
        <v>11</v>
      </c>
      <c r="B20" s="3029"/>
      <c r="C20" s="2278" t="s">
        <v>1188</v>
      </c>
      <c r="D20" s="2278">
        <f>'表13-2'!Y22</f>
        <v>0</v>
      </c>
      <c r="E20" s="708">
        <f>IF($J$6=0,0,$J$6/$D$23)</f>
        <v>0</v>
      </c>
      <c r="F20" s="709">
        <f t="shared" si="0"/>
        <v>0</v>
      </c>
      <c r="G20" s="790"/>
    </row>
    <row r="21" spans="1:7" s="688" customFormat="1">
      <c r="A21" s="2282">
        <v>12</v>
      </c>
      <c r="B21" s="3029"/>
      <c r="C21" s="708" t="s">
        <v>1189</v>
      </c>
      <c r="D21" s="2278">
        <f>'表13-2'!Y23</f>
        <v>0</v>
      </c>
      <c r="E21" s="708">
        <f>IF($J$6=0,0,$J$6/$D$23)</f>
        <v>0</v>
      </c>
      <c r="F21" s="709">
        <f t="shared" si="0"/>
        <v>0</v>
      </c>
      <c r="G21" s="790"/>
    </row>
    <row r="22" spans="1:7">
      <c r="A22" s="2282">
        <v>13</v>
      </c>
      <c r="B22" s="3030"/>
      <c r="C22" s="2278" t="s">
        <v>1190</v>
      </c>
      <c r="D22" s="2278">
        <f>SUM(D18:D21)</f>
        <v>0</v>
      </c>
      <c r="E22" s="2278"/>
      <c r="F22" s="2278">
        <f>SUM(F18:F21)</f>
        <v>0</v>
      </c>
      <c r="G22" s="705"/>
    </row>
    <row r="23" spans="1:7">
      <c r="A23" s="2282">
        <v>14</v>
      </c>
      <c r="B23" s="3003" t="s">
        <v>585</v>
      </c>
      <c r="C23" s="3003"/>
      <c r="D23" s="2278">
        <f>D14+D17+D22</f>
        <v>0</v>
      </c>
      <c r="E23" s="708">
        <f>IF($J$6=0,0,$J$6/$D$23)</f>
        <v>0</v>
      </c>
      <c r="F23" s="2278">
        <f>D23*E23</f>
        <v>0</v>
      </c>
      <c r="G23" s="705"/>
    </row>
    <row r="24" spans="1:7" ht="13.5">
      <c r="A24" s="704"/>
      <c r="B24" s="705"/>
      <c r="C24" s="705"/>
      <c r="D24" s="705"/>
      <c r="E24" s="801"/>
      <c r="F24" s="705"/>
      <c r="G24" s="705"/>
    </row>
    <row r="25" spans="1:7" ht="27.75">
      <c r="A25" s="802" t="s">
        <v>979</v>
      </c>
      <c r="B25" s="3031" t="s">
        <v>1382</v>
      </c>
      <c r="C25" s="3032"/>
      <c r="D25" s="840" t="s">
        <v>2212</v>
      </c>
      <c r="E25" s="801"/>
      <c r="F25" s="705"/>
      <c r="G25" s="705"/>
    </row>
    <row r="26" spans="1:7">
      <c r="A26" s="802">
        <v>15</v>
      </c>
      <c r="B26" s="3018" t="s">
        <v>1383</v>
      </c>
      <c r="C26" s="3019"/>
      <c r="D26" s="802">
        <f>'表13-1'!U21</f>
        <v>0</v>
      </c>
      <c r="E26" s="801"/>
      <c r="F26" s="705"/>
      <c r="G26" s="705"/>
    </row>
    <row r="27" spans="1:7">
      <c r="A27" s="802">
        <v>16</v>
      </c>
      <c r="B27" s="841" t="s">
        <v>1384</v>
      </c>
      <c r="C27" s="802"/>
      <c r="D27" s="802"/>
      <c r="E27" s="801"/>
      <c r="F27" s="705"/>
      <c r="G27" s="705"/>
    </row>
    <row r="28" spans="1:7">
      <c r="A28" s="802">
        <v>17</v>
      </c>
      <c r="B28" s="3018" t="s">
        <v>1385</v>
      </c>
      <c r="C28" s="3019"/>
      <c r="D28" s="802">
        <f>D26-D27</f>
        <v>0</v>
      </c>
    </row>
    <row r="29" spans="1:7" s="693" customFormat="1">
      <c r="A29" s="692" t="s">
        <v>1191</v>
      </c>
    </row>
    <row r="30" spans="1:7" s="693" customFormat="1">
      <c r="A30" s="692">
        <v>1</v>
      </c>
      <c r="B30" s="693" t="s">
        <v>1183</v>
      </c>
    </row>
    <row r="31" spans="1:7" s="693" customFormat="1">
      <c r="A31" s="698">
        <v>2</v>
      </c>
      <c r="B31" s="691" t="s">
        <v>2213</v>
      </c>
    </row>
    <row r="32" spans="1:7" s="693" customFormat="1">
      <c r="A32" s="698">
        <v>3</v>
      </c>
      <c r="B32" s="691" t="s">
        <v>2214</v>
      </c>
    </row>
    <row r="33" spans="1:2" s="693" customFormat="1">
      <c r="A33" s="698">
        <v>4</v>
      </c>
      <c r="B33" s="691" t="s">
        <v>2215</v>
      </c>
    </row>
    <row r="34" spans="1:2" s="693" customFormat="1">
      <c r="A34" s="698">
        <v>5</v>
      </c>
      <c r="B34" s="691" t="s">
        <v>2216</v>
      </c>
    </row>
    <row r="35" spans="1:2" s="693" customFormat="1">
      <c r="A35" s="698">
        <v>6</v>
      </c>
      <c r="B35" s="691" t="s">
        <v>2217</v>
      </c>
    </row>
    <row r="36" spans="1:2" s="693" customFormat="1">
      <c r="A36" s="698">
        <v>7</v>
      </c>
      <c r="B36" s="691" t="s">
        <v>2218</v>
      </c>
    </row>
    <row r="37" spans="1:2" s="693" customFormat="1">
      <c r="A37" s="698">
        <v>8</v>
      </c>
      <c r="B37" s="691" t="s">
        <v>2219</v>
      </c>
    </row>
    <row r="38" spans="1:2" s="693" customFormat="1">
      <c r="A38" s="698">
        <v>9</v>
      </c>
      <c r="B38" s="691" t="s">
        <v>2220</v>
      </c>
    </row>
    <row r="39" spans="1:2">
      <c r="A39" s="698">
        <v>10</v>
      </c>
      <c r="B39" s="691" t="s">
        <v>2221</v>
      </c>
    </row>
    <row r="40" spans="1:2">
      <c r="A40" s="749">
        <v>11</v>
      </c>
      <c r="B40" s="750" t="s">
        <v>2251</v>
      </c>
    </row>
    <row r="41" spans="1:2">
      <c r="A41" s="749">
        <v>12</v>
      </c>
      <c r="B41" s="750" t="s">
        <v>2222</v>
      </c>
    </row>
    <row r="42" spans="1:2">
      <c r="A42" s="749"/>
      <c r="B42" s="750" t="s">
        <v>2223</v>
      </c>
    </row>
    <row r="43" spans="1:2">
      <c r="A43" s="691"/>
      <c r="B43" s="750" t="s">
        <v>2098</v>
      </c>
    </row>
    <row r="44" spans="1:2">
      <c r="A44" s="698">
        <v>13</v>
      </c>
      <c r="B44" s="691" t="s">
        <v>2396</v>
      </c>
    </row>
    <row r="45" spans="1:2">
      <c r="A45" s="698">
        <v>14</v>
      </c>
      <c r="B45" s="691" t="s">
        <v>2224</v>
      </c>
    </row>
  </sheetData>
  <mergeCells count="9">
    <mergeCell ref="B28:C28"/>
    <mergeCell ref="B23:C23"/>
    <mergeCell ref="B9:C10"/>
    <mergeCell ref="B11:B14"/>
    <mergeCell ref="A9:A10"/>
    <mergeCell ref="B15:B17"/>
    <mergeCell ref="B18:B22"/>
    <mergeCell ref="B25:C25"/>
    <mergeCell ref="B26:C26"/>
  </mergeCells>
  <phoneticPr fontId="26" type="noConversion"/>
  <printOptions horizontalCentered="1"/>
  <pageMargins left="0.39370078740157483" right="0.39370078740157483" top="0.39370078740157483" bottom="0.39370078740157483" header="0.19685039370078741" footer="0.19685039370078741"/>
  <pageSetup paperSize="9" scale="77" orientation="landscape" horizontalDpi="4294967295" verticalDpi="4294967295" r:id="rId1"/>
  <headerFooter alignWithMargins="0">
    <oddFooter>&amp;C162&amp;R&amp;A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1"/>
  <sheetViews>
    <sheetView showGridLines="0" zoomScaleNormal="100" workbookViewId="0"/>
  </sheetViews>
  <sheetFormatPr defaultRowHeight="14.25"/>
  <cols>
    <col min="1" max="1" width="9" style="549"/>
    <col min="2" max="2" width="10.5" style="549" customWidth="1"/>
    <col min="3" max="3" width="31.25" style="549" customWidth="1"/>
    <col min="4" max="4" width="15.375" style="549" customWidth="1"/>
    <col min="5" max="5" width="13" style="549" customWidth="1"/>
    <col min="6" max="6" width="11.75" style="549" customWidth="1"/>
    <col min="7" max="7" width="9.875" style="549" customWidth="1"/>
    <col min="8" max="8" width="14.125" style="549" bestFit="1" customWidth="1"/>
    <col min="9" max="9" width="14.125" style="549" customWidth="1"/>
    <col min="10" max="10" width="14.125" style="549" bestFit="1" customWidth="1"/>
    <col min="11" max="16384" width="9" style="549"/>
  </cols>
  <sheetData>
    <row r="1" spans="1:23">
      <c r="A1" s="548" t="s">
        <v>694</v>
      </c>
      <c r="K1" s="550"/>
      <c r="L1" s="551"/>
      <c r="M1" s="552"/>
      <c r="N1" s="552"/>
      <c r="O1" s="552"/>
      <c r="P1" s="552"/>
      <c r="Q1" s="552"/>
      <c r="R1" s="552"/>
      <c r="S1" s="552"/>
      <c r="T1" s="552"/>
      <c r="U1" s="552"/>
      <c r="V1" s="552"/>
      <c r="W1" s="553"/>
    </row>
    <row r="2" spans="1:23">
      <c r="A2" s="554" t="s">
        <v>946</v>
      </c>
      <c r="K2" s="550"/>
      <c r="L2" s="551"/>
      <c r="M2" s="555"/>
      <c r="N2" s="555"/>
      <c r="O2" s="555"/>
      <c r="P2" s="555"/>
      <c r="Q2" s="555"/>
      <c r="R2" s="555"/>
      <c r="S2" s="555"/>
      <c r="T2" s="555"/>
      <c r="U2" s="555"/>
      <c r="V2" s="555"/>
      <c r="W2" s="553"/>
    </row>
    <row r="3" spans="1:23">
      <c r="A3" s="556"/>
      <c r="E3" s="104" t="s">
        <v>945</v>
      </c>
    </row>
    <row r="4" spans="1:23" ht="16.5" customHeight="1">
      <c r="A4" s="3038" t="s">
        <v>236</v>
      </c>
      <c r="B4" s="3040" t="s">
        <v>716</v>
      </c>
      <c r="C4" s="3041"/>
      <c r="D4" s="557" t="s">
        <v>186</v>
      </c>
      <c r="E4" s="558" t="s">
        <v>717</v>
      </c>
      <c r="G4" s="559"/>
      <c r="H4" s="559"/>
    </row>
    <row r="5" spans="1:23">
      <c r="A5" s="3039"/>
      <c r="B5" s="3042" t="s">
        <v>307</v>
      </c>
      <c r="C5" s="3043"/>
      <c r="D5" s="560" t="s">
        <v>67</v>
      </c>
      <c r="E5" s="561" t="s">
        <v>332</v>
      </c>
      <c r="G5" s="562" t="s">
        <v>718</v>
      </c>
      <c r="H5" s="562" t="s">
        <v>719</v>
      </c>
    </row>
    <row r="6" spans="1:23" ht="16.5" customHeight="1">
      <c r="A6" s="563">
        <v>1</v>
      </c>
      <c r="B6" s="3044" t="s">
        <v>720</v>
      </c>
      <c r="C6" s="564" t="s">
        <v>721</v>
      </c>
      <c r="D6" s="565">
        <f>SUMIF($B$19:$B$53,"A",$E$19:$E$53)</f>
        <v>0</v>
      </c>
      <c r="E6" s="565">
        <f>SUMIF($B$19:$B$53,"A",$J$19:$J$53)</f>
        <v>0</v>
      </c>
      <c r="F6" s="566"/>
      <c r="G6" s="567" t="s">
        <v>722</v>
      </c>
      <c r="H6" s="631">
        <v>7.8100000000000003E-2</v>
      </c>
    </row>
    <row r="7" spans="1:23" ht="16.5" customHeight="1">
      <c r="A7" s="563">
        <v>2</v>
      </c>
      <c r="B7" s="3045"/>
      <c r="C7" s="564" t="s">
        <v>723</v>
      </c>
      <c r="D7" s="565">
        <f>SUMIF($B$19:$B$53,"B",$E$19:$E$53)</f>
        <v>0</v>
      </c>
      <c r="E7" s="565">
        <f>SUMIF($B$19:$B$53,"B",$J$19:$J$53)</f>
        <v>0</v>
      </c>
      <c r="F7" s="566"/>
      <c r="G7" s="567" t="s">
        <v>724</v>
      </c>
      <c r="H7" s="631">
        <v>8.8300000000000003E-2</v>
      </c>
    </row>
    <row r="8" spans="1:23">
      <c r="A8" s="563">
        <v>3</v>
      </c>
      <c r="B8" s="3046"/>
      <c r="C8" s="564" t="s">
        <v>725</v>
      </c>
      <c r="D8" s="565">
        <f>SUMIF($B$19:$B$53,"C",$E$19:$E$53)</f>
        <v>0</v>
      </c>
      <c r="E8" s="565">
        <f>SUMIF($B$19:$B$53,"C",$J$19:$J$53)</f>
        <v>0</v>
      </c>
      <c r="F8" s="566"/>
      <c r="G8" s="567" t="s">
        <v>570</v>
      </c>
      <c r="H8" s="631">
        <v>3.5299999999999998E-2</v>
      </c>
    </row>
    <row r="9" spans="1:23" ht="16.5" customHeight="1">
      <c r="A9" s="563">
        <v>4</v>
      </c>
      <c r="B9" s="3044" t="s">
        <v>726</v>
      </c>
      <c r="C9" s="1073" t="s">
        <v>1762</v>
      </c>
      <c r="D9" s="565">
        <f>SUMIF($B$19:$B$53,"D",$E$19:$E$53)</f>
        <v>0</v>
      </c>
      <c r="E9" s="565">
        <f>SUMIF($B$19:$B$53,"D",$J$19:$J$53)</f>
        <v>0</v>
      </c>
      <c r="F9" s="566"/>
      <c r="G9" s="567" t="s">
        <v>727</v>
      </c>
      <c r="H9" s="631">
        <v>0.1</v>
      </c>
    </row>
    <row r="10" spans="1:23" ht="16.5" customHeight="1">
      <c r="A10" s="563">
        <v>5</v>
      </c>
      <c r="B10" s="3046"/>
      <c r="C10" s="1073" t="s">
        <v>1763</v>
      </c>
      <c r="D10" s="565">
        <f>SUMIF($B$19:$B$53,"E",$E$19:$E$53)</f>
        <v>0</v>
      </c>
      <c r="E10" s="565">
        <f>SUMIF($B$19:$B$53,"E",$J$19:$J$53)</f>
        <v>0</v>
      </c>
      <c r="F10" s="566"/>
      <c r="G10" s="567" t="s">
        <v>728</v>
      </c>
      <c r="H10" s="631">
        <v>0.1</v>
      </c>
    </row>
    <row r="11" spans="1:23" ht="16.5" customHeight="1">
      <c r="A11" s="563">
        <v>6</v>
      </c>
      <c r="B11" s="3047" t="s">
        <v>729</v>
      </c>
      <c r="C11" s="568" t="s">
        <v>730</v>
      </c>
      <c r="D11" s="565">
        <f>SUMIF($B$19:$B$53,"F",$E$19:$E$53)</f>
        <v>0</v>
      </c>
      <c r="E11" s="565">
        <f>SUMIF($B$19:$B$53,"F",$J$19:$J$53)</f>
        <v>0</v>
      </c>
      <c r="F11" s="566"/>
      <c r="G11" s="567" t="s">
        <v>731</v>
      </c>
      <c r="H11" s="631">
        <v>0.12280000000000001</v>
      </c>
    </row>
    <row r="12" spans="1:23" ht="16.5" customHeight="1">
      <c r="A12" s="563">
        <v>7</v>
      </c>
      <c r="B12" s="3048"/>
      <c r="C12" s="568" t="s">
        <v>732</v>
      </c>
      <c r="D12" s="565">
        <f>SUMIF($B$19:$B$53,"G",$E$19:$E$53)</f>
        <v>0</v>
      </c>
      <c r="E12" s="565">
        <f>SUMIF($B$19:$B$53,"G",$J$19:$J$53)</f>
        <v>0</v>
      </c>
      <c r="F12" s="566"/>
      <c r="G12" s="567" t="s">
        <v>733</v>
      </c>
      <c r="H12" s="631">
        <v>0.12280000000000001</v>
      </c>
    </row>
    <row r="13" spans="1:23" ht="16.5" customHeight="1">
      <c r="A13" s="563">
        <v>8</v>
      </c>
      <c r="B13" s="3048"/>
      <c r="C13" s="568" t="s">
        <v>734</v>
      </c>
      <c r="D13" s="565">
        <f>SUMIF($B$19:$B$53,"H",$E$19:$E$53)</f>
        <v>0</v>
      </c>
      <c r="E13" s="565">
        <f>SUMIF($B$19:$B$53,"H",$J$19:$J$53)</f>
        <v>0</v>
      </c>
      <c r="F13" s="566"/>
      <c r="G13" s="567" t="s">
        <v>735</v>
      </c>
      <c r="H13" s="631">
        <v>0.11169999999999999</v>
      </c>
    </row>
    <row r="14" spans="1:23" ht="16.5" customHeight="1">
      <c r="A14" s="563">
        <v>9</v>
      </c>
      <c r="B14" s="3049"/>
      <c r="C14" s="568" t="s">
        <v>736</v>
      </c>
      <c r="D14" s="565">
        <f>SUMIF($B$19:$B$53,"I",$E$19:$E$53)</f>
        <v>0</v>
      </c>
      <c r="E14" s="565">
        <f>SUMIF($B$19:$B$53,"I",$J$19:$J$53)</f>
        <v>0</v>
      </c>
      <c r="F14" s="566"/>
      <c r="G14" s="567" t="s">
        <v>737</v>
      </c>
      <c r="H14" s="631">
        <v>0.11169999999999999</v>
      </c>
    </row>
    <row r="15" spans="1:23">
      <c r="A15" s="563">
        <v>10</v>
      </c>
      <c r="B15" s="3035" t="s">
        <v>738</v>
      </c>
      <c r="C15" s="3036"/>
      <c r="D15" s="569">
        <f>SUM(D6:D14)</f>
        <v>0</v>
      </c>
      <c r="E15" s="569">
        <f>SUM(E6:E14)</f>
        <v>0</v>
      </c>
      <c r="F15" s="566"/>
      <c r="G15" s="570"/>
      <c r="H15" s="571"/>
    </row>
    <row r="17" spans="1:10" ht="28.5" customHeight="1">
      <c r="A17" s="3037" t="s">
        <v>236</v>
      </c>
      <c r="B17" s="557" t="s">
        <v>739</v>
      </c>
      <c r="C17" s="557" t="s">
        <v>740</v>
      </c>
      <c r="D17" s="260" t="s">
        <v>942</v>
      </c>
      <c r="E17" s="557" t="s">
        <v>741</v>
      </c>
      <c r="F17" s="572" t="s">
        <v>742</v>
      </c>
      <c r="G17" s="2286" t="s">
        <v>2286</v>
      </c>
      <c r="H17" s="572" t="s">
        <v>743</v>
      </c>
      <c r="I17" s="572" t="s">
        <v>744</v>
      </c>
      <c r="J17" s="557" t="s">
        <v>745</v>
      </c>
    </row>
    <row r="18" spans="1:10">
      <c r="A18" s="3037"/>
      <c r="B18" s="573" t="s">
        <v>746</v>
      </c>
      <c r="C18" s="573" t="s">
        <v>747</v>
      </c>
      <c r="D18" s="574" t="s">
        <v>71</v>
      </c>
      <c r="E18" s="573" t="s">
        <v>72</v>
      </c>
      <c r="F18" s="574" t="s">
        <v>73</v>
      </c>
      <c r="G18" s="573" t="s">
        <v>74</v>
      </c>
      <c r="H18" s="574" t="s">
        <v>75</v>
      </c>
      <c r="I18" s="573" t="s">
        <v>943</v>
      </c>
      <c r="J18" s="575" t="s">
        <v>944</v>
      </c>
    </row>
    <row r="19" spans="1:10">
      <c r="A19" s="2283">
        <v>11</v>
      </c>
      <c r="B19" s="567"/>
      <c r="C19" s="576"/>
      <c r="D19" s="576"/>
      <c r="E19" s="577"/>
      <c r="F19" s="578" t="e">
        <f t="shared" ref="F19:F52" si="0">VLOOKUP(B19,$G$6:$H$14,2)</f>
        <v>#N/A</v>
      </c>
      <c r="G19" s="579"/>
      <c r="H19" s="752">
        <f>IF(D19="A",(G19+1)*0.4,G19*0.4)</f>
        <v>0</v>
      </c>
      <c r="I19" s="578" t="e">
        <f t="shared" ref="I19:I53" si="1">F19+F19*H19</f>
        <v>#N/A</v>
      </c>
      <c r="J19" s="580" t="e">
        <f t="shared" ref="J19:J53" si="2">E19*I19</f>
        <v>#N/A</v>
      </c>
    </row>
    <row r="20" spans="1:10">
      <c r="A20" s="2283">
        <v>12</v>
      </c>
      <c r="B20" s="567"/>
      <c r="C20" s="576"/>
      <c r="D20" s="576"/>
      <c r="E20" s="577"/>
      <c r="F20" s="578" t="e">
        <f t="shared" si="0"/>
        <v>#N/A</v>
      </c>
      <c r="G20" s="579"/>
      <c r="H20" s="752">
        <f t="shared" ref="H20:H53" si="3">IF(D20="A",(G20+1)*0.4,G20*0.4)</f>
        <v>0</v>
      </c>
      <c r="I20" s="578" t="e">
        <f t="shared" si="1"/>
        <v>#N/A</v>
      </c>
      <c r="J20" s="580" t="e">
        <f t="shared" si="2"/>
        <v>#N/A</v>
      </c>
    </row>
    <row r="21" spans="1:10">
      <c r="A21" s="2283">
        <v>13</v>
      </c>
      <c r="B21" s="567"/>
      <c r="C21" s="576"/>
      <c r="D21" s="576"/>
      <c r="E21" s="577"/>
      <c r="F21" s="578" t="e">
        <f t="shared" si="0"/>
        <v>#N/A</v>
      </c>
      <c r="G21" s="579"/>
      <c r="H21" s="752">
        <f t="shared" si="3"/>
        <v>0</v>
      </c>
      <c r="I21" s="578" t="e">
        <f t="shared" si="1"/>
        <v>#N/A</v>
      </c>
      <c r="J21" s="580" t="e">
        <f t="shared" si="2"/>
        <v>#N/A</v>
      </c>
    </row>
    <row r="22" spans="1:10">
      <c r="A22" s="2283">
        <v>14</v>
      </c>
      <c r="B22" s="567"/>
      <c r="C22" s="576"/>
      <c r="D22" s="576"/>
      <c r="E22" s="577"/>
      <c r="F22" s="578" t="e">
        <f t="shared" si="0"/>
        <v>#N/A</v>
      </c>
      <c r="G22" s="579"/>
      <c r="H22" s="752">
        <f t="shared" si="3"/>
        <v>0</v>
      </c>
      <c r="I22" s="578" t="e">
        <f t="shared" si="1"/>
        <v>#N/A</v>
      </c>
      <c r="J22" s="580" t="e">
        <f t="shared" si="2"/>
        <v>#N/A</v>
      </c>
    </row>
    <row r="23" spans="1:10">
      <c r="A23" s="2283">
        <v>15</v>
      </c>
      <c r="B23" s="567"/>
      <c r="C23" s="576"/>
      <c r="D23" s="576"/>
      <c r="E23" s="577"/>
      <c r="F23" s="578" t="e">
        <f t="shared" si="0"/>
        <v>#N/A</v>
      </c>
      <c r="G23" s="579"/>
      <c r="H23" s="752">
        <f t="shared" si="3"/>
        <v>0</v>
      </c>
      <c r="I23" s="578" t="e">
        <f t="shared" si="1"/>
        <v>#N/A</v>
      </c>
      <c r="J23" s="580" t="e">
        <f t="shared" si="2"/>
        <v>#N/A</v>
      </c>
    </row>
    <row r="24" spans="1:10">
      <c r="A24" s="2283">
        <v>16</v>
      </c>
      <c r="B24" s="567"/>
      <c r="C24" s="576"/>
      <c r="D24" s="576"/>
      <c r="E24" s="577"/>
      <c r="F24" s="578" t="e">
        <f t="shared" si="0"/>
        <v>#N/A</v>
      </c>
      <c r="G24" s="579"/>
      <c r="H24" s="752">
        <f t="shared" si="3"/>
        <v>0</v>
      </c>
      <c r="I24" s="578" t="e">
        <f t="shared" si="1"/>
        <v>#N/A</v>
      </c>
      <c r="J24" s="580" t="e">
        <f t="shared" si="2"/>
        <v>#N/A</v>
      </c>
    </row>
    <row r="25" spans="1:10">
      <c r="A25" s="2283">
        <v>17</v>
      </c>
      <c r="B25" s="567"/>
      <c r="C25" s="576"/>
      <c r="D25" s="576"/>
      <c r="E25" s="577"/>
      <c r="F25" s="578" t="e">
        <f t="shared" si="0"/>
        <v>#N/A</v>
      </c>
      <c r="G25" s="579"/>
      <c r="H25" s="752">
        <f t="shared" si="3"/>
        <v>0</v>
      </c>
      <c r="I25" s="578" t="e">
        <f t="shared" si="1"/>
        <v>#N/A</v>
      </c>
      <c r="J25" s="580" t="e">
        <f t="shared" si="2"/>
        <v>#N/A</v>
      </c>
    </row>
    <row r="26" spans="1:10">
      <c r="A26" s="2283">
        <v>18</v>
      </c>
      <c r="B26" s="567"/>
      <c r="C26" s="576"/>
      <c r="D26" s="576"/>
      <c r="E26" s="577"/>
      <c r="F26" s="578" t="e">
        <f t="shared" si="0"/>
        <v>#N/A</v>
      </c>
      <c r="G26" s="579"/>
      <c r="H26" s="752">
        <f t="shared" si="3"/>
        <v>0</v>
      </c>
      <c r="I26" s="578" t="e">
        <f t="shared" si="1"/>
        <v>#N/A</v>
      </c>
      <c r="J26" s="580" t="e">
        <f t="shared" si="2"/>
        <v>#N/A</v>
      </c>
    </row>
    <row r="27" spans="1:10">
      <c r="A27" s="2283">
        <v>19</v>
      </c>
      <c r="B27" s="567"/>
      <c r="C27" s="576"/>
      <c r="D27" s="576"/>
      <c r="E27" s="577"/>
      <c r="F27" s="578" t="e">
        <f t="shared" si="0"/>
        <v>#N/A</v>
      </c>
      <c r="G27" s="579"/>
      <c r="H27" s="752">
        <f t="shared" si="3"/>
        <v>0</v>
      </c>
      <c r="I27" s="578" t="e">
        <f t="shared" si="1"/>
        <v>#N/A</v>
      </c>
      <c r="J27" s="580" t="e">
        <f t="shared" si="2"/>
        <v>#N/A</v>
      </c>
    </row>
    <row r="28" spans="1:10">
      <c r="A28" s="2283">
        <v>20</v>
      </c>
      <c r="B28" s="567"/>
      <c r="C28" s="576"/>
      <c r="D28" s="576"/>
      <c r="E28" s="577"/>
      <c r="F28" s="578" t="e">
        <f t="shared" si="0"/>
        <v>#N/A</v>
      </c>
      <c r="G28" s="579"/>
      <c r="H28" s="752">
        <f t="shared" si="3"/>
        <v>0</v>
      </c>
      <c r="I28" s="578" t="e">
        <f t="shared" si="1"/>
        <v>#N/A</v>
      </c>
      <c r="J28" s="580" t="e">
        <f t="shared" si="2"/>
        <v>#N/A</v>
      </c>
    </row>
    <row r="29" spans="1:10">
      <c r="A29" s="2283">
        <v>21</v>
      </c>
      <c r="B29" s="567"/>
      <c r="C29" s="576"/>
      <c r="D29" s="576"/>
      <c r="E29" s="577"/>
      <c r="F29" s="578" t="e">
        <f t="shared" si="0"/>
        <v>#N/A</v>
      </c>
      <c r="G29" s="579"/>
      <c r="H29" s="752">
        <f t="shared" si="3"/>
        <v>0</v>
      </c>
      <c r="I29" s="578" t="e">
        <f t="shared" si="1"/>
        <v>#N/A</v>
      </c>
      <c r="J29" s="580" t="e">
        <f t="shared" si="2"/>
        <v>#N/A</v>
      </c>
    </row>
    <row r="30" spans="1:10">
      <c r="A30" s="2283">
        <v>22</v>
      </c>
      <c r="B30" s="567"/>
      <c r="C30" s="576"/>
      <c r="D30" s="576"/>
      <c r="E30" s="577"/>
      <c r="F30" s="578" t="e">
        <f t="shared" si="0"/>
        <v>#N/A</v>
      </c>
      <c r="G30" s="579"/>
      <c r="H30" s="752">
        <f t="shared" si="3"/>
        <v>0</v>
      </c>
      <c r="I30" s="578" t="e">
        <f t="shared" si="1"/>
        <v>#N/A</v>
      </c>
      <c r="J30" s="580" t="e">
        <f t="shared" si="2"/>
        <v>#N/A</v>
      </c>
    </row>
    <row r="31" spans="1:10">
      <c r="A31" s="2283">
        <v>23</v>
      </c>
      <c r="B31" s="567"/>
      <c r="C31" s="576"/>
      <c r="D31" s="576"/>
      <c r="E31" s="577"/>
      <c r="F31" s="578" t="e">
        <f t="shared" si="0"/>
        <v>#N/A</v>
      </c>
      <c r="G31" s="579"/>
      <c r="H31" s="752">
        <f t="shared" si="3"/>
        <v>0</v>
      </c>
      <c r="I31" s="578" t="e">
        <f t="shared" si="1"/>
        <v>#N/A</v>
      </c>
      <c r="J31" s="580" t="e">
        <f t="shared" si="2"/>
        <v>#N/A</v>
      </c>
    </row>
    <row r="32" spans="1:10">
      <c r="A32" s="2283">
        <v>24</v>
      </c>
      <c r="B32" s="567"/>
      <c r="C32" s="576"/>
      <c r="D32" s="576"/>
      <c r="E32" s="577"/>
      <c r="F32" s="578" t="e">
        <f t="shared" si="0"/>
        <v>#N/A</v>
      </c>
      <c r="G32" s="579"/>
      <c r="H32" s="752">
        <f t="shared" si="3"/>
        <v>0</v>
      </c>
      <c r="I32" s="578" t="e">
        <f t="shared" si="1"/>
        <v>#N/A</v>
      </c>
      <c r="J32" s="580" t="e">
        <f t="shared" si="2"/>
        <v>#N/A</v>
      </c>
    </row>
    <row r="33" spans="1:10">
      <c r="A33" s="2283">
        <v>25</v>
      </c>
      <c r="B33" s="567"/>
      <c r="C33" s="576"/>
      <c r="D33" s="576"/>
      <c r="E33" s="577"/>
      <c r="F33" s="578" t="e">
        <f t="shared" si="0"/>
        <v>#N/A</v>
      </c>
      <c r="G33" s="579"/>
      <c r="H33" s="752">
        <f t="shared" si="3"/>
        <v>0</v>
      </c>
      <c r="I33" s="578" t="e">
        <f t="shared" si="1"/>
        <v>#N/A</v>
      </c>
      <c r="J33" s="580" t="e">
        <f t="shared" si="2"/>
        <v>#N/A</v>
      </c>
    </row>
    <row r="34" spans="1:10">
      <c r="A34" s="2283">
        <v>26</v>
      </c>
      <c r="B34" s="567"/>
      <c r="C34" s="576"/>
      <c r="D34" s="576"/>
      <c r="E34" s="577"/>
      <c r="F34" s="578" t="e">
        <f t="shared" si="0"/>
        <v>#N/A</v>
      </c>
      <c r="G34" s="579"/>
      <c r="H34" s="752">
        <f t="shared" si="3"/>
        <v>0</v>
      </c>
      <c r="I34" s="578" t="e">
        <f t="shared" si="1"/>
        <v>#N/A</v>
      </c>
      <c r="J34" s="580" t="e">
        <f t="shared" si="2"/>
        <v>#N/A</v>
      </c>
    </row>
    <row r="35" spans="1:10">
      <c r="A35" s="2283">
        <v>27</v>
      </c>
      <c r="B35" s="567"/>
      <c r="C35" s="576"/>
      <c r="D35" s="576"/>
      <c r="E35" s="577"/>
      <c r="F35" s="578" t="e">
        <f t="shared" si="0"/>
        <v>#N/A</v>
      </c>
      <c r="G35" s="579"/>
      <c r="H35" s="752">
        <f t="shared" si="3"/>
        <v>0</v>
      </c>
      <c r="I35" s="578" t="e">
        <f t="shared" si="1"/>
        <v>#N/A</v>
      </c>
      <c r="J35" s="580" t="e">
        <f t="shared" si="2"/>
        <v>#N/A</v>
      </c>
    </row>
    <row r="36" spans="1:10">
      <c r="A36" s="2283">
        <v>28</v>
      </c>
      <c r="B36" s="567"/>
      <c r="C36" s="576"/>
      <c r="D36" s="576"/>
      <c r="E36" s="577"/>
      <c r="F36" s="578" t="e">
        <f t="shared" si="0"/>
        <v>#N/A</v>
      </c>
      <c r="G36" s="579"/>
      <c r="H36" s="752">
        <f t="shared" si="3"/>
        <v>0</v>
      </c>
      <c r="I36" s="578" t="e">
        <f t="shared" si="1"/>
        <v>#N/A</v>
      </c>
      <c r="J36" s="580" t="e">
        <f t="shared" si="2"/>
        <v>#N/A</v>
      </c>
    </row>
    <row r="37" spans="1:10">
      <c r="A37" s="2283">
        <v>29</v>
      </c>
      <c r="B37" s="567"/>
      <c r="C37" s="576"/>
      <c r="D37" s="576"/>
      <c r="E37" s="577"/>
      <c r="F37" s="578" t="e">
        <f t="shared" si="0"/>
        <v>#N/A</v>
      </c>
      <c r="G37" s="579"/>
      <c r="H37" s="752">
        <f t="shared" si="3"/>
        <v>0</v>
      </c>
      <c r="I37" s="578" t="e">
        <f t="shared" si="1"/>
        <v>#N/A</v>
      </c>
      <c r="J37" s="580" t="e">
        <f t="shared" si="2"/>
        <v>#N/A</v>
      </c>
    </row>
    <row r="38" spans="1:10">
      <c r="A38" s="2283">
        <v>30</v>
      </c>
      <c r="B38" s="567"/>
      <c r="C38" s="576"/>
      <c r="D38" s="576"/>
      <c r="E38" s="577"/>
      <c r="F38" s="578" t="e">
        <f t="shared" si="0"/>
        <v>#N/A</v>
      </c>
      <c r="G38" s="579"/>
      <c r="H38" s="752">
        <f t="shared" si="3"/>
        <v>0</v>
      </c>
      <c r="I38" s="578" t="e">
        <f t="shared" si="1"/>
        <v>#N/A</v>
      </c>
      <c r="J38" s="580" t="e">
        <f t="shared" si="2"/>
        <v>#N/A</v>
      </c>
    </row>
    <row r="39" spans="1:10">
      <c r="A39" s="2283">
        <v>31</v>
      </c>
      <c r="B39" s="567"/>
      <c r="C39" s="576"/>
      <c r="D39" s="576"/>
      <c r="E39" s="577"/>
      <c r="F39" s="578" t="e">
        <f t="shared" si="0"/>
        <v>#N/A</v>
      </c>
      <c r="G39" s="579"/>
      <c r="H39" s="752">
        <f t="shared" si="3"/>
        <v>0</v>
      </c>
      <c r="I39" s="578" t="e">
        <f t="shared" si="1"/>
        <v>#N/A</v>
      </c>
      <c r="J39" s="580" t="e">
        <f t="shared" si="2"/>
        <v>#N/A</v>
      </c>
    </row>
    <row r="40" spans="1:10">
      <c r="A40" s="2283">
        <v>32</v>
      </c>
      <c r="B40" s="567"/>
      <c r="C40" s="576"/>
      <c r="D40" s="576"/>
      <c r="E40" s="577"/>
      <c r="F40" s="578" t="e">
        <f t="shared" si="0"/>
        <v>#N/A</v>
      </c>
      <c r="G40" s="579"/>
      <c r="H40" s="752">
        <f t="shared" si="3"/>
        <v>0</v>
      </c>
      <c r="I40" s="578" t="e">
        <f t="shared" si="1"/>
        <v>#N/A</v>
      </c>
      <c r="J40" s="580" t="e">
        <f t="shared" si="2"/>
        <v>#N/A</v>
      </c>
    </row>
    <row r="41" spans="1:10">
      <c r="A41" s="2283">
        <v>33</v>
      </c>
      <c r="B41" s="567"/>
      <c r="C41" s="576"/>
      <c r="D41" s="576"/>
      <c r="E41" s="577"/>
      <c r="F41" s="578" t="e">
        <f t="shared" si="0"/>
        <v>#N/A</v>
      </c>
      <c r="G41" s="579"/>
      <c r="H41" s="752">
        <f t="shared" si="3"/>
        <v>0</v>
      </c>
      <c r="I41" s="578" t="e">
        <f t="shared" si="1"/>
        <v>#N/A</v>
      </c>
      <c r="J41" s="580" t="e">
        <f t="shared" si="2"/>
        <v>#N/A</v>
      </c>
    </row>
    <row r="42" spans="1:10">
      <c r="A42" s="2283">
        <v>34</v>
      </c>
      <c r="B42" s="567"/>
      <c r="C42" s="576"/>
      <c r="D42" s="576"/>
      <c r="E42" s="577"/>
      <c r="F42" s="578" t="e">
        <f t="shared" si="0"/>
        <v>#N/A</v>
      </c>
      <c r="G42" s="579"/>
      <c r="H42" s="752">
        <f t="shared" si="3"/>
        <v>0</v>
      </c>
      <c r="I42" s="578" t="e">
        <f t="shared" si="1"/>
        <v>#N/A</v>
      </c>
      <c r="J42" s="580" t="e">
        <f t="shared" si="2"/>
        <v>#N/A</v>
      </c>
    </row>
    <row r="43" spans="1:10">
      <c r="A43" s="2283">
        <v>35</v>
      </c>
      <c r="B43" s="567"/>
      <c r="C43" s="576"/>
      <c r="D43" s="576"/>
      <c r="E43" s="577"/>
      <c r="F43" s="578" t="e">
        <f t="shared" si="0"/>
        <v>#N/A</v>
      </c>
      <c r="G43" s="579"/>
      <c r="H43" s="752">
        <f t="shared" si="3"/>
        <v>0</v>
      </c>
      <c r="I43" s="578" t="e">
        <f t="shared" si="1"/>
        <v>#N/A</v>
      </c>
      <c r="J43" s="580" t="e">
        <f t="shared" si="2"/>
        <v>#N/A</v>
      </c>
    </row>
    <row r="44" spans="1:10">
      <c r="A44" s="2283">
        <v>36</v>
      </c>
      <c r="B44" s="567"/>
      <c r="C44" s="576"/>
      <c r="D44" s="576"/>
      <c r="E44" s="577"/>
      <c r="F44" s="578" t="e">
        <f t="shared" si="0"/>
        <v>#N/A</v>
      </c>
      <c r="G44" s="579"/>
      <c r="H44" s="752">
        <f t="shared" si="3"/>
        <v>0</v>
      </c>
      <c r="I44" s="578" t="e">
        <f t="shared" si="1"/>
        <v>#N/A</v>
      </c>
      <c r="J44" s="580" t="e">
        <f t="shared" si="2"/>
        <v>#N/A</v>
      </c>
    </row>
    <row r="45" spans="1:10">
      <c r="A45" s="2283">
        <v>37</v>
      </c>
      <c r="B45" s="567"/>
      <c r="C45" s="576"/>
      <c r="D45" s="576"/>
      <c r="E45" s="577"/>
      <c r="F45" s="578" t="e">
        <f t="shared" si="0"/>
        <v>#N/A</v>
      </c>
      <c r="G45" s="579"/>
      <c r="H45" s="752">
        <f t="shared" si="3"/>
        <v>0</v>
      </c>
      <c r="I45" s="578" t="e">
        <f t="shared" si="1"/>
        <v>#N/A</v>
      </c>
      <c r="J45" s="580" t="e">
        <f t="shared" si="2"/>
        <v>#N/A</v>
      </c>
    </row>
    <row r="46" spans="1:10">
      <c r="A46" s="2283">
        <v>38</v>
      </c>
      <c r="B46" s="567"/>
      <c r="C46" s="576"/>
      <c r="D46" s="576"/>
      <c r="E46" s="577"/>
      <c r="F46" s="578" t="e">
        <f t="shared" si="0"/>
        <v>#N/A</v>
      </c>
      <c r="G46" s="579"/>
      <c r="H46" s="752">
        <f t="shared" si="3"/>
        <v>0</v>
      </c>
      <c r="I46" s="578" t="e">
        <f t="shared" si="1"/>
        <v>#N/A</v>
      </c>
      <c r="J46" s="580" t="e">
        <f t="shared" si="2"/>
        <v>#N/A</v>
      </c>
    </row>
    <row r="47" spans="1:10">
      <c r="A47" s="2283">
        <v>39</v>
      </c>
      <c r="B47" s="567"/>
      <c r="C47" s="576"/>
      <c r="D47" s="576"/>
      <c r="E47" s="577"/>
      <c r="F47" s="578" t="e">
        <f t="shared" si="0"/>
        <v>#N/A</v>
      </c>
      <c r="G47" s="579"/>
      <c r="H47" s="752">
        <f t="shared" si="3"/>
        <v>0</v>
      </c>
      <c r="I47" s="578" t="e">
        <f t="shared" si="1"/>
        <v>#N/A</v>
      </c>
      <c r="J47" s="580" t="e">
        <f t="shared" si="2"/>
        <v>#N/A</v>
      </c>
    </row>
    <row r="48" spans="1:10">
      <c r="A48" s="2283">
        <v>40</v>
      </c>
      <c r="B48" s="567"/>
      <c r="C48" s="576"/>
      <c r="D48" s="576"/>
      <c r="E48" s="577"/>
      <c r="F48" s="578" t="e">
        <f t="shared" si="0"/>
        <v>#N/A</v>
      </c>
      <c r="G48" s="579"/>
      <c r="H48" s="752">
        <f t="shared" si="3"/>
        <v>0</v>
      </c>
      <c r="I48" s="578" t="e">
        <f t="shared" si="1"/>
        <v>#N/A</v>
      </c>
      <c r="J48" s="580" t="e">
        <f t="shared" si="2"/>
        <v>#N/A</v>
      </c>
    </row>
    <row r="49" spans="1:11">
      <c r="A49" s="2283">
        <v>41</v>
      </c>
      <c r="B49" s="567"/>
      <c r="C49" s="576"/>
      <c r="D49" s="576"/>
      <c r="E49" s="577"/>
      <c r="F49" s="578" t="e">
        <f t="shared" si="0"/>
        <v>#N/A</v>
      </c>
      <c r="G49" s="579"/>
      <c r="H49" s="752">
        <f t="shared" si="3"/>
        <v>0</v>
      </c>
      <c r="I49" s="578" t="e">
        <f t="shared" si="1"/>
        <v>#N/A</v>
      </c>
      <c r="J49" s="580" t="e">
        <f t="shared" si="2"/>
        <v>#N/A</v>
      </c>
    </row>
    <row r="50" spans="1:11">
      <c r="A50" s="2283">
        <v>42</v>
      </c>
      <c r="B50" s="567"/>
      <c r="C50" s="576"/>
      <c r="D50" s="576"/>
      <c r="E50" s="577"/>
      <c r="F50" s="578" t="e">
        <f t="shared" si="0"/>
        <v>#N/A</v>
      </c>
      <c r="G50" s="579"/>
      <c r="H50" s="752">
        <f t="shared" si="3"/>
        <v>0</v>
      </c>
      <c r="I50" s="578" t="e">
        <f t="shared" si="1"/>
        <v>#N/A</v>
      </c>
      <c r="J50" s="580" t="e">
        <f t="shared" si="2"/>
        <v>#N/A</v>
      </c>
    </row>
    <row r="51" spans="1:11">
      <c r="A51" s="2283">
        <v>43</v>
      </c>
      <c r="B51" s="567"/>
      <c r="C51" s="576"/>
      <c r="D51" s="576"/>
      <c r="E51" s="577"/>
      <c r="F51" s="578" t="e">
        <f t="shared" si="0"/>
        <v>#N/A</v>
      </c>
      <c r="G51" s="579"/>
      <c r="H51" s="752">
        <f t="shared" si="3"/>
        <v>0</v>
      </c>
      <c r="I51" s="578" t="e">
        <f t="shared" si="1"/>
        <v>#N/A</v>
      </c>
      <c r="J51" s="580" t="e">
        <f t="shared" si="2"/>
        <v>#N/A</v>
      </c>
    </row>
    <row r="52" spans="1:11">
      <c r="A52" s="2283">
        <v>44</v>
      </c>
      <c r="B52" s="567"/>
      <c r="C52" s="576"/>
      <c r="D52" s="576"/>
      <c r="E52" s="577"/>
      <c r="F52" s="578" t="e">
        <f t="shared" si="0"/>
        <v>#N/A</v>
      </c>
      <c r="G52" s="579"/>
      <c r="H52" s="752">
        <f t="shared" si="3"/>
        <v>0</v>
      </c>
      <c r="I52" s="578" t="e">
        <f t="shared" si="1"/>
        <v>#N/A</v>
      </c>
      <c r="J52" s="580" t="e">
        <f t="shared" si="2"/>
        <v>#N/A</v>
      </c>
    </row>
    <row r="53" spans="1:11">
      <c r="A53" s="2283">
        <v>45</v>
      </c>
      <c r="B53" s="567"/>
      <c r="C53" s="576"/>
      <c r="D53" s="576"/>
      <c r="E53" s="577"/>
      <c r="F53" s="578" t="e">
        <f>VLOOKUP(B53,$G$6:$H$14,2)</f>
        <v>#N/A</v>
      </c>
      <c r="G53" s="579"/>
      <c r="H53" s="752">
        <f t="shared" si="3"/>
        <v>0</v>
      </c>
      <c r="I53" s="578" t="e">
        <f t="shared" si="1"/>
        <v>#N/A</v>
      </c>
      <c r="J53" s="580" t="e">
        <f t="shared" si="2"/>
        <v>#N/A</v>
      </c>
    </row>
    <row r="54" spans="1:11">
      <c r="A54" s="581"/>
      <c r="B54" s="552"/>
      <c r="C54" s="582"/>
      <c r="D54" s="583"/>
      <c r="E54" s="584"/>
      <c r="F54" s="585"/>
      <c r="G54" s="586"/>
      <c r="H54" s="584"/>
      <c r="I54" s="587"/>
    </row>
    <row r="55" spans="1:11">
      <c r="A55" s="549" t="s">
        <v>748</v>
      </c>
    </row>
    <row r="56" spans="1:11">
      <c r="A56" s="549">
        <v>1</v>
      </c>
      <c r="B56" s="549" t="s">
        <v>749</v>
      </c>
    </row>
    <row r="57" spans="1:11">
      <c r="B57" s="2279" t="s">
        <v>1764</v>
      </c>
    </row>
    <row r="58" spans="1:11">
      <c r="B58" s="549" t="s">
        <v>750</v>
      </c>
    </row>
    <row r="59" spans="1:11">
      <c r="A59" s="549">
        <v>2</v>
      </c>
      <c r="B59" s="549" t="s">
        <v>374</v>
      </c>
    </row>
    <row r="60" spans="1:11">
      <c r="A60" s="549">
        <v>3</v>
      </c>
      <c r="B60" s="234" t="s">
        <v>2285</v>
      </c>
    </row>
    <row r="61" spans="1:11" ht="29.25" customHeight="1">
      <c r="A61" s="1440">
        <v>4</v>
      </c>
      <c r="B61" s="3033" t="s">
        <v>6737</v>
      </c>
      <c r="C61" s="3034"/>
      <c r="D61" s="3034"/>
      <c r="E61" s="3034"/>
      <c r="F61" s="3034"/>
      <c r="G61" s="3034"/>
      <c r="H61" s="3034"/>
      <c r="I61" s="3034"/>
      <c r="J61" s="3034"/>
      <c r="K61" s="3034"/>
    </row>
  </sheetData>
  <mergeCells count="9">
    <mergeCell ref="B61:K61"/>
    <mergeCell ref="B15:C15"/>
    <mergeCell ref="A17:A18"/>
    <mergeCell ref="A4:A5"/>
    <mergeCell ref="B4:C4"/>
    <mergeCell ref="B5:C5"/>
    <mergeCell ref="B6:B8"/>
    <mergeCell ref="B9:B10"/>
    <mergeCell ref="B11:B14"/>
  </mergeCells>
  <phoneticPr fontId="26" type="noConversion"/>
  <pageMargins left="0.33" right="0.21" top="0.71" bottom="1" header="0.5" footer="0.5"/>
  <pageSetup paperSize="9" scale="64" fitToHeight="0" orientation="portrait" horizontalDpi="4294967295" verticalDpi="4294967295"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23"/>
  <sheetViews>
    <sheetView view="pageBreakPreview" zoomScaleNormal="100" workbookViewId="0">
      <selection activeCell="B11" sqref="B11:D11"/>
    </sheetView>
  </sheetViews>
  <sheetFormatPr defaultRowHeight="15.75"/>
  <cols>
    <col min="1" max="1" width="5.75" style="710" customWidth="1"/>
    <col min="2" max="2" width="20.125" style="710" customWidth="1"/>
    <col min="3" max="3" width="14.875" style="710" customWidth="1"/>
    <col min="4" max="4" width="13.25" style="710" customWidth="1"/>
    <col min="5" max="9" width="13.625" style="710" customWidth="1"/>
    <col min="10" max="10" width="12.75" style="710" customWidth="1"/>
    <col min="11" max="16384" width="9" style="710"/>
  </cols>
  <sheetData>
    <row r="1" spans="1:10">
      <c r="A1" s="259" t="s">
        <v>694</v>
      </c>
      <c r="E1" s="722"/>
      <c r="F1" s="722"/>
      <c r="G1" s="722"/>
      <c r="H1" s="722"/>
      <c r="I1" s="722"/>
      <c r="J1" s="722"/>
    </row>
    <row r="2" spans="1:10">
      <c r="A2" s="723" t="s">
        <v>2274</v>
      </c>
    </row>
    <row r="4" spans="1:10" ht="17.25" customHeight="1">
      <c r="A4" s="2764" t="s">
        <v>677</v>
      </c>
      <c r="B4" s="3056" t="s">
        <v>2275</v>
      </c>
      <c r="C4" s="3057"/>
      <c r="D4" s="3058"/>
      <c r="E4" s="3070" t="s">
        <v>1192</v>
      </c>
      <c r="F4" s="3070" t="s">
        <v>2276</v>
      </c>
      <c r="G4" s="3070" t="s">
        <v>2277</v>
      </c>
      <c r="H4" s="3062" t="s">
        <v>2278</v>
      </c>
      <c r="I4" s="3062"/>
      <c r="J4" s="3070" t="s">
        <v>1193</v>
      </c>
    </row>
    <row r="5" spans="1:10" ht="54" customHeight="1">
      <c r="A5" s="2765"/>
      <c r="B5" s="3059"/>
      <c r="C5" s="3060"/>
      <c r="D5" s="3061"/>
      <c r="E5" s="3072"/>
      <c r="F5" s="3072"/>
      <c r="G5" s="3071"/>
      <c r="H5" s="2284" t="s">
        <v>2279</v>
      </c>
      <c r="I5" s="2284" t="s">
        <v>2280</v>
      </c>
      <c r="J5" s="3071"/>
    </row>
    <row r="6" spans="1:10">
      <c r="A6" s="2766"/>
      <c r="B6" s="3073" t="s">
        <v>307</v>
      </c>
      <c r="C6" s="3074"/>
      <c r="D6" s="3075"/>
      <c r="E6" s="724" t="s">
        <v>1064</v>
      </c>
      <c r="F6" s="724" t="s">
        <v>68</v>
      </c>
      <c r="G6" s="724" t="s">
        <v>69</v>
      </c>
      <c r="H6" s="724" t="s">
        <v>1065</v>
      </c>
      <c r="I6" s="724" t="s">
        <v>1066</v>
      </c>
      <c r="J6" s="724" t="s">
        <v>1067</v>
      </c>
    </row>
    <row r="7" spans="1:10" ht="32.25" customHeight="1">
      <c r="A7" s="725">
        <v>1</v>
      </c>
      <c r="B7" s="2649" t="s">
        <v>2226</v>
      </c>
      <c r="C7" s="3050"/>
      <c r="D7" s="2650"/>
      <c r="E7" s="1434">
        <f>SUMPRODUCT(('表10-1'!J6:J15="A1")*('表10-1'!I6:I15="A")*('表10-1'!AA6:AA15))+SUMPRODUCT(('表10-1'!J6:J15="A1")*('表10-1'!I6:I15="B")*('表10-1'!AA6:AA15))+SUMPRODUCT(('表10-1'!J6:J15="A2")*('表10-1'!I6:I15="A")*('表10-1'!AA6:AA15))+SUMPRODUCT(('表10-1'!J6:J15="A2")*('表10-1'!I6:I15="B")*('表10-1'!AA6:AA15))</f>
        <v>0</v>
      </c>
      <c r="F7" s="1435">
        <f>SUMPRODUCT(('表10-1'!J6:J15="A1")*('表10-1'!I6:I15="A")*('表10-1'!V6:V15))+SUMPRODUCT(('表10-1'!J6:J15="A1")*('表10-1'!I6:I15="B")*('表10-1'!V6:V15))+SUMPRODUCT(('表10-1'!J6:J15="A2")*('表10-1'!I6:I15="A")*('表10-1'!V6:V15))+SUMPRODUCT(('表10-1'!J6:J15="A2")*('表10-1'!I6:I15="B")*('表10-1'!V6:V15))</f>
        <v>0</v>
      </c>
      <c r="G7" s="1435">
        <f>SUMPRODUCT(('表10-1'!J6:J15="A1")*('表10-1'!I6:I15="A")*('表10-1'!AB6:AB15))+SUMPRODUCT(('表10-1'!J6:J15="A1")*('表10-1'!I6:I15="B")*('表10-1'!AB6:AB15))+SUMPRODUCT(('表10-1'!J6:J15="A2")*('表10-1'!I6:I15="A")*('表10-1'!AB6:AB15))+SUMPRODUCT(('表10-1'!J6:J15="A2")*('表10-1'!I6:I15="B")*('表10-1'!AB6:AB15))</f>
        <v>0</v>
      </c>
      <c r="H7" s="727">
        <f>F7-E7</f>
        <v>0</v>
      </c>
      <c r="I7" s="727">
        <f>G7-E7</f>
        <v>0</v>
      </c>
      <c r="J7" s="727">
        <f>I7-H7</f>
        <v>0</v>
      </c>
    </row>
    <row r="8" spans="1:10" ht="31.5" customHeight="1">
      <c r="A8" s="725">
        <v>2</v>
      </c>
      <c r="B8" s="2649" t="s">
        <v>2281</v>
      </c>
      <c r="C8" s="3050"/>
      <c r="D8" s="2650"/>
      <c r="E8" s="1434">
        <f>SUMPRODUCT(('表10-1'!J6:J15="B")*('表10-1'!I6:I15="A")*('表10-1'!AA6:AA15))+SUMPRODUCT(('表10-1'!J6:J15="B")*('表10-1'!I6:I15="B")*('表10-1'!AA6:AA15))</f>
        <v>0</v>
      </c>
      <c r="F8" s="1435">
        <f>SUMPRODUCT(('表10-1'!J6:J15="B")*('表10-1'!I6:I15="A")*('表10-1'!V6:V15))+SUMPRODUCT(('表10-1'!J6:J15="B")*('表10-1'!I6:I15="B")*('表10-1'!V6:V15))</f>
        <v>0</v>
      </c>
      <c r="G8" s="1435">
        <f>SUMPRODUCT(('表10-1'!J6:J15="B")*('表10-1'!I6:I15="A")*('表10-1'!AB6:AB15))+SUMPRODUCT(('表10-1'!J6:J15="B")*('表10-1'!I6:I15="B")*('表10-1'!AB6:AB15))</f>
        <v>0</v>
      </c>
      <c r="H8" s="727">
        <f>F8-E8</f>
        <v>0</v>
      </c>
      <c r="I8" s="727">
        <f>G8-E8</f>
        <v>0</v>
      </c>
      <c r="J8" s="727">
        <f>I8-H8</f>
        <v>0</v>
      </c>
    </row>
    <row r="9" spans="1:10" ht="32.25" customHeight="1">
      <c r="A9" s="725">
        <v>3</v>
      </c>
      <c r="B9" s="2649" t="s">
        <v>2227</v>
      </c>
      <c r="C9" s="3050"/>
      <c r="D9" s="2650"/>
      <c r="E9" s="728">
        <f>'表09-1'!AD16</f>
        <v>0</v>
      </c>
      <c r="F9" s="729">
        <f>'表09-1'!Y16</f>
        <v>0</v>
      </c>
      <c r="G9" s="728">
        <f>'表09-1'!AE16</f>
        <v>0</v>
      </c>
      <c r="H9" s="727">
        <f>F9-E9</f>
        <v>0</v>
      </c>
      <c r="I9" s="727">
        <f>G9-E9</f>
        <v>0</v>
      </c>
      <c r="J9" s="727">
        <f>I9-H9</f>
        <v>0</v>
      </c>
    </row>
    <row r="10" spans="1:10" ht="33" customHeight="1">
      <c r="A10" s="725">
        <v>4</v>
      </c>
      <c r="B10" s="2649" t="s">
        <v>2228</v>
      </c>
      <c r="C10" s="3050"/>
      <c r="D10" s="2650"/>
      <c r="E10" s="727">
        <f>'表12-1'!Z16</f>
        <v>0</v>
      </c>
      <c r="F10" s="727">
        <f>'表12-1'!U16</f>
        <v>0</v>
      </c>
      <c r="G10" s="727">
        <f>'表12-1'!AA16</f>
        <v>0</v>
      </c>
      <c r="H10" s="727">
        <f>F10-E10</f>
        <v>0</v>
      </c>
      <c r="I10" s="727">
        <f>G10-E10</f>
        <v>0</v>
      </c>
      <c r="J10" s="727">
        <f>I10-H10</f>
        <v>0</v>
      </c>
    </row>
    <row r="11" spans="1:10" ht="32.25" customHeight="1">
      <c r="A11" s="725">
        <v>5</v>
      </c>
      <c r="B11" s="3067" t="s">
        <v>7262</v>
      </c>
      <c r="C11" s="3068"/>
      <c r="D11" s="3069"/>
      <c r="E11" s="727">
        <f>'表12-1'!Z17</f>
        <v>0</v>
      </c>
      <c r="F11" s="727">
        <f>'表12-1'!U17</f>
        <v>0</v>
      </c>
      <c r="G11" s="727">
        <f>'表12-1'!AA17</f>
        <v>0</v>
      </c>
      <c r="H11" s="727">
        <f>F11-E11</f>
        <v>0</v>
      </c>
      <c r="I11" s="727">
        <f>G11-E11</f>
        <v>0</v>
      </c>
      <c r="J11" s="727">
        <f>I11-H11</f>
        <v>0</v>
      </c>
    </row>
    <row r="12" spans="1:10">
      <c r="A12" s="725">
        <v>6</v>
      </c>
      <c r="B12" s="2649" t="s">
        <v>641</v>
      </c>
      <c r="C12" s="3050"/>
      <c r="D12" s="2650"/>
      <c r="E12" s="730"/>
      <c r="F12" s="730"/>
      <c r="G12" s="730"/>
      <c r="H12" s="727">
        <f>SUM(H7:H11)</f>
        <v>0</v>
      </c>
      <c r="I12" s="730"/>
      <c r="J12" s="727">
        <f>SUM(J7:J11)</f>
        <v>0</v>
      </c>
    </row>
    <row r="14" spans="1:10">
      <c r="A14" s="731"/>
      <c r="B14" s="732"/>
      <c r="C14" s="732"/>
      <c r="D14" s="732"/>
    </row>
    <row r="15" spans="1:10" ht="28.5">
      <c r="A15" s="3054" t="s">
        <v>2229</v>
      </c>
      <c r="B15" s="3056" t="s">
        <v>2230</v>
      </c>
      <c r="C15" s="3057"/>
      <c r="D15" s="3058"/>
      <c r="E15" s="2286" t="s">
        <v>2231</v>
      </c>
      <c r="F15" s="2286" t="s">
        <v>2232</v>
      </c>
      <c r="G15" s="2286" t="s">
        <v>2233</v>
      </c>
      <c r="H15" s="1436" t="s">
        <v>2234</v>
      </c>
      <c r="I15" s="2286" t="s">
        <v>2235</v>
      </c>
      <c r="J15" s="2286" t="s">
        <v>2236</v>
      </c>
    </row>
    <row r="16" spans="1:10">
      <c r="A16" s="3055"/>
      <c r="B16" s="3059"/>
      <c r="C16" s="3060"/>
      <c r="D16" s="3061"/>
      <c r="E16" s="1437" t="s">
        <v>2237</v>
      </c>
      <c r="F16" s="1437" t="s">
        <v>2238</v>
      </c>
      <c r="G16" s="1437" t="s">
        <v>2239</v>
      </c>
      <c r="H16" s="1437" t="s">
        <v>2240</v>
      </c>
      <c r="I16" s="1437" t="s">
        <v>2241</v>
      </c>
      <c r="J16" s="1438" t="s">
        <v>2242</v>
      </c>
    </row>
    <row r="17" spans="1:10">
      <c r="A17" s="725">
        <v>7</v>
      </c>
      <c r="B17" s="3062" t="s">
        <v>2226</v>
      </c>
      <c r="C17" s="3063" t="s">
        <v>2243</v>
      </c>
      <c r="D17" s="194" t="s">
        <v>2244</v>
      </c>
      <c r="E17" s="1434">
        <f>SUMPRODUCT(('表10-1'!J6:J26="A1")*('表10-1'!I6:I26="C")*('表10-1'!X6:X26&gt;=0)*(-('表10-1'!W6:W26)&lt;=('表10-1'!X6:X26))*('表10-1'!AA6:AA26))+SUMPRODUCT(('表10-1'!J6:J26="A1")*('表10-1'!I6:I26="D")*('表10-1'!X6:X26&gt;=0)*(-('表10-1'!W6:W26)&lt;=('表10-1'!X6:X26))*('表10-1'!AA6:AA26))+SUMPRODUCT(('表10-1'!J6:J26="A1")*('表10-1'!I6:I26="E")*('表10-1'!X6:X26&gt;=0)*(-('表10-1'!W6:W26)&lt;=('表10-1'!X6:X26))*('表10-1'!AA6:AA26))+SUMPRODUCT(('表10-1'!J6:J26="A2")*('表10-1'!I6:I26="C")*('表10-1'!X6:X26&gt;=0)*(-('表10-1'!W6:W26)&lt;=('表10-1'!X6:X26))*('表10-1'!AA6:AA26))+SUMPRODUCT(('表10-1'!J6:J26="A2")*('表10-1'!I6:I26="D")*('表10-1'!X6:X26&gt;=0)*(-('表10-1'!W6:W26)&lt;=('表10-1'!X6:X26))*('表10-1'!AA6:AA26))+SUMPRODUCT(('表10-1'!J6:J26="A2")*('表10-1'!I6:I26="E")*('表10-1'!X6:X26&gt;=0)*(-('表10-1'!W6:W26)&lt;=('表10-1'!X6:X26))*('表10-1'!AA6:AA26))</f>
        <v>0</v>
      </c>
      <c r="F17" s="1434">
        <f>SUMPRODUCT(('表10-1'!J6:J26="A1")*('表10-1'!I6:I26="C")*('表10-1'!X6:X26&gt;=0)*(-('表10-1'!W6:W26)&lt;=('表10-1'!X6:X26))*('表10-1'!U6:U26))+SUMPRODUCT(('表10-1'!J6:J26="A1")*('表10-1'!I6:I26="D")*('表10-1'!X6:X26&gt;=0)*(-('表10-1'!W6:W26)&lt;=('表10-1'!X6:X26))*('表10-1'!U6:U26))+SUMPRODUCT(('表10-1'!J6:J26="A1")*('表10-1'!I6:I26="E")*('表10-1'!X6:X26&gt;=0)*(-('表10-1'!W6:W26)&lt;=('表10-1'!X6:X26))*('表10-1'!U6:U26))+SUMPRODUCT(('表10-1'!J6:J26="A2")*('表10-1'!I6:I26="C")*('表10-1'!X6:X26&gt;=0)*(-('表10-1'!W6:W26)&lt;=('表10-1'!X6:X26))*('表10-1'!U6:U26))+SUMPRODUCT(('表10-1'!J6:J26="A2")*('表10-1'!I6:I26="D")*('表10-1'!X6:X26&gt;=0)*(-('表10-1'!W6:W26)&lt;=('表10-1'!X6:X26))*('表10-1'!U6:U26))+SUMPRODUCT(('表10-1'!J6:J26="A2")*('表10-1'!I6:I26="E")*('表10-1'!X6:X26&gt;=0)*(-('表10-1'!W6:W26)&lt;=('表10-1'!X6:X26))*('表10-1'!U6:U26))</f>
        <v>0</v>
      </c>
      <c r="G17" s="1434">
        <f>SUMPRODUCT(('表10-1'!J6:J26="A1")*('表10-1'!I6:I26="C")*('表10-1'!X6:X26&gt;=0)*(-('表10-1'!W6:W26)&lt;=('表10-1'!X6:X26))*('表10-1'!V6:V26))+SUMPRODUCT(('表10-1'!J6:J26="A1")*('表10-1'!I6:I26="D")*('表10-1'!X6:X26&gt;=0)*(-('表10-1'!W6:W26)&lt;=('表10-1'!X6:X26))*('表10-1'!V6:V26))+SUMPRODUCT(('表10-1'!J6:J26="A1")*('表10-1'!I6:I26="E")*('表10-1'!X6:X26&gt;=0)*(-('表10-1'!W6:W26)&lt;=('表10-1'!X6:X26))*('表10-1'!V6:V26))+SUMPRODUCT(('表10-1'!J6:J26="A2")*('表10-1'!I6:I26="C")*('表10-1'!X6:X26&gt;=0)*(-('表10-1'!W6:W26)&lt;=('表10-1'!X6:X26))*('表10-1'!V6:V26))+SUMPRODUCT(('表10-1'!J6:J26="A2")*('表10-1'!I6:I26="D")*('表10-1'!X6:X26&gt;=0)*(-('表10-1'!W6:W26)&lt;=('表10-1'!X6:X26))*('表10-1'!V6:V26))+SUMPRODUCT(('表10-1'!J6:J26="A2")*('表10-1'!I6:I26="E")*('表10-1'!X6:X26&gt;=0)*(-('表10-1'!W6:W26)&lt;=('表10-1'!X6:X26))*('表10-1'!V6:V26))</f>
        <v>0</v>
      </c>
      <c r="H17" s="1434">
        <f>SUMPRODUCT(('表10-1'!J6:J26="A1")*('表10-1'!I6:I26="C")*('表10-1'!X6:X26&gt;=0)*(-('表10-1'!W6:W26)&lt;=('表10-1'!X6:X26))*('表10-1'!X6:X26))+SUMPRODUCT(('表10-1'!J6:J26="A1")*('表10-1'!I6:I26="D")*('表10-1'!X6:X26&gt;=0)*(-('表10-1'!W6:W26)&lt;=('表10-1'!X6:X26))*('表10-1'!X6:X26))+SUMPRODUCT(('表10-1'!J6:J26="A1")*('表10-1'!I6:I26="E")*('表10-1'!X6:X26&gt;=0)*(-('表10-1'!W6:W26)&lt;=('表10-1'!X6:X26))*('表10-1'!X6:X26))+SUMPRODUCT(('表10-1'!J6:J26="A2")*('表10-1'!I6:I26="C")*('表10-1'!X6:X26&gt;=0)*(-('表10-1'!W6:W26)&lt;=('表10-1'!X6:X26))*('表10-1'!X6:X26))+SUMPRODUCT(('表10-1'!J6:J26="A2")*('表10-1'!I6:I26="D")*('表10-1'!X6:X26&gt;=0)*(-('表10-1'!W6:W26)&lt;=('表10-1'!X6:X26))*('表10-1'!X6:X26))+SUMPRODUCT(('表10-1'!J6:J26="A2")*('表10-1'!I6:I26="E")*('表10-1'!X6:X26&gt;=0)*(-('表10-1'!W6:W26)&lt;=('表10-1'!X6:X26))*('表10-1'!X6:X26))</f>
        <v>0</v>
      </c>
      <c r="I17" s="1434">
        <f>-(SUMPRODUCT(('表10-1'!J6:J26="A1")*('表10-1'!I6:I26="C")*('表10-1'!X6:X26&gt;=0)*(-('表10-1'!W6:W26)&lt;=('表10-1'!X6:X26))*('表10-1'!W6:W26&lt;0)*('表10-1'!W6:W26))+SUMPRODUCT(('表10-1'!J6:J26="A1")*('表10-1'!I6:I26="D")*('表10-1'!X6:X26&gt;=0)*(-('表10-1'!W6:W26)&lt;=('表10-1'!X6:X26))*('表10-1'!W6:W26&lt;0)*('表10-1'!W6:W26))+SUMPRODUCT(('表10-1'!J6:J26="A1")*('表10-1'!I6:I26="E")*('表10-1'!X6:X26&gt;=0)*(-('表10-1'!W6:W26)&lt;=('表10-1'!X6:X26))*('表10-1'!W6:W26&lt;0)*('表10-1'!W6:W26))+SUMPRODUCT(('表10-1'!J6:J26="A2")*('表10-1'!I6:I26="C")*('表10-1'!X6:X26&gt;=0)*(-('表10-1'!W6:W26)&lt;=('表10-1'!X6:X26))*('表10-1'!W6:W26&lt;0)*('表10-1'!W6:W26))+SUMPRODUCT(('表10-1'!J6:J26="A2")*('表10-1'!I6:I26="D")*('表10-1'!X6:X26&gt;=0)*(-('表10-1'!W6:W26)&lt;=('表10-1'!X6:X26))*('表10-1'!W6:W26&lt;0)*('表10-1'!W6:W26))+SUMPRODUCT(('表10-1'!J6:J26="A2")*('表10-1'!I6:I26="E")*('表10-1'!X6:X26&gt;=0)*(-('表10-1'!W6:W26)&lt;=('表10-1'!X6:X26))*('表10-1'!W6:W26&lt;0)*('表10-1'!W6:W26)))</f>
        <v>0</v>
      </c>
      <c r="J17" s="1434">
        <f>+H17-I17</f>
        <v>0</v>
      </c>
    </row>
    <row r="18" spans="1:10">
      <c r="A18" s="725">
        <v>8</v>
      </c>
      <c r="B18" s="3062"/>
      <c r="C18" s="3064"/>
      <c r="D18" s="194" t="s">
        <v>2245</v>
      </c>
      <c r="E18" s="1434">
        <f>SUMPRODUCT(('表10-1'!J6:J26="A1")*('表10-1'!I6:I26="C")*('表10-1'!X6:X26&gt;=0)*(-('表10-1'!W6:W26)&gt;('表10-1'!X6:X26))*('表10-1'!AA6:AA26))+SUMPRODUCT(('表10-1'!J6:J26="A1")*('表10-1'!I6:I26="D")*('表10-1'!X6:X26&gt;=0)*(-('表10-1'!W6:W26)&gt;('表10-1'!X6:X26))*('表10-1'!AA6:AA26))+SUMPRODUCT(('表10-1'!J6:J26="A1")*('表10-1'!I6:I26="E")*('表10-1'!X6:X26&gt;=0)*(-('表10-1'!W6:W26)&gt;('表10-1'!X6:X26))*('表10-1'!AA6:AA26))+SUMPRODUCT(('表10-1'!J6:J26="A2")*('表10-1'!I6:I26="C")*('表10-1'!X6:X26&gt;=0)*(-('表10-1'!W6:W26)&gt;('表10-1'!X6:X26))*('表10-1'!AA6:AA26))+SUMPRODUCT(('表10-1'!J6:J26="A2")*('表10-1'!I6:I26="D")*('表10-1'!X6:X26&gt;=0)*(-('表10-1'!W6:W26)&gt;('表10-1'!X6:X26))*('表10-1'!AA6:AA26))+SUMPRODUCT(('表10-1'!J6:J26="A2")*('表10-1'!I6:I26="E")*('表10-1'!X6:X26&gt;=0)*(-('表10-1'!W6:W26)&gt;('表10-1'!X6:X26))*('表10-1'!AA6:AA26))</f>
        <v>0</v>
      </c>
      <c r="F18" s="1434">
        <f>SUMPRODUCT(('表10-1'!J6:J26="A1")*('表10-1'!I6:I26="C")*('表10-1'!X6:X26&gt;=0)*(-('表10-1'!W6:W26)&gt;('表10-1'!X6:X26))*('表10-1'!U6:U26))+SUMPRODUCT(('表10-1'!J6:J26="A1")*('表10-1'!I6:I26="D")*('表10-1'!X6:X26&gt;=0)*(-('表10-1'!W6:W26)&gt;('表10-1'!X6:X26))*('表10-1'!U6:U26))+SUMPRODUCT(('表10-1'!J6:J26="A1")*('表10-1'!I6:I26="E")*('表10-1'!X6:X26&gt;=0)*(-('表10-1'!W6:W26)&gt;('表10-1'!X6:X26))*('表10-1'!U6:U26))+SUMPRODUCT(('表10-1'!J6:J26="A2")*('表10-1'!I6:I26="C")*('表10-1'!X6:X26&gt;=0)*(-('表10-1'!W6:W26)&gt;('表10-1'!X6:X26))*('表10-1'!U6:U26))+SUMPRODUCT(('表10-1'!J6:J26="A2")*('表10-1'!I6:I26="D")*('表10-1'!X6:X26&gt;=0)*(-('表10-1'!W6:W26)&gt;('表10-1'!X6:X26))*('表10-1'!U6:U26))+SUMPRODUCT(('表10-1'!J6:J26="A2")*('表10-1'!I6:I26="E")*('表10-1'!X6:X26&gt;=0)*(-('表10-1'!W6:W26)&gt;('表10-1'!X6:X26))*('表10-1'!U6:U26))</f>
        <v>0</v>
      </c>
      <c r="G18" s="1434">
        <f>SUMPRODUCT(('表10-1'!J6:J26="A1")*('表10-1'!I6:I26="C")*('表10-1'!X6:X26&gt;=0)*(-('表10-1'!W6:W26)&gt;('表10-1'!X6:X26))*('表10-1'!V6:V26))+SUMPRODUCT(('表10-1'!J6:J26="A1")*('表10-1'!I6:I26="D")*('表10-1'!X6:X26&gt;=0)*(-('表10-1'!W6:W26)&gt;('表10-1'!X6:X26))*('表10-1'!V6:V26))+SUMPRODUCT(('表10-1'!J6:J26="A1")*('表10-1'!I6:I26="E")*('表10-1'!X6:X26&gt;=0)*(-('表10-1'!W6:W26)&gt;('表10-1'!X6:X26))*('表10-1'!V6:V26))+SUMPRODUCT(('表10-1'!J6:J26="A2")*('表10-1'!I6:I26="C")*('表10-1'!X6:X26&gt;=0)*(-('表10-1'!W6:W26)&gt;('表10-1'!X6:X26))*('表10-1'!V6:V26))+SUMPRODUCT(('表10-1'!J6:J26="A2")*('表10-1'!I6:I26="D")*('表10-1'!X6:X26&gt;=0)*(-('表10-1'!W6:W26)&gt;('表10-1'!X6:X26))*('表10-1'!V6:V26))+SUMPRODUCT(('表10-1'!J6:J26="A2")*('表10-1'!I6:I26="E")*('表10-1'!X6:X26&gt;=0)*(-('表10-1'!W6:W26)&gt;('表10-1'!X6:X26))*('表10-1'!V6:V26))</f>
        <v>0</v>
      </c>
      <c r="H18" s="1439"/>
      <c r="I18" s="1439"/>
      <c r="J18" s="1439"/>
    </row>
    <row r="19" spans="1:10">
      <c r="A19" s="725">
        <v>9</v>
      </c>
      <c r="B19" s="3062"/>
      <c r="C19" s="3065" t="s">
        <v>2246</v>
      </c>
      <c r="D19" s="3066"/>
      <c r="E19" s="1434">
        <f>SUMPRODUCT(('表10-1'!J6:J26="A1")*('表10-1'!I6:I26="C")*('表10-1'!X6:X26&lt;0)*('表10-1'!AA6:AA26))+SUMPRODUCT(('表10-1'!J6:J26="A1")*('表10-1'!I6:I26="D")*('表10-1'!X6:X26&lt;0)*('表10-1'!AA6:AA26))+SUMPRODUCT(('表10-1'!J6:J26="A1")*('表10-1'!I6:I26="E")*('表10-1'!X6:X26&lt;0)*('表10-1'!AA6:AA26))+SUMPRODUCT(('表10-1'!J6:J26="A2")*('表10-1'!I6:I26="C")*('表10-1'!X6:X26&lt;0)*('表10-1'!AA6:AA26))+SUMPRODUCT(('表10-1'!J6:J26="A2")*('表10-1'!I6:I26="D")*('表10-1'!X6:X26&lt;0)*('表10-1'!AA6:AA26))+SUMPRODUCT(('表10-1'!J6:J26="A2")*('表10-1'!I6:I26="E")*('表10-1'!X6:X26&lt;0)*('表10-1'!AA6:AA26))</f>
        <v>0</v>
      </c>
      <c r="F19" s="1434">
        <f>SUMPRODUCT(('表10-1'!J6:J26="A1")*('表10-1'!I6:I26="C")*('表10-1'!X6:X26&lt;0)*('表10-1'!U6:U26))+SUMPRODUCT(('表10-1'!J6:J26="A1")*('表10-1'!I6:I26="D")*('表10-1'!X6:X26&lt;0)*('表10-1'!U6:U26))+SUMPRODUCT(('表10-1'!J6:J26="A1")*('表10-1'!I6:I26="E")*('表10-1'!X6:X26&lt;0)*('表10-1'!U6:U26))+SUMPRODUCT(('表10-1'!J6:J26="A2")*('表10-1'!I6:I26="C")*('表10-1'!X6:X26&lt;0)*('表10-1'!U6:U26))+SUMPRODUCT(('表10-1'!J6:J26="A2")*('表10-1'!I6:I26="D")*('表10-1'!X6:X26&lt;0)*('表10-1'!U6:U26))+SUMPRODUCT(('表10-1'!J6:J26="A2")*('表10-1'!I6:I26="E")*('表10-1'!X6:X26&lt;0)*('表10-1'!U6:U26))</f>
        <v>0</v>
      </c>
      <c r="G19" s="1434">
        <f>SUMPRODUCT(('表10-1'!J6:J26="A1")*('表10-1'!I6:I26="C")*('表10-1'!X6:X26&lt;0)*('表10-1'!V6:V26))+SUMPRODUCT(('表10-1'!J6:J26="A1")*('表10-1'!I6:I26="D")*('表10-1'!X6:X26&lt;0)*('表10-1'!V6:V26))+SUMPRODUCT(('表10-1'!J6:J26="A1")*('表10-1'!I6:I26="E")*('表10-1'!X6:X26&lt;0)*('表10-1'!V6:V26))+SUMPRODUCT(('表10-1'!J6:J26="A2")*('表10-1'!I6:I26="C")*('表10-1'!X6:X26&lt;0)*('表10-1'!V6:V26))+SUMPRODUCT(('表10-1'!J6:J26="A2")*('表10-1'!I6:I26="D")*('表10-1'!X6:X26&lt;0)*('表10-1'!V6:V26))+SUMPRODUCT(('表10-1'!J6:J26="A2")*('表10-1'!I6:I26="E")*('表10-1'!X6:X26&lt;0)*('表10-1'!V6:V26))</f>
        <v>0</v>
      </c>
      <c r="H19" s="1439"/>
      <c r="I19" s="1439"/>
      <c r="J19" s="1439"/>
    </row>
    <row r="20" spans="1:10" ht="17.25" customHeight="1">
      <c r="A20" s="725">
        <v>10</v>
      </c>
      <c r="B20" s="3062" t="s">
        <v>2281</v>
      </c>
      <c r="C20" s="3063" t="s">
        <v>2247</v>
      </c>
      <c r="D20" s="194" t="s">
        <v>2248</v>
      </c>
      <c r="E20" s="1434">
        <f>SUMPRODUCT(('表10-1'!J6:J26="B")*('表10-1'!I6:I26="C")*('表10-1'!X6:X26&gt;=0)*(-('表10-1'!W6:W26)&lt;=('表10-1'!X6:X26))*('表10-1'!AA6:AA26))+SUMPRODUCT(('表10-1'!J6:J26="B")*('表10-1'!I6:I26="D")*('表10-1'!X6:X26&gt;=0)*(-('表10-1'!W6:W26)&lt;=('表10-1'!X6:X26))*('表10-1'!AA6:AA26))+SUMPRODUCT(('表10-1'!J6:J26="B")*('表10-1'!I6:I26="E")*('表10-1'!X6:X26&gt;=0)*(-('表10-1'!W6:W26)&lt;=('表10-1'!X6:X26))*('表10-1'!AA6:AA26))</f>
        <v>0</v>
      </c>
      <c r="F20" s="1434">
        <f>SUMPRODUCT(('表10-1'!J6:J26="B")*('表10-1'!I6:I26="C")*('表10-1'!X6:X26&gt;=0)*(-('表10-1'!W6:W26)&lt;=('表10-1'!X6:X26))*('表10-1'!U6:U26))+SUMPRODUCT(('表10-1'!J6:J26="B")*('表10-1'!I6:I26="D")*('表10-1'!X6:X26&gt;=0)*(-('表10-1'!W6:W26)&lt;=('表10-1'!X6:X26))*('表10-1'!U6:U26))+SUMPRODUCT(('表10-1'!J6:J26="B")*('表10-1'!I6:I26="E")*('表10-1'!X6:X26&gt;=0)*(-('表10-1'!W6:W26)&lt;=('表10-1'!X6:X26))*('表10-1'!U6:U26))</f>
        <v>0</v>
      </c>
      <c r="G20" s="1434">
        <f>SUMPRODUCT(('表10-1'!J6:J26="B")*('表10-1'!I6:I26="C")*('表10-1'!X6:X26&gt;=0)*(-('表10-1'!W6:W26)&lt;=('表10-1'!X6:X26))*('表10-1'!V6:V26))+SUMPRODUCT(('表10-1'!J6:J26="B")*('表10-1'!I6:I26="D")*('表10-1'!X6:X26&gt;=0)*(-('表10-1'!W6:W26)&lt;=('表10-1'!X6:X26))*('表10-1'!V6:V26))+SUMPRODUCT(('表10-1'!J6:J26="B")*('表10-1'!I6:I26="E")*('表10-1'!X6:X26&gt;=0)*(-('表10-1'!W6:W26)&lt;=('表10-1'!X6:X26))*('表10-1'!V6:V26))</f>
        <v>0</v>
      </c>
      <c r="H20" s="1434">
        <f>SUMPRODUCT(('表10-1'!J6:J26="B")*('表10-1'!I6:I26="C")*('表10-1'!X6:X26&gt;=0)*(-('表10-1'!W6:W26)&lt;=('表10-1'!X6:X26))*('表10-1'!X6:X26))+SUMPRODUCT(('表10-1'!J6:J26="B")*('表10-1'!I6:I26="D")*('表10-1'!X6:X26&gt;=0)*(-('表10-1'!W6:W26)&lt;=('表10-1'!X6:X26))*('表10-1'!X6:X26))+SUMPRODUCT(('表10-1'!J6:J26="B")*('表10-1'!I6:I26="E")*('表10-1'!X6:X26&gt;=0)*(-('表10-1'!W6:W26)&lt;=('表10-1'!X6:X26))*('表10-1'!X6:X26))</f>
        <v>0</v>
      </c>
      <c r="I20" s="1434">
        <f>-(SUMPRODUCT(('表10-1'!J6:J26="B")*('表10-1'!I6:I26="C")*('表10-1'!X6:X26&gt;=0)*(-('表10-1'!W6:W26)&lt;=('表10-1'!X6:X26))*('表10-1'!W6:W26&lt;0)*('表10-1'!W6:W26))+SUMPRODUCT(('表10-1'!J6:J26="B")*('表10-1'!I6:I26="D")*('表10-1'!X6:X26&gt;=0)*(-('表10-1'!W6:W26)&lt;=('表10-1'!X6:X26))*('表10-1'!W6:W26&lt;0)*('表10-1'!W6:W26))+SUMPRODUCT(('表10-1'!J6:J26="B")*('表10-1'!I6:I26="E")*('表10-1'!X6:X26&gt;=0)*(-('表10-1'!W6:W26)&lt;=('表10-1'!X6:X26))*('表10-1'!W6:W26&lt;0)*('表10-1'!W6:W26)))</f>
        <v>0</v>
      </c>
      <c r="J20" s="1434">
        <f>+H20-I20</f>
        <v>0</v>
      </c>
    </row>
    <row r="21" spans="1:10">
      <c r="A21" s="725">
        <v>11</v>
      </c>
      <c r="B21" s="3062"/>
      <c r="C21" s="3064"/>
      <c r="D21" s="194" t="s">
        <v>2245</v>
      </c>
      <c r="E21" s="1434">
        <f>SUMPRODUCT(('表10-1'!J6:J26="B")*('表10-1'!I6:I26="C")*('表10-1'!X6:X26&gt;=0)*(-('表10-1'!W6:W26)&gt;('表10-1'!X6:X26))*('表10-1'!AA6:AA26))+SUMPRODUCT(('表10-1'!J6:J26="B")*('表10-1'!I6:I26="D")*('表10-1'!X6:X26&gt;=0)*(-('表10-1'!W6:W26)&gt;('表10-1'!X6:X26))*('表10-1'!AA6:AA26))+SUMPRODUCT(('表10-1'!J6:J26="B")*('表10-1'!I6:I26="E")*('表10-1'!X6:X26&gt;=0)*(-('表10-1'!W6:W26)&gt;('表10-1'!X6:X26))*('表10-1'!AA6:AA26))</f>
        <v>0</v>
      </c>
      <c r="F21" s="1434">
        <f>SUMPRODUCT(('表10-1'!J6:J26="B")*('表10-1'!I6:I26="C")*('表10-1'!X6:X26&gt;=0)*(-('表10-1'!W6:W26)&gt;('表10-1'!X6:X26))*('表10-1'!U6:U26))+SUMPRODUCT(('表10-1'!J6:J26="B")*('表10-1'!I6:I26="D")*('表10-1'!X6:X26&gt;=0)*(-('表10-1'!W6:W26)&gt;('表10-1'!X6:X26))*('表10-1'!U6:U26))+SUMPRODUCT(('表10-1'!J6:J26="B")*('表10-1'!I6:I26="E")*('表10-1'!X6:X26&gt;=0)*(-('表10-1'!W6:W26)&gt;('表10-1'!X6:X26))*('表10-1'!U6:U26))</f>
        <v>0</v>
      </c>
      <c r="G21" s="1434">
        <f>SUMPRODUCT(('表10-1'!J6:J26="B")*('表10-1'!I6:I26="C")*('表10-1'!X6:X26&gt;=0)*(-('表10-1'!W6:W26)&gt;('表10-1'!X6:X26))*('表10-1'!V6:V26))+SUMPRODUCT(('表10-1'!J6:J26="B")*('表10-1'!I6:I26="D")*('表10-1'!X6:X26&gt;=0)*(-('表10-1'!W6:W26)&gt;('表10-1'!X6:X26))*('表10-1'!V6:V26))+SUMPRODUCT(('表10-1'!J6:J26="B")*('表10-1'!I6:I26="E")*('表10-1'!X6:X26&gt;=0)*(-('表10-1'!W6:W26)&gt;('表10-1'!X6:X26))*('表10-1'!V6:V26))</f>
        <v>0</v>
      </c>
      <c r="H21" s="1439"/>
      <c r="I21" s="1439"/>
      <c r="J21" s="1439"/>
    </row>
    <row r="22" spans="1:10">
      <c r="A22" s="725">
        <v>12</v>
      </c>
      <c r="B22" s="3062"/>
      <c r="C22" s="3065" t="s">
        <v>2246</v>
      </c>
      <c r="D22" s="3066"/>
      <c r="E22" s="1434">
        <f>SUMPRODUCT(('表10-1'!J6:J26="B")*('表10-1'!I6:I26="C")*('表10-1'!X6:X26&lt;0)*('表10-1'!AA6:AA26))+SUMPRODUCT(('表10-1'!J6:J26="B")*('表10-1'!I6:I26="D")*('表10-1'!X6:X26&lt;0)*('表10-1'!AA6:AA26))+SUMPRODUCT(('表10-1'!J6:J26="B")*('表10-1'!I6:I26="E")*('表10-1'!X6:X26&lt;0)*('表10-1'!AA6:AA26))</f>
        <v>0</v>
      </c>
      <c r="F22" s="1434">
        <f>SUMPRODUCT(('表10-1'!J6:J26="B")*('表10-1'!I6:I26="C")*('表10-1'!X6:X26&lt;0)*('表10-1'!U6:U26))+SUMPRODUCT(('表10-1'!J6:J26="B")*('表10-1'!I6:I26="D")*('表10-1'!X6:X26&lt;0)*('表10-1'!U6:U26))+SUMPRODUCT(('表10-1'!J6:J26="B")*('表10-1'!I6:I26="E")*('表10-1'!X6:X26&lt;0)*('表10-1'!U6:U26))</f>
        <v>0</v>
      </c>
      <c r="G22" s="1434">
        <f>SUMPRODUCT(('表10-1'!J6:J26="B")*('表10-1'!I6:I26="C")*('表10-1'!X6:X26&lt;0)*('表10-1'!V6:V26))+SUMPRODUCT(('表10-1'!J6:J26="B")*('表10-1'!I6:I26="D")*('表10-1'!X6:X26&lt;0)*('表10-1'!V6:V26))+SUMPRODUCT(('表10-1'!J6:J26="B")*('表10-1'!I6:I26="E")*('表10-1'!X6:X26&lt;0)*('表10-1'!V6:V26))</f>
        <v>0</v>
      </c>
      <c r="H22" s="1439"/>
      <c r="I22" s="1439"/>
      <c r="J22" s="1439"/>
    </row>
    <row r="23" spans="1:10">
      <c r="A23" s="725">
        <v>13</v>
      </c>
      <c r="B23" s="3051" t="s">
        <v>2249</v>
      </c>
      <c r="C23" s="3052"/>
      <c r="D23" s="3053"/>
      <c r="E23" s="1439"/>
      <c r="F23" s="1439"/>
      <c r="G23" s="1439"/>
      <c r="H23" s="1439"/>
      <c r="I23" s="1439"/>
      <c r="J23" s="1434">
        <f>+J17+J20</f>
        <v>0</v>
      </c>
    </row>
  </sheetData>
  <mergeCells count="23">
    <mergeCell ref="J4:J5"/>
    <mergeCell ref="A4:A6"/>
    <mergeCell ref="E4:E5"/>
    <mergeCell ref="F4:F5"/>
    <mergeCell ref="G4:G5"/>
    <mergeCell ref="H4:I4"/>
    <mergeCell ref="B4:D5"/>
    <mergeCell ref="B6:D6"/>
    <mergeCell ref="B7:D7"/>
    <mergeCell ref="B8:D8"/>
    <mergeCell ref="B9:D9"/>
    <mergeCell ref="B10:D10"/>
    <mergeCell ref="B11:D11"/>
    <mergeCell ref="B12:D12"/>
    <mergeCell ref="B23:D23"/>
    <mergeCell ref="A15:A16"/>
    <mergeCell ref="B15:D16"/>
    <mergeCell ref="B17:B19"/>
    <mergeCell ref="C17:C18"/>
    <mergeCell ref="C19:D19"/>
    <mergeCell ref="B20:B22"/>
    <mergeCell ref="C20:C21"/>
    <mergeCell ref="C22:D22"/>
  </mergeCells>
  <phoneticPr fontId="26" type="noConversion"/>
  <pageMargins left="0.70866141732283472" right="0.70866141732283472" top="0.74803149606299213" bottom="0.74803149606299213" header="0.31496062992125984" footer="0.31496062992125984"/>
  <pageSetup paperSize="9" scale="80" orientation="landscape"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J21"/>
  <sheetViews>
    <sheetView zoomScaleNormal="100" workbookViewId="0">
      <selection activeCell="H30" sqref="H30"/>
    </sheetView>
  </sheetViews>
  <sheetFormatPr defaultRowHeight="15.75"/>
  <cols>
    <col min="1" max="1" width="9" style="710"/>
    <col min="2" max="8" width="12.25" style="710" customWidth="1"/>
    <col min="9" max="16384" width="9" style="710"/>
  </cols>
  <sheetData>
    <row r="1" spans="1:10">
      <c r="A1" s="2398" t="s">
        <v>694</v>
      </c>
    </row>
    <row r="2" spans="1:10">
      <c r="A2" s="711" t="s">
        <v>1367</v>
      </c>
    </row>
    <row r="3" spans="1:10">
      <c r="A3" s="711"/>
      <c r="B3" s="712"/>
      <c r="C3" s="712"/>
      <c r="D3" s="713"/>
      <c r="E3" s="713"/>
      <c r="F3" s="713"/>
      <c r="G3" s="713"/>
      <c r="H3" s="713"/>
    </row>
    <row r="4" spans="1:10" ht="15.75" customHeight="1">
      <c r="A4" s="3076" t="s">
        <v>1365</v>
      </c>
      <c r="B4" s="3077" t="s">
        <v>1368</v>
      </c>
      <c r="C4" s="3078"/>
      <c r="D4" s="3078"/>
      <c r="E4" s="3078"/>
      <c r="F4" s="3078"/>
      <c r="G4" s="3078"/>
      <c r="H4" s="3079" t="s">
        <v>1366</v>
      </c>
    </row>
    <row r="5" spans="1:10" ht="15.75" customHeight="1">
      <c r="A5" s="3076"/>
      <c r="B5" s="3081" t="s">
        <v>2069</v>
      </c>
      <c r="C5" s="3076" t="s">
        <v>1369</v>
      </c>
      <c r="D5" s="3076" t="s">
        <v>1369</v>
      </c>
      <c r="E5" s="3076" t="s">
        <v>1369</v>
      </c>
      <c r="F5" s="3076" t="s">
        <v>1369</v>
      </c>
      <c r="G5" s="3076" t="s">
        <v>2068</v>
      </c>
      <c r="H5" s="3079"/>
    </row>
    <row r="6" spans="1:10">
      <c r="A6" s="3076"/>
      <c r="B6" s="3082"/>
      <c r="C6" s="3081"/>
      <c r="D6" s="3081"/>
      <c r="E6" s="3081"/>
      <c r="F6" s="3081"/>
      <c r="G6" s="3081"/>
      <c r="H6" s="3080"/>
    </row>
    <row r="7" spans="1:10">
      <c r="A7" s="3076"/>
      <c r="B7" s="714" t="s">
        <v>307</v>
      </c>
      <c r="C7" s="714" t="s">
        <v>385</v>
      </c>
      <c r="D7" s="714" t="s">
        <v>68</v>
      </c>
      <c r="E7" s="714" t="s">
        <v>69</v>
      </c>
      <c r="F7" s="714" t="s">
        <v>70</v>
      </c>
      <c r="G7" s="714" t="s">
        <v>7188</v>
      </c>
      <c r="H7" s="714" t="s">
        <v>2225</v>
      </c>
    </row>
    <row r="8" spans="1:10">
      <c r="A8" s="2287">
        <v>1</v>
      </c>
      <c r="B8" s="715"/>
      <c r="C8" s="715"/>
      <c r="D8" s="715"/>
      <c r="E8" s="715"/>
      <c r="F8" s="715"/>
      <c r="G8" s="716"/>
      <c r="H8" s="751">
        <f>SUM(B8:G8)/5</f>
        <v>0</v>
      </c>
    </row>
    <row r="11" spans="1:10">
      <c r="A11" s="717" t="s">
        <v>1370</v>
      </c>
    </row>
    <row r="12" spans="1:10">
      <c r="A12" s="718">
        <v>1</v>
      </c>
      <c r="B12" s="719" t="s">
        <v>2052</v>
      </c>
    </row>
    <row r="13" spans="1:10">
      <c r="A13" s="718">
        <v>2</v>
      </c>
      <c r="B13" s="719" t="s">
        <v>2053</v>
      </c>
    </row>
    <row r="14" spans="1:10">
      <c r="B14" s="719" t="s">
        <v>1371</v>
      </c>
    </row>
    <row r="15" spans="1:10">
      <c r="B15" s="719" t="s">
        <v>1372</v>
      </c>
    </row>
    <row r="16" spans="1:10">
      <c r="B16" s="754" t="s">
        <v>1386</v>
      </c>
      <c r="C16" s="720"/>
      <c r="D16" s="720"/>
      <c r="E16" s="720"/>
      <c r="F16" s="720"/>
      <c r="G16" s="720"/>
      <c r="H16" s="720"/>
      <c r="I16" s="720"/>
      <c r="J16" s="720"/>
    </row>
    <row r="17" spans="1:2">
      <c r="A17" s="718">
        <v>3</v>
      </c>
      <c r="B17" s="719" t="s">
        <v>2054</v>
      </c>
    </row>
    <row r="18" spans="1:2">
      <c r="A18" s="718"/>
      <c r="B18" s="719" t="s">
        <v>2055</v>
      </c>
    </row>
    <row r="19" spans="1:2">
      <c r="B19" s="842" t="s">
        <v>2051</v>
      </c>
    </row>
    <row r="20" spans="1:2">
      <c r="B20" s="842" t="s">
        <v>1373</v>
      </c>
    </row>
    <row r="21" spans="1:2">
      <c r="B21" s="754" t="s">
        <v>1386</v>
      </c>
    </row>
  </sheetData>
  <mergeCells count="9">
    <mergeCell ref="A4:A7"/>
    <mergeCell ref="B4:G4"/>
    <mergeCell ref="H4:H6"/>
    <mergeCell ref="B5:B6"/>
    <mergeCell ref="C5:C6"/>
    <mergeCell ref="D5:D6"/>
    <mergeCell ref="G5:G6"/>
    <mergeCell ref="E5:E6"/>
    <mergeCell ref="F5:F6"/>
  </mergeCells>
  <phoneticPr fontId="26" type="noConversion"/>
  <dataValidations disablePrompts="1" count="1">
    <dataValidation type="whole" allowBlank="1" showInputMessage="1" showErrorMessage="1" errorTitle="錯誤" error="輸入資料格式錯誤!!" sqref="H4 D3:H3 D6:G6">
      <formula1>-9.99999999999999E+28</formula1>
      <formula2>9.99999999999999E+30</formula2>
    </dataValidation>
  </dataValidations>
  <pageMargins left="0.7" right="0.7" top="0.75" bottom="0.75" header="0.3" footer="0.3"/>
  <pageSetup paperSize="9" fitToHeight="0" orientation="landscape"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4"/>
  <sheetViews>
    <sheetView workbookViewId="0"/>
  </sheetViews>
  <sheetFormatPr defaultColWidth="20.625" defaultRowHeight="15.75"/>
  <cols>
    <col min="1" max="1" width="5.625" style="1347" customWidth="1"/>
    <col min="2" max="2" width="30.625" style="1347" customWidth="1"/>
    <col min="3" max="255" width="20.625" style="1347"/>
    <col min="256" max="256" width="1.625" style="1347" customWidth="1"/>
    <col min="257" max="257" width="5.625" style="1347" customWidth="1"/>
    <col min="258" max="258" width="30.625" style="1347" customWidth="1"/>
    <col min="259" max="511" width="20.625" style="1347"/>
    <col min="512" max="512" width="1.625" style="1347" customWidth="1"/>
    <col min="513" max="513" width="5.625" style="1347" customWidth="1"/>
    <col min="514" max="514" width="30.625" style="1347" customWidth="1"/>
    <col min="515" max="767" width="20.625" style="1347"/>
    <col min="768" max="768" width="1.625" style="1347" customWidth="1"/>
    <col min="769" max="769" width="5.625" style="1347" customWidth="1"/>
    <col min="770" max="770" width="30.625" style="1347" customWidth="1"/>
    <col min="771" max="1023" width="20.625" style="1347"/>
    <col min="1024" max="1024" width="1.625" style="1347" customWidth="1"/>
    <col min="1025" max="1025" width="5.625" style="1347" customWidth="1"/>
    <col min="1026" max="1026" width="30.625" style="1347" customWidth="1"/>
    <col min="1027" max="1279" width="20.625" style="1347"/>
    <col min="1280" max="1280" width="1.625" style="1347" customWidth="1"/>
    <col min="1281" max="1281" width="5.625" style="1347" customWidth="1"/>
    <col min="1282" max="1282" width="30.625" style="1347" customWidth="1"/>
    <col min="1283" max="1535" width="20.625" style="1347"/>
    <col min="1536" max="1536" width="1.625" style="1347" customWidth="1"/>
    <col min="1537" max="1537" width="5.625" style="1347" customWidth="1"/>
    <col min="1538" max="1538" width="30.625" style="1347" customWidth="1"/>
    <col min="1539" max="1791" width="20.625" style="1347"/>
    <col min="1792" max="1792" width="1.625" style="1347" customWidth="1"/>
    <col min="1793" max="1793" width="5.625" style="1347" customWidth="1"/>
    <col min="1794" max="1794" width="30.625" style="1347" customWidth="1"/>
    <col min="1795" max="2047" width="20.625" style="1347"/>
    <col min="2048" max="2048" width="1.625" style="1347" customWidth="1"/>
    <col min="2049" max="2049" width="5.625" style="1347" customWidth="1"/>
    <col min="2050" max="2050" width="30.625" style="1347" customWidth="1"/>
    <col min="2051" max="2303" width="20.625" style="1347"/>
    <col min="2304" max="2304" width="1.625" style="1347" customWidth="1"/>
    <col min="2305" max="2305" width="5.625" style="1347" customWidth="1"/>
    <col min="2306" max="2306" width="30.625" style="1347" customWidth="1"/>
    <col min="2307" max="2559" width="20.625" style="1347"/>
    <col min="2560" max="2560" width="1.625" style="1347" customWidth="1"/>
    <col min="2561" max="2561" width="5.625" style="1347" customWidth="1"/>
    <col min="2562" max="2562" width="30.625" style="1347" customWidth="1"/>
    <col min="2563" max="2815" width="20.625" style="1347"/>
    <col min="2816" max="2816" width="1.625" style="1347" customWidth="1"/>
    <col min="2817" max="2817" width="5.625" style="1347" customWidth="1"/>
    <col min="2818" max="2818" width="30.625" style="1347" customWidth="1"/>
    <col min="2819" max="3071" width="20.625" style="1347"/>
    <col min="3072" max="3072" width="1.625" style="1347" customWidth="1"/>
    <col min="3073" max="3073" width="5.625" style="1347" customWidth="1"/>
    <col min="3074" max="3074" width="30.625" style="1347" customWidth="1"/>
    <col min="3075" max="3327" width="20.625" style="1347"/>
    <col min="3328" max="3328" width="1.625" style="1347" customWidth="1"/>
    <col min="3329" max="3329" width="5.625" style="1347" customWidth="1"/>
    <col min="3330" max="3330" width="30.625" style="1347" customWidth="1"/>
    <col min="3331" max="3583" width="20.625" style="1347"/>
    <col min="3584" max="3584" width="1.625" style="1347" customWidth="1"/>
    <col min="3585" max="3585" width="5.625" style="1347" customWidth="1"/>
    <col min="3586" max="3586" width="30.625" style="1347" customWidth="1"/>
    <col min="3587" max="3839" width="20.625" style="1347"/>
    <col min="3840" max="3840" width="1.625" style="1347" customWidth="1"/>
    <col min="3841" max="3841" width="5.625" style="1347" customWidth="1"/>
    <col min="3842" max="3842" width="30.625" style="1347" customWidth="1"/>
    <col min="3843" max="4095" width="20.625" style="1347"/>
    <col min="4096" max="4096" width="1.625" style="1347" customWidth="1"/>
    <col min="4097" max="4097" width="5.625" style="1347" customWidth="1"/>
    <col min="4098" max="4098" width="30.625" style="1347" customWidth="1"/>
    <col min="4099" max="4351" width="20.625" style="1347"/>
    <col min="4352" max="4352" width="1.625" style="1347" customWidth="1"/>
    <col min="4353" max="4353" width="5.625" style="1347" customWidth="1"/>
    <col min="4354" max="4354" width="30.625" style="1347" customWidth="1"/>
    <col min="4355" max="4607" width="20.625" style="1347"/>
    <col min="4608" max="4608" width="1.625" style="1347" customWidth="1"/>
    <col min="4609" max="4609" width="5.625" style="1347" customWidth="1"/>
    <col min="4610" max="4610" width="30.625" style="1347" customWidth="1"/>
    <col min="4611" max="4863" width="20.625" style="1347"/>
    <col min="4864" max="4864" width="1.625" style="1347" customWidth="1"/>
    <col min="4865" max="4865" width="5.625" style="1347" customWidth="1"/>
    <col min="4866" max="4866" width="30.625" style="1347" customWidth="1"/>
    <col min="4867" max="5119" width="20.625" style="1347"/>
    <col min="5120" max="5120" width="1.625" style="1347" customWidth="1"/>
    <col min="5121" max="5121" width="5.625" style="1347" customWidth="1"/>
    <col min="5122" max="5122" width="30.625" style="1347" customWidth="1"/>
    <col min="5123" max="5375" width="20.625" style="1347"/>
    <col min="5376" max="5376" width="1.625" style="1347" customWidth="1"/>
    <col min="5377" max="5377" width="5.625" style="1347" customWidth="1"/>
    <col min="5378" max="5378" width="30.625" style="1347" customWidth="1"/>
    <col min="5379" max="5631" width="20.625" style="1347"/>
    <col min="5632" max="5632" width="1.625" style="1347" customWidth="1"/>
    <col min="5633" max="5633" width="5.625" style="1347" customWidth="1"/>
    <col min="5634" max="5634" width="30.625" style="1347" customWidth="1"/>
    <col min="5635" max="5887" width="20.625" style="1347"/>
    <col min="5888" max="5888" width="1.625" style="1347" customWidth="1"/>
    <col min="5889" max="5889" width="5.625" style="1347" customWidth="1"/>
    <col min="5890" max="5890" width="30.625" style="1347" customWidth="1"/>
    <col min="5891" max="6143" width="20.625" style="1347"/>
    <col min="6144" max="6144" width="1.625" style="1347" customWidth="1"/>
    <col min="6145" max="6145" width="5.625" style="1347" customWidth="1"/>
    <col min="6146" max="6146" width="30.625" style="1347" customWidth="1"/>
    <col min="6147" max="6399" width="20.625" style="1347"/>
    <col min="6400" max="6400" width="1.625" style="1347" customWidth="1"/>
    <col min="6401" max="6401" width="5.625" style="1347" customWidth="1"/>
    <col min="6402" max="6402" width="30.625" style="1347" customWidth="1"/>
    <col min="6403" max="6655" width="20.625" style="1347"/>
    <col min="6656" max="6656" width="1.625" style="1347" customWidth="1"/>
    <col min="6657" max="6657" width="5.625" style="1347" customWidth="1"/>
    <col min="6658" max="6658" width="30.625" style="1347" customWidth="1"/>
    <col min="6659" max="6911" width="20.625" style="1347"/>
    <col min="6912" max="6912" width="1.625" style="1347" customWidth="1"/>
    <col min="6913" max="6913" width="5.625" style="1347" customWidth="1"/>
    <col min="6914" max="6914" width="30.625" style="1347" customWidth="1"/>
    <col min="6915" max="7167" width="20.625" style="1347"/>
    <col min="7168" max="7168" width="1.625" style="1347" customWidth="1"/>
    <col min="7169" max="7169" width="5.625" style="1347" customWidth="1"/>
    <col min="7170" max="7170" width="30.625" style="1347" customWidth="1"/>
    <col min="7171" max="7423" width="20.625" style="1347"/>
    <col min="7424" max="7424" width="1.625" style="1347" customWidth="1"/>
    <col min="7425" max="7425" width="5.625" style="1347" customWidth="1"/>
    <col min="7426" max="7426" width="30.625" style="1347" customWidth="1"/>
    <col min="7427" max="7679" width="20.625" style="1347"/>
    <col min="7680" max="7680" width="1.625" style="1347" customWidth="1"/>
    <col min="7681" max="7681" width="5.625" style="1347" customWidth="1"/>
    <col min="7682" max="7682" width="30.625" style="1347" customWidth="1"/>
    <col min="7683" max="7935" width="20.625" style="1347"/>
    <col min="7936" max="7936" width="1.625" style="1347" customWidth="1"/>
    <col min="7937" max="7937" width="5.625" style="1347" customWidth="1"/>
    <col min="7938" max="7938" width="30.625" style="1347" customWidth="1"/>
    <col min="7939" max="8191" width="20.625" style="1347"/>
    <col min="8192" max="8192" width="1.625" style="1347" customWidth="1"/>
    <col min="8193" max="8193" width="5.625" style="1347" customWidth="1"/>
    <col min="8194" max="8194" width="30.625" style="1347" customWidth="1"/>
    <col min="8195" max="8447" width="20.625" style="1347"/>
    <col min="8448" max="8448" width="1.625" style="1347" customWidth="1"/>
    <col min="8449" max="8449" width="5.625" style="1347" customWidth="1"/>
    <col min="8450" max="8450" width="30.625" style="1347" customWidth="1"/>
    <col min="8451" max="8703" width="20.625" style="1347"/>
    <col min="8704" max="8704" width="1.625" style="1347" customWidth="1"/>
    <col min="8705" max="8705" width="5.625" style="1347" customWidth="1"/>
    <col min="8706" max="8706" width="30.625" style="1347" customWidth="1"/>
    <col min="8707" max="8959" width="20.625" style="1347"/>
    <col min="8960" max="8960" width="1.625" style="1347" customWidth="1"/>
    <col min="8961" max="8961" width="5.625" style="1347" customWidth="1"/>
    <col min="8962" max="8962" width="30.625" style="1347" customWidth="1"/>
    <col min="8963" max="9215" width="20.625" style="1347"/>
    <col min="9216" max="9216" width="1.625" style="1347" customWidth="1"/>
    <col min="9217" max="9217" width="5.625" style="1347" customWidth="1"/>
    <col min="9218" max="9218" width="30.625" style="1347" customWidth="1"/>
    <col min="9219" max="9471" width="20.625" style="1347"/>
    <col min="9472" max="9472" width="1.625" style="1347" customWidth="1"/>
    <col min="9473" max="9473" width="5.625" style="1347" customWidth="1"/>
    <col min="9474" max="9474" width="30.625" style="1347" customWidth="1"/>
    <col min="9475" max="9727" width="20.625" style="1347"/>
    <col min="9728" max="9728" width="1.625" style="1347" customWidth="1"/>
    <col min="9729" max="9729" width="5.625" style="1347" customWidth="1"/>
    <col min="9730" max="9730" width="30.625" style="1347" customWidth="1"/>
    <col min="9731" max="9983" width="20.625" style="1347"/>
    <col min="9984" max="9984" width="1.625" style="1347" customWidth="1"/>
    <col min="9985" max="9985" width="5.625" style="1347" customWidth="1"/>
    <col min="9986" max="9986" width="30.625" style="1347" customWidth="1"/>
    <col min="9987" max="10239" width="20.625" style="1347"/>
    <col min="10240" max="10240" width="1.625" style="1347" customWidth="1"/>
    <col min="10241" max="10241" width="5.625" style="1347" customWidth="1"/>
    <col min="10242" max="10242" width="30.625" style="1347" customWidth="1"/>
    <col min="10243" max="10495" width="20.625" style="1347"/>
    <col min="10496" max="10496" width="1.625" style="1347" customWidth="1"/>
    <col min="10497" max="10497" width="5.625" style="1347" customWidth="1"/>
    <col min="10498" max="10498" width="30.625" style="1347" customWidth="1"/>
    <col min="10499" max="10751" width="20.625" style="1347"/>
    <col min="10752" max="10752" width="1.625" style="1347" customWidth="1"/>
    <col min="10753" max="10753" width="5.625" style="1347" customWidth="1"/>
    <col min="10754" max="10754" width="30.625" style="1347" customWidth="1"/>
    <col min="10755" max="11007" width="20.625" style="1347"/>
    <col min="11008" max="11008" width="1.625" style="1347" customWidth="1"/>
    <col min="11009" max="11009" width="5.625" style="1347" customWidth="1"/>
    <col min="11010" max="11010" width="30.625" style="1347" customWidth="1"/>
    <col min="11011" max="11263" width="20.625" style="1347"/>
    <col min="11264" max="11264" width="1.625" style="1347" customWidth="1"/>
    <col min="11265" max="11265" width="5.625" style="1347" customWidth="1"/>
    <col min="11266" max="11266" width="30.625" style="1347" customWidth="1"/>
    <col min="11267" max="11519" width="20.625" style="1347"/>
    <col min="11520" max="11520" width="1.625" style="1347" customWidth="1"/>
    <col min="11521" max="11521" width="5.625" style="1347" customWidth="1"/>
    <col min="11522" max="11522" width="30.625" style="1347" customWidth="1"/>
    <col min="11523" max="11775" width="20.625" style="1347"/>
    <col min="11776" max="11776" width="1.625" style="1347" customWidth="1"/>
    <col min="11777" max="11777" width="5.625" style="1347" customWidth="1"/>
    <col min="11778" max="11778" width="30.625" style="1347" customWidth="1"/>
    <col min="11779" max="12031" width="20.625" style="1347"/>
    <col min="12032" max="12032" width="1.625" style="1347" customWidth="1"/>
    <col min="12033" max="12033" width="5.625" style="1347" customWidth="1"/>
    <col min="12034" max="12034" width="30.625" style="1347" customWidth="1"/>
    <col min="12035" max="12287" width="20.625" style="1347"/>
    <col min="12288" max="12288" width="1.625" style="1347" customWidth="1"/>
    <col min="12289" max="12289" width="5.625" style="1347" customWidth="1"/>
    <col min="12290" max="12290" width="30.625" style="1347" customWidth="1"/>
    <col min="12291" max="12543" width="20.625" style="1347"/>
    <col min="12544" max="12544" width="1.625" style="1347" customWidth="1"/>
    <col min="12545" max="12545" width="5.625" style="1347" customWidth="1"/>
    <col min="12546" max="12546" width="30.625" style="1347" customWidth="1"/>
    <col min="12547" max="12799" width="20.625" style="1347"/>
    <col min="12800" max="12800" width="1.625" style="1347" customWidth="1"/>
    <col min="12801" max="12801" width="5.625" style="1347" customWidth="1"/>
    <col min="12802" max="12802" width="30.625" style="1347" customWidth="1"/>
    <col min="12803" max="13055" width="20.625" style="1347"/>
    <col min="13056" max="13056" width="1.625" style="1347" customWidth="1"/>
    <col min="13057" max="13057" width="5.625" style="1347" customWidth="1"/>
    <col min="13058" max="13058" width="30.625" style="1347" customWidth="1"/>
    <col min="13059" max="13311" width="20.625" style="1347"/>
    <col min="13312" max="13312" width="1.625" style="1347" customWidth="1"/>
    <col min="13313" max="13313" width="5.625" style="1347" customWidth="1"/>
    <col min="13314" max="13314" width="30.625" style="1347" customWidth="1"/>
    <col min="13315" max="13567" width="20.625" style="1347"/>
    <col min="13568" max="13568" width="1.625" style="1347" customWidth="1"/>
    <col min="13569" max="13569" width="5.625" style="1347" customWidth="1"/>
    <col min="13570" max="13570" width="30.625" style="1347" customWidth="1"/>
    <col min="13571" max="13823" width="20.625" style="1347"/>
    <col min="13824" max="13824" width="1.625" style="1347" customWidth="1"/>
    <col min="13825" max="13825" width="5.625" style="1347" customWidth="1"/>
    <col min="13826" max="13826" width="30.625" style="1347" customWidth="1"/>
    <col min="13827" max="14079" width="20.625" style="1347"/>
    <col min="14080" max="14080" width="1.625" style="1347" customWidth="1"/>
    <col min="14081" max="14081" width="5.625" style="1347" customWidth="1"/>
    <col min="14082" max="14082" width="30.625" style="1347" customWidth="1"/>
    <col min="14083" max="14335" width="20.625" style="1347"/>
    <col min="14336" max="14336" width="1.625" style="1347" customWidth="1"/>
    <col min="14337" max="14337" width="5.625" style="1347" customWidth="1"/>
    <col min="14338" max="14338" width="30.625" style="1347" customWidth="1"/>
    <col min="14339" max="14591" width="20.625" style="1347"/>
    <col min="14592" max="14592" width="1.625" style="1347" customWidth="1"/>
    <col min="14593" max="14593" width="5.625" style="1347" customWidth="1"/>
    <col min="14594" max="14594" width="30.625" style="1347" customWidth="1"/>
    <col min="14595" max="14847" width="20.625" style="1347"/>
    <col min="14848" max="14848" width="1.625" style="1347" customWidth="1"/>
    <col min="14849" max="14849" width="5.625" style="1347" customWidth="1"/>
    <col min="14850" max="14850" width="30.625" style="1347" customWidth="1"/>
    <col min="14851" max="15103" width="20.625" style="1347"/>
    <col min="15104" max="15104" width="1.625" style="1347" customWidth="1"/>
    <col min="15105" max="15105" width="5.625" style="1347" customWidth="1"/>
    <col min="15106" max="15106" width="30.625" style="1347" customWidth="1"/>
    <col min="15107" max="15359" width="20.625" style="1347"/>
    <col min="15360" max="15360" width="1.625" style="1347" customWidth="1"/>
    <col min="15361" max="15361" width="5.625" style="1347" customWidth="1"/>
    <col min="15362" max="15362" width="30.625" style="1347" customWidth="1"/>
    <col min="15363" max="15615" width="20.625" style="1347"/>
    <col min="15616" max="15616" width="1.625" style="1347" customWidth="1"/>
    <col min="15617" max="15617" width="5.625" style="1347" customWidth="1"/>
    <col min="15618" max="15618" width="30.625" style="1347" customWidth="1"/>
    <col min="15619" max="15871" width="20.625" style="1347"/>
    <col min="15872" max="15872" width="1.625" style="1347" customWidth="1"/>
    <col min="15873" max="15873" width="5.625" style="1347" customWidth="1"/>
    <col min="15874" max="15874" width="30.625" style="1347" customWidth="1"/>
    <col min="15875" max="16127" width="20.625" style="1347"/>
    <col min="16128" max="16128" width="1.625" style="1347" customWidth="1"/>
    <col min="16129" max="16129" width="5.625" style="1347" customWidth="1"/>
    <col min="16130" max="16130" width="30.625" style="1347" customWidth="1"/>
    <col min="16131" max="16384" width="20.625" style="1347"/>
  </cols>
  <sheetData>
    <row r="1" spans="1:24" ht="16.5">
      <c r="A1" s="2397" t="s">
        <v>7063</v>
      </c>
      <c r="B1" s="1857"/>
      <c r="C1" s="1857"/>
      <c r="D1" s="1857"/>
      <c r="E1" s="1857"/>
      <c r="F1" s="1857"/>
      <c r="G1" s="1857"/>
      <c r="H1" s="1857"/>
      <c r="I1" s="1857"/>
      <c r="J1" s="1857"/>
      <c r="K1" s="1857"/>
      <c r="L1" s="1857"/>
      <c r="M1" s="1857"/>
      <c r="N1" s="1857"/>
      <c r="O1" s="1857"/>
      <c r="P1" s="1857"/>
      <c r="Q1" s="1857"/>
      <c r="R1" s="1857"/>
      <c r="S1" s="1857"/>
      <c r="T1" s="1857"/>
      <c r="U1" s="1857"/>
      <c r="V1" s="1857"/>
      <c r="W1" s="1770"/>
    </row>
    <row r="2" spans="1:24" ht="16.5">
      <c r="A2" s="1503" t="s">
        <v>6698</v>
      </c>
      <c r="B2" s="1857"/>
      <c r="C2" s="1857"/>
      <c r="D2" s="1857"/>
      <c r="E2" s="1857"/>
      <c r="F2" s="1857"/>
      <c r="G2" s="1857"/>
      <c r="H2" s="1857"/>
      <c r="I2" s="1857"/>
      <c r="J2" s="1857"/>
      <c r="K2" s="1857"/>
      <c r="L2" s="1857"/>
      <c r="M2" s="1857"/>
      <c r="N2" s="1857"/>
      <c r="O2" s="1857"/>
      <c r="P2" s="1857"/>
      <c r="Q2" s="1857"/>
      <c r="R2" s="1857"/>
      <c r="W2" s="1770"/>
    </row>
    <row r="3" spans="1:24" ht="16.5">
      <c r="A3" s="1503" t="s">
        <v>6699</v>
      </c>
      <c r="B3" s="1857"/>
      <c r="C3" s="1857"/>
      <c r="D3" s="1857"/>
      <c r="E3" s="1857"/>
      <c r="F3" s="1857"/>
      <c r="G3" s="1857"/>
      <c r="H3" s="1857"/>
      <c r="I3" s="1857"/>
      <c r="J3" s="1857"/>
      <c r="K3" s="1857"/>
      <c r="L3" s="1857"/>
      <c r="M3" s="1857"/>
      <c r="N3" s="1857"/>
      <c r="O3" s="1857"/>
      <c r="P3" s="1857"/>
      <c r="Q3" s="1857"/>
      <c r="R3" s="1857"/>
      <c r="V3" s="1859"/>
      <c r="W3" s="1859" t="s">
        <v>6700</v>
      </c>
    </row>
    <row r="4" spans="1:24" ht="15.75" customHeight="1">
      <c r="A4" s="2579" t="s">
        <v>2343</v>
      </c>
      <c r="B4" s="2582" t="s">
        <v>3985</v>
      </c>
      <c r="C4" s="2584"/>
      <c r="D4" s="2582" t="s">
        <v>3841</v>
      </c>
      <c r="E4" s="2583"/>
      <c r="F4" s="2583"/>
      <c r="G4" s="2584"/>
      <c r="H4" s="2579" t="s">
        <v>3772</v>
      </c>
      <c r="I4" s="2579" t="s">
        <v>3773</v>
      </c>
      <c r="J4" s="2579" t="s">
        <v>6701</v>
      </c>
      <c r="K4" s="2579" t="s">
        <v>6702</v>
      </c>
      <c r="L4" s="2579" t="s">
        <v>6703</v>
      </c>
      <c r="M4" s="2579" t="s">
        <v>6704</v>
      </c>
      <c r="N4" s="2579" t="s">
        <v>6705</v>
      </c>
      <c r="O4" s="2579" t="s">
        <v>6706</v>
      </c>
      <c r="P4" s="2579" t="s">
        <v>3780</v>
      </c>
      <c r="Q4" s="2579" t="s">
        <v>3781</v>
      </c>
      <c r="R4" s="2579" t="s">
        <v>3782</v>
      </c>
      <c r="S4" s="2579" t="s">
        <v>3989</v>
      </c>
      <c r="T4" s="2579" t="s">
        <v>6707</v>
      </c>
      <c r="U4" s="2579" t="s">
        <v>6708</v>
      </c>
      <c r="V4" s="2579" t="s">
        <v>3787</v>
      </c>
      <c r="W4" s="2579" t="s">
        <v>2436</v>
      </c>
      <c r="X4" s="1770"/>
    </row>
    <row r="5" spans="1:24" ht="16.5">
      <c r="A5" s="2581"/>
      <c r="B5" s="2212" t="s">
        <v>3792</v>
      </c>
      <c r="C5" s="2212" t="s">
        <v>3793</v>
      </c>
      <c r="D5" s="2212" t="s">
        <v>3792</v>
      </c>
      <c r="E5" s="2212" t="s">
        <v>3793</v>
      </c>
      <c r="F5" s="2212" t="s">
        <v>6709</v>
      </c>
      <c r="G5" s="2212" t="s">
        <v>6710</v>
      </c>
      <c r="H5" s="2580"/>
      <c r="I5" s="2580"/>
      <c r="J5" s="2580"/>
      <c r="K5" s="2580"/>
      <c r="L5" s="2580"/>
      <c r="M5" s="2580"/>
      <c r="N5" s="2580"/>
      <c r="O5" s="2580"/>
      <c r="P5" s="2580"/>
      <c r="Q5" s="2580"/>
      <c r="R5" s="2580"/>
      <c r="S5" s="2580"/>
      <c r="T5" s="2580"/>
      <c r="U5" s="2580"/>
      <c r="V5" s="2580"/>
      <c r="W5" s="2580"/>
      <c r="X5" s="1770"/>
    </row>
    <row r="6" spans="1:24">
      <c r="A6" s="2580"/>
      <c r="B6" s="2038" t="s">
        <v>66</v>
      </c>
      <c r="C6" s="2038" t="s">
        <v>67</v>
      </c>
      <c r="D6" s="2038" t="s">
        <v>68</v>
      </c>
      <c r="E6" s="2038" t="s">
        <v>69</v>
      </c>
      <c r="F6" s="2038" t="s">
        <v>70</v>
      </c>
      <c r="G6" s="2038" t="s">
        <v>71</v>
      </c>
      <c r="H6" s="2038" t="s">
        <v>72</v>
      </c>
      <c r="I6" s="2038" t="s">
        <v>73</v>
      </c>
      <c r="J6" s="2038" t="s">
        <v>74</v>
      </c>
      <c r="K6" s="2038" t="s">
        <v>75</v>
      </c>
      <c r="L6" s="2038" t="s">
        <v>234</v>
      </c>
      <c r="M6" s="2038" t="s">
        <v>235</v>
      </c>
      <c r="N6" s="2038" t="s">
        <v>286</v>
      </c>
      <c r="O6" s="2038" t="s">
        <v>287</v>
      </c>
      <c r="P6" s="2038" t="s">
        <v>288</v>
      </c>
      <c r="Q6" s="2038" t="s">
        <v>289</v>
      </c>
      <c r="R6" s="2038" t="s">
        <v>290</v>
      </c>
      <c r="S6" s="2038" t="s">
        <v>138</v>
      </c>
      <c r="T6" s="2038" t="s">
        <v>139</v>
      </c>
      <c r="U6" s="2038" t="s">
        <v>140</v>
      </c>
      <c r="V6" s="2038" t="s">
        <v>141</v>
      </c>
      <c r="W6" s="2038" t="s">
        <v>142</v>
      </c>
      <c r="X6" s="1770"/>
    </row>
    <row r="7" spans="1:24">
      <c r="A7" s="2217">
        <v>1</v>
      </c>
      <c r="B7" s="2313"/>
      <c r="C7" s="2314"/>
      <c r="D7" s="2313"/>
      <c r="E7" s="2314"/>
      <c r="F7" s="2314"/>
      <c r="G7" s="2314"/>
      <c r="H7" s="2314"/>
      <c r="I7" s="2314"/>
      <c r="J7" s="2314"/>
      <c r="K7" s="2314"/>
      <c r="L7" s="2314"/>
      <c r="M7" s="2314"/>
      <c r="N7" s="2314"/>
      <c r="O7" s="2314"/>
      <c r="P7" s="2315"/>
      <c r="Q7" s="2314"/>
      <c r="R7" s="2316"/>
      <c r="S7" s="2316"/>
      <c r="T7" s="2316"/>
      <c r="U7" s="2316"/>
      <c r="V7" s="2314"/>
      <c r="W7" s="2314"/>
      <c r="X7" s="1770"/>
    </row>
    <row r="8" spans="1:24">
      <c r="A8" s="2217">
        <v>2</v>
      </c>
      <c r="B8" s="2313"/>
      <c r="C8" s="2314"/>
      <c r="D8" s="2313"/>
      <c r="E8" s="2314"/>
      <c r="F8" s="2314"/>
      <c r="G8" s="2314"/>
      <c r="H8" s="2314"/>
      <c r="I8" s="2314"/>
      <c r="J8" s="2314"/>
      <c r="K8" s="2314"/>
      <c r="L8" s="2314"/>
      <c r="M8" s="2314"/>
      <c r="N8" s="2314"/>
      <c r="O8" s="2314"/>
      <c r="P8" s="2315"/>
      <c r="Q8" s="2314"/>
      <c r="R8" s="2316"/>
      <c r="S8" s="2316"/>
      <c r="T8" s="2316"/>
      <c r="U8" s="2316"/>
      <c r="V8" s="2314"/>
      <c r="W8" s="2314"/>
      <c r="X8" s="1770"/>
    </row>
    <row r="9" spans="1:24">
      <c r="A9" s="2217">
        <v>3</v>
      </c>
      <c r="B9" s="2313"/>
      <c r="C9" s="2314"/>
      <c r="D9" s="2313"/>
      <c r="E9" s="2314"/>
      <c r="F9" s="2314"/>
      <c r="G9" s="2314"/>
      <c r="H9" s="2314"/>
      <c r="I9" s="2314"/>
      <c r="J9" s="2314"/>
      <c r="K9" s="2314"/>
      <c r="L9" s="2314"/>
      <c r="M9" s="2314"/>
      <c r="N9" s="2314"/>
      <c r="O9" s="2314"/>
      <c r="P9" s="2315"/>
      <c r="Q9" s="2314"/>
      <c r="R9" s="2316"/>
      <c r="S9" s="2316"/>
      <c r="T9" s="2316"/>
      <c r="U9" s="2316"/>
      <c r="V9" s="2314"/>
      <c r="W9" s="2314"/>
      <c r="X9" s="1770"/>
    </row>
    <row r="10" spans="1:24">
      <c r="A10" s="2217">
        <v>4</v>
      </c>
      <c r="B10" s="2313"/>
      <c r="C10" s="2314"/>
      <c r="D10" s="2313"/>
      <c r="E10" s="2314"/>
      <c r="F10" s="2314"/>
      <c r="G10" s="2314"/>
      <c r="H10" s="2314"/>
      <c r="I10" s="2314"/>
      <c r="J10" s="2314"/>
      <c r="K10" s="2314"/>
      <c r="L10" s="2314"/>
      <c r="M10" s="2314"/>
      <c r="N10" s="2314"/>
      <c r="O10" s="2314"/>
      <c r="P10" s="2315"/>
      <c r="Q10" s="2314"/>
      <c r="R10" s="2316"/>
      <c r="S10" s="2316"/>
      <c r="T10" s="2316"/>
      <c r="U10" s="2316"/>
      <c r="V10" s="2314"/>
      <c r="W10" s="2314"/>
      <c r="X10" s="1770"/>
    </row>
    <row r="11" spans="1:24">
      <c r="A11" s="2217">
        <v>5</v>
      </c>
      <c r="B11" s="2313"/>
      <c r="C11" s="2314"/>
      <c r="D11" s="2313"/>
      <c r="E11" s="2314"/>
      <c r="F11" s="2314"/>
      <c r="G11" s="2314"/>
      <c r="H11" s="2314"/>
      <c r="I11" s="2314"/>
      <c r="J11" s="2314"/>
      <c r="K11" s="2314"/>
      <c r="L11" s="2314"/>
      <c r="M11" s="2314"/>
      <c r="N11" s="2314"/>
      <c r="O11" s="2314"/>
      <c r="P11" s="2315"/>
      <c r="Q11" s="2314"/>
      <c r="R11" s="2316"/>
      <c r="S11" s="2316"/>
      <c r="T11" s="2316"/>
      <c r="U11" s="2316"/>
      <c r="V11" s="2314"/>
      <c r="W11" s="2314"/>
      <c r="X11" s="1770"/>
    </row>
    <row r="12" spans="1:24">
      <c r="A12" s="2217">
        <v>6</v>
      </c>
      <c r="B12" s="2313"/>
      <c r="C12" s="2314"/>
      <c r="D12" s="2313"/>
      <c r="E12" s="2314"/>
      <c r="F12" s="2314"/>
      <c r="G12" s="2314"/>
      <c r="H12" s="2314"/>
      <c r="I12" s="2314"/>
      <c r="J12" s="2314"/>
      <c r="K12" s="2314"/>
      <c r="L12" s="2314"/>
      <c r="M12" s="2314"/>
      <c r="N12" s="2314"/>
      <c r="O12" s="2314"/>
      <c r="P12" s="2315"/>
      <c r="Q12" s="2314"/>
      <c r="R12" s="2316"/>
      <c r="S12" s="2316"/>
      <c r="T12" s="2316"/>
      <c r="U12" s="2316"/>
      <c r="V12" s="2314"/>
      <c r="W12" s="2314"/>
      <c r="X12" s="1770"/>
    </row>
    <row r="13" spans="1:24">
      <c r="A13" s="2217">
        <v>7</v>
      </c>
      <c r="B13" s="2313"/>
      <c r="C13" s="2314"/>
      <c r="D13" s="2313"/>
      <c r="E13" s="2314"/>
      <c r="F13" s="2314"/>
      <c r="G13" s="2314"/>
      <c r="H13" s="2314"/>
      <c r="I13" s="2314"/>
      <c r="J13" s="2314"/>
      <c r="K13" s="2314"/>
      <c r="L13" s="2314"/>
      <c r="M13" s="2314"/>
      <c r="N13" s="2314"/>
      <c r="O13" s="2314"/>
      <c r="P13" s="2315"/>
      <c r="Q13" s="2314"/>
      <c r="R13" s="2316"/>
      <c r="S13" s="2316"/>
      <c r="T13" s="2316"/>
      <c r="U13" s="2316"/>
      <c r="V13" s="2314"/>
      <c r="W13" s="2314"/>
      <c r="X13" s="1770"/>
    </row>
    <row r="14" spans="1:24">
      <c r="A14" s="2217">
        <v>8</v>
      </c>
      <c r="B14" s="2313"/>
      <c r="C14" s="2314"/>
      <c r="D14" s="2313"/>
      <c r="E14" s="2314"/>
      <c r="F14" s="2314"/>
      <c r="G14" s="2314"/>
      <c r="H14" s="2314"/>
      <c r="I14" s="2314"/>
      <c r="J14" s="2314"/>
      <c r="K14" s="2314"/>
      <c r="L14" s="2314"/>
      <c r="M14" s="2314"/>
      <c r="N14" s="2314"/>
      <c r="O14" s="2314"/>
      <c r="P14" s="2315"/>
      <c r="Q14" s="2314"/>
      <c r="R14" s="2316"/>
      <c r="S14" s="2316"/>
      <c r="T14" s="2316"/>
      <c r="U14" s="2316"/>
      <c r="V14" s="2314"/>
      <c r="W14" s="2314"/>
      <c r="X14" s="1770"/>
    </row>
    <row r="15" spans="1:24">
      <c r="A15" s="2217">
        <v>9</v>
      </c>
      <c r="B15" s="2313"/>
      <c r="C15" s="2314"/>
      <c r="D15" s="2313"/>
      <c r="E15" s="2314"/>
      <c r="F15" s="2314"/>
      <c r="G15" s="2314"/>
      <c r="H15" s="2314"/>
      <c r="I15" s="2314"/>
      <c r="J15" s="2314"/>
      <c r="K15" s="2314"/>
      <c r="L15" s="2314"/>
      <c r="M15" s="2314"/>
      <c r="N15" s="2314"/>
      <c r="O15" s="2314"/>
      <c r="P15" s="2315"/>
      <c r="Q15" s="2314"/>
      <c r="R15" s="2316"/>
      <c r="S15" s="2316"/>
      <c r="T15" s="2316"/>
      <c r="U15" s="2316"/>
      <c r="V15" s="2314"/>
      <c r="W15" s="2314"/>
      <c r="X15" s="1770"/>
    </row>
    <row r="16" spans="1:24">
      <c r="A16" s="2217">
        <v>10</v>
      </c>
      <c r="B16" s="2313"/>
      <c r="C16" s="2314"/>
      <c r="D16" s="2313"/>
      <c r="E16" s="2314"/>
      <c r="F16" s="2314"/>
      <c r="G16" s="2314"/>
      <c r="H16" s="2314"/>
      <c r="I16" s="2314"/>
      <c r="J16" s="2314"/>
      <c r="K16" s="2314"/>
      <c r="L16" s="2314"/>
      <c r="M16" s="2314"/>
      <c r="N16" s="2314"/>
      <c r="O16" s="2314"/>
      <c r="P16" s="2315"/>
      <c r="Q16" s="2314"/>
      <c r="R16" s="2316"/>
      <c r="S16" s="2316"/>
      <c r="T16" s="2316"/>
      <c r="U16" s="2316"/>
      <c r="V16" s="2314"/>
      <c r="W16" s="2314"/>
      <c r="X16" s="1770"/>
    </row>
    <row r="17" spans="1:25">
      <c r="A17" s="1893"/>
      <c r="B17" s="2044"/>
      <c r="C17" s="2045"/>
      <c r="D17" s="2044"/>
      <c r="E17" s="2045"/>
      <c r="F17" s="2045"/>
      <c r="G17" s="2045"/>
      <c r="H17" s="2045"/>
      <c r="I17" s="2045"/>
      <c r="J17" s="2045"/>
      <c r="K17" s="2045"/>
      <c r="L17" s="2045"/>
      <c r="M17" s="2045"/>
      <c r="N17" s="2045"/>
      <c r="O17" s="2046"/>
      <c r="P17" s="2045"/>
      <c r="Q17" s="2047"/>
      <c r="R17" s="2047"/>
      <c r="S17" s="2045"/>
      <c r="T17" s="2045"/>
      <c r="U17" s="2045"/>
      <c r="V17" s="2045"/>
      <c r="W17" s="1770"/>
    </row>
    <row r="18" spans="1:25" ht="16.5">
      <c r="A18" s="1503" t="s">
        <v>6711</v>
      </c>
      <c r="B18" s="2044"/>
      <c r="C18" s="2045"/>
      <c r="D18" s="2044"/>
      <c r="E18" s="2045"/>
      <c r="F18" s="2045"/>
      <c r="G18" s="2045"/>
      <c r="H18" s="2045"/>
      <c r="I18" s="2045"/>
      <c r="J18" s="2045"/>
      <c r="K18" s="2045"/>
      <c r="L18" s="2045"/>
      <c r="M18" s="2045"/>
      <c r="N18" s="2045"/>
      <c r="O18" s="2046"/>
      <c r="P18" s="2045"/>
      <c r="Q18" s="2047"/>
      <c r="R18" s="2047"/>
      <c r="S18" s="2045"/>
      <c r="T18" s="2045"/>
      <c r="U18" s="2045"/>
      <c r="V18" s="2045"/>
      <c r="W18" s="1770"/>
    </row>
    <row r="19" spans="1:25" ht="15.75" customHeight="1">
      <c r="A19" s="2579" t="s">
        <v>2343</v>
      </c>
      <c r="B19" s="3088" t="s">
        <v>6712</v>
      </c>
      <c r="C19" s="3090" t="s">
        <v>6713</v>
      </c>
      <c r="D19" s="3091"/>
      <c r="E19" s="3092"/>
      <c r="F19" s="3093" t="s">
        <v>4171</v>
      </c>
      <c r="G19" s="3094"/>
      <c r="H19" s="3095"/>
      <c r="I19" s="2045"/>
      <c r="J19" s="2579" t="s">
        <v>2343</v>
      </c>
      <c r="K19" s="3096" t="s">
        <v>6714</v>
      </c>
      <c r="L19" s="3097"/>
      <c r="M19" s="3088" t="s">
        <v>6715</v>
      </c>
      <c r="N19" s="2045"/>
      <c r="O19" s="2046"/>
      <c r="P19" s="2045"/>
      <c r="Q19" s="2047"/>
      <c r="R19" s="2047"/>
      <c r="S19" s="2045"/>
      <c r="T19" s="2045"/>
      <c r="U19" s="2045"/>
      <c r="V19" s="2045"/>
      <c r="W19" s="1770"/>
    </row>
    <row r="20" spans="1:25" ht="33">
      <c r="A20" s="2581"/>
      <c r="B20" s="3089"/>
      <c r="C20" s="2317" t="s">
        <v>6716</v>
      </c>
      <c r="D20" s="2317" t="s">
        <v>6717</v>
      </c>
      <c r="E20" s="2317" t="s">
        <v>6718</v>
      </c>
      <c r="F20" s="2317" t="s">
        <v>6716</v>
      </c>
      <c r="G20" s="2317" t="s">
        <v>6717</v>
      </c>
      <c r="H20" s="2317" t="s">
        <v>6718</v>
      </c>
      <c r="I20" s="2045"/>
      <c r="J20" s="2581"/>
      <c r="K20" s="3098"/>
      <c r="L20" s="3099"/>
      <c r="M20" s="3089"/>
      <c r="N20" s="2045"/>
      <c r="P20" s="2045"/>
      <c r="Q20" s="2046"/>
      <c r="R20" s="2045"/>
      <c r="S20" s="2047"/>
      <c r="T20" s="2047"/>
      <c r="U20" s="2047"/>
      <c r="V20" s="2047"/>
      <c r="W20" s="2045"/>
      <c r="X20" s="2045"/>
      <c r="Y20" s="1770"/>
    </row>
    <row r="21" spans="1:25">
      <c r="A21" s="2580"/>
      <c r="B21" s="2038" t="s">
        <v>210</v>
      </c>
      <c r="C21" s="2038" t="s">
        <v>254</v>
      </c>
      <c r="D21" s="2038" t="s">
        <v>255</v>
      </c>
      <c r="E21" s="2038" t="s">
        <v>256</v>
      </c>
      <c r="F21" s="2038" t="s">
        <v>257</v>
      </c>
      <c r="G21" s="2038" t="s">
        <v>258</v>
      </c>
      <c r="H21" s="2038" t="s">
        <v>259</v>
      </c>
      <c r="I21" s="2045"/>
      <c r="J21" s="2580"/>
      <c r="K21" s="3100" t="s">
        <v>4172</v>
      </c>
      <c r="L21" s="3101"/>
      <c r="M21" s="2038" t="s">
        <v>3997</v>
      </c>
      <c r="N21" s="2045"/>
      <c r="P21" s="2045"/>
      <c r="Q21" s="2046"/>
      <c r="R21" s="2045"/>
      <c r="S21" s="2047"/>
      <c r="T21" s="2047"/>
      <c r="U21" s="2047"/>
      <c r="V21" s="2047"/>
      <c r="W21" s="2045"/>
      <c r="X21" s="2045"/>
      <c r="Y21" s="1770"/>
    </row>
    <row r="22" spans="1:25" ht="16.5">
      <c r="A22" s="2217">
        <v>1</v>
      </c>
      <c r="B22" s="2040" t="s">
        <v>3870</v>
      </c>
      <c r="C22" s="2318">
        <f t="shared" ref="C22:H22" si="0">C23++C28</f>
        <v>0</v>
      </c>
      <c r="D22" s="2318">
        <f t="shared" si="0"/>
        <v>0</v>
      </c>
      <c r="E22" s="2318">
        <f t="shared" si="0"/>
        <v>0</v>
      </c>
      <c r="F22" s="2318">
        <f>F23++F28</f>
        <v>0</v>
      </c>
      <c r="G22" s="2318">
        <f t="shared" si="0"/>
        <v>0</v>
      </c>
      <c r="H22" s="2318">
        <f t="shared" si="0"/>
        <v>0</v>
      </c>
      <c r="I22" s="2045"/>
      <c r="J22" s="2039">
        <f>A37+1</f>
        <v>17</v>
      </c>
      <c r="K22" s="3083" t="s">
        <v>6719</v>
      </c>
      <c r="L22" s="2040" t="s">
        <v>6720</v>
      </c>
      <c r="M22" s="2319">
        <f>SUM(C24:E24,C29:E29,C34:E34)</f>
        <v>0</v>
      </c>
      <c r="N22" s="2045"/>
      <c r="O22" s="2045"/>
      <c r="P22" s="2045"/>
      <c r="Q22" s="2046"/>
      <c r="R22" s="2045"/>
      <c r="S22" s="2047"/>
      <c r="T22" s="2047"/>
      <c r="U22" s="2047"/>
      <c r="V22" s="2047"/>
      <c r="W22" s="2045"/>
      <c r="X22" s="2045"/>
      <c r="Y22" s="1770"/>
    </row>
    <row r="23" spans="1:25" ht="16.5">
      <c r="A23" s="2217">
        <f>A22+1</f>
        <v>2</v>
      </c>
      <c r="B23" s="2320" t="s">
        <v>3916</v>
      </c>
      <c r="C23" s="2318">
        <f t="shared" ref="C23:H23" si="1">C24+C25</f>
        <v>0</v>
      </c>
      <c r="D23" s="2318">
        <f t="shared" si="1"/>
        <v>0</v>
      </c>
      <c r="E23" s="2318">
        <f t="shared" si="1"/>
        <v>0</v>
      </c>
      <c r="F23" s="2318">
        <f t="shared" si="1"/>
        <v>0</v>
      </c>
      <c r="G23" s="2318">
        <f t="shared" si="1"/>
        <v>0</v>
      </c>
      <c r="H23" s="2318">
        <f t="shared" si="1"/>
        <v>0</v>
      </c>
      <c r="I23" s="2045"/>
      <c r="J23" s="2039">
        <f t="shared" ref="J23:J28" si="2">J22+1</f>
        <v>18</v>
      </c>
      <c r="K23" s="3084"/>
      <c r="L23" s="2040" t="s">
        <v>4036</v>
      </c>
      <c r="M23" s="2321">
        <f>M24+M25</f>
        <v>0</v>
      </c>
      <c r="N23" s="2045"/>
      <c r="O23" s="2045"/>
      <c r="P23" s="2045"/>
      <c r="Q23" s="2046"/>
      <c r="R23" s="2045"/>
      <c r="S23" s="2047"/>
      <c r="T23" s="2047"/>
      <c r="U23" s="2047"/>
      <c r="V23" s="2047"/>
      <c r="W23" s="2045"/>
      <c r="X23" s="2045"/>
      <c r="Y23" s="1770"/>
    </row>
    <row r="24" spans="1:25" ht="33" customHeight="1">
      <c r="A24" s="2217">
        <f t="shared" ref="A24:A36" si="3">A23+1</f>
        <v>3</v>
      </c>
      <c r="B24" s="2322" t="s">
        <v>6720</v>
      </c>
      <c r="C24" s="2323">
        <f>SUMPRODUCT(($F$7:$F$16="C")*1,($J$7:$J$16="A")*1,($K$7:$K$16="Y")*1,$S$7:$S$16,$T$7:$T$16,$U$7:$U$16)</f>
        <v>0</v>
      </c>
      <c r="D24" s="2323">
        <f>SUMPRODUCT(($F$7:$F$16="C")*1,($J$7:$J$16="B1")*1,($K$7:$K$16="Y")*1,$S$7:$S$16,$T$7:$T$16,$U$7:$U$16)</f>
        <v>0</v>
      </c>
      <c r="E24" s="2323">
        <f>SUMPRODUCT(($F$7:$F$16="C")*1,($J$7:$J$16="B2")*1,($K$7:$K$16="Y")*1,$S$7:$S$16,$T$7:$T$16,$U$7:$U$16)</f>
        <v>0</v>
      </c>
      <c r="F24" s="2323">
        <f>C24</f>
        <v>0</v>
      </c>
      <c r="G24" s="2323">
        <f>D24</f>
        <v>0</v>
      </c>
      <c r="H24" s="2323">
        <f>E24</f>
        <v>0</v>
      </c>
      <c r="I24" s="2045"/>
      <c r="J24" s="2039">
        <f t="shared" si="2"/>
        <v>19</v>
      </c>
      <c r="K24" s="3084"/>
      <c r="L24" s="2320" t="s">
        <v>6721</v>
      </c>
      <c r="M24" s="2319">
        <f>SUM(C26:E26,C31:E31,C36:E36)</f>
        <v>0</v>
      </c>
      <c r="N24" s="2045"/>
      <c r="O24" s="2045"/>
      <c r="P24" s="2045"/>
      <c r="Q24" s="2046"/>
      <c r="R24" s="2045"/>
      <c r="S24" s="2047"/>
      <c r="T24" s="2047"/>
      <c r="U24" s="2047"/>
      <c r="V24" s="2047"/>
      <c r="W24" s="2045"/>
      <c r="X24" s="2045"/>
      <c r="Y24" s="1770"/>
    </row>
    <row r="25" spans="1:25" ht="33" customHeight="1">
      <c r="A25" s="2217">
        <f t="shared" si="3"/>
        <v>4</v>
      </c>
      <c r="B25" s="2322" t="s">
        <v>4036</v>
      </c>
      <c r="C25" s="2318">
        <f t="shared" ref="C25:H25" si="4">C26+C27</f>
        <v>0</v>
      </c>
      <c r="D25" s="2318">
        <f t="shared" si="4"/>
        <v>0</v>
      </c>
      <c r="E25" s="2318">
        <f t="shared" si="4"/>
        <v>0</v>
      </c>
      <c r="F25" s="2318">
        <f t="shared" si="4"/>
        <v>0</v>
      </c>
      <c r="G25" s="2318">
        <f t="shared" si="4"/>
        <v>0</v>
      </c>
      <c r="H25" s="2318">
        <f t="shared" si="4"/>
        <v>0</v>
      </c>
      <c r="I25" s="2045"/>
      <c r="J25" s="2039">
        <f t="shared" si="2"/>
        <v>20</v>
      </c>
      <c r="K25" s="3085"/>
      <c r="L25" s="2320" t="s">
        <v>6722</v>
      </c>
      <c r="M25" s="2319">
        <f>SUM(C27:E27,C32:E32,C37:E37)</f>
        <v>0</v>
      </c>
      <c r="N25" s="2045"/>
      <c r="O25" s="2045"/>
      <c r="P25" s="2045"/>
      <c r="Q25" s="2046"/>
      <c r="R25" s="2045"/>
      <c r="S25" s="2047"/>
      <c r="T25" s="2047"/>
      <c r="U25" s="2047"/>
      <c r="V25" s="2047"/>
      <c r="W25" s="2045"/>
      <c r="X25" s="2045"/>
      <c r="Y25" s="1770"/>
    </row>
    <row r="26" spans="1:25" ht="33" customHeight="1">
      <c r="A26" s="2217">
        <f t="shared" si="3"/>
        <v>5</v>
      </c>
      <c r="B26" s="2324" t="s">
        <v>6723</v>
      </c>
      <c r="C26" s="2323">
        <f>SUMPRODUCT(($F$7:$F$16="C")*1,($J$7:$J$16="A")*1,($K$7:$K$16="N")*1,($L$7:$L$16="Y")*1,$S$7:$S$16,$T$7:$T$16,$U$7:$U$16)</f>
        <v>0</v>
      </c>
      <c r="D26" s="2323">
        <f>SUMPRODUCT(($F$7:$F$16="C")*1,($J$7:$J$16="B1")*1,($K$7:$K$16="N")*1,($L$7:$L$16="Y")*1,$S$7:$S$16,$T$7:$T$16,$U$7:$U$16)</f>
        <v>0</v>
      </c>
      <c r="E26" s="2323">
        <f>SUMPRODUCT(($F$7:$F$16="C")*1,($J$7:$J$16="B2")*1,($K$7:$K$16="N")*1,($L$7:$L$16="Y")*1,$S$7:$S$16,$T$7:$T$16,$U$7:$U$16)</f>
        <v>0</v>
      </c>
      <c r="F26" s="2323">
        <f t="shared" ref="F26:H27" si="5">IF($M$23=0,0,C26/$M$23*$M$28)</f>
        <v>0</v>
      </c>
      <c r="G26" s="2323">
        <f t="shared" si="5"/>
        <v>0</v>
      </c>
      <c r="H26" s="2323">
        <f t="shared" si="5"/>
        <v>0</v>
      </c>
      <c r="I26" s="2045"/>
      <c r="J26" s="2039">
        <f t="shared" si="2"/>
        <v>21</v>
      </c>
      <c r="K26" s="3086" t="s">
        <v>6724</v>
      </c>
      <c r="L26" s="3087"/>
      <c r="M26" s="2040">
        <f>表03!O96*10%</f>
        <v>0</v>
      </c>
      <c r="N26" s="2045"/>
      <c r="O26" s="2045"/>
      <c r="P26" s="2045"/>
      <c r="Q26" s="2046"/>
      <c r="R26" s="2045"/>
      <c r="S26" s="2047"/>
      <c r="T26" s="2047"/>
      <c r="U26" s="2047"/>
      <c r="V26" s="2047"/>
      <c r="W26" s="2045"/>
      <c r="X26" s="2045"/>
      <c r="Y26" s="1770"/>
    </row>
    <row r="27" spans="1:25" ht="33">
      <c r="A27" s="2217">
        <f t="shared" si="3"/>
        <v>6</v>
      </c>
      <c r="B27" s="2324" t="s">
        <v>6725</v>
      </c>
      <c r="C27" s="2323">
        <f>SUMPRODUCT(($F$7:$F$16="C")*1,($J$7:$J$16="A")*1,($K$7:$K$16="N")*1,($L$7:$L$16="N")*1,$S$7:$S$16,$T$7:$T$16,$U$7:$U$16)</f>
        <v>0</v>
      </c>
      <c r="D27" s="2323">
        <f>SUMPRODUCT(($F$7:$F$16="C")*1,($J$7:$J$16="B1")*1,($K$7:$K$16="N")*1,($L$7:$L$16="N")*1,$S$7:$S$16,$T$7:$T$16,$U$7:$U$16)</f>
        <v>0</v>
      </c>
      <c r="E27" s="2323">
        <f>SUMPRODUCT(($F$7:$F$16="C")*1,($J$7:$J$16="B2")*1,($K$7:$K$16="N")*1,($L$7:$L$16="N")*1,$S$7:$S$16,$T$7:$T$16,$U$7:$U$16)</f>
        <v>0</v>
      </c>
      <c r="F27" s="2323">
        <f t="shared" si="5"/>
        <v>0</v>
      </c>
      <c r="G27" s="2323">
        <f t="shared" si="5"/>
        <v>0</v>
      </c>
      <c r="H27" s="2323">
        <f t="shared" si="5"/>
        <v>0</v>
      </c>
      <c r="I27" s="2045"/>
      <c r="J27" s="2039">
        <f t="shared" si="2"/>
        <v>22</v>
      </c>
      <c r="K27" s="3086" t="s">
        <v>6726</v>
      </c>
      <c r="L27" s="3087"/>
      <c r="M27" s="2319">
        <f>M22</f>
        <v>0</v>
      </c>
      <c r="N27" s="2045"/>
      <c r="O27" s="2045"/>
      <c r="P27" s="2045"/>
      <c r="Q27" s="2046"/>
      <c r="R27" s="2045"/>
      <c r="S27" s="2047"/>
      <c r="T27" s="2047"/>
      <c r="U27" s="2047"/>
      <c r="V27" s="2047"/>
      <c r="W27" s="2045"/>
      <c r="X27" s="2045"/>
      <c r="Y27" s="1770"/>
    </row>
    <row r="28" spans="1:25" ht="16.5" customHeight="1">
      <c r="A28" s="2217">
        <f t="shared" si="3"/>
        <v>7</v>
      </c>
      <c r="B28" s="2320" t="s">
        <v>3925</v>
      </c>
      <c r="C28" s="2318">
        <f t="shared" ref="C28:H28" si="6">C29+C30</f>
        <v>0</v>
      </c>
      <c r="D28" s="2318">
        <f t="shared" si="6"/>
        <v>0</v>
      </c>
      <c r="E28" s="2318">
        <f t="shared" si="6"/>
        <v>0</v>
      </c>
      <c r="F28" s="2318">
        <f t="shared" si="6"/>
        <v>0</v>
      </c>
      <c r="G28" s="2318">
        <f t="shared" si="6"/>
        <v>0</v>
      </c>
      <c r="H28" s="2318">
        <f t="shared" si="6"/>
        <v>0</v>
      </c>
      <c r="I28" s="2045"/>
      <c r="J28" s="2039">
        <f t="shared" si="2"/>
        <v>23</v>
      </c>
      <c r="K28" s="3086" t="s">
        <v>6727</v>
      </c>
      <c r="L28" s="3087"/>
      <c r="M28" s="2319">
        <f>IF(M25=0,0,
IF(M25&gt;0,MAX(M23-M26,0)))</f>
        <v>0</v>
      </c>
      <c r="N28" s="2045"/>
      <c r="O28" s="2045"/>
      <c r="P28" s="2045"/>
      <c r="Q28" s="2046"/>
      <c r="R28" s="2045"/>
      <c r="S28" s="2047"/>
      <c r="T28" s="2047"/>
      <c r="U28" s="2047"/>
      <c r="V28" s="2047"/>
      <c r="W28" s="2045"/>
      <c r="X28" s="2045"/>
      <c r="Y28" s="1770"/>
    </row>
    <row r="29" spans="1:25" ht="16.5">
      <c r="A29" s="2217">
        <f t="shared" si="3"/>
        <v>8</v>
      </c>
      <c r="B29" s="2322" t="s">
        <v>6720</v>
      </c>
      <c r="C29" s="2323">
        <f>SUMPRODUCT(($F$7:$F$16="B")*1,($J$7:$J$16="A")*1,($K$7:$K$16="Y")*1,$S$7:$S$16,$T$7:$T$16,$U$7:$U$16)</f>
        <v>0</v>
      </c>
      <c r="D29" s="2323">
        <f>SUMPRODUCT(($F$7:$F$16="B")*1,($J$7:$J$16="B1")*1,($K$7:$K$16="Y")*1,$S$7:$S$16,$T$7:$T$16,$U$7:$U$16)</f>
        <v>0</v>
      </c>
      <c r="E29" s="2323">
        <f>SUMPRODUCT(($F$7:$F$16="B")*1,($J$7:$J$16="B2")*1,($K$7:$K$16="Y")*1,$S$7:$S$16,$T$7:$T$16,$U$7:$U$16)</f>
        <v>0</v>
      </c>
      <c r="F29" s="2323">
        <f>C29</f>
        <v>0</v>
      </c>
      <c r="G29" s="2323">
        <f>D29</f>
        <v>0</v>
      </c>
      <c r="H29" s="2323">
        <f>E29</f>
        <v>0</v>
      </c>
      <c r="I29" s="2045"/>
      <c r="J29" s="2045"/>
      <c r="K29" s="2045"/>
      <c r="L29" s="2045"/>
      <c r="M29" s="2046"/>
      <c r="N29" s="2045"/>
      <c r="O29" s="2047"/>
      <c r="P29" s="2047"/>
      <c r="Q29" s="2045"/>
      <c r="R29" s="2045"/>
      <c r="S29" s="1770"/>
      <c r="T29" s="1770"/>
      <c r="U29" s="1770"/>
    </row>
    <row r="30" spans="1:25" ht="16.5">
      <c r="A30" s="2217">
        <f t="shared" si="3"/>
        <v>9</v>
      </c>
      <c r="B30" s="2322" t="s">
        <v>4036</v>
      </c>
      <c r="C30" s="2318">
        <f t="shared" ref="C30:H30" si="7">C31+C32</f>
        <v>0</v>
      </c>
      <c r="D30" s="2318">
        <f t="shared" si="7"/>
        <v>0</v>
      </c>
      <c r="E30" s="2318">
        <f t="shared" si="7"/>
        <v>0</v>
      </c>
      <c r="F30" s="2318">
        <f t="shared" si="7"/>
        <v>0</v>
      </c>
      <c r="G30" s="2318">
        <f t="shared" si="7"/>
        <v>0</v>
      </c>
      <c r="H30" s="2318">
        <f t="shared" si="7"/>
        <v>0</v>
      </c>
      <c r="I30" s="2045"/>
      <c r="N30" s="2045"/>
      <c r="O30" s="2045"/>
      <c r="P30" s="2045"/>
      <c r="Q30" s="2046"/>
      <c r="R30" s="2045"/>
      <c r="S30" s="2047"/>
      <c r="T30" s="2047"/>
      <c r="U30" s="2047"/>
      <c r="V30" s="2047"/>
      <c r="W30" s="2045"/>
      <c r="X30" s="2045"/>
      <c r="Y30" s="1770"/>
    </row>
    <row r="31" spans="1:25" ht="33">
      <c r="A31" s="2217">
        <f t="shared" si="3"/>
        <v>10</v>
      </c>
      <c r="B31" s="2324" t="s">
        <v>6723</v>
      </c>
      <c r="C31" s="2323">
        <f>SUMPRODUCT(($F$7:$F$16="B")*1,($J$7:$J$16="A")*1,($K$7:$K$16="N")*1,($L$7:$L$16="Y")*1,$S$7:$S$16,$T$7:$T$16,$U$7:$U$16)</f>
        <v>0</v>
      </c>
      <c r="D31" s="2323">
        <f>SUMPRODUCT(($F$7:$F$16="B")*1,($J$7:$J$16="B1")*1,($K$7:$K$16="N")*1,($L$7:$L$16="Y")*1,$S$7:$S$16,$T$7:$T$16,$U$7:$U$16)</f>
        <v>0</v>
      </c>
      <c r="E31" s="2323">
        <f>SUMPRODUCT(($F$7:$F$16="B")*1,($J$7:$J$16="B2")*1,($K$7:$K$16="N")*1,($L$7:$L$16="Y")*1,$S$7:$S$16,$T$7:$T$16,$U$7:$U$16)</f>
        <v>0</v>
      </c>
      <c r="F31" s="2323">
        <f t="shared" ref="F31:H32" si="8">IF($M$23=0,0,C31/$M$23*$M$28)</f>
        <v>0</v>
      </c>
      <c r="G31" s="2323">
        <f t="shared" si="8"/>
        <v>0</v>
      </c>
      <c r="H31" s="2323">
        <f t="shared" si="8"/>
        <v>0</v>
      </c>
      <c r="I31" s="2045"/>
      <c r="J31" s="2045"/>
      <c r="K31" s="2045"/>
      <c r="L31" s="2045"/>
      <c r="M31" s="2045"/>
      <c r="N31" s="2045"/>
      <c r="O31" s="2045"/>
      <c r="P31" s="2045"/>
      <c r="Q31" s="2046"/>
      <c r="R31" s="2045"/>
      <c r="S31" s="2047"/>
      <c r="T31" s="2047"/>
      <c r="U31" s="2047"/>
      <c r="V31" s="2047"/>
      <c r="W31" s="2045"/>
      <c r="X31" s="2045"/>
      <c r="Y31" s="1770"/>
    </row>
    <row r="32" spans="1:25" ht="33">
      <c r="A32" s="2217">
        <f t="shared" si="3"/>
        <v>11</v>
      </c>
      <c r="B32" s="2324" t="s">
        <v>6725</v>
      </c>
      <c r="C32" s="2323">
        <f>SUMPRODUCT(($F$7:$F$16="B")*1,($J$7:$J$16="A")*1,($K$7:$K$16="N")*1,($L$7:$L$16="N")*1,$S$7:$S$16,$T$7:$T$16,$U$7:$U$16)</f>
        <v>0</v>
      </c>
      <c r="D32" s="2323">
        <f>SUMPRODUCT(($F$7:$F$16="B")*1,($J$7:$J$16="B1")*1,($K$7:$K$16="N")*1,($L$7:$L$16="N")*1,$S$7:$S$16,$T$7:$T$16,$U$7:$U$16)</f>
        <v>0</v>
      </c>
      <c r="E32" s="2323">
        <f>SUMPRODUCT(($F$7:$F$16="B")*1,($J$7:$J$16="B2")*1,($K$7:$K$16="N")*1,($L$7:$L$16="N")*1,$S$7:$S$16,$T$7:$T$16,$U$7:$U$16)</f>
        <v>0</v>
      </c>
      <c r="F32" s="2323">
        <f t="shared" si="8"/>
        <v>0</v>
      </c>
      <c r="G32" s="2323">
        <f t="shared" si="8"/>
        <v>0</v>
      </c>
      <c r="H32" s="2323">
        <f t="shared" si="8"/>
        <v>0</v>
      </c>
      <c r="I32" s="2045"/>
      <c r="J32" s="2045"/>
      <c r="K32" s="2045"/>
      <c r="L32" s="2045"/>
      <c r="M32" s="2045"/>
      <c r="N32" s="2045"/>
      <c r="O32" s="2045"/>
      <c r="P32" s="2045"/>
      <c r="Q32" s="2046"/>
      <c r="R32" s="2045"/>
      <c r="S32" s="2047"/>
      <c r="T32" s="2047"/>
      <c r="U32" s="2047"/>
      <c r="V32" s="2047"/>
      <c r="W32" s="2045"/>
      <c r="X32" s="2045"/>
      <c r="Y32" s="1770"/>
    </row>
    <row r="33" spans="1:25" ht="16.5">
      <c r="A33" s="2217">
        <f t="shared" si="3"/>
        <v>12</v>
      </c>
      <c r="B33" s="2040" t="s">
        <v>3871</v>
      </c>
      <c r="C33" s="2318">
        <f t="shared" ref="C33:H33" si="9">C34+C35</f>
        <v>0</v>
      </c>
      <c r="D33" s="2318">
        <f t="shared" si="9"/>
        <v>0</v>
      </c>
      <c r="E33" s="2318">
        <f t="shared" si="9"/>
        <v>0</v>
      </c>
      <c r="F33" s="2318">
        <f t="shared" si="9"/>
        <v>0</v>
      </c>
      <c r="G33" s="2318">
        <f t="shared" si="9"/>
        <v>0</v>
      </c>
      <c r="H33" s="2318">
        <f t="shared" si="9"/>
        <v>0</v>
      </c>
      <c r="I33" s="2045"/>
      <c r="J33" s="2045"/>
      <c r="K33" s="2045"/>
      <c r="L33" s="2045"/>
      <c r="M33" s="2045"/>
      <c r="N33" s="2045"/>
      <c r="O33" s="2045"/>
      <c r="P33" s="2045"/>
      <c r="Q33" s="2046"/>
      <c r="R33" s="2045"/>
      <c r="S33" s="2047"/>
      <c r="T33" s="2047"/>
      <c r="U33" s="2047"/>
      <c r="V33" s="2047"/>
      <c r="W33" s="2045"/>
      <c r="X33" s="2045"/>
      <c r="Y33" s="1770"/>
    </row>
    <row r="34" spans="1:25" ht="16.5">
      <c r="A34" s="2217">
        <f t="shared" si="3"/>
        <v>13</v>
      </c>
      <c r="B34" s="2320" t="s">
        <v>6720</v>
      </c>
      <c r="C34" s="2323">
        <f>SUMPRODUCT(($F$7:$F$16="A")*1,($J$7:$J$16="A")*1,($K$7:$K$16="Y")*1,$S$7:$S$16,$T$7:$T$16,$U$7:$U$16)</f>
        <v>0</v>
      </c>
      <c r="D34" s="2323">
        <f>SUMPRODUCT(($F$7:$F$16="A")*1,($J$7:$J$16="B1")*1,($K$7:$K$16="Y")*1,$S$7:$S$16,$T$7:$T$16,$U$7:$U$16)</f>
        <v>0</v>
      </c>
      <c r="E34" s="2323">
        <f>SUMPRODUCT(($F$7:$F$16="A")*1,($J$7:$J$16="B2")*1,($K$7:$K$16="Y")*1,$S$7:$S$16,$T$7:$T$16,$U$7:$U$16)</f>
        <v>0</v>
      </c>
      <c r="F34" s="2323">
        <f>C34</f>
        <v>0</v>
      </c>
      <c r="G34" s="2323">
        <f>D34</f>
        <v>0</v>
      </c>
      <c r="H34" s="2323">
        <f>E34</f>
        <v>0</v>
      </c>
      <c r="I34" s="2045"/>
      <c r="J34" s="2045"/>
      <c r="K34" s="2045"/>
      <c r="L34" s="2045"/>
      <c r="M34" s="2045"/>
      <c r="N34" s="2045"/>
      <c r="O34" s="2045"/>
      <c r="P34" s="2045"/>
      <c r="Q34" s="2046"/>
      <c r="R34" s="2045"/>
      <c r="S34" s="2047"/>
      <c r="T34" s="2047"/>
      <c r="U34" s="2047"/>
      <c r="V34" s="2047"/>
      <c r="W34" s="2045"/>
      <c r="X34" s="2045"/>
      <c r="Y34" s="1770"/>
    </row>
    <row r="35" spans="1:25" ht="16.5">
      <c r="A35" s="2217">
        <f t="shared" si="3"/>
        <v>14</v>
      </c>
      <c r="B35" s="2320" t="s">
        <v>4036</v>
      </c>
      <c r="C35" s="2318">
        <f t="shared" ref="C35:H35" si="10">C36+C37</f>
        <v>0</v>
      </c>
      <c r="D35" s="2318">
        <f t="shared" si="10"/>
        <v>0</v>
      </c>
      <c r="E35" s="2318">
        <f>E36+E37</f>
        <v>0</v>
      </c>
      <c r="F35" s="2318">
        <f t="shared" si="10"/>
        <v>0</v>
      </c>
      <c r="G35" s="2318">
        <f t="shared" si="10"/>
        <v>0</v>
      </c>
      <c r="H35" s="2318">
        <f t="shared" si="10"/>
        <v>0</v>
      </c>
      <c r="I35" s="2045"/>
      <c r="J35" s="2045"/>
      <c r="K35" s="2045"/>
      <c r="L35" s="2045"/>
      <c r="M35" s="2045"/>
      <c r="N35" s="2045"/>
      <c r="O35" s="2045"/>
      <c r="P35" s="2045"/>
      <c r="Q35" s="2046"/>
      <c r="R35" s="2045"/>
      <c r="S35" s="2047"/>
      <c r="T35" s="2047"/>
      <c r="U35" s="2047"/>
      <c r="V35" s="2047"/>
      <c r="W35" s="2045"/>
      <c r="X35" s="2045"/>
      <c r="Y35" s="1770"/>
    </row>
    <row r="36" spans="1:25" ht="16.5">
      <c r="A36" s="2217">
        <f t="shared" si="3"/>
        <v>15</v>
      </c>
      <c r="B36" s="2322" t="s">
        <v>6723</v>
      </c>
      <c r="C36" s="2323">
        <f>SUMPRODUCT(($F$7:$F$16="A")*1,($J$7:$J$16="A")*1,($K$7:$K$16="N")*1,($L$7:$L$16="Y")*1,$S$7:$S$16,$T$7:$T$16,$U$7:$U$16)</f>
        <v>0</v>
      </c>
      <c r="D36" s="2323">
        <f>SUMPRODUCT(($F$7:$F$16="A")*1,($J$7:$J$16="B1")*1,($K$7:$K$16="N")*1,($L$7:$L$16="Y")*1,$S$7:$S$16,$T$7:$T$16,$U$7:$U$16)</f>
        <v>0</v>
      </c>
      <c r="E36" s="2323">
        <f>SUMPRODUCT(($F$7:$F$16="A")*1,($J$7:$J$16="B2")*1,($K$7:$K$16="N")*1,($L$7:$L$16="Y")*1,$S$7:$S$16,$T$7:$T$16,$U$7:$U$16)</f>
        <v>0</v>
      </c>
      <c r="F36" s="2323">
        <f t="shared" ref="F36:H37" si="11">IF($M$23=0,0,C36/$M$23*$M$28)</f>
        <v>0</v>
      </c>
      <c r="G36" s="2323">
        <f t="shared" si="11"/>
        <v>0</v>
      </c>
      <c r="H36" s="2323">
        <f t="shared" si="11"/>
        <v>0</v>
      </c>
      <c r="I36" s="2045"/>
      <c r="J36" s="2045"/>
      <c r="K36" s="2045"/>
      <c r="L36" s="2045"/>
      <c r="M36" s="2045"/>
      <c r="N36" s="2045"/>
      <c r="O36" s="2045"/>
      <c r="P36" s="2045"/>
      <c r="Q36" s="2046"/>
      <c r="R36" s="2045"/>
      <c r="S36" s="2047"/>
      <c r="T36" s="2047"/>
      <c r="U36" s="2047"/>
      <c r="V36" s="2047"/>
      <c r="W36" s="2045"/>
      <c r="X36" s="2045"/>
      <c r="Y36" s="1770"/>
    </row>
    <row r="37" spans="1:25" ht="16.5">
      <c r="A37" s="2217">
        <f>A36+1</f>
        <v>16</v>
      </c>
      <c r="B37" s="2322" t="s">
        <v>6725</v>
      </c>
      <c r="C37" s="2323">
        <f>SUMPRODUCT(($F$7:$F$16="A")*1,($J$7:$J$16="A")*1,($K$7:$K$16="N")*1,($L$7:$L$16="N")*1,$S$7:$S$16,$T$7:$T$16,$U$7:$U$16)</f>
        <v>0</v>
      </c>
      <c r="D37" s="2323">
        <f>SUMPRODUCT(($F$7:$F$16="A")*1,($J$7:$J$16="B1")*1,($K$7:$K$16="N")*1,($L$7:$L$16="N")*1,$S$7:$S$16,$T$7:$T$16,$U$7:$U$16)</f>
        <v>0</v>
      </c>
      <c r="E37" s="2323">
        <f>SUMPRODUCT(($F$7:$F$16="A")*1,($J$7:$J$16="B2")*1,($K$7:$K$16="N")*1,($L$7:$L$16="N")*1,$S$7:$S$16,$T$7:$T$16,$U$7:$U$16)</f>
        <v>0</v>
      </c>
      <c r="F37" s="2323">
        <f t="shared" si="11"/>
        <v>0</v>
      </c>
      <c r="G37" s="2323">
        <f t="shared" si="11"/>
        <v>0</v>
      </c>
      <c r="H37" s="2323">
        <f t="shared" si="11"/>
        <v>0</v>
      </c>
      <c r="I37" s="2045"/>
      <c r="J37" s="2045"/>
      <c r="K37" s="2045"/>
      <c r="L37" s="2045"/>
      <c r="M37" s="2045"/>
      <c r="N37" s="2045"/>
      <c r="O37" s="2045"/>
      <c r="P37" s="2045"/>
      <c r="Q37" s="2046"/>
      <c r="R37" s="2045"/>
      <c r="S37" s="2047"/>
      <c r="T37" s="2047"/>
      <c r="U37" s="2047"/>
      <c r="V37" s="2047"/>
      <c r="W37" s="2045"/>
      <c r="X37" s="2045"/>
      <c r="Y37" s="1770"/>
    </row>
    <row r="38" spans="1:25">
      <c r="A38" s="1893"/>
      <c r="B38" s="2044"/>
      <c r="C38" s="2045"/>
      <c r="D38" s="2044"/>
      <c r="E38" s="2045"/>
      <c r="F38" s="2045"/>
      <c r="G38" s="2045"/>
      <c r="H38" s="2045"/>
      <c r="I38" s="2045"/>
      <c r="J38" s="2045"/>
      <c r="K38" s="2045"/>
      <c r="L38" s="2045"/>
      <c r="M38" s="2045"/>
      <c r="N38" s="2045"/>
      <c r="O38" s="2046"/>
      <c r="P38" s="2045"/>
      <c r="Q38" s="2047"/>
      <c r="R38" s="2047"/>
      <c r="S38" s="2045"/>
      <c r="T38" s="2045"/>
      <c r="U38" s="2045"/>
      <c r="V38" s="2045"/>
      <c r="W38" s="1770"/>
    </row>
    <row r="39" spans="1:25" ht="16.5">
      <c r="A39" s="1918" t="s">
        <v>3538</v>
      </c>
      <c r="B39" s="1503"/>
      <c r="C39" s="1857"/>
      <c r="D39" s="1857"/>
      <c r="E39" s="1857"/>
      <c r="F39" s="1857"/>
      <c r="G39" s="1857"/>
      <c r="H39" s="1857"/>
      <c r="I39" s="1857"/>
      <c r="J39" s="1857"/>
      <c r="K39" s="1857"/>
      <c r="L39" s="1857"/>
      <c r="M39" s="1857"/>
      <c r="N39" s="1857"/>
      <c r="O39" s="1857"/>
      <c r="P39" s="1857"/>
      <c r="Q39" s="1857"/>
      <c r="R39" s="1857"/>
      <c r="S39" s="1857"/>
      <c r="T39" s="1857"/>
      <c r="U39" s="1857"/>
      <c r="V39" s="1857"/>
      <c r="W39" s="1770"/>
    </row>
    <row r="40" spans="1:25" ht="16.5">
      <c r="A40" s="1918">
        <v>1</v>
      </c>
      <c r="B40" s="1503" t="s">
        <v>3998</v>
      </c>
      <c r="C40" s="1848"/>
      <c r="D40" s="1848"/>
      <c r="E40" s="1848"/>
      <c r="F40" s="1848"/>
      <c r="G40" s="1848"/>
      <c r="H40" s="1848"/>
      <c r="I40" s="1848"/>
      <c r="J40" s="1848"/>
      <c r="K40" s="1848"/>
      <c r="L40" s="1848"/>
      <c r="M40" s="1848"/>
      <c r="N40" s="1848"/>
      <c r="O40" s="1848"/>
      <c r="P40" s="1848"/>
      <c r="Q40" s="1848"/>
      <c r="R40" s="1848"/>
      <c r="S40" s="1848"/>
      <c r="T40" s="1848"/>
      <c r="U40" s="1848"/>
      <c r="V40" s="1848"/>
      <c r="W40" s="1770"/>
    </row>
    <row r="41" spans="1:25" ht="16.5">
      <c r="A41" s="1918">
        <v>2</v>
      </c>
      <c r="B41" s="1503" t="s">
        <v>3808</v>
      </c>
      <c r="C41" s="1848"/>
      <c r="D41" s="1848"/>
      <c r="E41" s="1848"/>
      <c r="F41" s="1848"/>
      <c r="G41" s="1848"/>
      <c r="H41" s="1848"/>
      <c r="I41" s="1848"/>
      <c r="J41" s="1848"/>
      <c r="K41" s="1848"/>
      <c r="L41" s="1848"/>
      <c r="M41" s="1848"/>
      <c r="N41" s="1848"/>
      <c r="O41" s="1848"/>
      <c r="P41" s="1848"/>
      <c r="Q41" s="1848"/>
      <c r="R41" s="1848"/>
      <c r="S41" s="1848"/>
      <c r="T41" s="1848"/>
      <c r="U41" s="1848"/>
      <c r="V41" s="1848"/>
      <c r="W41" s="1770"/>
    </row>
    <row r="42" spans="1:25" ht="16.5">
      <c r="A42" s="1918"/>
      <c r="B42" s="1503" t="s">
        <v>3809</v>
      </c>
      <c r="C42" s="1848"/>
      <c r="D42" s="1848"/>
      <c r="E42" s="1848"/>
      <c r="F42" s="1848"/>
      <c r="G42" s="1848"/>
      <c r="H42" s="1848"/>
      <c r="I42" s="1848"/>
      <c r="J42" s="1848"/>
      <c r="K42" s="1848"/>
      <c r="L42" s="1848"/>
      <c r="M42" s="1848"/>
      <c r="N42" s="1848"/>
      <c r="O42" s="1848"/>
      <c r="P42" s="1848"/>
      <c r="Q42" s="1848"/>
      <c r="R42" s="1848"/>
      <c r="S42" s="1848"/>
      <c r="T42" s="1848"/>
      <c r="U42" s="1848"/>
      <c r="V42" s="1848"/>
      <c r="W42" s="1770"/>
    </row>
    <row r="43" spans="1:25" ht="16.5">
      <c r="A43" s="1918">
        <v>3</v>
      </c>
      <c r="B43" s="1503" t="s">
        <v>6728</v>
      </c>
      <c r="C43" s="1848"/>
      <c r="D43" s="1848"/>
      <c r="E43" s="1848"/>
      <c r="F43" s="1848"/>
      <c r="G43" s="1848"/>
      <c r="H43" s="1848"/>
      <c r="I43" s="1848"/>
      <c r="J43" s="1848"/>
      <c r="K43" s="1848"/>
      <c r="L43" s="1848"/>
      <c r="M43" s="1848"/>
      <c r="N43" s="1848"/>
      <c r="O43" s="1848"/>
      <c r="P43" s="1848"/>
      <c r="Q43" s="1848"/>
      <c r="R43" s="1848"/>
      <c r="S43" s="1848"/>
      <c r="T43" s="1848"/>
      <c r="U43" s="1848"/>
      <c r="V43" s="1848"/>
      <c r="W43" s="1770"/>
    </row>
    <row r="44" spans="1:25" ht="16.5">
      <c r="A44" s="1918">
        <v>4</v>
      </c>
      <c r="B44" s="1894" t="s">
        <v>3893</v>
      </c>
      <c r="C44" s="1848"/>
      <c r="D44" s="1848"/>
      <c r="E44" s="1848"/>
      <c r="F44" s="1848"/>
      <c r="G44" s="1848"/>
      <c r="H44" s="1848"/>
      <c r="I44" s="1848"/>
      <c r="J44" s="1848"/>
      <c r="K44" s="1848"/>
      <c r="L44" s="1848"/>
      <c r="M44" s="1848"/>
      <c r="N44" s="1848"/>
      <c r="O44" s="1848"/>
      <c r="P44" s="1848"/>
      <c r="Q44" s="1848"/>
      <c r="R44" s="1848"/>
      <c r="S44" s="1848"/>
      <c r="T44" s="1848"/>
      <c r="U44" s="1848"/>
      <c r="V44" s="1848"/>
      <c r="W44" s="1770"/>
    </row>
    <row r="45" spans="1:25" ht="16.5">
      <c r="A45" s="1918">
        <v>5</v>
      </c>
      <c r="B45" s="1894" t="s">
        <v>4001</v>
      </c>
      <c r="C45" s="1848"/>
      <c r="D45" s="1848"/>
      <c r="E45" s="1848"/>
      <c r="F45" s="1848"/>
      <c r="G45" s="1848"/>
      <c r="H45" s="1848"/>
      <c r="I45" s="1848"/>
      <c r="J45" s="1848"/>
      <c r="K45" s="1848"/>
      <c r="L45" s="1848"/>
      <c r="M45" s="1848"/>
      <c r="N45" s="1848"/>
      <c r="O45" s="1848"/>
      <c r="P45" s="1848"/>
      <c r="Q45" s="1848"/>
      <c r="R45" s="1848"/>
      <c r="S45" s="1848"/>
      <c r="T45" s="1848"/>
      <c r="U45" s="1848"/>
      <c r="V45" s="1848"/>
      <c r="W45" s="1770"/>
    </row>
    <row r="46" spans="1:25" ht="16.5">
      <c r="A46" s="1918">
        <v>6</v>
      </c>
      <c r="B46" s="1894" t="s">
        <v>6729</v>
      </c>
      <c r="C46" s="1848"/>
      <c r="D46" s="1848"/>
      <c r="E46" s="1848"/>
      <c r="F46" s="1848"/>
      <c r="G46" s="1848"/>
      <c r="H46" s="1848"/>
      <c r="I46" s="1848"/>
      <c r="J46" s="1848"/>
      <c r="K46" s="1848"/>
      <c r="L46" s="1848"/>
      <c r="M46" s="1848"/>
      <c r="N46" s="1848"/>
      <c r="O46" s="1848"/>
      <c r="P46" s="1848"/>
      <c r="Q46" s="1848"/>
      <c r="R46" s="1848"/>
      <c r="S46" s="1848"/>
      <c r="T46" s="1848"/>
      <c r="U46" s="1848"/>
      <c r="V46" s="1848"/>
      <c r="W46" s="1770"/>
    </row>
    <row r="47" spans="1:25" s="2092" customFormat="1" ht="16.5">
      <c r="A47" s="1870">
        <v>7</v>
      </c>
      <c r="B47" s="1897" t="s">
        <v>6730</v>
      </c>
      <c r="C47" s="1857"/>
      <c r="D47" s="1857"/>
      <c r="E47" s="1857"/>
      <c r="F47" s="1857"/>
      <c r="G47" s="1857"/>
      <c r="H47" s="1857"/>
      <c r="I47" s="1857"/>
      <c r="J47" s="1857"/>
      <c r="K47" s="1857"/>
      <c r="L47" s="1857"/>
      <c r="M47" s="1857"/>
      <c r="N47" s="1857"/>
      <c r="O47" s="1857"/>
      <c r="P47" s="1857"/>
      <c r="Q47" s="1857"/>
      <c r="R47" s="1857"/>
      <c r="S47" s="1857"/>
      <c r="T47" s="1857"/>
      <c r="U47" s="1857"/>
    </row>
    <row r="48" spans="1:25" ht="16.5">
      <c r="A48" s="2049"/>
      <c r="B48" s="1897" t="s">
        <v>6731</v>
      </c>
      <c r="C48" s="1638"/>
      <c r="D48" s="1638"/>
      <c r="E48" s="1638"/>
      <c r="F48" s="1638"/>
      <c r="G48" s="1638"/>
      <c r="H48" s="1638"/>
      <c r="I48" s="1638"/>
      <c r="J48" s="1638"/>
    </row>
    <row r="49" spans="1:23" ht="16.5">
      <c r="A49" s="2049">
        <v>8</v>
      </c>
      <c r="B49" s="1897" t="s">
        <v>6732</v>
      </c>
      <c r="C49" s="1638"/>
      <c r="D49" s="1638"/>
      <c r="E49" s="1638"/>
      <c r="F49" s="1638"/>
      <c r="G49" s="1638"/>
      <c r="H49" s="1638"/>
      <c r="I49" s="1638"/>
      <c r="J49" s="1638"/>
    </row>
    <row r="50" spans="1:23" ht="16.5">
      <c r="A50" s="2049">
        <v>9</v>
      </c>
      <c r="B50" s="1894" t="s">
        <v>6733</v>
      </c>
      <c r="C50" s="1848"/>
      <c r="D50" s="1848"/>
      <c r="E50" s="1848"/>
      <c r="F50" s="1848"/>
      <c r="G50" s="1848"/>
      <c r="H50" s="1848"/>
      <c r="I50" s="1848"/>
      <c r="J50" s="1848"/>
      <c r="K50" s="1848"/>
      <c r="L50" s="1848"/>
      <c r="M50" s="1848"/>
      <c r="N50" s="1848"/>
      <c r="O50" s="1848"/>
      <c r="P50" s="1848"/>
      <c r="Q50" s="1848"/>
      <c r="R50" s="1848"/>
      <c r="S50" s="1848"/>
      <c r="T50" s="1848"/>
      <c r="U50" s="1848"/>
      <c r="V50" s="1848"/>
      <c r="W50" s="1770"/>
    </row>
    <row r="51" spans="1:23" ht="16.5">
      <c r="A51" s="2049">
        <v>10</v>
      </c>
      <c r="B51" s="1894" t="s">
        <v>3812</v>
      </c>
      <c r="C51" s="1848"/>
      <c r="D51" s="1848"/>
      <c r="E51" s="1848"/>
      <c r="F51" s="1848"/>
      <c r="G51" s="1848"/>
      <c r="H51" s="1848"/>
      <c r="I51" s="1848"/>
      <c r="J51" s="1848"/>
      <c r="K51" s="1848"/>
      <c r="L51" s="1848"/>
      <c r="M51" s="1848"/>
      <c r="N51" s="1848"/>
      <c r="O51" s="1848"/>
      <c r="P51" s="1848"/>
      <c r="Q51" s="1848"/>
      <c r="R51" s="1848"/>
      <c r="S51" s="1848"/>
      <c r="T51" s="1848"/>
      <c r="U51" s="1848"/>
      <c r="V51" s="1848"/>
      <c r="W51" s="1770"/>
    </row>
    <row r="52" spans="1:23" ht="16.5">
      <c r="A52" s="2049">
        <v>11</v>
      </c>
      <c r="B52" s="1894" t="s">
        <v>6734</v>
      </c>
      <c r="C52" s="1848"/>
      <c r="D52" s="1848"/>
      <c r="E52" s="1848"/>
      <c r="F52" s="1848"/>
      <c r="G52" s="1848"/>
      <c r="H52" s="1848"/>
      <c r="I52" s="1848"/>
      <c r="J52" s="1848"/>
      <c r="K52" s="1848"/>
      <c r="L52" s="1848"/>
      <c r="M52" s="1848"/>
      <c r="N52" s="1848"/>
      <c r="O52" s="1848"/>
      <c r="P52" s="1848"/>
      <c r="Q52" s="1848"/>
      <c r="R52" s="1848"/>
      <c r="S52" s="1848"/>
      <c r="T52" s="1848"/>
      <c r="U52" s="1848"/>
      <c r="V52" s="1848"/>
      <c r="W52" s="1770"/>
    </row>
    <row r="53" spans="1:23" ht="16.5">
      <c r="A53" s="2049">
        <v>12</v>
      </c>
      <c r="B53" s="1894" t="s">
        <v>6735</v>
      </c>
      <c r="C53" s="1848"/>
      <c r="D53" s="1848"/>
      <c r="E53" s="1848"/>
      <c r="F53" s="1848"/>
      <c r="G53" s="1848"/>
      <c r="H53" s="1848"/>
      <c r="I53" s="1848"/>
      <c r="J53" s="1848"/>
      <c r="K53" s="1848"/>
      <c r="L53" s="1848"/>
      <c r="M53" s="1848"/>
      <c r="N53" s="1848"/>
      <c r="O53" s="1848"/>
      <c r="P53" s="1848"/>
      <c r="Q53" s="1848"/>
      <c r="R53" s="1848"/>
      <c r="S53" s="1848"/>
      <c r="T53" s="1848"/>
      <c r="U53" s="1848"/>
      <c r="V53" s="1848"/>
      <c r="W53" s="1770"/>
    </row>
    <row r="54" spans="1:23" ht="16.5">
      <c r="A54" s="2049">
        <v>13</v>
      </c>
      <c r="B54" s="1503" t="s">
        <v>6736</v>
      </c>
      <c r="C54" s="1857"/>
      <c r="D54" s="1857"/>
      <c r="E54" s="1857"/>
      <c r="F54" s="1857"/>
      <c r="G54" s="1857"/>
      <c r="H54" s="1857"/>
      <c r="I54" s="1857"/>
      <c r="J54" s="1857"/>
      <c r="K54" s="1857"/>
      <c r="L54" s="1857"/>
      <c r="M54" s="1857"/>
      <c r="N54" s="1857"/>
      <c r="O54" s="1857"/>
      <c r="P54" s="1857"/>
      <c r="Q54" s="1857"/>
      <c r="R54" s="1857"/>
      <c r="S54" s="1857"/>
      <c r="T54" s="1857"/>
      <c r="U54" s="1857"/>
      <c r="V54" s="1857"/>
      <c r="W54" s="1770"/>
    </row>
  </sheetData>
  <mergeCells count="31">
    <mergeCell ref="A4:A6"/>
    <mergeCell ref="B4:C4"/>
    <mergeCell ref="D4:G4"/>
    <mergeCell ref="H4:H5"/>
    <mergeCell ref="I4:I5"/>
    <mergeCell ref="V4:V5"/>
    <mergeCell ref="W4:W5"/>
    <mergeCell ref="A19:A21"/>
    <mergeCell ref="B19:B20"/>
    <mergeCell ref="C19:E19"/>
    <mergeCell ref="F19:H19"/>
    <mergeCell ref="J19:J21"/>
    <mergeCell ref="K19:L20"/>
    <mergeCell ref="M19:M20"/>
    <mergeCell ref="K21:L21"/>
    <mergeCell ref="O4:O5"/>
    <mergeCell ref="P4:P5"/>
    <mergeCell ref="Q4:Q5"/>
    <mergeCell ref="R4:R5"/>
    <mergeCell ref="S4:S5"/>
    <mergeCell ref="J4:J5"/>
    <mergeCell ref="K22:K25"/>
    <mergeCell ref="K26:L26"/>
    <mergeCell ref="K27:L27"/>
    <mergeCell ref="K28:L28"/>
    <mergeCell ref="U4:U5"/>
    <mergeCell ref="T4:T5"/>
    <mergeCell ref="K4:K5"/>
    <mergeCell ref="L4:L5"/>
    <mergeCell ref="M4:M5"/>
    <mergeCell ref="N4:N5"/>
  </mergeCells>
  <phoneticPr fontId="26" type="noConversion"/>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G34"/>
  <sheetViews>
    <sheetView zoomScaleNormal="100" workbookViewId="0"/>
  </sheetViews>
  <sheetFormatPr defaultRowHeight="16.5"/>
  <cols>
    <col min="1" max="1" width="38.5" style="97" customWidth="1"/>
    <col min="2" max="2" width="11.5" style="97" customWidth="1"/>
    <col min="3" max="3" width="25.625" style="97" customWidth="1"/>
    <col min="4" max="4" width="17.875" style="97" customWidth="1"/>
    <col min="5" max="5" width="18.75" style="97" customWidth="1"/>
    <col min="6" max="6" width="25.625" style="97" customWidth="1"/>
    <col min="7" max="16384" width="9" style="97"/>
  </cols>
  <sheetData>
    <row r="1" spans="1:7">
      <c r="A1" s="105" t="str">
        <f>表03!A1</f>
        <v xml:space="preserve"> 保險股份有限公司    年度(月)報表</v>
      </c>
      <c r="B1" s="224"/>
      <c r="C1" s="225"/>
      <c r="D1" s="226"/>
      <c r="E1" s="226"/>
      <c r="F1" s="227"/>
      <c r="G1" s="126"/>
    </row>
    <row r="2" spans="1:7" ht="17.25" thickBot="1">
      <c r="A2" s="228" t="s">
        <v>508</v>
      </c>
      <c r="B2" s="224"/>
      <c r="C2" s="225"/>
      <c r="D2" s="226"/>
      <c r="E2" s="226"/>
      <c r="F2" s="227" t="s">
        <v>252</v>
      </c>
      <c r="G2" s="126"/>
    </row>
    <row r="3" spans="1:7" s="285" customFormat="1">
      <c r="A3" s="229" t="s">
        <v>509</v>
      </c>
      <c r="B3" s="230" t="s">
        <v>510</v>
      </c>
      <c r="C3" s="231" t="s">
        <v>511</v>
      </c>
      <c r="D3" s="232" t="s">
        <v>512</v>
      </c>
      <c r="E3" s="232" t="s">
        <v>513</v>
      </c>
      <c r="F3" s="233" t="s">
        <v>514</v>
      </c>
      <c r="G3" s="289"/>
    </row>
    <row r="4" spans="1:7" s="285" customFormat="1">
      <c r="A4" s="287" t="s">
        <v>515</v>
      </c>
      <c r="B4" s="2309"/>
      <c r="C4" s="2310"/>
      <c r="D4" s="2311"/>
      <c r="E4" s="2311"/>
      <c r="F4" s="2312"/>
      <c r="G4" s="289"/>
    </row>
    <row r="5" spans="1:7" s="285" customFormat="1">
      <c r="A5" s="3105" t="s">
        <v>516</v>
      </c>
      <c r="B5" s="389" t="s">
        <v>673</v>
      </c>
      <c r="C5" s="390">
        <f>'表30-13'!F8</f>
        <v>0</v>
      </c>
      <c r="D5" s="391">
        <v>1.1000000000000001E-2</v>
      </c>
      <c r="E5" s="391">
        <f>ROUND(D5*0.85,4)</f>
        <v>9.4000000000000004E-3</v>
      </c>
      <c r="F5" s="392">
        <f t="shared" ref="F5:F22" si="0">ROUND(C5*(D5-E5),0)</f>
        <v>0</v>
      </c>
      <c r="G5" s="289"/>
    </row>
    <row r="6" spans="1:7" s="285" customFormat="1">
      <c r="A6" s="3106"/>
      <c r="B6" s="489" t="s">
        <v>674</v>
      </c>
      <c r="C6" s="383">
        <f>'表30-13'!F12</f>
        <v>0</v>
      </c>
      <c r="D6" s="490">
        <v>1.1000000000000001E-2</v>
      </c>
      <c r="E6" s="490">
        <f>ROUND(D6*0.9,4)</f>
        <v>9.9000000000000008E-3</v>
      </c>
      <c r="F6" s="491">
        <f t="shared" si="0"/>
        <v>0</v>
      </c>
      <c r="G6" s="289"/>
    </row>
    <row r="7" spans="1:7" s="285" customFormat="1">
      <c r="A7" s="3107"/>
      <c r="B7" s="395" t="s">
        <v>675</v>
      </c>
      <c r="C7" s="310">
        <f>'表30-13'!F16</f>
        <v>0</v>
      </c>
      <c r="D7" s="396">
        <v>1.1000000000000001E-2</v>
      </c>
      <c r="E7" s="396">
        <f>ROUND(D7*0.95,4)</f>
        <v>1.0500000000000001E-2</v>
      </c>
      <c r="F7" s="397">
        <f t="shared" si="0"/>
        <v>0</v>
      </c>
      <c r="G7" s="289"/>
    </row>
    <row r="8" spans="1:7" s="285" customFormat="1" ht="16.5" customHeight="1">
      <c r="A8" s="3102" t="s">
        <v>517</v>
      </c>
      <c r="B8" s="389" t="s">
        <v>673</v>
      </c>
      <c r="C8" s="390">
        <f>'表30-13'!F21</f>
        <v>0</v>
      </c>
      <c r="D8" s="391">
        <v>8.1000000000000003E-2</v>
      </c>
      <c r="E8" s="393">
        <v>6.8900000000000003E-2</v>
      </c>
      <c r="F8" s="392">
        <f t="shared" si="0"/>
        <v>0</v>
      </c>
      <c r="G8" s="289"/>
    </row>
    <row r="9" spans="1:7" s="285" customFormat="1">
      <c r="A9" s="3103"/>
      <c r="B9" s="489" t="s">
        <v>674</v>
      </c>
      <c r="C9" s="383">
        <f>'表30-13'!F25</f>
        <v>0</v>
      </c>
      <c r="D9" s="490">
        <v>8.1000000000000003E-2</v>
      </c>
      <c r="E9" s="490">
        <v>7.2900000000000006E-2</v>
      </c>
      <c r="F9" s="491">
        <f t="shared" si="0"/>
        <v>0</v>
      </c>
      <c r="G9" s="289"/>
    </row>
    <row r="10" spans="1:7" s="285" customFormat="1" ht="15" customHeight="1">
      <c r="A10" s="3104"/>
      <c r="B10" s="395" t="s">
        <v>675</v>
      </c>
      <c r="C10" s="310">
        <f>'表30-13'!F29</f>
        <v>0</v>
      </c>
      <c r="D10" s="396">
        <v>8.1000000000000003E-2</v>
      </c>
      <c r="E10" s="396">
        <v>7.6999999999999999E-2</v>
      </c>
      <c r="F10" s="397">
        <f t="shared" si="0"/>
        <v>0</v>
      </c>
      <c r="G10" s="289"/>
    </row>
    <row r="11" spans="1:7" s="285" customFormat="1" ht="15" customHeight="1">
      <c r="A11" s="3102" t="s">
        <v>518</v>
      </c>
      <c r="B11" s="389" t="s">
        <v>673</v>
      </c>
      <c r="C11" s="390">
        <f>'表30-13'!F34</f>
        <v>0</v>
      </c>
      <c r="D11" s="391">
        <v>1.4E-2</v>
      </c>
      <c r="E11" s="393">
        <f>ROUND(D11*0.85,4)</f>
        <v>1.1900000000000001E-2</v>
      </c>
      <c r="F11" s="392">
        <f t="shared" si="0"/>
        <v>0</v>
      </c>
      <c r="G11" s="289"/>
    </row>
    <row r="12" spans="1:7" s="285" customFormat="1" ht="15" customHeight="1">
      <c r="A12" s="3103"/>
      <c r="B12" s="489" t="s">
        <v>674</v>
      </c>
      <c r="C12" s="383">
        <f>'表30-13'!F38</f>
        <v>0</v>
      </c>
      <c r="D12" s="490">
        <v>1.4E-2</v>
      </c>
      <c r="E12" s="490">
        <f>ROUND(D12*0.9,4)</f>
        <v>1.26E-2</v>
      </c>
      <c r="F12" s="491">
        <f t="shared" si="0"/>
        <v>0</v>
      </c>
      <c r="G12" s="289"/>
    </row>
    <row r="13" spans="1:7" s="285" customFormat="1" ht="15" customHeight="1">
      <c r="A13" s="3104"/>
      <c r="B13" s="395" t="s">
        <v>675</v>
      </c>
      <c r="C13" s="310">
        <f>'表30-13'!F42</f>
        <v>0</v>
      </c>
      <c r="D13" s="396">
        <v>1.4E-2</v>
      </c>
      <c r="E13" s="396">
        <f>ROUND(D13*0.95,4)</f>
        <v>1.3299999999999999E-2</v>
      </c>
      <c r="F13" s="397">
        <f t="shared" si="0"/>
        <v>0</v>
      </c>
      <c r="G13" s="289"/>
    </row>
    <row r="14" spans="1:7" s="285" customFormat="1">
      <c r="A14" s="3102" t="s">
        <v>519</v>
      </c>
      <c r="B14" s="389" t="s">
        <v>673</v>
      </c>
      <c r="C14" s="390">
        <f>'表30-13'!F47</f>
        <v>0</v>
      </c>
      <c r="D14" s="391">
        <v>0.01</v>
      </c>
      <c r="E14" s="393">
        <f>ROUND(D14*0.85,4)</f>
        <v>8.5000000000000006E-3</v>
      </c>
      <c r="F14" s="392">
        <f t="shared" si="0"/>
        <v>0</v>
      </c>
      <c r="G14" s="289"/>
    </row>
    <row r="15" spans="1:7" s="285" customFormat="1">
      <c r="A15" s="3103"/>
      <c r="B15" s="489" t="s">
        <v>674</v>
      </c>
      <c r="C15" s="383">
        <f>'表30-13'!F51</f>
        <v>0</v>
      </c>
      <c r="D15" s="490">
        <v>0.01</v>
      </c>
      <c r="E15" s="490">
        <f>ROUND(D15*0.9,4)</f>
        <v>8.9999999999999993E-3</v>
      </c>
      <c r="F15" s="491">
        <f t="shared" si="0"/>
        <v>0</v>
      </c>
      <c r="G15" s="289"/>
    </row>
    <row r="16" spans="1:7" s="285" customFormat="1">
      <c r="A16" s="3104"/>
      <c r="B16" s="395" t="s">
        <v>675</v>
      </c>
      <c r="C16" s="310">
        <f>'表30-13'!F55</f>
        <v>0</v>
      </c>
      <c r="D16" s="393">
        <v>0.01</v>
      </c>
      <c r="E16" s="396">
        <f>ROUND(D16*0.95,4)</f>
        <v>9.4999999999999998E-3</v>
      </c>
      <c r="F16" s="397">
        <f t="shared" si="0"/>
        <v>0</v>
      </c>
      <c r="G16" s="289"/>
    </row>
    <row r="17" spans="1:7" s="285" customFormat="1" ht="16.5" customHeight="1">
      <c r="A17" s="3102" t="s">
        <v>520</v>
      </c>
      <c r="B17" s="389" t="s">
        <v>673</v>
      </c>
      <c r="C17" s="398">
        <f>'表30-13'!F60</f>
        <v>0</v>
      </c>
      <c r="D17" s="391">
        <v>8.1000000000000003E-2</v>
      </c>
      <c r="E17" s="399">
        <v>6.8900000000000003E-2</v>
      </c>
      <c r="F17" s="392">
        <f t="shared" si="0"/>
        <v>0</v>
      </c>
      <c r="G17" s="289"/>
    </row>
    <row r="18" spans="1:7" s="285" customFormat="1">
      <c r="A18" s="3103"/>
      <c r="B18" s="489" t="s">
        <v>674</v>
      </c>
      <c r="C18" s="492">
        <f>'表30-13'!F64</f>
        <v>0</v>
      </c>
      <c r="D18" s="490">
        <v>8.1000000000000003E-2</v>
      </c>
      <c r="E18" s="493">
        <v>7.2900000000000006E-2</v>
      </c>
      <c r="F18" s="491">
        <f t="shared" si="0"/>
        <v>0</v>
      </c>
      <c r="G18" s="289"/>
    </row>
    <row r="19" spans="1:7" s="285" customFormat="1">
      <c r="A19" s="3104"/>
      <c r="B19" s="395" t="s">
        <v>675</v>
      </c>
      <c r="C19" s="400">
        <f>'表30-13'!F68</f>
        <v>0</v>
      </c>
      <c r="D19" s="393">
        <v>8.1000000000000003E-2</v>
      </c>
      <c r="E19" s="401">
        <v>7.6999999999999999E-2</v>
      </c>
      <c r="F19" s="394">
        <f t="shared" si="0"/>
        <v>0</v>
      </c>
      <c r="G19" s="289"/>
    </row>
    <row r="20" spans="1:7" s="285" customFormat="1" ht="28.5" customHeight="1">
      <c r="A20" s="3102" t="s">
        <v>521</v>
      </c>
      <c r="B20" s="389" t="s">
        <v>673</v>
      </c>
      <c r="C20" s="398">
        <f>'表30-13'!F73</f>
        <v>0</v>
      </c>
      <c r="D20" s="391">
        <v>1.4E-2</v>
      </c>
      <c r="E20" s="399">
        <f>ROUND(D20*0.85,4)</f>
        <v>1.1900000000000001E-2</v>
      </c>
      <c r="F20" s="392">
        <f t="shared" si="0"/>
        <v>0</v>
      </c>
      <c r="G20" s="289"/>
    </row>
    <row r="21" spans="1:7" s="285" customFormat="1">
      <c r="A21" s="3103"/>
      <c r="B21" s="489" t="s">
        <v>674</v>
      </c>
      <c r="C21" s="492">
        <f>'表30-13'!F77</f>
        <v>0</v>
      </c>
      <c r="D21" s="490">
        <v>1.4E-2</v>
      </c>
      <c r="E21" s="493">
        <f>ROUND(D21*0.9,4)</f>
        <v>1.26E-2</v>
      </c>
      <c r="F21" s="491">
        <f t="shared" si="0"/>
        <v>0</v>
      </c>
      <c r="G21" s="289"/>
    </row>
    <row r="22" spans="1:7" s="285" customFormat="1">
      <c r="A22" s="3104"/>
      <c r="B22" s="395" t="s">
        <v>675</v>
      </c>
      <c r="C22" s="402">
        <f>'表30-13'!F81</f>
        <v>0</v>
      </c>
      <c r="D22" s="396">
        <v>1.4E-2</v>
      </c>
      <c r="E22" s="401">
        <f>ROUND(D22*0.95,4)</f>
        <v>1.3299999999999999E-2</v>
      </c>
      <c r="F22" s="397">
        <f t="shared" si="0"/>
        <v>0</v>
      </c>
      <c r="G22" s="289"/>
    </row>
    <row r="23" spans="1:7" s="285" customFormat="1" ht="21" customHeight="1">
      <c r="A23" s="286" t="s">
        <v>522</v>
      </c>
      <c r="B23" s="395"/>
      <c r="C23" s="310">
        <f>SUM(C5:C22)</f>
        <v>0</v>
      </c>
      <c r="D23" s="396"/>
      <c r="E23" s="396"/>
      <c r="F23" s="397">
        <f>SUM(F5:F22)</f>
        <v>0</v>
      </c>
      <c r="G23" s="289"/>
    </row>
    <row r="24" spans="1:7" s="285" customFormat="1">
      <c r="A24" s="287" t="s">
        <v>523</v>
      </c>
      <c r="B24" s="403"/>
      <c r="C24" s="309"/>
      <c r="D24" s="404"/>
      <c r="E24" s="404"/>
      <c r="F24" s="405"/>
      <c r="G24" s="289"/>
    </row>
    <row r="25" spans="1:7" s="285" customFormat="1">
      <c r="A25" s="287" t="s">
        <v>524</v>
      </c>
      <c r="B25" s="403"/>
      <c r="C25" s="309">
        <f>SUM(C26:C31)</f>
        <v>0</v>
      </c>
      <c r="D25" s="404"/>
      <c r="E25" s="404"/>
      <c r="F25" s="405"/>
      <c r="G25" s="289"/>
    </row>
    <row r="26" spans="1:7" s="285" customFormat="1">
      <c r="A26" s="3105" t="s">
        <v>525</v>
      </c>
      <c r="B26" s="389" t="s">
        <v>673</v>
      </c>
      <c r="C26" s="390">
        <f>'表30-13'!F87</f>
        <v>0</v>
      </c>
      <c r="D26" s="391">
        <v>8.1000000000000003E-2</v>
      </c>
      <c r="E26" s="393">
        <f>ROUND(D26*0.85,4)</f>
        <v>6.8900000000000003E-2</v>
      </c>
      <c r="F26" s="392">
        <f t="shared" ref="F26:F31" si="1">ROUND(C26*(D26-E26),0)</f>
        <v>0</v>
      </c>
      <c r="G26" s="289"/>
    </row>
    <row r="27" spans="1:7" s="285" customFormat="1">
      <c r="A27" s="3106"/>
      <c r="B27" s="489" t="s">
        <v>674</v>
      </c>
      <c r="C27" s="383">
        <f>'表30-13'!F91</f>
        <v>0</v>
      </c>
      <c r="D27" s="490">
        <v>8.1000000000000003E-2</v>
      </c>
      <c r="E27" s="490">
        <f>ROUND(D27*0.9,4)</f>
        <v>7.2900000000000006E-2</v>
      </c>
      <c r="F27" s="491">
        <f t="shared" si="1"/>
        <v>0</v>
      </c>
      <c r="G27" s="289"/>
    </row>
    <row r="28" spans="1:7" s="285" customFormat="1">
      <c r="A28" s="3107"/>
      <c r="B28" s="395" t="s">
        <v>675</v>
      </c>
      <c r="C28" s="310">
        <f>'表30-13'!F95</f>
        <v>0</v>
      </c>
      <c r="D28" s="396">
        <v>8.1000000000000003E-2</v>
      </c>
      <c r="E28" s="396">
        <f>ROUND(D28*0.95,4)</f>
        <v>7.6999999999999999E-2</v>
      </c>
      <c r="F28" s="394">
        <f t="shared" si="1"/>
        <v>0</v>
      </c>
      <c r="G28" s="289"/>
    </row>
    <row r="29" spans="1:7" s="285" customFormat="1">
      <c r="A29" s="3102" t="s">
        <v>526</v>
      </c>
      <c r="B29" s="389" t="s">
        <v>673</v>
      </c>
      <c r="C29" s="398">
        <f>'表30-13'!F100</f>
        <v>0</v>
      </c>
      <c r="D29" s="391">
        <v>1.4E-2</v>
      </c>
      <c r="E29" s="399">
        <f>ROUND(D29*0.85,4)</f>
        <v>1.1900000000000001E-2</v>
      </c>
      <c r="F29" s="392">
        <f t="shared" si="1"/>
        <v>0</v>
      </c>
      <c r="G29" s="289"/>
    </row>
    <row r="30" spans="1:7" s="285" customFormat="1">
      <c r="A30" s="3103"/>
      <c r="B30" s="489" t="s">
        <v>674</v>
      </c>
      <c r="C30" s="492">
        <f>'表30-13'!F104</f>
        <v>0</v>
      </c>
      <c r="D30" s="490">
        <v>1.4E-2</v>
      </c>
      <c r="E30" s="493">
        <f>ROUND(D30*0.9,4)</f>
        <v>1.26E-2</v>
      </c>
      <c r="F30" s="491">
        <f t="shared" si="1"/>
        <v>0</v>
      </c>
      <c r="G30" s="289"/>
    </row>
    <row r="31" spans="1:7" s="285" customFormat="1">
      <c r="A31" s="3104"/>
      <c r="B31" s="395" t="s">
        <v>675</v>
      </c>
      <c r="C31" s="400">
        <f>'表30-13'!F108</f>
        <v>0</v>
      </c>
      <c r="D31" s="393">
        <v>1.4E-2</v>
      </c>
      <c r="E31" s="401">
        <f>ROUND(D31*0.95,4)</f>
        <v>1.3299999999999999E-2</v>
      </c>
      <c r="F31" s="394">
        <f t="shared" si="1"/>
        <v>0</v>
      </c>
      <c r="G31" s="289"/>
    </row>
    <row r="32" spans="1:7" s="285" customFormat="1" ht="17.25" thickBot="1">
      <c r="A32" s="288" t="s">
        <v>527</v>
      </c>
      <c r="B32" s="406"/>
      <c r="C32" s="311">
        <f>SUM(C26:C31)</f>
        <v>0</v>
      </c>
      <c r="D32" s="407"/>
      <c r="E32" s="407"/>
      <c r="F32" s="408">
        <f>SUM(F26:F31)</f>
        <v>0</v>
      </c>
      <c r="G32" s="289"/>
    </row>
    <row r="33" spans="1:7" ht="9" customHeight="1">
      <c r="A33" s="126"/>
      <c r="B33" s="122"/>
      <c r="C33" s="123"/>
      <c r="D33" s="124"/>
      <c r="E33" s="124"/>
      <c r="F33" s="125"/>
      <c r="G33" s="126"/>
    </row>
    <row r="34" spans="1:7">
      <c r="A34" s="201" t="s">
        <v>528</v>
      </c>
    </row>
  </sheetData>
  <mergeCells count="8">
    <mergeCell ref="A20:A22"/>
    <mergeCell ref="A26:A28"/>
    <mergeCell ref="A29:A31"/>
    <mergeCell ref="A5:A7"/>
    <mergeCell ref="A8:A10"/>
    <mergeCell ref="A11:A13"/>
    <mergeCell ref="A14:A16"/>
    <mergeCell ref="A17:A19"/>
  </mergeCells>
  <phoneticPr fontId="26" type="noConversion"/>
  <printOptions horizontalCentered="1"/>
  <pageMargins left="0.39370078740157483" right="0.19685039370078741" top="0.39370078740157483" bottom="0.39370078740157483" header="0" footer="0"/>
  <pageSetup paperSize="9" fitToHeight="2" orientation="landscape" cellComments="asDisplayed" horizontalDpi="4294967295" verticalDpi="4294967295" r:id="rId1"/>
  <headerFooter alignWithMargins="0">
    <oddFooter>&amp;C163&amp;R&amp;"Times New Roman,標準"&amp;A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0"/>
  <sheetViews>
    <sheetView workbookViewId="0"/>
  </sheetViews>
  <sheetFormatPr defaultColWidth="15.625" defaultRowHeight="15.75"/>
  <cols>
    <col min="1" max="1" width="5.625" style="1891" customWidth="1"/>
    <col min="2" max="2" width="15.625" style="1891" customWidth="1"/>
    <col min="3" max="3" width="35.625" style="1891" customWidth="1"/>
    <col min="4" max="16384" width="15.625" style="1891"/>
  </cols>
  <sheetData>
    <row r="1" spans="1:16" s="1877" customFormat="1" ht="16.5">
      <c r="A1" s="2406" t="s">
        <v>7074</v>
      </c>
      <c r="B1" s="1875"/>
      <c r="C1" s="1875"/>
      <c r="D1" s="1876"/>
      <c r="E1" s="1876"/>
      <c r="F1" s="1876"/>
    </row>
    <row r="2" spans="1:16" s="1877" customFormat="1" ht="16.5">
      <c r="A2" s="1878" t="s">
        <v>3837</v>
      </c>
      <c r="B2" s="1878"/>
      <c r="C2" s="1878"/>
      <c r="D2" s="1878"/>
      <c r="E2" s="1878"/>
      <c r="F2" s="1878"/>
      <c r="G2" s="1879"/>
      <c r="M2" s="1880"/>
      <c r="P2" s="1881" t="s">
        <v>3798</v>
      </c>
    </row>
    <row r="3" spans="1:16" s="1877" customFormat="1">
      <c r="A3" s="2556" t="s">
        <v>2343</v>
      </c>
      <c r="B3" s="2557" t="s">
        <v>3770</v>
      </c>
      <c r="C3" s="2557"/>
      <c r="D3" s="2558" t="s">
        <v>3816</v>
      </c>
      <c r="E3" s="2559"/>
      <c r="F3" s="2559"/>
      <c r="G3" s="2560"/>
      <c r="H3" s="2558" t="s">
        <v>3817</v>
      </c>
      <c r="I3" s="2559"/>
      <c r="J3" s="2559"/>
      <c r="K3" s="2560"/>
      <c r="L3" s="2558" t="s">
        <v>3818</v>
      </c>
      <c r="M3" s="2559"/>
      <c r="N3" s="2559"/>
      <c r="O3" s="2560"/>
      <c r="P3" s="2557" t="s">
        <v>2436</v>
      </c>
    </row>
    <row r="4" spans="1:16" s="1877" customFormat="1" ht="49.5">
      <c r="A4" s="2556"/>
      <c r="B4" s="2557"/>
      <c r="C4" s="2557"/>
      <c r="D4" s="2214" t="s">
        <v>3632</v>
      </c>
      <c r="E4" s="2214" t="s">
        <v>3819</v>
      </c>
      <c r="F4" s="1882" t="s">
        <v>3820</v>
      </c>
      <c r="G4" s="1882" t="s">
        <v>3821</v>
      </c>
      <c r="H4" s="2214" t="s">
        <v>3632</v>
      </c>
      <c r="I4" s="2214" t="s">
        <v>3819</v>
      </c>
      <c r="J4" s="1882" t="s">
        <v>3820</v>
      </c>
      <c r="K4" s="1882" t="s">
        <v>3821</v>
      </c>
      <c r="L4" s="2214" t="s">
        <v>3632</v>
      </c>
      <c r="M4" s="2214" t="s">
        <v>3819</v>
      </c>
      <c r="N4" s="1882" t="s">
        <v>3820</v>
      </c>
      <c r="O4" s="1882" t="s">
        <v>3821</v>
      </c>
      <c r="P4" s="2557"/>
    </row>
    <row r="5" spans="1:16" s="1877" customFormat="1">
      <c r="A5" s="2556"/>
      <c r="B5" s="2561" t="s">
        <v>66</v>
      </c>
      <c r="C5" s="2561"/>
      <c r="D5" s="1883" t="s">
        <v>385</v>
      </c>
      <c r="E5" s="1883" t="s">
        <v>332</v>
      </c>
      <c r="F5" s="1884" t="s">
        <v>319</v>
      </c>
      <c r="G5" s="1884" t="s">
        <v>367</v>
      </c>
      <c r="H5" s="1884" t="s">
        <v>333</v>
      </c>
      <c r="I5" s="1884" t="s">
        <v>72</v>
      </c>
      <c r="J5" s="1884" t="s">
        <v>73</v>
      </c>
      <c r="K5" s="1884" t="s">
        <v>74</v>
      </c>
      <c r="L5" s="1884" t="s">
        <v>75</v>
      </c>
      <c r="M5" s="1884" t="s">
        <v>234</v>
      </c>
      <c r="N5" s="1884" t="s">
        <v>235</v>
      </c>
      <c r="O5" s="1884" t="s">
        <v>286</v>
      </c>
      <c r="P5" s="1884" t="s">
        <v>287</v>
      </c>
    </row>
    <row r="6" spans="1:16" s="1877" customFormat="1" ht="16.5">
      <c r="A6" s="2216">
        <v>1</v>
      </c>
      <c r="B6" s="2553" t="s">
        <v>3822</v>
      </c>
      <c r="C6" s="1885" t="s">
        <v>3823</v>
      </c>
      <c r="D6" s="1886"/>
      <c r="E6" s="1887"/>
      <c r="F6" s="1886"/>
      <c r="G6" s="1886"/>
      <c r="H6" s="1886"/>
      <c r="I6" s="1887"/>
      <c r="J6" s="1886"/>
      <c r="K6" s="1886"/>
      <c r="L6" s="1886"/>
      <c r="M6" s="1887"/>
      <c r="N6" s="1886"/>
      <c r="O6" s="1886"/>
      <c r="P6" s="1888"/>
    </row>
    <row r="7" spans="1:16" s="1877" customFormat="1" ht="16.5">
      <c r="A7" s="2216">
        <v>2</v>
      </c>
      <c r="B7" s="2553"/>
      <c r="C7" s="1885" t="s">
        <v>3824</v>
      </c>
      <c r="D7" s="1886"/>
      <c r="E7" s="1887"/>
      <c r="F7" s="1886"/>
      <c r="G7" s="1886"/>
      <c r="H7" s="1886"/>
      <c r="I7" s="1887"/>
      <c r="J7" s="1886"/>
      <c r="K7" s="1886"/>
      <c r="L7" s="1886"/>
      <c r="M7" s="1887"/>
      <c r="N7" s="1886"/>
      <c r="O7" s="1886"/>
      <c r="P7" s="1888"/>
    </row>
    <row r="8" spans="1:16" s="1877" customFormat="1" ht="16.5">
      <c r="A8" s="2216">
        <v>3</v>
      </c>
      <c r="B8" s="2553"/>
      <c r="C8" s="1885" t="s">
        <v>3825</v>
      </c>
      <c r="D8" s="1886"/>
      <c r="E8" s="1887"/>
      <c r="F8" s="1886"/>
      <c r="G8" s="1886"/>
      <c r="H8" s="1886"/>
      <c r="I8" s="1887"/>
      <c r="J8" s="1886"/>
      <c r="K8" s="1886"/>
      <c r="L8" s="1886"/>
      <c r="M8" s="1887"/>
      <c r="N8" s="1886"/>
      <c r="O8" s="1886"/>
      <c r="P8" s="1888"/>
    </row>
    <row r="9" spans="1:16" s="1877" customFormat="1" ht="16.5">
      <c r="A9" s="2216">
        <v>4</v>
      </c>
      <c r="B9" s="2553"/>
      <c r="C9" s="1885" t="s">
        <v>3826</v>
      </c>
      <c r="D9" s="1886"/>
      <c r="E9" s="1887"/>
      <c r="F9" s="1886"/>
      <c r="G9" s="1886"/>
      <c r="H9" s="1886"/>
      <c r="I9" s="1887"/>
      <c r="J9" s="1886"/>
      <c r="K9" s="1886"/>
      <c r="L9" s="1886"/>
      <c r="M9" s="1887"/>
      <c r="N9" s="1886"/>
      <c r="O9" s="1886"/>
      <c r="P9" s="1888"/>
    </row>
    <row r="10" spans="1:16" s="1877" customFormat="1" ht="16.5">
      <c r="A10" s="2216">
        <v>5</v>
      </c>
      <c r="B10" s="2553"/>
      <c r="C10" s="1885" t="s">
        <v>3827</v>
      </c>
      <c r="D10" s="1886"/>
      <c r="E10" s="1887"/>
      <c r="F10" s="1886"/>
      <c r="G10" s="1886"/>
      <c r="H10" s="1886"/>
      <c r="I10" s="1887"/>
      <c r="J10" s="1886"/>
      <c r="K10" s="1886"/>
      <c r="L10" s="1886"/>
      <c r="M10" s="1887"/>
      <c r="N10" s="1886"/>
      <c r="O10" s="1886"/>
      <c r="P10" s="1888"/>
    </row>
    <row r="11" spans="1:16" s="1877" customFormat="1" ht="16.5">
      <c r="A11" s="2216">
        <v>6</v>
      </c>
      <c r="B11" s="2553"/>
      <c r="C11" s="1885" t="s">
        <v>3828</v>
      </c>
      <c r="D11" s="1886"/>
      <c r="E11" s="1887"/>
      <c r="F11" s="1886"/>
      <c r="G11" s="1886"/>
      <c r="H11" s="1886"/>
      <c r="I11" s="1887"/>
      <c r="J11" s="1886"/>
      <c r="K11" s="1886"/>
      <c r="L11" s="1886"/>
      <c r="M11" s="1887"/>
      <c r="N11" s="1886"/>
      <c r="O11" s="1886"/>
      <c r="P11" s="1888"/>
    </row>
    <row r="12" spans="1:16" s="1877" customFormat="1" ht="16.5">
      <c r="A12" s="2216">
        <v>7</v>
      </c>
      <c r="B12" s="2553"/>
      <c r="C12" s="1885" t="s">
        <v>3838</v>
      </c>
      <c r="D12" s="1886"/>
      <c r="E12" s="1887"/>
      <c r="F12" s="1886"/>
      <c r="G12" s="1886"/>
      <c r="H12" s="1886"/>
      <c r="I12" s="1887"/>
      <c r="J12" s="1886"/>
      <c r="K12" s="1886"/>
      <c r="L12" s="1886"/>
      <c r="M12" s="1887"/>
      <c r="N12" s="1886"/>
      <c r="O12" s="1886"/>
      <c r="P12" s="1888"/>
    </row>
    <row r="13" spans="1:16" s="1877" customFormat="1" ht="16.5">
      <c r="A13" s="2216">
        <v>8</v>
      </c>
      <c r="B13" s="2553"/>
      <c r="C13" s="1885" t="s">
        <v>3829</v>
      </c>
      <c r="D13" s="1886"/>
      <c r="E13" s="1887"/>
      <c r="F13" s="1886"/>
      <c r="G13" s="1886"/>
      <c r="H13" s="1889"/>
      <c r="I13" s="1890"/>
      <c r="J13" s="1889"/>
      <c r="K13" s="1889"/>
      <c r="L13" s="1886"/>
      <c r="M13" s="1887"/>
      <c r="N13" s="1886"/>
      <c r="O13" s="1886"/>
      <c r="P13" s="1888"/>
    </row>
    <row r="14" spans="1:16" s="1877" customFormat="1" ht="16.5">
      <c r="A14" s="2216">
        <v>9</v>
      </c>
      <c r="B14" s="2553"/>
      <c r="C14" s="1885" t="s">
        <v>3830</v>
      </c>
      <c r="D14" s="1886"/>
      <c r="E14" s="1887"/>
      <c r="F14" s="1886"/>
      <c r="G14" s="1886"/>
      <c r="H14" s="1889"/>
      <c r="I14" s="1890"/>
      <c r="J14" s="1889"/>
      <c r="K14" s="1889"/>
      <c r="L14" s="1886"/>
      <c r="M14" s="1887"/>
      <c r="N14" s="1886"/>
      <c r="O14" s="1886"/>
      <c r="P14" s="1888"/>
    </row>
    <row r="15" spans="1:16" s="1877" customFormat="1" ht="16.5">
      <c r="A15" s="2216">
        <v>10</v>
      </c>
      <c r="B15" s="2553"/>
      <c r="C15" s="1885" t="s">
        <v>3750</v>
      </c>
      <c r="D15" s="1886"/>
      <c r="E15" s="1887"/>
      <c r="F15" s="1886"/>
      <c r="G15" s="1886"/>
      <c r="H15" s="1886"/>
      <c r="I15" s="1887"/>
      <c r="J15" s="1886"/>
      <c r="K15" s="1886"/>
      <c r="L15" s="1886"/>
      <c r="M15" s="1887"/>
      <c r="N15" s="1886"/>
      <c r="O15" s="1886"/>
      <c r="P15" s="1888"/>
    </row>
    <row r="16" spans="1:16" s="1877" customFormat="1" ht="16.5">
      <c r="A16" s="2216">
        <v>11</v>
      </c>
      <c r="B16" s="2553"/>
      <c r="C16" s="1885" t="s">
        <v>3766</v>
      </c>
      <c r="D16" s="1886"/>
      <c r="E16" s="1887"/>
      <c r="F16" s="1886"/>
      <c r="G16" s="1886"/>
      <c r="H16" s="1886"/>
      <c r="I16" s="1887"/>
      <c r="J16" s="1886"/>
      <c r="K16" s="1886"/>
      <c r="L16" s="1886"/>
      <c r="M16" s="1887"/>
      <c r="N16" s="1886"/>
      <c r="O16" s="1886"/>
      <c r="P16" s="1888"/>
    </row>
    <row r="17" spans="1:16" s="1877" customFormat="1" ht="16.5">
      <c r="A17" s="2216">
        <v>12</v>
      </c>
      <c r="B17" s="2553"/>
      <c r="C17" s="1885" t="s">
        <v>3831</v>
      </c>
      <c r="D17" s="1886"/>
      <c r="E17" s="1887"/>
      <c r="F17" s="1886"/>
      <c r="G17" s="1886"/>
      <c r="H17" s="1886"/>
      <c r="I17" s="1887"/>
      <c r="J17" s="1886"/>
      <c r="K17" s="1886"/>
      <c r="L17" s="1886"/>
      <c r="M17" s="1887"/>
      <c r="N17" s="1886"/>
      <c r="O17" s="1886"/>
      <c r="P17" s="1888"/>
    </row>
    <row r="18" spans="1:16" s="1877" customFormat="1" ht="16.5">
      <c r="A18" s="2216">
        <v>13</v>
      </c>
      <c r="B18" s="2553"/>
      <c r="C18" s="1885" t="s">
        <v>3832</v>
      </c>
      <c r="D18" s="1886"/>
      <c r="E18" s="1887"/>
      <c r="F18" s="1886"/>
      <c r="G18" s="1886"/>
      <c r="H18" s="1886"/>
      <c r="I18" s="1887"/>
      <c r="J18" s="1886"/>
      <c r="K18" s="1886"/>
      <c r="L18" s="1886"/>
      <c r="M18" s="1887"/>
      <c r="N18" s="1886"/>
      <c r="O18" s="1886"/>
      <c r="P18" s="1888"/>
    </row>
    <row r="19" spans="1:16" s="1877" customFormat="1">
      <c r="A19" s="2216">
        <v>14</v>
      </c>
      <c r="B19" s="2553"/>
      <c r="C19" s="1926" t="s">
        <v>3833</v>
      </c>
      <c r="D19" s="1886"/>
      <c r="E19" s="1887"/>
      <c r="F19" s="1886"/>
      <c r="G19" s="1886"/>
      <c r="H19" s="1886"/>
      <c r="I19" s="1887"/>
      <c r="J19" s="1886"/>
      <c r="K19" s="1886"/>
      <c r="L19" s="1886"/>
      <c r="M19" s="1887"/>
      <c r="N19" s="1886"/>
      <c r="O19" s="1886"/>
      <c r="P19" s="1888"/>
    </row>
    <row r="20" spans="1:16" s="1877" customFormat="1" ht="16.5">
      <c r="A20" s="2216">
        <v>15</v>
      </c>
      <c r="B20" s="2553"/>
      <c r="C20" s="1885" t="s">
        <v>3752</v>
      </c>
      <c r="D20" s="1886"/>
      <c r="E20" s="1887"/>
      <c r="F20" s="1886"/>
      <c r="G20" s="1886"/>
      <c r="H20" s="1886"/>
      <c r="I20" s="1887"/>
      <c r="J20" s="1886"/>
      <c r="K20" s="1886"/>
      <c r="L20" s="1886"/>
      <c r="M20" s="1887"/>
      <c r="N20" s="1886"/>
      <c r="O20" s="1886"/>
      <c r="P20" s="1888"/>
    </row>
    <row r="21" spans="1:16" s="1877" customFormat="1" ht="16.5">
      <c r="A21" s="2216">
        <v>16</v>
      </c>
      <c r="B21" s="2553" t="s">
        <v>3834</v>
      </c>
      <c r="C21" s="1885" t="s">
        <v>3835</v>
      </c>
      <c r="D21" s="1886"/>
      <c r="E21" s="1887"/>
      <c r="F21" s="1886"/>
      <c r="G21" s="1886"/>
      <c r="H21" s="1886"/>
      <c r="I21" s="1887"/>
      <c r="J21" s="1886"/>
      <c r="K21" s="1886"/>
      <c r="L21" s="1886"/>
      <c r="M21" s="1887"/>
      <c r="N21" s="1886"/>
      <c r="O21" s="1886"/>
      <c r="P21" s="1888"/>
    </row>
    <row r="22" spans="1:16" s="1877" customFormat="1" ht="16.5">
      <c r="A22" s="2216">
        <v>17</v>
      </c>
      <c r="B22" s="2553"/>
      <c r="C22" s="1885" t="s">
        <v>3836</v>
      </c>
      <c r="D22" s="1886"/>
      <c r="E22" s="1887"/>
      <c r="F22" s="1886"/>
      <c r="G22" s="1886"/>
      <c r="H22" s="1886"/>
      <c r="I22" s="1887"/>
      <c r="J22" s="1886"/>
      <c r="K22" s="1886"/>
      <c r="L22" s="1886"/>
      <c r="M22" s="1887"/>
      <c r="N22" s="1886"/>
      <c r="O22" s="1886"/>
      <c r="P22" s="1888"/>
    </row>
    <row r="23" spans="1:16" s="1877" customFormat="1" ht="16.5">
      <c r="A23" s="2216">
        <v>18</v>
      </c>
      <c r="B23" s="2554" t="s">
        <v>4020</v>
      </c>
      <c r="C23" s="1904" t="s">
        <v>3870</v>
      </c>
      <c r="D23" s="1886"/>
      <c r="E23" s="1887"/>
      <c r="F23" s="1886"/>
      <c r="G23" s="1886"/>
      <c r="H23" s="1886"/>
      <c r="I23" s="1887"/>
      <c r="J23" s="1886"/>
      <c r="K23" s="1886"/>
      <c r="L23" s="1886"/>
      <c r="M23" s="1887"/>
      <c r="N23" s="1886"/>
      <c r="O23" s="1886"/>
      <c r="P23" s="1888"/>
    </row>
    <row r="24" spans="1:16" s="1877" customFormat="1" ht="16.5">
      <c r="A24" s="2216">
        <v>19</v>
      </c>
      <c r="B24" s="2554"/>
      <c r="C24" s="1929" t="s">
        <v>4021</v>
      </c>
      <c r="D24" s="1886"/>
      <c r="E24" s="1887"/>
      <c r="F24" s="1886"/>
      <c r="G24" s="1886"/>
      <c r="H24" s="1886"/>
      <c r="I24" s="1887"/>
      <c r="J24" s="1886"/>
      <c r="K24" s="1886"/>
      <c r="L24" s="1886"/>
      <c r="M24" s="1887"/>
      <c r="N24" s="1886"/>
      <c r="O24" s="1886"/>
      <c r="P24" s="1888"/>
    </row>
    <row r="25" spans="1:16" s="1877" customFormat="1" ht="16.5">
      <c r="A25" s="2216">
        <v>20</v>
      </c>
      <c r="B25" s="2554"/>
      <c r="C25" s="1929" t="s">
        <v>4023</v>
      </c>
      <c r="D25" s="1886"/>
      <c r="E25" s="1887"/>
      <c r="F25" s="1886"/>
      <c r="G25" s="1886"/>
      <c r="H25" s="1886"/>
      <c r="I25" s="1887"/>
      <c r="J25" s="1886"/>
      <c r="K25" s="1886"/>
      <c r="L25" s="1886"/>
      <c r="M25" s="1887"/>
      <c r="N25" s="1886"/>
      <c r="O25" s="1886"/>
      <c r="P25" s="1888"/>
    </row>
    <row r="26" spans="1:16" s="1877" customFormat="1" ht="16.5">
      <c r="A26" s="2216">
        <v>21</v>
      </c>
      <c r="B26" s="2554"/>
      <c r="C26" s="1926" t="s">
        <v>3871</v>
      </c>
      <c r="D26" s="1886"/>
      <c r="E26" s="1887"/>
      <c r="F26" s="1886"/>
      <c r="G26" s="1886"/>
      <c r="H26" s="1886"/>
      <c r="I26" s="1887"/>
      <c r="J26" s="1886"/>
      <c r="K26" s="1886"/>
      <c r="L26" s="1886"/>
      <c r="M26" s="1887"/>
      <c r="N26" s="1886"/>
      <c r="O26" s="1886"/>
      <c r="P26" s="1888"/>
    </row>
    <row r="27" spans="1:16" s="1877" customFormat="1" ht="16.5">
      <c r="A27" s="2216">
        <v>22</v>
      </c>
      <c r="B27" s="2554"/>
      <c r="C27" s="1930" t="s">
        <v>7044</v>
      </c>
      <c r="D27" s="1886"/>
      <c r="E27" s="1887"/>
      <c r="F27" s="1886"/>
      <c r="G27" s="1886"/>
      <c r="H27" s="1886"/>
      <c r="I27" s="1887"/>
      <c r="J27" s="1886"/>
      <c r="K27" s="1886"/>
      <c r="L27" s="1886"/>
      <c r="M27" s="1887"/>
      <c r="N27" s="1886"/>
      <c r="O27" s="1886"/>
      <c r="P27" s="1888"/>
    </row>
    <row r="28" spans="1:16" s="1877" customFormat="1">
      <c r="A28" s="2216">
        <v>23</v>
      </c>
      <c r="B28" s="2555" t="s">
        <v>7045</v>
      </c>
      <c r="C28" s="2555"/>
      <c r="D28" s="1886"/>
      <c r="E28" s="1887"/>
      <c r="F28" s="1886"/>
      <c r="G28" s="1886"/>
      <c r="H28" s="1886"/>
      <c r="I28" s="1887"/>
      <c r="J28" s="1886"/>
      <c r="K28" s="1886"/>
      <c r="L28" s="1886"/>
      <c r="M28" s="1887"/>
      <c r="N28" s="1886"/>
      <c r="O28" s="1886"/>
      <c r="P28" s="1888"/>
    </row>
    <row r="29" spans="1:16" s="1877" customFormat="1" ht="16.5">
      <c r="A29" s="2061" t="s">
        <v>3538</v>
      </c>
      <c r="B29" s="1505"/>
    </row>
    <row r="30" spans="1:16" ht="16.5">
      <c r="A30" s="2396">
        <v>1</v>
      </c>
      <c r="B30" s="1515" t="s">
        <v>7046</v>
      </c>
    </row>
  </sheetData>
  <mergeCells count="11">
    <mergeCell ref="D3:G3"/>
    <mergeCell ref="H3:K3"/>
    <mergeCell ref="L3:O3"/>
    <mergeCell ref="P3:P4"/>
    <mergeCell ref="B5:C5"/>
    <mergeCell ref="B6:B20"/>
    <mergeCell ref="B21:B22"/>
    <mergeCell ref="B23:B27"/>
    <mergeCell ref="B28:C28"/>
    <mergeCell ref="A3:A5"/>
    <mergeCell ref="B3:C4"/>
  </mergeCells>
  <phoneticPr fontId="26" type="noConversion"/>
  <dataValidations count="2">
    <dataValidation type="whole" allowBlank="1" showInputMessage="1" showErrorMessage="1" errorTitle="錯誤" error="輸入資料格式錯誤!!" sqref="D6:D28 J6:L28 N6:O28 F6:H28">
      <formula1>-9.99999999999999E+28</formula1>
      <formula2>9.99999999999999E+28</formula2>
    </dataValidation>
    <dataValidation type="decimal" allowBlank="1" showInputMessage="1" showErrorMessage="1" errorTitle="錯誤" error="輸入資料格式錯誤!!" sqref="E6:E28 M6:M28 I6:I28">
      <formula1>-999999999999999000</formula1>
      <formula2>999999999999999000</formula2>
    </dataValidation>
  </dataValidation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B1:G120"/>
  <sheetViews>
    <sheetView workbookViewId="0">
      <selection activeCell="A118" sqref="A1:XFD1048576"/>
    </sheetView>
  </sheetViews>
  <sheetFormatPr defaultColWidth="15.625" defaultRowHeight="15.75"/>
  <cols>
    <col min="1" max="1" width="1.625" style="1347" customWidth="1"/>
    <col min="2" max="2" width="40.625" style="1347" customWidth="1"/>
    <col min="3" max="5" width="20.625" style="1347" customWidth="1"/>
    <col min="6" max="16384" width="15.625" style="1347"/>
  </cols>
  <sheetData>
    <row r="1" spans="2:7" ht="16.5">
      <c r="B1" s="1601" t="s">
        <v>3221</v>
      </c>
      <c r="C1" s="1602"/>
      <c r="D1" s="1602"/>
      <c r="E1" s="1575"/>
      <c r="F1" s="1575"/>
    </row>
    <row r="2" spans="2:7" ht="16.5">
      <c r="B2" s="1603" t="s">
        <v>3206</v>
      </c>
      <c r="C2" s="1604"/>
      <c r="D2" s="1604"/>
      <c r="E2" s="1605" t="s">
        <v>3203</v>
      </c>
    </row>
    <row r="3" spans="2:7" ht="20.25">
      <c r="B3" s="1599" t="s">
        <v>3204</v>
      </c>
      <c r="C3" s="1599" t="s">
        <v>3217</v>
      </c>
      <c r="D3" s="1599" t="s">
        <v>3218</v>
      </c>
      <c r="E3" s="1600" t="s">
        <v>3219</v>
      </c>
    </row>
    <row r="4" spans="2:7" ht="33">
      <c r="B4" s="1606" t="s">
        <v>3207</v>
      </c>
      <c r="C4" s="1607">
        <f>'表30-3'!D10+'表30-3'!D16+'表30-3'!D17+'表30-3'!D21</f>
        <v>0</v>
      </c>
      <c r="D4" s="1608">
        <f>IF(C11=0,0,C4/$C$11)</f>
        <v>0</v>
      </c>
      <c r="E4" s="1609">
        <f t="shared" ref="E4:E10" si="0">D4^2</f>
        <v>0</v>
      </c>
    </row>
    <row r="5" spans="2:7" ht="16.5">
      <c r="B5" s="1610" t="s">
        <v>3208</v>
      </c>
      <c r="C5" s="1611">
        <f>'表30-3'!D85+'表30-3'!D125</f>
        <v>0</v>
      </c>
      <c r="D5" s="1612">
        <f>IF(C11=0,0,C5/$C$11)</f>
        <v>0</v>
      </c>
      <c r="E5" s="1613">
        <f t="shared" si="0"/>
        <v>0</v>
      </c>
    </row>
    <row r="6" spans="2:7" ht="33">
      <c r="B6" s="1610" t="s">
        <v>3222</v>
      </c>
      <c r="C6" s="1611">
        <f>'表30-3'!D86+'表30-3'!D126+'表30-3'!D88+'表30-3'!D128</f>
        <v>0</v>
      </c>
      <c r="D6" s="1612">
        <f>IF(C11=0,0,C6/$C$11)</f>
        <v>0</v>
      </c>
      <c r="E6" s="1613">
        <f t="shared" si="0"/>
        <v>0</v>
      </c>
    </row>
    <row r="7" spans="2:7" ht="16.5">
      <c r="B7" s="1610" t="s">
        <v>6696</v>
      </c>
      <c r="C7" s="1611">
        <f>'表30-3'!D26+'表30-3'!D39+'表30-3'!D45+'表30-3'!D49</f>
        <v>0</v>
      </c>
      <c r="D7" s="1612">
        <f>IF(C11=0,0,C7/$C$11)</f>
        <v>0</v>
      </c>
      <c r="E7" s="1613">
        <f t="shared" si="0"/>
        <v>0</v>
      </c>
    </row>
    <row r="8" spans="2:7" ht="33">
      <c r="B8" s="1610" t="s">
        <v>6697</v>
      </c>
      <c r="C8" s="1611">
        <f>SUM('表30-3'!D131,'表30-3'!D91,'表30-3'!D96,'表30-3'!D136,'表30-3'!D112:D115,'表30-3'!D151:D154,'表30-3'!D87,'表30-3'!D127)</f>
        <v>0</v>
      </c>
      <c r="D8" s="1612">
        <f>IF(C11=0,0,C8/$C$11)</f>
        <v>0</v>
      </c>
      <c r="E8" s="1613">
        <f t="shared" si="0"/>
        <v>0</v>
      </c>
    </row>
    <row r="9" spans="2:7" ht="16.5">
      <c r="B9" s="1610" t="s">
        <v>3223</v>
      </c>
      <c r="C9" s="1611">
        <f>'表30-3'!D50+'表30-3'!D108+'表30-3'!D147</f>
        <v>0</v>
      </c>
      <c r="D9" s="1612">
        <f>IF(C11=0,0,C9/$C$11)</f>
        <v>0</v>
      </c>
      <c r="E9" s="1613">
        <f t="shared" si="0"/>
        <v>0</v>
      </c>
    </row>
    <row r="10" spans="2:7" ht="16.5">
      <c r="B10" s="1610" t="s">
        <v>3209</v>
      </c>
      <c r="C10" s="1611">
        <f>'表30-3'!D63+'表30-3'!D105+'表30-3'!D144</f>
        <v>0</v>
      </c>
      <c r="D10" s="1612">
        <f>IF(C11=0,0,C10/$C$11)</f>
        <v>0</v>
      </c>
      <c r="E10" s="1613">
        <f t="shared" si="0"/>
        <v>0</v>
      </c>
    </row>
    <row r="11" spans="2:7" ht="17.25" thickBot="1">
      <c r="B11" s="1614" t="s">
        <v>3210</v>
      </c>
      <c r="C11" s="1615">
        <f>SUM(C4:C10)</f>
        <v>0</v>
      </c>
      <c r="D11" s="1616"/>
      <c r="E11" s="1617">
        <f>SUM(E4:E10)</f>
        <v>0</v>
      </c>
    </row>
    <row r="12" spans="2:7" ht="16.5" thickTop="1">
      <c r="B12" s="1618" t="s">
        <v>3220</v>
      </c>
      <c r="C12" s="1619"/>
      <c r="D12" s="1620"/>
      <c r="E12" s="1621">
        <f>VLOOKUP($E$11,D16:E21,2)</f>
        <v>1</v>
      </c>
      <c r="F12" s="1622"/>
    </row>
    <row r="13" spans="2:7">
      <c r="B13" s="1623"/>
      <c r="C13" s="1604"/>
      <c r="D13" s="1604"/>
      <c r="E13" s="1604"/>
      <c r="F13" s="1604"/>
    </row>
    <row r="14" spans="2:7">
      <c r="B14" s="1623"/>
      <c r="C14" s="3108" t="s">
        <v>3201</v>
      </c>
      <c r="D14" s="3108"/>
      <c r="E14" s="3108"/>
      <c r="F14" s="1604"/>
    </row>
    <row r="15" spans="2:7" ht="16.5">
      <c r="B15" s="1623"/>
      <c r="C15" s="1624" t="s">
        <v>92</v>
      </c>
      <c r="D15" s="1625" t="s">
        <v>3205</v>
      </c>
      <c r="E15" s="1599" t="s">
        <v>3202</v>
      </c>
      <c r="F15" s="1604"/>
    </row>
    <row r="16" spans="2:7" ht="33">
      <c r="B16" s="1623"/>
      <c r="C16" s="1598" t="s">
        <v>3211</v>
      </c>
      <c r="D16" s="1609">
        <v>0</v>
      </c>
      <c r="E16" s="1609">
        <v>1</v>
      </c>
      <c r="F16" s="1626"/>
      <c r="G16" s="1627"/>
    </row>
    <row r="17" spans="2:7" ht="16.5">
      <c r="B17" s="1623"/>
      <c r="C17" s="1628" t="s">
        <v>3212</v>
      </c>
      <c r="D17" s="1629">
        <f>1/6</f>
        <v>0.16666666666666666</v>
      </c>
      <c r="E17" s="1629">
        <v>1.0149999999999999</v>
      </c>
      <c r="F17" s="1627"/>
      <c r="G17" s="1627"/>
    </row>
    <row r="18" spans="2:7" ht="16.5">
      <c r="B18" s="1623"/>
      <c r="C18" s="1628" t="s">
        <v>3213</v>
      </c>
      <c r="D18" s="1629">
        <f>1/5</f>
        <v>0.2</v>
      </c>
      <c r="E18" s="1629">
        <v>1.02</v>
      </c>
      <c r="F18" s="1627"/>
      <c r="G18" s="1627"/>
    </row>
    <row r="19" spans="2:7" ht="16.5">
      <c r="B19" s="1623"/>
      <c r="C19" s="1630" t="s">
        <v>3214</v>
      </c>
      <c r="D19" s="1613">
        <f>1/4</f>
        <v>0.25</v>
      </c>
      <c r="E19" s="1613">
        <v>1.04</v>
      </c>
      <c r="F19" s="1627"/>
      <c r="G19" s="1627"/>
    </row>
    <row r="20" spans="2:7" ht="16.5">
      <c r="B20" s="1623"/>
      <c r="C20" s="1630" t="s">
        <v>3215</v>
      </c>
      <c r="D20" s="1613">
        <f>1/3</f>
        <v>0.33333333333333331</v>
      </c>
      <c r="E20" s="1613">
        <v>1.08</v>
      </c>
      <c r="F20" s="1627"/>
      <c r="G20" s="1627"/>
    </row>
    <row r="21" spans="2:7" ht="16.5">
      <c r="B21" s="1623"/>
      <c r="C21" s="1631" t="s">
        <v>3216</v>
      </c>
      <c r="D21" s="1632">
        <f>1/2</f>
        <v>0.5</v>
      </c>
      <c r="E21" s="1632">
        <v>1.1599999999999999</v>
      </c>
      <c r="F21" s="1627"/>
      <c r="G21" s="1627"/>
    </row>
    <row r="22" spans="2:7">
      <c r="B22" s="1623"/>
      <c r="C22" s="1604"/>
      <c r="D22" s="1604"/>
      <c r="E22" s="1604"/>
      <c r="F22" s="1604"/>
    </row>
    <row r="120" spans="7:7">
      <c r="G120" s="1633"/>
    </row>
  </sheetData>
  <mergeCells count="1">
    <mergeCell ref="C14:E14"/>
  </mergeCells>
  <phoneticPr fontId="26" type="noConversion"/>
  <printOptions horizontalCentered="1"/>
  <pageMargins left="0.7" right="0.7" top="0.75" bottom="0.75" header="0.3" footer="0.3"/>
  <pageSetup paperSize="9" orientation="landscape" cellComments="asDisplayed" horizontalDpi="4294967295" verticalDpi="4294967295" r:id="rId1"/>
  <headerFooter alignWithMargins="0">
    <oddFooter>&amp;C&amp;"Times New Roman,標準"164&amp;R&amp;"Times New Roman,標準"&amp;A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D149"/>
  <sheetViews>
    <sheetView showGridLines="0" zoomScaleNormal="100" zoomScaleSheetLayoutView="100" workbookViewId="0">
      <selection activeCell="B109" sqref="B109"/>
    </sheetView>
  </sheetViews>
  <sheetFormatPr defaultColWidth="8.875" defaultRowHeight="14.25"/>
  <cols>
    <col min="1" max="1" width="47.625" style="221" customWidth="1"/>
    <col min="2" max="2" width="18.125" style="294" customWidth="1"/>
    <col min="3" max="3" width="24.375" style="223" customWidth="1"/>
    <col min="4" max="4" width="12.25" style="222" customWidth="1"/>
    <col min="5" max="16384" width="8.875" style="209"/>
  </cols>
  <sheetData>
    <row r="1" spans="1:4">
      <c r="A1" s="105" t="str">
        <f>表03!A1</f>
        <v xml:space="preserve"> 保險股份有限公司    年度(月)報表</v>
      </c>
      <c r="B1" s="290"/>
      <c r="C1" s="208"/>
      <c r="D1" s="207"/>
    </row>
    <row r="2" spans="1:4">
      <c r="A2" s="210" t="s">
        <v>466</v>
      </c>
      <c r="B2" s="291"/>
      <c r="C2" s="208"/>
      <c r="D2" s="211"/>
    </row>
    <row r="3" spans="1:4" ht="15" thickBot="1">
      <c r="A3" s="207" t="s">
        <v>467</v>
      </c>
      <c r="B3" s="291"/>
      <c r="C3" s="208"/>
      <c r="D3" s="4" t="s">
        <v>269</v>
      </c>
    </row>
    <row r="4" spans="1:4" ht="16.5">
      <c r="A4" s="212" t="s">
        <v>468</v>
      </c>
      <c r="B4" s="302" t="s">
        <v>186</v>
      </c>
      <c r="C4" s="304" t="s">
        <v>1765</v>
      </c>
      <c r="D4" s="303" t="s">
        <v>1766</v>
      </c>
    </row>
    <row r="5" spans="1:4">
      <c r="A5" s="119" t="s">
        <v>242</v>
      </c>
      <c r="B5" s="409">
        <f>B6+B47</f>
        <v>0</v>
      </c>
      <c r="C5" s="410" t="e">
        <f>C6+C47</f>
        <v>#DIV/0!</v>
      </c>
      <c r="D5" s="411" t="e">
        <f>D6+D47</f>
        <v>#DIV/0!</v>
      </c>
    </row>
    <row r="6" spans="1:4">
      <c r="A6" s="120" t="s">
        <v>827</v>
      </c>
      <c r="B6" s="409">
        <f>B7+B38</f>
        <v>0</v>
      </c>
      <c r="C6" s="412" t="e">
        <f>C7+C38</f>
        <v>#DIV/0!</v>
      </c>
      <c r="D6" s="413" t="e">
        <f>D7+D38</f>
        <v>#DIV/0!</v>
      </c>
    </row>
    <row r="7" spans="1:4">
      <c r="A7" s="526" t="s">
        <v>828</v>
      </c>
      <c r="B7" s="409">
        <f>SUM(B8:B37)</f>
        <v>0</v>
      </c>
      <c r="C7" s="412" t="e">
        <f>SUM(C8:C37)</f>
        <v>#DIV/0!</v>
      </c>
      <c r="D7" s="413" t="e">
        <f>SUM(D8:D37)</f>
        <v>#DIV/0!</v>
      </c>
    </row>
    <row r="8" spans="1:4">
      <c r="A8" s="527" t="s">
        <v>829</v>
      </c>
      <c r="B8" s="409">
        <f>'表30-5'!C8</f>
        <v>0</v>
      </c>
      <c r="C8" s="412" t="e">
        <f t="shared" ref="C8:C37" si="0">B8/$B$69</f>
        <v>#DIV/0!</v>
      </c>
      <c r="D8" s="413" t="e">
        <f t="shared" ref="D8:D37" si="1">C8^2</f>
        <v>#DIV/0!</v>
      </c>
    </row>
    <row r="9" spans="1:4">
      <c r="A9" s="527" t="s">
        <v>830</v>
      </c>
      <c r="B9" s="409">
        <f>'表30-5'!C9</f>
        <v>0</v>
      </c>
      <c r="C9" s="412" t="e">
        <f>B9/$B$69</f>
        <v>#DIV/0!</v>
      </c>
      <c r="D9" s="413" t="e">
        <f t="shared" si="1"/>
        <v>#DIV/0!</v>
      </c>
    </row>
    <row r="10" spans="1:4">
      <c r="A10" s="527" t="s">
        <v>831</v>
      </c>
      <c r="B10" s="409">
        <f>'表30-5'!C10</f>
        <v>0</v>
      </c>
      <c r="C10" s="412" t="e">
        <f t="shared" si="0"/>
        <v>#DIV/0!</v>
      </c>
      <c r="D10" s="413" t="e">
        <f t="shared" si="1"/>
        <v>#DIV/0!</v>
      </c>
    </row>
    <row r="11" spans="1:4">
      <c r="A11" s="527" t="s">
        <v>832</v>
      </c>
      <c r="B11" s="409">
        <f>'表30-5'!C11</f>
        <v>0</v>
      </c>
      <c r="C11" s="412" t="e">
        <f t="shared" si="0"/>
        <v>#DIV/0!</v>
      </c>
      <c r="D11" s="413" t="e">
        <f t="shared" si="1"/>
        <v>#DIV/0!</v>
      </c>
    </row>
    <row r="12" spans="1:4">
      <c r="A12" s="527" t="s">
        <v>833</v>
      </c>
      <c r="B12" s="409">
        <f>'表30-5'!C12</f>
        <v>0</v>
      </c>
      <c r="C12" s="412" t="e">
        <f t="shared" si="0"/>
        <v>#DIV/0!</v>
      </c>
      <c r="D12" s="413" t="e">
        <f t="shared" si="1"/>
        <v>#DIV/0!</v>
      </c>
    </row>
    <row r="13" spans="1:4">
      <c r="A13" s="527" t="s">
        <v>834</v>
      </c>
      <c r="B13" s="409">
        <f>'表30-5'!C13</f>
        <v>0</v>
      </c>
      <c r="C13" s="412" t="e">
        <f t="shared" si="0"/>
        <v>#DIV/0!</v>
      </c>
      <c r="D13" s="413" t="e">
        <f t="shared" si="1"/>
        <v>#DIV/0!</v>
      </c>
    </row>
    <row r="14" spans="1:4">
      <c r="A14" s="527" t="s">
        <v>835</v>
      </c>
      <c r="B14" s="409">
        <f>'表30-5'!C14</f>
        <v>0</v>
      </c>
      <c r="C14" s="412" t="e">
        <f t="shared" si="0"/>
        <v>#DIV/0!</v>
      </c>
      <c r="D14" s="413" t="e">
        <f t="shared" si="1"/>
        <v>#DIV/0!</v>
      </c>
    </row>
    <row r="15" spans="1:4">
      <c r="A15" s="527" t="s">
        <v>836</v>
      </c>
      <c r="B15" s="409">
        <f>'表30-5'!C15</f>
        <v>0</v>
      </c>
      <c r="C15" s="412" t="e">
        <f t="shared" si="0"/>
        <v>#DIV/0!</v>
      </c>
      <c r="D15" s="413" t="e">
        <f t="shared" si="1"/>
        <v>#DIV/0!</v>
      </c>
    </row>
    <row r="16" spans="1:4">
      <c r="A16" s="527" t="s">
        <v>837</v>
      </c>
      <c r="B16" s="409">
        <f>'表30-5'!C16</f>
        <v>0</v>
      </c>
      <c r="C16" s="412" t="e">
        <f t="shared" si="0"/>
        <v>#DIV/0!</v>
      </c>
      <c r="D16" s="413" t="e">
        <f t="shared" si="1"/>
        <v>#DIV/0!</v>
      </c>
    </row>
    <row r="17" spans="1:4">
      <c r="A17" s="527" t="s">
        <v>838</v>
      </c>
      <c r="B17" s="409">
        <f>'表30-5'!C17</f>
        <v>0</v>
      </c>
      <c r="C17" s="412" t="e">
        <f t="shared" si="0"/>
        <v>#DIV/0!</v>
      </c>
      <c r="D17" s="413" t="e">
        <f t="shared" si="1"/>
        <v>#DIV/0!</v>
      </c>
    </row>
    <row r="18" spans="1:4">
      <c r="A18" s="527" t="s">
        <v>839</v>
      </c>
      <c r="B18" s="409">
        <f>'表30-5'!C18</f>
        <v>0</v>
      </c>
      <c r="C18" s="412" t="e">
        <f t="shared" si="0"/>
        <v>#DIV/0!</v>
      </c>
      <c r="D18" s="413" t="e">
        <f t="shared" si="1"/>
        <v>#DIV/0!</v>
      </c>
    </row>
    <row r="19" spans="1:4">
      <c r="A19" s="527" t="s">
        <v>840</v>
      </c>
      <c r="B19" s="409">
        <f>'表30-5'!C19</f>
        <v>0</v>
      </c>
      <c r="C19" s="412" t="e">
        <f t="shared" si="0"/>
        <v>#DIV/0!</v>
      </c>
      <c r="D19" s="413" t="e">
        <f t="shared" si="1"/>
        <v>#DIV/0!</v>
      </c>
    </row>
    <row r="20" spans="1:4">
      <c r="A20" s="527" t="s">
        <v>841</v>
      </c>
      <c r="B20" s="409">
        <f>'表30-5'!C20</f>
        <v>0</v>
      </c>
      <c r="C20" s="412" t="e">
        <f t="shared" si="0"/>
        <v>#DIV/0!</v>
      </c>
      <c r="D20" s="413" t="e">
        <f t="shared" si="1"/>
        <v>#DIV/0!</v>
      </c>
    </row>
    <row r="21" spans="1:4">
      <c r="A21" s="527" t="s">
        <v>842</v>
      </c>
      <c r="B21" s="409">
        <f>'表30-5'!C21</f>
        <v>0</v>
      </c>
      <c r="C21" s="412" t="e">
        <f t="shared" si="0"/>
        <v>#DIV/0!</v>
      </c>
      <c r="D21" s="413" t="e">
        <f t="shared" si="1"/>
        <v>#DIV/0!</v>
      </c>
    </row>
    <row r="22" spans="1:4">
      <c r="A22" s="527" t="s">
        <v>843</v>
      </c>
      <c r="B22" s="409">
        <f>'表30-5'!C22</f>
        <v>0</v>
      </c>
      <c r="C22" s="412" t="e">
        <f t="shared" si="0"/>
        <v>#DIV/0!</v>
      </c>
      <c r="D22" s="413" t="e">
        <f t="shared" si="1"/>
        <v>#DIV/0!</v>
      </c>
    </row>
    <row r="23" spans="1:4">
      <c r="A23" s="527" t="s">
        <v>844</v>
      </c>
      <c r="B23" s="409">
        <f>'表30-5'!C23</f>
        <v>0</v>
      </c>
      <c r="C23" s="412" t="e">
        <f t="shared" si="0"/>
        <v>#DIV/0!</v>
      </c>
      <c r="D23" s="413" t="e">
        <f t="shared" si="1"/>
        <v>#DIV/0!</v>
      </c>
    </row>
    <row r="24" spans="1:4">
      <c r="A24" s="527" t="s">
        <v>845</v>
      </c>
      <c r="B24" s="409">
        <f>'表30-5'!C24</f>
        <v>0</v>
      </c>
      <c r="C24" s="412" t="e">
        <f t="shared" si="0"/>
        <v>#DIV/0!</v>
      </c>
      <c r="D24" s="413" t="e">
        <f t="shared" si="1"/>
        <v>#DIV/0!</v>
      </c>
    </row>
    <row r="25" spans="1:4">
      <c r="A25" s="527" t="s">
        <v>846</v>
      </c>
      <c r="B25" s="409">
        <f>'表30-5'!C25</f>
        <v>0</v>
      </c>
      <c r="C25" s="412" t="e">
        <f t="shared" si="0"/>
        <v>#DIV/0!</v>
      </c>
      <c r="D25" s="413" t="e">
        <f t="shared" si="1"/>
        <v>#DIV/0!</v>
      </c>
    </row>
    <row r="26" spans="1:4">
      <c r="A26" s="527" t="s">
        <v>847</v>
      </c>
      <c r="B26" s="409">
        <f>'表30-5'!C26</f>
        <v>0</v>
      </c>
      <c r="C26" s="412" t="e">
        <f t="shared" si="0"/>
        <v>#DIV/0!</v>
      </c>
      <c r="D26" s="413" t="e">
        <f t="shared" si="1"/>
        <v>#DIV/0!</v>
      </c>
    </row>
    <row r="27" spans="1:4">
      <c r="A27" s="527" t="s">
        <v>848</v>
      </c>
      <c r="B27" s="409">
        <f>'表30-5'!C27</f>
        <v>0</v>
      </c>
      <c r="C27" s="412" t="e">
        <f t="shared" si="0"/>
        <v>#DIV/0!</v>
      </c>
      <c r="D27" s="413" t="e">
        <f t="shared" si="1"/>
        <v>#DIV/0!</v>
      </c>
    </row>
    <row r="28" spans="1:4">
      <c r="A28" s="527" t="s">
        <v>849</v>
      </c>
      <c r="B28" s="409">
        <f>'表30-5'!C28</f>
        <v>0</v>
      </c>
      <c r="C28" s="412" t="e">
        <f t="shared" si="0"/>
        <v>#DIV/0!</v>
      </c>
      <c r="D28" s="413" t="e">
        <f t="shared" si="1"/>
        <v>#DIV/0!</v>
      </c>
    </row>
    <row r="29" spans="1:4">
      <c r="A29" s="527" t="s">
        <v>850</v>
      </c>
      <c r="B29" s="409">
        <f>'表30-5'!C29</f>
        <v>0</v>
      </c>
      <c r="C29" s="412" t="e">
        <f t="shared" si="0"/>
        <v>#DIV/0!</v>
      </c>
      <c r="D29" s="413" t="e">
        <f t="shared" si="1"/>
        <v>#DIV/0!</v>
      </c>
    </row>
    <row r="30" spans="1:4">
      <c r="A30" s="527" t="s">
        <v>851</v>
      </c>
      <c r="B30" s="409">
        <f>'表30-5'!C30</f>
        <v>0</v>
      </c>
      <c r="C30" s="412" t="e">
        <f t="shared" si="0"/>
        <v>#DIV/0!</v>
      </c>
      <c r="D30" s="413" t="e">
        <f t="shared" si="1"/>
        <v>#DIV/0!</v>
      </c>
    </row>
    <row r="31" spans="1:4">
      <c r="A31" s="527" t="s">
        <v>852</v>
      </c>
      <c r="B31" s="409">
        <f>'表30-5'!C31</f>
        <v>0</v>
      </c>
      <c r="C31" s="412" t="e">
        <f t="shared" si="0"/>
        <v>#DIV/0!</v>
      </c>
      <c r="D31" s="413" t="e">
        <f t="shared" si="1"/>
        <v>#DIV/0!</v>
      </c>
    </row>
    <row r="32" spans="1:4">
      <c r="A32" s="527" t="s">
        <v>853</v>
      </c>
      <c r="B32" s="409">
        <f>'表30-5'!C32</f>
        <v>0</v>
      </c>
      <c r="C32" s="412" t="e">
        <f t="shared" si="0"/>
        <v>#DIV/0!</v>
      </c>
      <c r="D32" s="413" t="e">
        <f t="shared" si="1"/>
        <v>#DIV/0!</v>
      </c>
    </row>
    <row r="33" spans="1:4">
      <c r="A33" s="527" t="s">
        <v>854</v>
      </c>
      <c r="B33" s="409">
        <f>'表30-5'!C33</f>
        <v>0</v>
      </c>
      <c r="C33" s="412" t="e">
        <f t="shared" si="0"/>
        <v>#DIV/0!</v>
      </c>
      <c r="D33" s="413" t="e">
        <f t="shared" si="1"/>
        <v>#DIV/0!</v>
      </c>
    </row>
    <row r="34" spans="1:4">
      <c r="A34" s="527" t="s">
        <v>855</v>
      </c>
      <c r="B34" s="409">
        <f>'表30-5'!C34</f>
        <v>0</v>
      </c>
      <c r="C34" s="412" t="e">
        <f t="shared" si="0"/>
        <v>#DIV/0!</v>
      </c>
      <c r="D34" s="413" t="e">
        <f t="shared" si="1"/>
        <v>#DIV/0!</v>
      </c>
    </row>
    <row r="35" spans="1:4">
      <c r="A35" s="527" t="s">
        <v>856</v>
      </c>
      <c r="B35" s="409">
        <f>'表30-5'!C35</f>
        <v>0</v>
      </c>
      <c r="C35" s="412" t="e">
        <f t="shared" si="0"/>
        <v>#DIV/0!</v>
      </c>
      <c r="D35" s="413" t="e">
        <f t="shared" si="1"/>
        <v>#DIV/0!</v>
      </c>
    </row>
    <row r="36" spans="1:4">
      <c r="A36" s="527" t="s">
        <v>857</v>
      </c>
      <c r="B36" s="409">
        <f>'表30-5'!C36</f>
        <v>0</v>
      </c>
      <c r="C36" s="412" t="e">
        <f>B36/$B$69</f>
        <v>#DIV/0!</v>
      </c>
      <c r="D36" s="413" t="e">
        <f>C36^2</f>
        <v>#DIV/0!</v>
      </c>
    </row>
    <row r="37" spans="1:4">
      <c r="A37" s="527" t="s">
        <v>858</v>
      </c>
      <c r="B37" s="409">
        <f>'表30-5'!C37</f>
        <v>0</v>
      </c>
      <c r="C37" s="412" t="e">
        <f t="shared" si="0"/>
        <v>#DIV/0!</v>
      </c>
      <c r="D37" s="413" t="e">
        <f t="shared" si="1"/>
        <v>#DIV/0!</v>
      </c>
    </row>
    <row r="38" spans="1:4">
      <c r="A38" s="526" t="s">
        <v>859</v>
      </c>
      <c r="B38" s="409">
        <f>SUM(B39:B46)</f>
        <v>0</v>
      </c>
      <c r="C38" s="412" t="e">
        <f>SUM(C39:C46)</f>
        <v>#DIV/0!</v>
      </c>
      <c r="D38" s="413" t="e">
        <f>SUM(D39:D46)</f>
        <v>#DIV/0!</v>
      </c>
    </row>
    <row r="39" spans="1:4">
      <c r="A39" s="527" t="s">
        <v>871</v>
      </c>
      <c r="B39" s="409">
        <f>'表30-5'!C39</f>
        <v>0</v>
      </c>
      <c r="C39" s="412" t="e">
        <f t="shared" ref="C39:C46" si="2">B39/$B$69</f>
        <v>#DIV/0!</v>
      </c>
      <c r="D39" s="413" t="e">
        <f t="shared" ref="D39:D46" si="3">C39^2</f>
        <v>#DIV/0!</v>
      </c>
    </row>
    <row r="40" spans="1:4">
      <c r="A40" s="527" t="s">
        <v>872</v>
      </c>
      <c r="B40" s="409">
        <f>'表30-5'!C40</f>
        <v>0</v>
      </c>
      <c r="C40" s="412" t="e">
        <f t="shared" si="2"/>
        <v>#DIV/0!</v>
      </c>
      <c r="D40" s="413" t="e">
        <f t="shared" si="3"/>
        <v>#DIV/0!</v>
      </c>
    </row>
    <row r="41" spans="1:4">
      <c r="A41" s="527" t="s">
        <v>873</v>
      </c>
      <c r="B41" s="409">
        <f>'表30-5'!C41</f>
        <v>0</v>
      </c>
      <c r="C41" s="412" t="e">
        <f t="shared" si="2"/>
        <v>#DIV/0!</v>
      </c>
      <c r="D41" s="413" t="e">
        <f t="shared" si="3"/>
        <v>#DIV/0!</v>
      </c>
    </row>
    <row r="42" spans="1:4">
      <c r="A42" s="527" t="s">
        <v>874</v>
      </c>
      <c r="B42" s="409">
        <f>'表30-5'!C42</f>
        <v>0</v>
      </c>
      <c r="C42" s="412" t="e">
        <f t="shared" si="2"/>
        <v>#DIV/0!</v>
      </c>
      <c r="D42" s="413" t="e">
        <f t="shared" si="3"/>
        <v>#DIV/0!</v>
      </c>
    </row>
    <row r="43" spans="1:4">
      <c r="A43" s="527" t="s">
        <v>875</v>
      </c>
      <c r="B43" s="409">
        <f>'表30-5'!C43</f>
        <v>0</v>
      </c>
      <c r="C43" s="412" t="e">
        <f t="shared" si="2"/>
        <v>#DIV/0!</v>
      </c>
      <c r="D43" s="413" t="e">
        <f t="shared" si="3"/>
        <v>#DIV/0!</v>
      </c>
    </row>
    <row r="44" spans="1:4">
      <c r="A44" s="527" t="s">
        <v>876</v>
      </c>
      <c r="B44" s="409">
        <f>'表30-5'!C44</f>
        <v>0</v>
      </c>
      <c r="C44" s="412" t="e">
        <f t="shared" si="2"/>
        <v>#DIV/0!</v>
      </c>
      <c r="D44" s="413" t="e">
        <f t="shared" si="3"/>
        <v>#DIV/0!</v>
      </c>
    </row>
    <row r="45" spans="1:4">
      <c r="A45" s="527" t="s">
        <v>877</v>
      </c>
      <c r="B45" s="409">
        <f>'表30-5'!C45</f>
        <v>0</v>
      </c>
      <c r="C45" s="412" t="e">
        <f t="shared" si="2"/>
        <v>#DIV/0!</v>
      </c>
      <c r="D45" s="413" t="e">
        <f t="shared" si="3"/>
        <v>#DIV/0!</v>
      </c>
    </row>
    <row r="46" spans="1:4">
      <c r="A46" s="527" t="s">
        <v>878</v>
      </c>
      <c r="B46" s="409">
        <f>'表30-5'!C46</f>
        <v>0</v>
      </c>
      <c r="C46" s="412" t="e">
        <f t="shared" si="2"/>
        <v>#DIV/0!</v>
      </c>
      <c r="D46" s="413" t="e">
        <f t="shared" si="3"/>
        <v>#DIV/0!</v>
      </c>
    </row>
    <row r="47" spans="1:4">
      <c r="A47" s="120" t="s">
        <v>860</v>
      </c>
      <c r="B47" s="409">
        <f>B48+B56</f>
        <v>0</v>
      </c>
      <c r="C47" s="412" t="e">
        <f>C48+C56</f>
        <v>#DIV/0!</v>
      </c>
      <c r="D47" s="413" t="e">
        <f>D48+D56</f>
        <v>#DIV/0!</v>
      </c>
    </row>
    <row r="48" spans="1:4">
      <c r="A48" s="526" t="s">
        <v>861</v>
      </c>
      <c r="B48" s="409">
        <f>SUM(B49:B52,B54:B55)</f>
        <v>0</v>
      </c>
      <c r="C48" s="412" t="e">
        <f>SUM(C49:C52,C54:C55)</f>
        <v>#DIV/0!</v>
      </c>
      <c r="D48" s="413" t="e">
        <f>SUM(D49:D52,D54:D55)</f>
        <v>#DIV/0!</v>
      </c>
    </row>
    <row r="49" spans="1:4">
      <c r="A49" s="527" t="s">
        <v>879</v>
      </c>
      <c r="B49" s="409">
        <f>'表30-5'!C49</f>
        <v>0</v>
      </c>
      <c r="C49" s="412" t="e">
        <f t="shared" ref="C49:C55" si="4">B49/$B$69</f>
        <v>#DIV/0!</v>
      </c>
      <c r="D49" s="413" t="e">
        <f t="shared" ref="D49:D55" si="5">C49^2</f>
        <v>#DIV/0!</v>
      </c>
    </row>
    <row r="50" spans="1:4">
      <c r="A50" s="527" t="s">
        <v>880</v>
      </c>
      <c r="B50" s="409">
        <f>'表30-5'!C50</f>
        <v>0</v>
      </c>
      <c r="C50" s="412" t="e">
        <f t="shared" si="4"/>
        <v>#DIV/0!</v>
      </c>
      <c r="D50" s="413" t="e">
        <f t="shared" si="5"/>
        <v>#DIV/0!</v>
      </c>
    </row>
    <row r="51" spans="1:4">
      <c r="A51" s="527" t="s">
        <v>1767</v>
      </c>
      <c r="B51" s="409">
        <f>'表30-5'!C51</f>
        <v>0</v>
      </c>
      <c r="C51" s="412" t="e">
        <f t="shared" si="4"/>
        <v>#DIV/0!</v>
      </c>
      <c r="D51" s="413" t="e">
        <f t="shared" si="5"/>
        <v>#DIV/0!</v>
      </c>
    </row>
    <row r="52" spans="1:4">
      <c r="A52" s="527" t="s">
        <v>881</v>
      </c>
      <c r="B52" s="409">
        <f>'表30-5'!C52</f>
        <v>0</v>
      </c>
      <c r="C52" s="412" t="e">
        <f t="shared" si="4"/>
        <v>#DIV/0!</v>
      </c>
      <c r="D52" s="413" t="e">
        <f t="shared" si="5"/>
        <v>#DIV/0!</v>
      </c>
    </row>
    <row r="53" spans="1:4">
      <c r="A53" s="527" t="s">
        <v>882</v>
      </c>
      <c r="B53" s="409">
        <f>'表30-5'!C53</f>
        <v>0</v>
      </c>
      <c r="C53" s="412" t="e">
        <f t="shared" si="4"/>
        <v>#DIV/0!</v>
      </c>
      <c r="D53" s="413" t="e">
        <f t="shared" si="5"/>
        <v>#DIV/0!</v>
      </c>
    </row>
    <row r="54" spans="1:4">
      <c r="A54" s="527" t="s">
        <v>1490</v>
      </c>
      <c r="B54" s="409">
        <f>'表30-5'!C54</f>
        <v>0</v>
      </c>
      <c r="C54" s="412" t="e">
        <f t="shared" si="4"/>
        <v>#DIV/0!</v>
      </c>
      <c r="D54" s="413" t="e">
        <f t="shared" si="5"/>
        <v>#DIV/0!</v>
      </c>
    </row>
    <row r="55" spans="1:4">
      <c r="A55" s="527" t="s">
        <v>1491</v>
      </c>
      <c r="B55" s="409">
        <f>'表30-5'!C55</f>
        <v>0</v>
      </c>
      <c r="C55" s="412" t="e">
        <f t="shared" si="4"/>
        <v>#DIV/0!</v>
      </c>
      <c r="D55" s="413" t="e">
        <f t="shared" si="5"/>
        <v>#DIV/0!</v>
      </c>
    </row>
    <row r="56" spans="1:4">
      <c r="A56" s="526" t="s">
        <v>862</v>
      </c>
      <c r="B56" s="409">
        <f>SUM(B57:B60)</f>
        <v>0</v>
      </c>
      <c r="C56" s="412" t="e">
        <f>SUM(C57:C60)</f>
        <v>#DIV/0!</v>
      </c>
      <c r="D56" s="413" t="e">
        <f>SUM(D57:D60)</f>
        <v>#DIV/0!</v>
      </c>
    </row>
    <row r="57" spans="1:4">
      <c r="A57" s="527" t="s">
        <v>883</v>
      </c>
      <c r="B57" s="409">
        <f>'表30-5'!C57</f>
        <v>0</v>
      </c>
      <c r="C57" s="412" t="e">
        <f>B57/$B$69</f>
        <v>#DIV/0!</v>
      </c>
      <c r="D57" s="413" t="e">
        <f>C57^2</f>
        <v>#DIV/0!</v>
      </c>
    </row>
    <row r="58" spans="1:4">
      <c r="A58" s="527" t="s">
        <v>884</v>
      </c>
      <c r="B58" s="409">
        <f>'表30-5'!C58</f>
        <v>0</v>
      </c>
      <c r="C58" s="412" t="e">
        <f>B58/$B$69</f>
        <v>#DIV/0!</v>
      </c>
      <c r="D58" s="413" t="e">
        <f>C58^2</f>
        <v>#DIV/0!</v>
      </c>
    </row>
    <row r="59" spans="1:4">
      <c r="A59" s="527" t="s">
        <v>1768</v>
      </c>
      <c r="B59" s="409">
        <f>'表30-5'!C59</f>
        <v>0</v>
      </c>
      <c r="C59" s="412" t="e">
        <f>B59/$B$69</f>
        <v>#DIV/0!</v>
      </c>
      <c r="D59" s="413" t="e">
        <f>C59^2</f>
        <v>#DIV/0!</v>
      </c>
    </row>
    <row r="60" spans="1:4">
      <c r="A60" s="527" t="s">
        <v>885</v>
      </c>
      <c r="B60" s="409">
        <f>'表30-5'!C60</f>
        <v>0</v>
      </c>
      <c r="C60" s="412" t="e">
        <f>B60/$B$69</f>
        <v>#DIV/0!</v>
      </c>
      <c r="D60" s="413" t="e">
        <f>C60^2</f>
        <v>#DIV/0!</v>
      </c>
    </row>
    <row r="61" spans="1:4">
      <c r="A61" s="527" t="s">
        <v>886</v>
      </c>
      <c r="B61" s="409">
        <f>'表30-5'!C61</f>
        <v>0</v>
      </c>
      <c r="C61" s="412" t="e">
        <f>B61/$B$69</f>
        <v>#DIV/0!</v>
      </c>
      <c r="D61" s="413" t="e">
        <f>C61^2</f>
        <v>#DIV/0!</v>
      </c>
    </row>
    <row r="62" spans="1:4">
      <c r="A62" s="119" t="s">
        <v>261</v>
      </c>
      <c r="B62" s="409">
        <f>B63+B66</f>
        <v>0</v>
      </c>
      <c r="C62" s="412" t="e">
        <f>C63+C66</f>
        <v>#DIV/0!</v>
      </c>
      <c r="D62" s="413" t="e">
        <f>D63+D66</f>
        <v>#DIV/0!</v>
      </c>
    </row>
    <row r="63" spans="1:4">
      <c r="A63" s="120" t="s">
        <v>863</v>
      </c>
      <c r="B63" s="409">
        <f>SUM(B64:B65)</f>
        <v>0</v>
      </c>
      <c r="C63" s="412" t="e">
        <f>SUM(C64:C65)</f>
        <v>#DIV/0!</v>
      </c>
      <c r="D63" s="413" t="e">
        <f>SUM(D64:D65)</f>
        <v>#DIV/0!</v>
      </c>
    </row>
    <row r="64" spans="1:4">
      <c r="A64" s="526" t="s">
        <v>887</v>
      </c>
      <c r="B64" s="409">
        <f>'表30-5'!C64</f>
        <v>0</v>
      </c>
      <c r="C64" s="412" t="e">
        <f>B64/$B$69</f>
        <v>#DIV/0!</v>
      </c>
      <c r="D64" s="413" t="e">
        <f>C64^2</f>
        <v>#DIV/0!</v>
      </c>
    </row>
    <row r="65" spans="1:4">
      <c r="A65" s="526" t="s">
        <v>888</v>
      </c>
      <c r="B65" s="409">
        <f>'表30-5'!C65</f>
        <v>0</v>
      </c>
      <c r="C65" s="412" t="e">
        <f>B65/$B$69</f>
        <v>#DIV/0!</v>
      </c>
      <c r="D65" s="413" t="e">
        <f>C65^2</f>
        <v>#DIV/0!</v>
      </c>
    </row>
    <row r="66" spans="1:4">
      <c r="A66" s="120" t="s">
        <v>864</v>
      </c>
      <c r="B66" s="409">
        <f>SUM(B67:B68)</f>
        <v>0</v>
      </c>
      <c r="C66" s="412" t="e">
        <f>SUM(C67:C68)</f>
        <v>#DIV/0!</v>
      </c>
      <c r="D66" s="413" t="e">
        <f>SUM(D67:D68)</f>
        <v>#DIV/0!</v>
      </c>
    </row>
    <row r="67" spans="1:4">
      <c r="A67" s="526" t="s">
        <v>889</v>
      </c>
      <c r="B67" s="409">
        <f>'表30-5'!C67</f>
        <v>0</v>
      </c>
      <c r="C67" s="412" t="e">
        <f>B67/$B$69</f>
        <v>#DIV/0!</v>
      </c>
      <c r="D67" s="413" t="e">
        <f>C67^2</f>
        <v>#DIV/0!</v>
      </c>
    </row>
    <row r="68" spans="1:4">
      <c r="A68" s="526" t="s">
        <v>890</v>
      </c>
      <c r="B68" s="409">
        <f>'表30-5'!C68</f>
        <v>0</v>
      </c>
      <c r="C68" s="412" t="e">
        <f>B68/$B$69</f>
        <v>#DIV/0!</v>
      </c>
      <c r="D68" s="413" t="e">
        <f>C68^2</f>
        <v>#DIV/0!</v>
      </c>
    </row>
    <row r="69" spans="1:4" ht="15" thickBot="1">
      <c r="A69" s="213" t="s">
        <v>376</v>
      </c>
      <c r="B69" s="414">
        <f>B62+B5</f>
        <v>0</v>
      </c>
      <c r="C69" s="415" t="e">
        <f>C62+C5</f>
        <v>#DIV/0!</v>
      </c>
      <c r="D69" s="416" t="e">
        <f>D62+D5</f>
        <v>#DIV/0!</v>
      </c>
    </row>
    <row r="70" spans="1:4" ht="15.75" thickTop="1" thickBot="1">
      <c r="A70" s="214" t="s">
        <v>377</v>
      </c>
      <c r="B70" s="417"/>
      <c r="C70" s="418"/>
      <c r="D70" s="419" t="e">
        <f>IF(AND(D69&gt;=1/48,D69&lt;1/36),C144,IF(AND(D69&gt;=1/36,D69&lt;1/28),C145,IF(AND(D69&gt;=1/28,D69&lt;1/20),C146,IF(AND(D69&gt;=1/20,D69&lt;1/12),C147,IF(AND(D69&gt;=1/12,D69&lt;1/5),C148,C149)))))</f>
        <v>#DIV/0!</v>
      </c>
    </row>
    <row r="71" spans="1:4">
      <c r="A71" s="207"/>
      <c r="B71" s="292"/>
      <c r="C71" s="2461"/>
      <c r="D71" s="215"/>
    </row>
    <row r="72" spans="1:4" ht="15" thickBot="1">
      <c r="A72" s="216" t="s">
        <v>378</v>
      </c>
      <c r="B72" s="292"/>
      <c r="C72" s="2462"/>
      <c r="D72" s="215"/>
    </row>
    <row r="73" spans="1:4" ht="16.5">
      <c r="A73" s="217" t="s">
        <v>379</v>
      </c>
      <c r="B73" s="302" t="s">
        <v>186</v>
      </c>
      <c r="C73" s="304" t="s">
        <v>1769</v>
      </c>
      <c r="D73" s="303" t="s">
        <v>1766</v>
      </c>
    </row>
    <row r="74" spans="1:4">
      <c r="A74" s="121" t="s">
        <v>262</v>
      </c>
      <c r="B74" s="420">
        <f>B75+B116</f>
        <v>0</v>
      </c>
      <c r="C74" s="421" t="e">
        <f>C75+C116</f>
        <v>#DIV/0!</v>
      </c>
      <c r="D74" s="422" t="e">
        <f>D75+D116</f>
        <v>#DIV/0!</v>
      </c>
    </row>
    <row r="75" spans="1:4">
      <c r="A75" s="120" t="s">
        <v>891</v>
      </c>
      <c r="B75" s="409">
        <f>B76+B107</f>
        <v>0</v>
      </c>
      <c r="C75" s="412" t="e">
        <f>C76+C107</f>
        <v>#DIV/0!</v>
      </c>
      <c r="D75" s="413" t="e">
        <f>D76+D107</f>
        <v>#DIV/0!</v>
      </c>
    </row>
    <row r="76" spans="1:4">
      <c r="A76" s="526" t="s">
        <v>892</v>
      </c>
      <c r="B76" s="409">
        <f>SUM(B77:B106)</f>
        <v>0</v>
      </c>
      <c r="C76" s="412" t="e">
        <f>SUM(C77:C106)</f>
        <v>#DIV/0!</v>
      </c>
      <c r="D76" s="413" t="e">
        <f>SUM(D77:D106)</f>
        <v>#DIV/0!</v>
      </c>
    </row>
    <row r="77" spans="1:4">
      <c r="A77" s="527" t="s">
        <v>893</v>
      </c>
      <c r="B77" s="409">
        <f>'表30-5'!C77</f>
        <v>0</v>
      </c>
      <c r="C77" s="412" t="e">
        <f t="shared" ref="C77:C106" si="6">B77/$B$138</f>
        <v>#DIV/0!</v>
      </c>
      <c r="D77" s="413" t="e">
        <f t="shared" ref="D77:D106" si="7">C77^2</f>
        <v>#DIV/0!</v>
      </c>
    </row>
    <row r="78" spans="1:4">
      <c r="A78" s="527" t="s">
        <v>894</v>
      </c>
      <c r="B78" s="409">
        <f>'表30-5'!C78</f>
        <v>0</v>
      </c>
      <c r="C78" s="412" t="e">
        <f t="shared" si="6"/>
        <v>#DIV/0!</v>
      </c>
      <c r="D78" s="413" t="e">
        <f t="shared" si="7"/>
        <v>#DIV/0!</v>
      </c>
    </row>
    <row r="79" spans="1:4">
      <c r="A79" s="527" t="s">
        <v>895</v>
      </c>
      <c r="B79" s="409">
        <f>'表30-5'!C79</f>
        <v>0</v>
      </c>
      <c r="C79" s="412" t="e">
        <f t="shared" si="6"/>
        <v>#DIV/0!</v>
      </c>
      <c r="D79" s="413" t="e">
        <f t="shared" si="7"/>
        <v>#DIV/0!</v>
      </c>
    </row>
    <row r="80" spans="1:4">
      <c r="A80" s="527" t="s">
        <v>896</v>
      </c>
      <c r="B80" s="409">
        <f>'表30-5'!C80</f>
        <v>0</v>
      </c>
      <c r="C80" s="412" t="e">
        <f t="shared" si="6"/>
        <v>#DIV/0!</v>
      </c>
      <c r="D80" s="413" t="e">
        <f t="shared" si="7"/>
        <v>#DIV/0!</v>
      </c>
    </row>
    <row r="81" spans="1:4">
      <c r="A81" s="527" t="s">
        <v>897</v>
      </c>
      <c r="B81" s="409">
        <f>'表30-5'!C81</f>
        <v>0</v>
      </c>
      <c r="C81" s="412" t="e">
        <f t="shared" si="6"/>
        <v>#DIV/0!</v>
      </c>
      <c r="D81" s="413" t="e">
        <f t="shared" si="7"/>
        <v>#DIV/0!</v>
      </c>
    </row>
    <row r="82" spans="1:4">
      <c r="A82" s="527" t="s">
        <v>898</v>
      </c>
      <c r="B82" s="409">
        <f>'表30-5'!C82</f>
        <v>0</v>
      </c>
      <c r="C82" s="412" t="e">
        <f t="shared" si="6"/>
        <v>#DIV/0!</v>
      </c>
      <c r="D82" s="413" t="e">
        <f t="shared" si="7"/>
        <v>#DIV/0!</v>
      </c>
    </row>
    <row r="83" spans="1:4">
      <c r="A83" s="527" t="s">
        <v>899</v>
      </c>
      <c r="B83" s="409">
        <f>'表30-5'!C83</f>
        <v>0</v>
      </c>
      <c r="C83" s="412" t="e">
        <f t="shared" si="6"/>
        <v>#DIV/0!</v>
      </c>
      <c r="D83" s="413" t="e">
        <f t="shared" si="7"/>
        <v>#DIV/0!</v>
      </c>
    </row>
    <row r="84" spans="1:4">
      <c r="A84" s="527" t="s">
        <v>900</v>
      </c>
      <c r="B84" s="409">
        <f>'表30-5'!C84</f>
        <v>0</v>
      </c>
      <c r="C84" s="412" t="e">
        <f t="shared" si="6"/>
        <v>#DIV/0!</v>
      </c>
      <c r="D84" s="413" t="e">
        <f t="shared" si="7"/>
        <v>#DIV/0!</v>
      </c>
    </row>
    <row r="85" spans="1:4">
      <c r="A85" s="527" t="s">
        <v>901</v>
      </c>
      <c r="B85" s="409">
        <f>'表30-5'!C85</f>
        <v>0</v>
      </c>
      <c r="C85" s="412" t="e">
        <f t="shared" si="6"/>
        <v>#DIV/0!</v>
      </c>
      <c r="D85" s="413" t="e">
        <f t="shared" si="7"/>
        <v>#DIV/0!</v>
      </c>
    </row>
    <row r="86" spans="1:4">
      <c r="A86" s="527" t="s">
        <v>902</v>
      </c>
      <c r="B86" s="409">
        <f>'表30-5'!C86</f>
        <v>0</v>
      </c>
      <c r="C86" s="412" t="e">
        <f t="shared" si="6"/>
        <v>#DIV/0!</v>
      </c>
      <c r="D86" s="413" t="e">
        <f t="shared" si="7"/>
        <v>#DIV/0!</v>
      </c>
    </row>
    <row r="87" spans="1:4">
      <c r="A87" s="527" t="s">
        <v>903</v>
      </c>
      <c r="B87" s="409">
        <f>'表30-5'!C87</f>
        <v>0</v>
      </c>
      <c r="C87" s="412" t="e">
        <f t="shared" si="6"/>
        <v>#DIV/0!</v>
      </c>
      <c r="D87" s="413" t="e">
        <f t="shared" si="7"/>
        <v>#DIV/0!</v>
      </c>
    </row>
    <row r="88" spans="1:4">
      <c r="A88" s="527" t="s">
        <v>904</v>
      </c>
      <c r="B88" s="409">
        <f>'表30-5'!C88</f>
        <v>0</v>
      </c>
      <c r="C88" s="412" t="e">
        <f t="shared" si="6"/>
        <v>#DIV/0!</v>
      </c>
      <c r="D88" s="413" t="e">
        <f t="shared" si="7"/>
        <v>#DIV/0!</v>
      </c>
    </row>
    <row r="89" spans="1:4">
      <c r="A89" s="527" t="s">
        <v>905</v>
      </c>
      <c r="B89" s="409">
        <f>'表30-5'!C89</f>
        <v>0</v>
      </c>
      <c r="C89" s="412" t="e">
        <f t="shared" si="6"/>
        <v>#DIV/0!</v>
      </c>
      <c r="D89" s="413" t="e">
        <f t="shared" si="7"/>
        <v>#DIV/0!</v>
      </c>
    </row>
    <row r="90" spans="1:4">
      <c r="A90" s="527" t="s">
        <v>906</v>
      </c>
      <c r="B90" s="409">
        <f>'表30-5'!C90</f>
        <v>0</v>
      </c>
      <c r="C90" s="412" t="e">
        <f t="shared" si="6"/>
        <v>#DIV/0!</v>
      </c>
      <c r="D90" s="413" t="e">
        <f t="shared" si="7"/>
        <v>#DIV/0!</v>
      </c>
    </row>
    <row r="91" spans="1:4">
      <c r="A91" s="527" t="s">
        <v>907</v>
      </c>
      <c r="B91" s="409">
        <f>'表30-5'!C91</f>
        <v>0</v>
      </c>
      <c r="C91" s="412" t="e">
        <f t="shared" si="6"/>
        <v>#DIV/0!</v>
      </c>
      <c r="D91" s="413" t="e">
        <f t="shared" si="7"/>
        <v>#DIV/0!</v>
      </c>
    </row>
    <row r="92" spans="1:4">
      <c r="A92" s="527" t="s">
        <v>844</v>
      </c>
      <c r="B92" s="409">
        <f>'表30-5'!C92</f>
        <v>0</v>
      </c>
      <c r="C92" s="412" t="e">
        <f t="shared" si="6"/>
        <v>#DIV/0!</v>
      </c>
      <c r="D92" s="413" t="e">
        <f t="shared" si="7"/>
        <v>#DIV/0!</v>
      </c>
    </row>
    <row r="93" spans="1:4">
      <c r="A93" s="527" t="s">
        <v>908</v>
      </c>
      <c r="B93" s="409">
        <f>'表30-5'!C93</f>
        <v>0</v>
      </c>
      <c r="C93" s="412" t="e">
        <f t="shared" si="6"/>
        <v>#DIV/0!</v>
      </c>
      <c r="D93" s="413" t="e">
        <f t="shared" si="7"/>
        <v>#DIV/0!</v>
      </c>
    </row>
    <row r="94" spans="1:4">
      <c r="A94" s="527" t="s">
        <v>909</v>
      </c>
      <c r="B94" s="409">
        <f>'表30-5'!C94</f>
        <v>0</v>
      </c>
      <c r="C94" s="412" t="e">
        <f t="shared" si="6"/>
        <v>#DIV/0!</v>
      </c>
      <c r="D94" s="413" t="e">
        <f t="shared" si="7"/>
        <v>#DIV/0!</v>
      </c>
    </row>
    <row r="95" spans="1:4">
      <c r="A95" s="527" t="s">
        <v>910</v>
      </c>
      <c r="B95" s="409">
        <f>'表30-5'!C95</f>
        <v>0</v>
      </c>
      <c r="C95" s="412" t="e">
        <f t="shared" si="6"/>
        <v>#DIV/0!</v>
      </c>
      <c r="D95" s="413" t="e">
        <f t="shared" si="7"/>
        <v>#DIV/0!</v>
      </c>
    </row>
    <row r="96" spans="1:4">
      <c r="A96" s="527" t="s">
        <v>911</v>
      </c>
      <c r="B96" s="409">
        <f>'表30-5'!C96</f>
        <v>0</v>
      </c>
      <c r="C96" s="412" t="e">
        <f t="shared" si="6"/>
        <v>#DIV/0!</v>
      </c>
      <c r="D96" s="413" t="e">
        <f t="shared" si="7"/>
        <v>#DIV/0!</v>
      </c>
    </row>
    <row r="97" spans="1:4">
      <c r="A97" s="527" t="s">
        <v>912</v>
      </c>
      <c r="B97" s="409">
        <f>'表30-5'!C97</f>
        <v>0</v>
      </c>
      <c r="C97" s="412" t="e">
        <f t="shared" si="6"/>
        <v>#DIV/0!</v>
      </c>
      <c r="D97" s="413" t="e">
        <f t="shared" si="7"/>
        <v>#DIV/0!</v>
      </c>
    </row>
    <row r="98" spans="1:4">
      <c r="A98" s="527" t="s">
        <v>913</v>
      </c>
      <c r="B98" s="409">
        <f>'表30-5'!C98</f>
        <v>0</v>
      </c>
      <c r="C98" s="412" t="e">
        <f t="shared" si="6"/>
        <v>#DIV/0!</v>
      </c>
      <c r="D98" s="413" t="e">
        <f t="shared" si="7"/>
        <v>#DIV/0!</v>
      </c>
    </row>
    <row r="99" spans="1:4">
      <c r="A99" s="527" t="s">
        <v>914</v>
      </c>
      <c r="B99" s="409">
        <f>'表30-5'!C99</f>
        <v>0</v>
      </c>
      <c r="C99" s="412" t="e">
        <f t="shared" si="6"/>
        <v>#DIV/0!</v>
      </c>
      <c r="D99" s="413" t="e">
        <f t="shared" si="7"/>
        <v>#DIV/0!</v>
      </c>
    </row>
    <row r="100" spans="1:4">
      <c r="A100" s="527" t="s">
        <v>915</v>
      </c>
      <c r="B100" s="409">
        <f>'表30-5'!C100</f>
        <v>0</v>
      </c>
      <c r="C100" s="412" t="e">
        <f t="shared" si="6"/>
        <v>#DIV/0!</v>
      </c>
      <c r="D100" s="413" t="e">
        <f t="shared" si="7"/>
        <v>#DIV/0!</v>
      </c>
    </row>
    <row r="101" spans="1:4">
      <c r="A101" s="527" t="s">
        <v>916</v>
      </c>
      <c r="B101" s="409">
        <f>'表30-5'!C101</f>
        <v>0</v>
      </c>
      <c r="C101" s="412" t="e">
        <f t="shared" si="6"/>
        <v>#DIV/0!</v>
      </c>
      <c r="D101" s="413" t="e">
        <f t="shared" si="7"/>
        <v>#DIV/0!</v>
      </c>
    </row>
    <row r="102" spans="1:4">
      <c r="A102" s="527" t="s">
        <v>917</v>
      </c>
      <c r="B102" s="409">
        <f>'表30-5'!C102</f>
        <v>0</v>
      </c>
      <c r="C102" s="412" t="e">
        <f t="shared" si="6"/>
        <v>#DIV/0!</v>
      </c>
      <c r="D102" s="413" t="e">
        <f t="shared" si="7"/>
        <v>#DIV/0!</v>
      </c>
    </row>
    <row r="103" spans="1:4">
      <c r="A103" s="527" t="s">
        <v>918</v>
      </c>
      <c r="B103" s="409">
        <f>'表30-5'!C103</f>
        <v>0</v>
      </c>
      <c r="C103" s="412" t="e">
        <f t="shared" si="6"/>
        <v>#DIV/0!</v>
      </c>
      <c r="D103" s="413" t="e">
        <f t="shared" si="7"/>
        <v>#DIV/0!</v>
      </c>
    </row>
    <row r="104" spans="1:4">
      <c r="A104" s="527" t="s">
        <v>919</v>
      </c>
      <c r="B104" s="409">
        <f>'表30-5'!C104</f>
        <v>0</v>
      </c>
      <c r="C104" s="412" t="e">
        <f t="shared" si="6"/>
        <v>#DIV/0!</v>
      </c>
      <c r="D104" s="413" t="e">
        <f t="shared" si="7"/>
        <v>#DIV/0!</v>
      </c>
    </row>
    <row r="105" spans="1:4">
      <c r="A105" s="527" t="s">
        <v>920</v>
      </c>
      <c r="B105" s="409">
        <f>'表30-5'!C105</f>
        <v>0</v>
      </c>
      <c r="C105" s="412" t="e">
        <f t="shared" si="6"/>
        <v>#DIV/0!</v>
      </c>
      <c r="D105" s="413" t="e">
        <f t="shared" si="7"/>
        <v>#DIV/0!</v>
      </c>
    </row>
    <row r="106" spans="1:4">
      <c r="A106" s="527" t="s">
        <v>921</v>
      </c>
      <c r="B106" s="409">
        <f>'表30-5'!C106</f>
        <v>0</v>
      </c>
      <c r="C106" s="412" t="e">
        <f t="shared" si="6"/>
        <v>#DIV/0!</v>
      </c>
      <c r="D106" s="413" t="e">
        <f t="shared" si="7"/>
        <v>#DIV/0!</v>
      </c>
    </row>
    <row r="107" spans="1:4">
      <c r="A107" s="526" t="s">
        <v>922</v>
      </c>
      <c r="B107" s="409">
        <f>SUM(B108:B115)</f>
        <v>0</v>
      </c>
      <c r="C107" s="412" t="e">
        <f>SUM(C108:C115)</f>
        <v>#DIV/0!</v>
      </c>
      <c r="D107" s="413" t="e">
        <f>SUM(D108:D115)</f>
        <v>#DIV/0!</v>
      </c>
    </row>
    <row r="108" spans="1:4">
      <c r="A108" s="527" t="s">
        <v>923</v>
      </c>
      <c r="B108" s="409">
        <f>'表30-5'!C108</f>
        <v>0</v>
      </c>
      <c r="C108" s="412" t="e">
        <f t="shared" ref="C108:C115" si="8">B108/$B$138</f>
        <v>#DIV/0!</v>
      </c>
      <c r="D108" s="413" t="e">
        <f t="shared" ref="D108:D115" si="9">C108^2</f>
        <v>#DIV/0!</v>
      </c>
    </row>
    <row r="109" spans="1:4">
      <c r="A109" s="527" t="s">
        <v>924</v>
      </c>
      <c r="B109" s="409">
        <f>'表30-5'!C109</f>
        <v>0</v>
      </c>
      <c r="C109" s="412" t="e">
        <f t="shared" si="8"/>
        <v>#DIV/0!</v>
      </c>
      <c r="D109" s="413" t="e">
        <f t="shared" si="9"/>
        <v>#DIV/0!</v>
      </c>
    </row>
    <row r="110" spans="1:4">
      <c r="A110" s="527" t="s">
        <v>925</v>
      </c>
      <c r="B110" s="409">
        <f>'表30-5'!C110</f>
        <v>0</v>
      </c>
      <c r="C110" s="412" t="e">
        <f t="shared" si="8"/>
        <v>#DIV/0!</v>
      </c>
      <c r="D110" s="413" t="e">
        <f t="shared" si="9"/>
        <v>#DIV/0!</v>
      </c>
    </row>
    <row r="111" spans="1:4">
      <c r="A111" s="527" t="s">
        <v>926</v>
      </c>
      <c r="B111" s="409">
        <f>'表30-5'!C111</f>
        <v>0</v>
      </c>
      <c r="C111" s="412" t="e">
        <f t="shared" si="8"/>
        <v>#DIV/0!</v>
      </c>
      <c r="D111" s="413" t="e">
        <f t="shared" si="9"/>
        <v>#DIV/0!</v>
      </c>
    </row>
    <row r="112" spans="1:4">
      <c r="A112" s="527" t="s">
        <v>927</v>
      </c>
      <c r="B112" s="409">
        <f>'表30-5'!C112</f>
        <v>0</v>
      </c>
      <c r="C112" s="412" t="e">
        <f t="shared" si="8"/>
        <v>#DIV/0!</v>
      </c>
      <c r="D112" s="413" t="e">
        <f t="shared" si="9"/>
        <v>#DIV/0!</v>
      </c>
    </row>
    <row r="113" spans="1:4">
      <c r="A113" s="527" t="s">
        <v>928</v>
      </c>
      <c r="B113" s="409">
        <f>'表30-5'!C113</f>
        <v>0</v>
      </c>
      <c r="C113" s="412" t="e">
        <f t="shared" si="8"/>
        <v>#DIV/0!</v>
      </c>
      <c r="D113" s="413" t="e">
        <f t="shared" si="9"/>
        <v>#DIV/0!</v>
      </c>
    </row>
    <row r="114" spans="1:4">
      <c r="A114" s="527" t="s">
        <v>929</v>
      </c>
      <c r="B114" s="409">
        <f>'表30-5'!C114</f>
        <v>0</v>
      </c>
      <c r="C114" s="412" t="e">
        <f t="shared" si="8"/>
        <v>#DIV/0!</v>
      </c>
      <c r="D114" s="413" t="e">
        <f t="shared" si="9"/>
        <v>#DIV/0!</v>
      </c>
    </row>
    <row r="115" spans="1:4">
      <c r="A115" s="527" t="s">
        <v>930</v>
      </c>
      <c r="B115" s="409">
        <f>'表30-5'!C115</f>
        <v>0</v>
      </c>
      <c r="C115" s="412" t="e">
        <f t="shared" si="8"/>
        <v>#DIV/0!</v>
      </c>
      <c r="D115" s="413" t="e">
        <f t="shared" si="9"/>
        <v>#DIV/0!</v>
      </c>
    </row>
    <row r="116" spans="1:4">
      <c r="A116" s="120" t="s">
        <v>932</v>
      </c>
      <c r="B116" s="409">
        <f>B117+B125</f>
        <v>0</v>
      </c>
      <c r="C116" s="412" t="e">
        <f>C117+C125</f>
        <v>#DIV/0!</v>
      </c>
      <c r="D116" s="413" t="e">
        <f>D117+D125</f>
        <v>#DIV/0!</v>
      </c>
    </row>
    <row r="117" spans="1:4">
      <c r="A117" s="526" t="s">
        <v>931</v>
      </c>
      <c r="B117" s="409">
        <f>SUM(B118:B121,B123:B124)</f>
        <v>0</v>
      </c>
      <c r="C117" s="412" t="e">
        <f>SUM(C118:C121,C123:C124)</f>
        <v>#DIV/0!</v>
      </c>
      <c r="D117" s="413" t="e">
        <f>SUM(D118:D121,D123:D124)</f>
        <v>#DIV/0!</v>
      </c>
    </row>
    <row r="118" spans="1:4">
      <c r="A118" s="527" t="s">
        <v>933</v>
      </c>
      <c r="B118" s="409">
        <f>'表30-5'!C118</f>
        <v>0</v>
      </c>
      <c r="C118" s="412" t="e">
        <f t="shared" ref="C118:C124" si="10">B118/$B$138</f>
        <v>#DIV/0!</v>
      </c>
      <c r="D118" s="413" t="e">
        <f t="shared" ref="D118:D124" si="11">C118^2</f>
        <v>#DIV/0!</v>
      </c>
    </row>
    <row r="119" spans="1:4">
      <c r="A119" s="527" t="s">
        <v>934</v>
      </c>
      <c r="B119" s="409">
        <f>'表30-5'!C119</f>
        <v>0</v>
      </c>
      <c r="C119" s="412" t="e">
        <f t="shared" si="10"/>
        <v>#DIV/0!</v>
      </c>
      <c r="D119" s="413" t="e">
        <f t="shared" si="11"/>
        <v>#DIV/0!</v>
      </c>
    </row>
    <row r="120" spans="1:4">
      <c r="A120" s="527" t="s">
        <v>1770</v>
      </c>
      <c r="B120" s="409">
        <f>'表30-5'!C120</f>
        <v>0</v>
      </c>
      <c r="C120" s="412" t="e">
        <f t="shared" si="10"/>
        <v>#DIV/0!</v>
      </c>
      <c r="D120" s="413" t="e">
        <f t="shared" si="11"/>
        <v>#DIV/0!</v>
      </c>
    </row>
    <row r="121" spans="1:4">
      <c r="A121" s="527" t="s">
        <v>935</v>
      </c>
      <c r="B121" s="409">
        <f>'表30-5'!C121</f>
        <v>0</v>
      </c>
      <c r="C121" s="412" t="e">
        <f t="shared" si="10"/>
        <v>#DIV/0!</v>
      </c>
      <c r="D121" s="413" t="e">
        <f t="shared" si="11"/>
        <v>#DIV/0!</v>
      </c>
    </row>
    <row r="122" spans="1:4">
      <c r="A122" s="527" t="s">
        <v>936</v>
      </c>
      <c r="B122" s="409">
        <f>'表30-5'!C122</f>
        <v>0</v>
      </c>
      <c r="C122" s="412" t="e">
        <f t="shared" si="10"/>
        <v>#DIV/0!</v>
      </c>
      <c r="D122" s="413" t="e">
        <f t="shared" si="11"/>
        <v>#DIV/0!</v>
      </c>
    </row>
    <row r="123" spans="1:4">
      <c r="A123" s="527" t="s">
        <v>1492</v>
      </c>
      <c r="B123" s="409">
        <f>'表30-5'!C123</f>
        <v>0</v>
      </c>
      <c r="C123" s="412" t="e">
        <f t="shared" si="10"/>
        <v>#DIV/0!</v>
      </c>
      <c r="D123" s="413" t="e">
        <f t="shared" si="11"/>
        <v>#DIV/0!</v>
      </c>
    </row>
    <row r="124" spans="1:4">
      <c r="A124" s="527" t="s">
        <v>1493</v>
      </c>
      <c r="B124" s="409">
        <f>'表30-5'!C124</f>
        <v>0</v>
      </c>
      <c r="C124" s="412" t="e">
        <f t="shared" si="10"/>
        <v>#DIV/0!</v>
      </c>
      <c r="D124" s="413" t="e">
        <f t="shared" si="11"/>
        <v>#DIV/0!</v>
      </c>
    </row>
    <row r="125" spans="1:4">
      <c r="A125" s="526" t="s">
        <v>937</v>
      </c>
      <c r="B125" s="409">
        <f>SUM(B126:B129)</f>
        <v>0</v>
      </c>
      <c r="C125" s="412" t="e">
        <f>SUM(C126:C129)</f>
        <v>#DIV/0!</v>
      </c>
      <c r="D125" s="413" t="e">
        <f>SUM(D126:D129)</f>
        <v>#DIV/0!</v>
      </c>
    </row>
    <row r="126" spans="1:4">
      <c r="A126" s="527" t="s">
        <v>938</v>
      </c>
      <c r="B126" s="409">
        <f>'表30-5'!C126</f>
        <v>0</v>
      </c>
      <c r="C126" s="412" t="e">
        <f>B126/$B$138</f>
        <v>#DIV/0!</v>
      </c>
      <c r="D126" s="413" t="e">
        <f>C126^2</f>
        <v>#DIV/0!</v>
      </c>
    </row>
    <row r="127" spans="1:4">
      <c r="A127" s="527" t="s">
        <v>939</v>
      </c>
      <c r="B127" s="409">
        <f>'表30-5'!C127</f>
        <v>0</v>
      </c>
      <c r="C127" s="412" t="e">
        <f>B127/$B$138</f>
        <v>#DIV/0!</v>
      </c>
      <c r="D127" s="413" t="e">
        <f>C127^2</f>
        <v>#DIV/0!</v>
      </c>
    </row>
    <row r="128" spans="1:4">
      <c r="A128" s="527" t="s">
        <v>1771</v>
      </c>
      <c r="B128" s="409">
        <f>'表30-5'!C128</f>
        <v>0</v>
      </c>
      <c r="C128" s="412" t="e">
        <f>B128/$B$138</f>
        <v>#DIV/0!</v>
      </c>
      <c r="D128" s="413" t="e">
        <f>C128^2</f>
        <v>#DIV/0!</v>
      </c>
    </row>
    <row r="129" spans="1:4">
      <c r="A129" s="527" t="s">
        <v>940</v>
      </c>
      <c r="B129" s="409">
        <f>'表30-5'!C129</f>
        <v>0</v>
      </c>
      <c r="C129" s="412" t="e">
        <f>B129/$B$138</f>
        <v>#DIV/0!</v>
      </c>
      <c r="D129" s="413" t="e">
        <f>C129^2</f>
        <v>#DIV/0!</v>
      </c>
    </row>
    <row r="130" spans="1:4">
      <c r="A130" s="527" t="s">
        <v>941</v>
      </c>
      <c r="B130" s="409">
        <f>'表30-5'!C130</f>
        <v>0</v>
      </c>
      <c r="C130" s="412" t="e">
        <f>B130/$B$138</f>
        <v>#DIV/0!</v>
      </c>
      <c r="D130" s="413" t="e">
        <f>C130^2</f>
        <v>#DIV/0!</v>
      </c>
    </row>
    <row r="131" spans="1:4">
      <c r="A131" s="119" t="s">
        <v>116</v>
      </c>
      <c r="B131" s="409">
        <f>B132+B135</f>
        <v>0</v>
      </c>
      <c r="C131" s="412" t="e">
        <f>C132+C135</f>
        <v>#DIV/0!</v>
      </c>
      <c r="D131" s="413" t="e">
        <f>D132+D135</f>
        <v>#DIV/0!</v>
      </c>
    </row>
    <row r="132" spans="1:4">
      <c r="A132" s="120" t="s">
        <v>870</v>
      </c>
      <c r="B132" s="409">
        <f>SUM(B133:B134)</f>
        <v>0</v>
      </c>
      <c r="C132" s="412" t="e">
        <f>SUM(C133:C134)</f>
        <v>#DIV/0!</v>
      </c>
      <c r="D132" s="413" t="e">
        <f>SUM(D133:D134)</f>
        <v>#DIV/0!</v>
      </c>
    </row>
    <row r="133" spans="1:4">
      <c r="A133" s="526" t="s">
        <v>865</v>
      </c>
      <c r="B133" s="409">
        <f>'表30-5'!C133</f>
        <v>0</v>
      </c>
      <c r="C133" s="412" t="e">
        <f>B133/$B$138</f>
        <v>#DIV/0!</v>
      </c>
      <c r="D133" s="413" t="e">
        <f>C133^2</f>
        <v>#DIV/0!</v>
      </c>
    </row>
    <row r="134" spans="1:4">
      <c r="A134" s="526" t="s">
        <v>866</v>
      </c>
      <c r="B134" s="409">
        <f>'表30-5'!C134</f>
        <v>0</v>
      </c>
      <c r="C134" s="412" t="e">
        <f>B134/$B$138</f>
        <v>#DIV/0!</v>
      </c>
      <c r="D134" s="413" t="e">
        <f>C134^2</f>
        <v>#DIV/0!</v>
      </c>
    </row>
    <row r="135" spans="1:4">
      <c r="A135" s="120" t="s">
        <v>869</v>
      </c>
      <c r="B135" s="409">
        <f>SUM(B136:B137)</f>
        <v>0</v>
      </c>
      <c r="C135" s="412" t="e">
        <f>SUM(C136:C137)</f>
        <v>#DIV/0!</v>
      </c>
      <c r="D135" s="413" t="e">
        <f>SUM(D136:D137)</f>
        <v>#DIV/0!</v>
      </c>
    </row>
    <row r="136" spans="1:4">
      <c r="A136" s="526" t="s">
        <v>867</v>
      </c>
      <c r="B136" s="409">
        <f>'表30-5'!C136</f>
        <v>0</v>
      </c>
      <c r="C136" s="412" t="e">
        <f>B136/$B$138</f>
        <v>#DIV/0!</v>
      </c>
      <c r="D136" s="413" t="e">
        <f>C136^2</f>
        <v>#DIV/0!</v>
      </c>
    </row>
    <row r="137" spans="1:4">
      <c r="A137" s="526" t="s">
        <v>868</v>
      </c>
      <c r="B137" s="409">
        <f>'表30-5'!C137</f>
        <v>0</v>
      </c>
      <c r="C137" s="412" t="e">
        <f>B137/$B$138</f>
        <v>#DIV/0!</v>
      </c>
      <c r="D137" s="413" t="e">
        <f>C137^2</f>
        <v>#DIV/0!</v>
      </c>
    </row>
    <row r="138" spans="1:4" ht="15" thickBot="1">
      <c r="A138" s="218" t="s">
        <v>117</v>
      </c>
      <c r="B138" s="414">
        <f>B131+B74</f>
        <v>0</v>
      </c>
      <c r="C138" s="415" t="e">
        <f>C131+C74</f>
        <v>#DIV/0!</v>
      </c>
      <c r="D138" s="416" t="e">
        <f>D131+D74</f>
        <v>#DIV/0!</v>
      </c>
    </row>
    <row r="139" spans="1:4" ht="15.75" thickTop="1" thickBot="1">
      <c r="A139" s="219" t="s">
        <v>118</v>
      </c>
      <c r="B139" s="423"/>
      <c r="C139" s="424"/>
      <c r="D139" s="425" t="e">
        <f>IF(AND(D138&gt;=1/48,D138&lt;1/36),C144,IF(AND(D138&gt;=1/36,D138&lt;1/28),C145,IF(AND(D138&gt;=1/28,D138&lt;1/20),C146,IF(AND(D138&gt;=1/20,D138&lt;1/12),C147,IF(AND(D138&gt;=1/12,D138&lt;1/5),C148,C149)))))</f>
        <v>#DIV/0!</v>
      </c>
    </row>
    <row r="140" spans="1:4">
      <c r="A140" s="210"/>
      <c r="B140" s="291"/>
      <c r="C140" s="208"/>
      <c r="D140" s="211"/>
    </row>
    <row r="141" spans="1:4">
      <c r="A141" s="210"/>
      <c r="B141" s="291"/>
      <c r="C141" s="208"/>
      <c r="D141" s="211"/>
    </row>
    <row r="142" spans="1:4">
      <c r="A142" s="210"/>
      <c r="B142" s="3109" t="s">
        <v>119</v>
      </c>
      <c r="C142" s="3109"/>
      <c r="D142" s="211"/>
    </row>
    <row r="143" spans="1:4">
      <c r="A143" s="210"/>
      <c r="B143" s="293" t="s">
        <v>401</v>
      </c>
      <c r="C143" s="220" t="s">
        <v>120</v>
      </c>
      <c r="D143" s="211"/>
    </row>
    <row r="144" spans="1:4">
      <c r="A144" s="210"/>
      <c r="B144" s="426" t="s">
        <v>1772</v>
      </c>
      <c r="C144" s="427">
        <v>0.75</v>
      </c>
      <c r="D144" s="211"/>
    </row>
    <row r="145" spans="1:4">
      <c r="A145" s="210"/>
      <c r="B145" s="426" t="s">
        <v>1773</v>
      </c>
      <c r="C145" s="427">
        <v>0.8</v>
      </c>
      <c r="D145" s="211"/>
    </row>
    <row r="146" spans="1:4">
      <c r="A146" s="210"/>
      <c r="B146" s="426" t="s">
        <v>1774</v>
      </c>
      <c r="C146" s="427">
        <v>0.85</v>
      </c>
      <c r="D146" s="211"/>
    </row>
    <row r="147" spans="1:4">
      <c r="A147" s="210"/>
      <c r="B147" s="426" t="s">
        <v>1775</v>
      </c>
      <c r="C147" s="427">
        <v>0.9</v>
      </c>
      <c r="D147" s="211"/>
    </row>
    <row r="148" spans="1:4">
      <c r="A148" s="210"/>
      <c r="B148" s="426" t="s">
        <v>1776</v>
      </c>
      <c r="C148" s="427">
        <v>0.95</v>
      </c>
      <c r="D148" s="211"/>
    </row>
    <row r="149" spans="1:4">
      <c r="B149" s="428" t="s">
        <v>1777</v>
      </c>
      <c r="C149" s="429">
        <v>1</v>
      </c>
    </row>
  </sheetData>
  <mergeCells count="1">
    <mergeCell ref="B142:C142"/>
  </mergeCells>
  <phoneticPr fontId="26" type="noConversion"/>
  <printOptions horizontalCentered="1"/>
  <pageMargins left="0.35433070866141736" right="0.35433070866141736" top="0.39370078740157483" bottom="0.59055118110236227" header="0.31496062992125984" footer="0.19685039370078741"/>
  <pageSetup paperSize="9" scale="71" fitToHeight="2" orientation="portrait" horizontalDpi="4294967295" verticalDpi="4294967295" r:id="rId1"/>
  <headerFooter alignWithMargins="0">
    <oddFooter>&amp;C&amp;P+164&amp;R&amp;"Times New Roman,標準"&amp;A</oddFooter>
  </headerFooter>
  <rowBreaks count="1" manualBreakCount="1">
    <brk id="71"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G24"/>
  <sheetViews>
    <sheetView workbookViewId="0">
      <selection sqref="A1:A1048576"/>
    </sheetView>
  </sheetViews>
  <sheetFormatPr defaultRowHeight="14.25"/>
  <cols>
    <col min="1" max="1" width="46.875" style="93" customWidth="1"/>
    <col min="2" max="2" width="12.5" style="128" customWidth="1"/>
    <col min="3" max="3" width="13.75" style="128" customWidth="1"/>
    <col min="4" max="4" width="14.125" style="128" customWidth="1"/>
    <col min="5" max="5" width="12.5" style="128" customWidth="1"/>
    <col min="6" max="6" width="25.75" style="128" customWidth="1"/>
    <col min="7" max="7" width="9.75" style="128" customWidth="1"/>
    <col min="8" max="16384" width="9" style="91"/>
  </cols>
  <sheetData>
    <row r="1" spans="1:7" s="131" customFormat="1">
      <c r="A1" s="105" t="str">
        <f>表03!A1</f>
        <v xml:space="preserve"> 保險股份有限公司    年度(月)報表</v>
      </c>
      <c r="B1" s="130"/>
      <c r="C1" s="130"/>
    </row>
    <row r="2" spans="1:7" s="131" customFormat="1">
      <c r="A2" s="108" t="s">
        <v>93</v>
      </c>
      <c r="B2" s="94"/>
      <c r="C2" s="132"/>
    </row>
    <row r="3" spans="1:7">
      <c r="A3" s="93" t="s">
        <v>94</v>
      </c>
    </row>
    <row r="4" spans="1:7" ht="15" thickBot="1">
      <c r="G4" s="127" t="s">
        <v>403</v>
      </c>
    </row>
    <row r="5" spans="1:7">
      <c r="A5" s="133"/>
      <c r="B5" s="134" t="s">
        <v>95</v>
      </c>
      <c r="C5" s="135" t="s">
        <v>96</v>
      </c>
      <c r="D5" s="135" t="s">
        <v>97</v>
      </c>
      <c r="E5" s="136" t="s">
        <v>98</v>
      </c>
      <c r="F5" s="136" t="s">
        <v>99</v>
      </c>
      <c r="G5" s="137" t="s">
        <v>230</v>
      </c>
    </row>
    <row r="6" spans="1:7" ht="18" customHeight="1">
      <c r="A6" s="138"/>
      <c r="B6" s="129" t="s">
        <v>100</v>
      </c>
      <c r="C6" s="139" t="s">
        <v>101</v>
      </c>
      <c r="D6" s="139" t="s">
        <v>102</v>
      </c>
      <c r="E6" s="140" t="s">
        <v>103</v>
      </c>
      <c r="F6" s="140" t="s">
        <v>104</v>
      </c>
      <c r="G6" s="141" t="s">
        <v>105</v>
      </c>
    </row>
    <row r="7" spans="1:7">
      <c r="A7" s="142" t="s">
        <v>106</v>
      </c>
      <c r="B7" s="430"/>
      <c r="C7" s="431">
        <f>'表20-1'!C46+'表20-2'!C20</f>
        <v>0</v>
      </c>
      <c r="D7" s="432">
        <f>B7+C7</f>
        <v>0</v>
      </c>
      <c r="E7" s="2308">
        <v>1</v>
      </c>
      <c r="F7" s="433" t="str">
        <f>IF(D8=0,"－",D7*E7/(D8*E8)-1)</f>
        <v>－</v>
      </c>
      <c r="G7" s="434"/>
    </row>
    <row r="8" spans="1:7">
      <c r="A8" s="142" t="s">
        <v>107</v>
      </c>
      <c r="B8" s="435"/>
      <c r="C8" s="436"/>
      <c r="D8" s="437"/>
      <c r="E8" s="438">
        <v>1</v>
      </c>
      <c r="F8" s="439" t="str">
        <f>IF(D9=0,"－",D8*E8/(D9*E9)-1)</f>
        <v>－</v>
      </c>
      <c r="G8" s="440"/>
    </row>
    <row r="9" spans="1:7">
      <c r="A9" s="142" t="s">
        <v>108</v>
      </c>
      <c r="B9" s="435"/>
      <c r="C9" s="436"/>
      <c r="D9" s="437"/>
      <c r="E9" s="438">
        <v>1</v>
      </c>
      <c r="F9" s="439" t="str">
        <f>IF(D10=0,"－",D9*E9/(D10*E10)-1)</f>
        <v>－</v>
      </c>
      <c r="G9" s="440"/>
    </row>
    <row r="10" spans="1:7">
      <c r="A10" s="143" t="s">
        <v>109</v>
      </c>
      <c r="B10" s="441"/>
      <c r="C10" s="442"/>
      <c r="D10" s="437"/>
      <c r="E10" s="443">
        <v>1</v>
      </c>
      <c r="F10" s="444"/>
      <c r="G10" s="445"/>
    </row>
    <row r="11" spans="1:7">
      <c r="A11" s="144" t="s">
        <v>2252</v>
      </c>
      <c r="B11" s="446"/>
      <c r="C11" s="447"/>
      <c r="D11" s="447"/>
      <c r="E11" s="448"/>
      <c r="F11" s="433">
        <f>IF(F7="－",0,AVERAGE(F7:F9))</f>
        <v>0</v>
      </c>
      <c r="G11" s="434"/>
    </row>
    <row r="12" spans="1:7" ht="15" thickBot="1">
      <c r="A12" s="145" t="s">
        <v>110</v>
      </c>
      <c r="B12" s="449"/>
      <c r="C12" s="450"/>
      <c r="D12" s="450"/>
      <c r="E12" s="451"/>
      <c r="F12" s="452">
        <f>MIN(MAX(F11-0.1,0),0.3)</f>
        <v>0</v>
      </c>
      <c r="G12" s="453"/>
    </row>
    <row r="13" spans="1:7" ht="15.75" thickTop="1" thickBot="1">
      <c r="A13" s="146" t="s">
        <v>111</v>
      </c>
      <c r="B13" s="454"/>
      <c r="C13" s="455"/>
      <c r="D13" s="455"/>
      <c r="E13" s="456"/>
      <c r="F13" s="456"/>
      <c r="G13" s="589">
        <f>F12*0.45</f>
        <v>0</v>
      </c>
    </row>
    <row r="16" spans="1:7">
      <c r="A16" s="93" t="s">
        <v>112</v>
      </c>
    </row>
    <row r="17" spans="1:3" ht="15" thickBot="1"/>
    <row r="18" spans="1:3">
      <c r="A18" s="147"/>
      <c r="B18" s="148" t="s">
        <v>99</v>
      </c>
      <c r="C18" s="149" t="s">
        <v>230</v>
      </c>
    </row>
    <row r="19" spans="1:3">
      <c r="A19" s="150" t="s">
        <v>113</v>
      </c>
      <c r="B19" s="457">
        <f>F12</f>
        <v>0</v>
      </c>
      <c r="C19" s="458"/>
    </row>
    <row r="20" spans="1:3" ht="15" thickBot="1">
      <c r="A20" s="151" t="s">
        <v>114</v>
      </c>
      <c r="B20" s="459"/>
      <c r="C20" s="588">
        <f>B19*0.225</f>
        <v>0</v>
      </c>
    </row>
    <row r="23" spans="1:3">
      <c r="A23" s="93" t="s">
        <v>115</v>
      </c>
    </row>
    <row r="24" spans="1:3">
      <c r="A24" s="90"/>
    </row>
  </sheetData>
  <phoneticPr fontId="26" type="noConversion"/>
  <printOptions horizontalCentered="1"/>
  <pageMargins left="0.47244094488188981" right="0.19685039370078741" top="0.39370078740157483" bottom="0.39370078740157483" header="0" footer="0.19685039370078741"/>
  <pageSetup paperSize="9" fitToHeight="2" orientation="landscape" cellComments="asDisplayed" horizontalDpi="4294967295" verticalDpi="4294967295" r:id="rId1"/>
  <headerFooter alignWithMargins="0">
    <oddFooter>&amp;C&amp;"Times New Roman,標準"168&amp;R&amp;"標楷體,標準"&amp;A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G115"/>
  <sheetViews>
    <sheetView workbookViewId="0">
      <selection activeCell="A118" sqref="A1:XFD1048576"/>
    </sheetView>
  </sheetViews>
  <sheetFormatPr defaultRowHeight="14.25"/>
  <cols>
    <col min="1" max="1" width="5.125" style="156" customWidth="1"/>
    <col min="2" max="2" width="51.75" style="155" customWidth="1"/>
    <col min="3" max="3" width="19.375" style="156" customWidth="1"/>
    <col min="4" max="4" width="25.875" style="156" customWidth="1"/>
    <col min="5" max="5" width="19.875" style="156" customWidth="1"/>
    <col min="6" max="6" width="15.375" style="172" customWidth="1"/>
    <col min="7" max="16384" width="9" style="153"/>
  </cols>
  <sheetData>
    <row r="1" spans="1:6">
      <c r="A1" s="105" t="str">
        <f>表03!A1</f>
        <v xml:space="preserve"> 保險股份有限公司    年度(月)報表</v>
      </c>
      <c r="B1" s="152"/>
      <c r="C1" s="152"/>
      <c r="D1" s="152"/>
      <c r="E1" s="152"/>
      <c r="F1" s="152"/>
    </row>
    <row r="2" spans="1:6" ht="15" thickBot="1">
      <c r="A2" s="154" t="s">
        <v>529</v>
      </c>
      <c r="F2" s="157" t="s">
        <v>540</v>
      </c>
    </row>
    <row r="3" spans="1:6" ht="14.25" customHeight="1">
      <c r="A3" s="3118" t="s">
        <v>185</v>
      </c>
      <c r="B3" s="158" t="s">
        <v>530</v>
      </c>
      <c r="C3" s="159" t="s">
        <v>245</v>
      </c>
      <c r="D3" s="159" t="s">
        <v>531</v>
      </c>
      <c r="E3" s="159" t="s">
        <v>532</v>
      </c>
      <c r="F3" s="160" t="s">
        <v>533</v>
      </c>
    </row>
    <row r="4" spans="1:6" ht="14.25" customHeight="1">
      <c r="A4" s="3119"/>
      <c r="B4" s="161" t="s">
        <v>534</v>
      </c>
      <c r="C4" s="162" t="s">
        <v>187</v>
      </c>
      <c r="D4" s="162" t="s">
        <v>537</v>
      </c>
      <c r="E4" s="162" t="s">
        <v>535</v>
      </c>
      <c r="F4" s="163" t="s">
        <v>536</v>
      </c>
    </row>
    <row r="5" spans="1:6">
      <c r="A5" s="483">
        <v>1</v>
      </c>
      <c r="B5" s="3111" t="s">
        <v>538</v>
      </c>
      <c r="C5" s="460" t="s">
        <v>670</v>
      </c>
      <c r="D5" s="499" t="s">
        <v>676</v>
      </c>
      <c r="E5" s="461"/>
      <c r="F5" s="462"/>
    </row>
    <row r="6" spans="1:6">
      <c r="A6" s="483">
        <f>A5+1</f>
        <v>2</v>
      </c>
      <c r="B6" s="3112"/>
      <c r="C6" s="463"/>
      <c r="D6" s="464"/>
      <c r="E6" s="464"/>
      <c r="F6" s="465"/>
    </row>
    <row r="7" spans="1:6">
      <c r="A7" s="483">
        <f t="shared" ref="A7:A70" si="0">A6+1</f>
        <v>3</v>
      </c>
      <c r="B7" s="3112"/>
      <c r="C7" s="466"/>
      <c r="D7" s="467"/>
      <c r="E7" s="467"/>
      <c r="F7" s="468"/>
    </row>
    <row r="8" spans="1:6">
      <c r="A8" s="483">
        <f t="shared" si="0"/>
        <v>4</v>
      </c>
      <c r="B8" s="3112"/>
      <c r="C8" s="469" t="s">
        <v>588</v>
      </c>
      <c r="D8" s="469"/>
      <c r="E8" s="469"/>
      <c r="F8" s="470">
        <f>SUM(F5:F7)</f>
        <v>0</v>
      </c>
    </row>
    <row r="9" spans="1:6">
      <c r="A9" s="483">
        <f t="shared" si="0"/>
        <v>5</v>
      </c>
      <c r="B9" s="3112"/>
      <c r="C9" s="460" t="s">
        <v>671</v>
      </c>
      <c r="D9" s="461"/>
      <c r="E9" s="461"/>
      <c r="F9" s="462"/>
    </row>
    <row r="10" spans="1:6">
      <c r="A10" s="483">
        <f t="shared" si="0"/>
        <v>6</v>
      </c>
      <c r="B10" s="3112"/>
      <c r="C10" s="463"/>
      <c r="D10" s="464"/>
      <c r="E10" s="464"/>
      <c r="F10" s="465"/>
    </row>
    <row r="11" spans="1:6">
      <c r="A11" s="483">
        <f t="shared" si="0"/>
        <v>7</v>
      </c>
      <c r="B11" s="3112"/>
      <c r="C11" s="466"/>
      <c r="D11" s="467"/>
      <c r="E11" s="467"/>
      <c r="F11" s="468"/>
    </row>
    <row r="12" spans="1:6">
      <c r="A12" s="483">
        <f t="shared" si="0"/>
        <v>8</v>
      </c>
      <c r="B12" s="3112"/>
      <c r="C12" s="469" t="s">
        <v>588</v>
      </c>
      <c r="D12" s="469"/>
      <c r="E12" s="469"/>
      <c r="F12" s="470">
        <f>SUM(F9:F11)</f>
        <v>0</v>
      </c>
    </row>
    <row r="13" spans="1:6">
      <c r="A13" s="483">
        <f t="shared" si="0"/>
        <v>9</v>
      </c>
      <c r="B13" s="3112"/>
      <c r="C13" s="460" t="s">
        <v>672</v>
      </c>
      <c r="D13" s="461"/>
      <c r="E13" s="461"/>
      <c r="F13" s="462"/>
    </row>
    <row r="14" spans="1:6">
      <c r="A14" s="483">
        <f t="shared" si="0"/>
        <v>10</v>
      </c>
      <c r="B14" s="3112"/>
      <c r="C14" s="463"/>
      <c r="D14" s="464"/>
      <c r="E14" s="464"/>
      <c r="F14" s="465"/>
    </row>
    <row r="15" spans="1:6">
      <c r="A15" s="483">
        <f t="shared" si="0"/>
        <v>11</v>
      </c>
      <c r="B15" s="3112"/>
      <c r="C15" s="466"/>
      <c r="D15" s="467"/>
      <c r="E15" s="467"/>
      <c r="F15" s="468"/>
    </row>
    <row r="16" spans="1:6">
      <c r="A16" s="483">
        <f t="shared" si="0"/>
        <v>12</v>
      </c>
      <c r="B16" s="3112"/>
      <c r="C16" s="469" t="s">
        <v>588</v>
      </c>
      <c r="D16" s="469"/>
      <c r="E16" s="469"/>
      <c r="F16" s="470">
        <f>SUM(F13:F15)</f>
        <v>0</v>
      </c>
    </row>
    <row r="17" spans="1:6">
      <c r="A17" s="483">
        <f t="shared" si="0"/>
        <v>13</v>
      </c>
      <c r="B17" s="3113"/>
      <c r="C17" s="469" t="s">
        <v>598</v>
      </c>
      <c r="D17" s="469"/>
      <c r="E17" s="469"/>
      <c r="F17" s="470">
        <f>F16+F12+F8</f>
        <v>0</v>
      </c>
    </row>
    <row r="18" spans="1:6">
      <c r="A18" s="483">
        <f t="shared" si="0"/>
        <v>14</v>
      </c>
      <c r="B18" s="3111" t="s">
        <v>539</v>
      </c>
      <c r="C18" s="461" t="s">
        <v>670</v>
      </c>
      <c r="D18" s="471"/>
      <c r="E18" s="472"/>
      <c r="F18" s="473"/>
    </row>
    <row r="19" spans="1:6">
      <c r="A19" s="483">
        <f t="shared" si="0"/>
        <v>15</v>
      </c>
      <c r="B19" s="3112"/>
      <c r="C19" s="463"/>
      <c r="D19" s="464"/>
      <c r="E19" s="464"/>
      <c r="F19" s="474"/>
    </row>
    <row r="20" spans="1:6">
      <c r="A20" s="483">
        <f t="shared" si="0"/>
        <v>16</v>
      </c>
      <c r="B20" s="3112"/>
      <c r="C20" s="466"/>
      <c r="D20" s="467"/>
      <c r="E20" s="467"/>
      <c r="F20" s="468"/>
    </row>
    <row r="21" spans="1:6">
      <c r="A21" s="483">
        <f t="shared" si="0"/>
        <v>17</v>
      </c>
      <c r="B21" s="3112"/>
      <c r="C21" s="469" t="s">
        <v>588</v>
      </c>
      <c r="D21" s="469"/>
      <c r="E21" s="469"/>
      <c r="F21" s="470">
        <f>SUM(F18:F20)</f>
        <v>0</v>
      </c>
    </row>
    <row r="22" spans="1:6">
      <c r="A22" s="483">
        <f t="shared" si="0"/>
        <v>18</v>
      </c>
      <c r="B22" s="3112"/>
      <c r="C22" s="460" t="s">
        <v>671</v>
      </c>
      <c r="D22" s="461"/>
      <c r="E22" s="461"/>
      <c r="F22" s="462"/>
    </row>
    <row r="23" spans="1:6">
      <c r="A23" s="483">
        <f t="shared" si="0"/>
        <v>19</v>
      </c>
      <c r="B23" s="3112"/>
      <c r="C23" s="463"/>
      <c r="D23" s="464"/>
      <c r="E23" s="464"/>
      <c r="F23" s="465"/>
    </row>
    <row r="24" spans="1:6">
      <c r="A24" s="483">
        <f t="shared" si="0"/>
        <v>20</v>
      </c>
      <c r="B24" s="3112"/>
      <c r="C24" s="466"/>
      <c r="D24" s="467"/>
      <c r="E24" s="467"/>
      <c r="F24" s="468"/>
    </row>
    <row r="25" spans="1:6">
      <c r="A25" s="483">
        <f t="shared" si="0"/>
        <v>21</v>
      </c>
      <c r="B25" s="3112"/>
      <c r="C25" s="469" t="s">
        <v>588</v>
      </c>
      <c r="D25" s="469"/>
      <c r="E25" s="469"/>
      <c r="F25" s="470">
        <f>SUM(F22:F24)</f>
        <v>0</v>
      </c>
    </row>
    <row r="26" spans="1:6">
      <c r="A26" s="483">
        <f t="shared" si="0"/>
        <v>22</v>
      </c>
      <c r="B26" s="3112"/>
      <c r="C26" s="460" t="s">
        <v>672</v>
      </c>
      <c r="D26" s="461"/>
      <c r="E26" s="461"/>
      <c r="F26" s="462"/>
    </row>
    <row r="27" spans="1:6">
      <c r="A27" s="483">
        <f t="shared" si="0"/>
        <v>23</v>
      </c>
      <c r="B27" s="3112"/>
      <c r="C27" s="463"/>
      <c r="D27" s="464"/>
      <c r="E27" s="464"/>
      <c r="F27" s="465"/>
    </row>
    <row r="28" spans="1:6">
      <c r="A28" s="483">
        <f t="shared" si="0"/>
        <v>24</v>
      </c>
      <c r="B28" s="3112"/>
      <c r="C28" s="466"/>
      <c r="D28" s="467"/>
      <c r="E28" s="467"/>
      <c r="F28" s="468"/>
    </row>
    <row r="29" spans="1:6">
      <c r="A29" s="483">
        <f t="shared" si="0"/>
        <v>25</v>
      </c>
      <c r="B29" s="3112"/>
      <c r="C29" s="469" t="s">
        <v>588</v>
      </c>
      <c r="D29" s="469"/>
      <c r="E29" s="469"/>
      <c r="F29" s="470">
        <f>SUM(F26:F28)</f>
        <v>0</v>
      </c>
    </row>
    <row r="30" spans="1:6">
      <c r="A30" s="483">
        <f t="shared" si="0"/>
        <v>26</v>
      </c>
      <c r="B30" s="3113"/>
      <c r="C30" s="469" t="s">
        <v>598</v>
      </c>
      <c r="D30" s="469"/>
      <c r="E30" s="469"/>
      <c r="F30" s="470">
        <f>F29+F25+F21</f>
        <v>0</v>
      </c>
    </row>
    <row r="31" spans="1:6">
      <c r="A31" s="483">
        <f t="shared" si="0"/>
        <v>27</v>
      </c>
      <c r="B31" s="3111" t="s">
        <v>246</v>
      </c>
      <c r="C31" s="460" t="s">
        <v>670</v>
      </c>
      <c r="D31" s="461"/>
      <c r="E31" s="461"/>
      <c r="F31" s="462"/>
    </row>
    <row r="32" spans="1:6">
      <c r="A32" s="483">
        <f t="shared" si="0"/>
        <v>28</v>
      </c>
      <c r="B32" s="3112"/>
      <c r="C32" s="463"/>
      <c r="D32" s="464"/>
      <c r="E32" s="464"/>
      <c r="F32" s="465"/>
    </row>
    <row r="33" spans="1:6">
      <c r="A33" s="483">
        <f t="shared" si="0"/>
        <v>29</v>
      </c>
      <c r="B33" s="3112"/>
      <c r="C33" s="466"/>
      <c r="D33" s="467"/>
      <c r="E33" s="467"/>
      <c r="F33" s="468"/>
    </row>
    <row r="34" spans="1:6">
      <c r="A34" s="483">
        <f t="shared" si="0"/>
        <v>30</v>
      </c>
      <c r="B34" s="3112"/>
      <c r="C34" s="469" t="s">
        <v>588</v>
      </c>
      <c r="D34" s="469"/>
      <c r="E34" s="469"/>
      <c r="F34" s="470">
        <f>SUM(F31:F33)</f>
        <v>0</v>
      </c>
    </row>
    <row r="35" spans="1:6">
      <c r="A35" s="483">
        <f t="shared" si="0"/>
        <v>31</v>
      </c>
      <c r="B35" s="3112"/>
      <c r="C35" s="460" t="s">
        <v>671</v>
      </c>
      <c r="D35" s="461"/>
      <c r="E35" s="461"/>
      <c r="F35" s="462"/>
    </row>
    <row r="36" spans="1:6">
      <c r="A36" s="483">
        <f t="shared" si="0"/>
        <v>32</v>
      </c>
      <c r="B36" s="3112"/>
      <c r="C36" s="463"/>
      <c r="D36" s="464"/>
      <c r="E36" s="464"/>
      <c r="F36" s="465"/>
    </row>
    <row r="37" spans="1:6">
      <c r="A37" s="483">
        <f t="shared" si="0"/>
        <v>33</v>
      </c>
      <c r="B37" s="3112"/>
      <c r="C37" s="466"/>
      <c r="D37" s="467"/>
      <c r="E37" s="467"/>
      <c r="F37" s="468"/>
    </row>
    <row r="38" spans="1:6">
      <c r="A38" s="483">
        <f t="shared" si="0"/>
        <v>34</v>
      </c>
      <c r="B38" s="3112"/>
      <c r="C38" s="469" t="s">
        <v>588</v>
      </c>
      <c r="D38" s="469"/>
      <c r="E38" s="469"/>
      <c r="F38" s="470">
        <f>SUM(F35:F37)</f>
        <v>0</v>
      </c>
    </row>
    <row r="39" spans="1:6">
      <c r="A39" s="483">
        <f t="shared" si="0"/>
        <v>35</v>
      </c>
      <c r="B39" s="3112"/>
      <c r="C39" s="460" t="s">
        <v>672</v>
      </c>
      <c r="D39" s="461"/>
      <c r="E39" s="461"/>
      <c r="F39" s="462"/>
    </row>
    <row r="40" spans="1:6">
      <c r="A40" s="483">
        <f t="shared" si="0"/>
        <v>36</v>
      </c>
      <c r="B40" s="3112"/>
      <c r="C40" s="463"/>
      <c r="D40" s="464"/>
      <c r="E40" s="464"/>
      <c r="F40" s="465"/>
    </row>
    <row r="41" spans="1:6">
      <c r="A41" s="483">
        <f t="shared" si="0"/>
        <v>37</v>
      </c>
      <c r="B41" s="3112"/>
      <c r="C41" s="466"/>
      <c r="D41" s="464"/>
      <c r="E41" s="464"/>
      <c r="F41" s="465"/>
    </row>
    <row r="42" spans="1:6">
      <c r="A42" s="483">
        <f t="shared" si="0"/>
        <v>38</v>
      </c>
      <c r="B42" s="3112"/>
      <c r="C42" s="469" t="s">
        <v>588</v>
      </c>
      <c r="D42" s="469"/>
      <c r="E42" s="469"/>
      <c r="F42" s="470">
        <f>SUM(F39:F41)</f>
        <v>0</v>
      </c>
    </row>
    <row r="43" spans="1:6">
      <c r="A43" s="483">
        <f t="shared" si="0"/>
        <v>39</v>
      </c>
      <c r="B43" s="3113"/>
      <c r="C43" s="469" t="s">
        <v>598</v>
      </c>
      <c r="D43" s="469"/>
      <c r="E43" s="469"/>
      <c r="F43" s="470">
        <f>F42+F38+F34</f>
        <v>0</v>
      </c>
    </row>
    <row r="44" spans="1:6">
      <c r="A44" s="483">
        <f t="shared" si="0"/>
        <v>40</v>
      </c>
      <c r="B44" s="3111" t="s">
        <v>247</v>
      </c>
      <c r="C44" s="460" t="s">
        <v>670</v>
      </c>
      <c r="D44" s="461"/>
      <c r="E44" s="461"/>
      <c r="F44" s="462"/>
    </row>
    <row r="45" spans="1:6">
      <c r="A45" s="483">
        <f t="shared" si="0"/>
        <v>41</v>
      </c>
      <c r="B45" s="3112"/>
      <c r="C45" s="463"/>
      <c r="D45" s="464"/>
      <c r="E45" s="464"/>
      <c r="F45" s="465"/>
    </row>
    <row r="46" spans="1:6">
      <c r="A46" s="483">
        <f t="shared" si="0"/>
        <v>42</v>
      </c>
      <c r="B46" s="3112"/>
      <c r="C46" s="466"/>
      <c r="D46" s="467"/>
      <c r="E46" s="467"/>
      <c r="F46" s="468"/>
    </row>
    <row r="47" spans="1:6">
      <c r="A47" s="483">
        <f t="shared" si="0"/>
        <v>43</v>
      </c>
      <c r="B47" s="3112"/>
      <c r="C47" s="469" t="s">
        <v>588</v>
      </c>
      <c r="D47" s="469"/>
      <c r="E47" s="469"/>
      <c r="F47" s="470">
        <f>SUM(F44:F46)</f>
        <v>0</v>
      </c>
    </row>
    <row r="48" spans="1:6">
      <c r="A48" s="483">
        <f t="shared" si="0"/>
        <v>44</v>
      </c>
      <c r="B48" s="3112"/>
      <c r="C48" s="460" t="s">
        <v>671</v>
      </c>
      <c r="D48" s="461"/>
      <c r="E48" s="461"/>
      <c r="F48" s="462"/>
    </row>
    <row r="49" spans="1:6">
      <c r="A49" s="483">
        <f t="shared" si="0"/>
        <v>45</v>
      </c>
      <c r="B49" s="3112"/>
      <c r="C49" s="463"/>
      <c r="D49" s="464"/>
      <c r="E49" s="464"/>
      <c r="F49" s="465"/>
    </row>
    <row r="50" spans="1:6">
      <c r="A50" s="483">
        <f t="shared" si="0"/>
        <v>46</v>
      </c>
      <c r="B50" s="3112"/>
      <c r="C50" s="466"/>
      <c r="D50" s="467"/>
      <c r="E50" s="467"/>
      <c r="F50" s="468"/>
    </row>
    <row r="51" spans="1:6">
      <c r="A51" s="483">
        <f t="shared" si="0"/>
        <v>47</v>
      </c>
      <c r="B51" s="3112"/>
      <c r="C51" s="469" t="s">
        <v>588</v>
      </c>
      <c r="D51" s="469"/>
      <c r="E51" s="469"/>
      <c r="F51" s="470">
        <f>SUM(F48:F50)</f>
        <v>0</v>
      </c>
    </row>
    <row r="52" spans="1:6">
      <c r="A52" s="483">
        <f t="shared" si="0"/>
        <v>48</v>
      </c>
      <c r="B52" s="3112"/>
      <c r="C52" s="460" t="s">
        <v>672</v>
      </c>
      <c r="D52" s="461"/>
      <c r="E52" s="461"/>
      <c r="F52" s="462"/>
    </row>
    <row r="53" spans="1:6">
      <c r="A53" s="483">
        <f t="shared" si="0"/>
        <v>49</v>
      </c>
      <c r="B53" s="3112"/>
      <c r="C53" s="463"/>
      <c r="D53" s="464"/>
      <c r="E53" s="464"/>
      <c r="F53" s="465"/>
    </row>
    <row r="54" spans="1:6">
      <c r="A54" s="483">
        <f t="shared" si="0"/>
        <v>50</v>
      </c>
      <c r="B54" s="3112"/>
      <c r="C54" s="466"/>
      <c r="D54" s="467"/>
      <c r="E54" s="467"/>
      <c r="F54" s="465"/>
    </row>
    <row r="55" spans="1:6">
      <c r="A55" s="483">
        <f t="shared" si="0"/>
        <v>51</v>
      </c>
      <c r="B55" s="3112"/>
      <c r="C55" s="469" t="s">
        <v>588</v>
      </c>
      <c r="D55" s="469"/>
      <c r="E55" s="469"/>
      <c r="F55" s="470">
        <f>SUM(F52:F54)</f>
        <v>0</v>
      </c>
    </row>
    <row r="56" spans="1:6">
      <c r="A56" s="483">
        <f t="shared" si="0"/>
        <v>52</v>
      </c>
      <c r="B56" s="3113"/>
      <c r="C56" s="469" t="s">
        <v>598</v>
      </c>
      <c r="D56" s="469"/>
      <c r="E56" s="469"/>
      <c r="F56" s="470">
        <f>F55+F51+F47</f>
        <v>0</v>
      </c>
    </row>
    <row r="57" spans="1:6">
      <c r="A57" s="483">
        <f t="shared" si="0"/>
        <v>53</v>
      </c>
      <c r="B57" s="3111" t="s">
        <v>248</v>
      </c>
      <c r="C57" s="460" t="s">
        <v>670</v>
      </c>
      <c r="D57" s="461"/>
      <c r="E57" s="461"/>
      <c r="F57" s="462"/>
    </row>
    <row r="58" spans="1:6">
      <c r="A58" s="483">
        <f t="shared" si="0"/>
        <v>54</v>
      </c>
      <c r="B58" s="3112"/>
      <c r="C58" s="463"/>
      <c r="D58" s="464"/>
      <c r="E58" s="464"/>
      <c r="F58" s="465"/>
    </row>
    <row r="59" spans="1:6">
      <c r="A59" s="483">
        <f t="shared" si="0"/>
        <v>55</v>
      </c>
      <c r="B59" s="3112"/>
      <c r="C59" s="466"/>
      <c r="D59" s="467"/>
      <c r="E59" s="467"/>
      <c r="F59" s="468"/>
    </row>
    <row r="60" spans="1:6">
      <c r="A60" s="483">
        <f t="shared" si="0"/>
        <v>56</v>
      </c>
      <c r="B60" s="3112"/>
      <c r="C60" s="469" t="s">
        <v>588</v>
      </c>
      <c r="D60" s="469"/>
      <c r="E60" s="469"/>
      <c r="F60" s="470">
        <f>SUM(F57:F59)</f>
        <v>0</v>
      </c>
    </row>
    <row r="61" spans="1:6">
      <c r="A61" s="483">
        <f t="shared" si="0"/>
        <v>57</v>
      </c>
      <c r="B61" s="3112"/>
      <c r="C61" s="460" t="s">
        <v>671</v>
      </c>
      <c r="D61" s="461"/>
      <c r="E61" s="461"/>
      <c r="F61" s="462"/>
    </row>
    <row r="62" spans="1:6">
      <c r="A62" s="483">
        <f t="shared" si="0"/>
        <v>58</v>
      </c>
      <c r="B62" s="3112"/>
      <c r="C62" s="463"/>
      <c r="D62" s="464"/>
      <c r="E62" s="464"/>
      <c r="F62" s="465"/>
    </row>
    <row r="63" spans="1:6">
      <c r="A63" s="483">
        <f t="shared" si="0"/>
        <v>59</v>
      </c>
      <c r="B63" s="3112"/>
      <c r="C63" s="466"/>
      <c r="D63" s="467"/>
      <c r="E63" s="467"/>
      <c r="F63" s="468"/>
    </row>
    <row r="64" spans="1:6">
      <c r="A64" s="483">
        <f t="shared" si="0"/>
        <v>60</v>
      </c>
      <c r="B64" s="3112"/>
      <c r="C64" s="469" t="s">
        <v>588</v>
      </c>
      <c r="D64" s="469"/>
      <c r="E64" s="469"/>
      <c r="F64" s="470">
        <f>SUM(F61:F63)</f>
        <v>0</v>
      </c>
    </row>
    <row r="65" spans="1:6">
      <c r="A65" s="483">
        <f t="shared" si="0"/>
        <v>61</v>
      </c>
      <c r="B65" s="3112"/>
      <c r="C65" s="460" t="s">
        <v>672</v>
      </c>
      <c r="D65" s="461"/>
      <c r="E65" s="461"/>
      <c r="F65" s="462"/>
    </row>
    <row r="66" spans="1:6">
      <c r="A66" s="483">
        <f t="shared" si="0"/>
        <v>62</v>
      </c>
      <c r="B66" s="3112"/>
      <c r="C66" s="463"/>
      <c r="D66" s="464"/>
      <c r="E66" s="464"/>
      <c r="F66" s="465"/>
    </row>
    <row r="67" spans="1:6">
      <c r="A67" s="483">
        <f t="shared" si="0"/>
        <v>63</v>
      </c>
      <c r="B67" s="3112"/>
      <c r="C67" s="466"/>
      <c r="D67" s="467"/>
      <c r="E67" s="467"/>
      <c r="F67" s="465"/>
    </row>
    <row r="68" spans="1:6">
      <c r="A68" s="483">
        <f t="shared" si="0"/>
        <v>64</v>
      </c>
      <c r="B68" s="3112"/>
      <c r="C68" s="469" t="s">
        <v>588</v>
      </c>
      <c r="D68" s="469"/>
      <c r="E68" s="469"/>
      <c r="F68" s="470">
        <f>SUM(F65:F67)</f>
        <v>0</v>
      </c>
    </row>
    <row r="69" spans="1:6">
      <c r="A69" s="483">
        <f t="shared" si="0"/>
        <v>65</v>
      </c>
      <c r="B69" s="3113"/>
      <c r="C69" s="469" t="s">
        <v>598</v>
      </c>
      <c r="D69" s="469"/>
      <c r="E69" s="469"/>
      <c r="F69" s="470">
        <f>F68+F64+F60</f>
        <v>0</v>
      </c>
    </row>
    <row r="70" spans="1:6">
      <c r="A70" s="483">
        <f t="shared" si="0"/>
        <v>66</v>
      </c>
      <c r="B70" s="3111" t="s">
        <v>249</v>
      </c>
      <c r="C70" s="460" t="s">
        <v>670</v>
      </c>
      <c r="D70" s="461"/>
      <c r="E70" s="461"/>
      <c r="F70" s="462"/>
    </row>
    <row r="71" spans="1:6">
      <c r="A71" s="483">
        <f t="shared" ref="A71:A110" si="1">A70+1</f>
        <v>67</v>
      </c>
      <c r="B71" s="3112"/>
      <c r="C71" s="463"/>
      <c r="D71" s="464"/>
      <c r="E71" s="464"/>
      <c r="F71" s="465"/>
    </row>
    <row r="72" spans="1:6">
      <c r="A72" s="483">
        <f t="shared" si="1"/>
        <v>68</v>
      </c>
      <c r="B72" s="3112"/>
      <c r="C72" s="466"/>
      <c r="D72" s="467"/>
      <c r="E72" s="467"/>
      <c r="F72" s="468"/>
    </row>
    <row r="73" spans="1:6">
      <c r="A73" s="483">
        <f t="shared" si="1"/>
        <v>69</v>
      </c>
      <c r="B73" s="3112"/>
      <c r="C73" s="469" t="s">
        <v>588</v>
      </c>
      <c r="D73" s="469"/>
      <c r="E73" s="469"/>
      <c r="F73" s="470">
        <f>SUM(F70:F72)</f>
        <v>0</v>
      </c>
    </row>
    <row r="74" spans="1:6">
      <c r="A74" s="483">
        <f t="shared" si="1"/>
        <v>70</v>
      </c>
      <c r="B74" s="3112"/>
      <c r="C74" s="460" t="s">
        <v>671</v>
      </c>
      <c r="D74" s="461"/>
      <c r="E74" s="461"/>
      <c r="F74" s="462"/>
    </row>
    <row r="75" spans="1:6">
      <c r="A75" s="483">
        <f t="shared" si="1"/>
        <v>71</v>
      </c>
      <c r="B75" s="3112"/>
      <c r="C75" s="463"/>
      <c r="D75" s="464"/>
      <c r="E75" s="464"/>
      <c r="F75" s="465"/>
    </row>
    <row r="76" spans="1:6">
      <c r="A76" s="483">
        <f t="shared" si="1"/>
        <v>72</v>
      </c>
      <c r="B76" s="3112"/>
      <c r="C76" s="466"/>
      <c r="D76" s="467"/>
      <c r="E76" s="467"/>
      <c r="F76" s="468"/>
    </row>
    <row r="77" spans="1:6">
      <c r="A77" s="483">
        <f t="shared" si="1"/>
        <v>73</v>
      </c>
      <c r="B77" s="3112"/>
      <c r="C77" s="469" t="s">
        <v>588</v>
      </c>
      <c r="D77" s="469"/>
      <c r="E77" s="469"/>
      <c r="F77" s="470">
        <f>SUM(F74:F76)</f>
        <v>0</v>
      </c>
    </row>
    <row r="78" spans="1:6">
      <c r="A78" s="483">
        <f t="shared" si="1"/>
        <v>74</v>
      </c>
      <c r="B78" s="3112"/>
      <c r="C78" s="460" t="s">
        <v>672</v>
      </c>
      <c r="D78" s="461"/>
      <c r="E78" s="461"/>
      <c r="F78" s="462"/>
    </row>
    <row r="79" spans="1:6">
      <c r="A79" s="483">
        <f t="shared" si="1"/>
        <v>75</v>
      </c>
      <c r="B79" s="3112"/>
      <c r="C79" s="463"/>
      <c r="D79" s="464"/>
      <c r="E79" s="464"/>
      <c r="F79" s="465"/>
    </row>
    <row r="80" spans="1:6">
      <c r="A80" s="483">
        <f t="shared" si="1"/>
        <v>76</v>
      </c>
      <c r="B80" s="3112"/>
      <c r="C80" s="466"/>
      <c r="D80" s="467"/>
      <c r="E80" s="467"/>
      <c r="F80" s="468"/>
    </row>
    <row r="81" spans="1:6">
      <c r="A81" s="483">
        <f t="shared" si="1"/>
        <v>77</v>
      </c>
      <c r="B81" s="3112"/>
      <c r="C81" s="469" t="s">
        <v>588</v>
      </c>
      <c r="D81" s="469"/>
      <c r="E81" s="469"/>
      <c r="F81" s="470">
        <f>SUM(F78:F80)</f>
        <v>0</v>
      </c>
    </row>
    <row r="82" spans="1:6">
      <c r="A82" s="483">
        <f t="shared" si="1"/>
        <v>78</v>
      </c>
      <c r="B82" s="3113"/>
      <c r="C82" s="469" t="s">
        <v>598</v>
      </c>
      <c r="D82" s="469"/>
      <c r="E82" s="469"/>
      <c r="F82" s="470">
        <f>F81+F77+F73</f>
        <v>0</v>
      </c>
    </row>
    <row r="83" spans="1:6">
      <c r="A83" s="483">
        <f t="shared" si="1"/>
        <v>79</v>
      </c>
      <c r="B83" s="164" t="s">
        <v>402</v>
      </c>
      <c r="C83" s="475"/>
      <c r="D83" s="469"/>
      <c r="E83" s="469"/>
      <c r="F83" s="470">
        <f>F17+F30+F43+F56+F69+F82</f>
        <v>0</v>
      </c>
    </row>
    <row r="84" spans="1:6">
      <c r="A84" s="483">
        <f t="shared" si="1"/>
        <v>80</v>
      </c>
      <c r="B84" s="3114" t="s">
        <v>380</v>
      </c>
      <c r="C84" s="460" t="s">
        <v>670</v>
      </c>
      <c r="D84" s="461"/>
      <c r="E84" s="461"/>
      <c r="F84" s="462"/>
    </row>
    <row r="85" spans="1:6">
      <c r="A85" s="483">
        <f t="shared" si="1"/>
        <v>81</v>
      </c>
      <c r="B85" s="3115"/>
      <c r="C85" s="463"/>
      <c r="D85" s="464"/>
      <c r="E85" s="464"/>
      <c r="F85" s="465"/>
    </row>
    <row r="86" spans="1:6">
      <c r="A86" s="483">
        <f t="shared" si="1"/>
        <v>82</v>
      </c>
      <c r="B86" s="3115"/>
      <c r="C86" s="466"/>
      <c r="D86" s="467"/>
      <c r="E86" s="467"/>
      <c r="F86" s="468"/>
    </row>
    <row r="87" spans="1:6">
      <c r="A87" s="483">
        <f t="shared" si="1"/>
        <v>83</v>
      </c>
      <c r="B87" s="3115"/>
      <c r="C87" s="469" t="s">
        <v>588</v>
      </c>
      <c r="D87" s="469"/>
      <c r="E87" s="469"/>
      <c r="F87" s="470">
        <f>SUM(F84:F86)</f>
        <v>0</v>
      </c>
    </row>
    <row r="88" spans="1:6">
      <c r="A88" s="483">
        <f t="shared" si="1"/>
        <v>84</v>
      </c>
      <c r="B88" s="3115"/>
      <c r="C88" s="476" t="s">
        <v>671</v>
      </c>
      <c r="D88" s="477"/>
      <c r="E88" s="477"/>
      <c r="F88" s="478"/>
    </row>
    <row r="89" spans="1:6">
      <c r="A89" s="483">
        <f t="shared" si="1"/>
        <v>85</v>
      </c>
      <c r="B89" s="3115"/>
      <c r="C89" s="479"/>
      <c r="D89" s="464"/>
      <c r="E89" s="464"/>
      <c r="F89" s="465"/>
    </row>
    <row r="90" spans="1:6">
      <c r="A90" s="483">
        <f t="shared" si="1"/>
        <v>86</v>
      </c>
      <c r="B90" s="3115"/>
      <c r="C90" s="479"/>
      <c r="D90" s="464"/>
      <c r="E90" s="464"/>
      <c r="F90" s="465"/>
    </row>
    <row r="91" spans="1:6">
      <c r="A91" s="483">
        <f t="shared" si="1"/>
        <v>87</v>
      </c>
      <c r="B91" s="3115"/>
      <c r="C91" s="469" t="s">
        <v>588</v>
      </c>
      <c r="D91" s="469"/>
      <c r="E91" s="469"/>
      <c r="F91" s="470">
        <f>SUM(F88:F90)</f>
        <v>0</v>
      </c>
    </row>
    <row r="92" spans="1:6">
      <c r="A92" s="483">
        <f t="shared" si="1"/>
        <v>88</v>
      </c>
      <c r="B92" s="3115"/>
      <c r="C92" s="460" t="s">
        <v>672</v>
      </c>
      <c r="D92" s="461"/>
      <c r="E92" s="461"/>
      <c r="F92" s="462"/>
    </row>
    <row r="93" spans="1:6">
      <c r="A93" s="483">
        <f t="shared" si="1"/>
        <v>89</v>
      </c>
      <c r="B93" s="3115"/>
      <c r="C93" s="463"/>
      <c r="D93" s="464"/>
      <c r="E93" s="464"/>
      <c r="F93" s="465"/>
    </row>
    <row r="94" spans="1:6">
      <c r="A94" s="483">
        <f t="shared" si="1"/>
        <v>90</v>
      </c>
      <c r="B94" s="3115"/>
      <c r="C94" s="466"/>
      <c r="D94" s="467"/>
      <c r="E94" s="467"/>
      <c r="F94" s="468"/>
    </row>
    <row r="95" spans="1:6">
      <c r="A95" s="483">
        <f t="shared" si="1"/>
        <v>91</v>
      </c>
      <c r="B95" s="3115"/>
      <c r="C95" s="469" t="s">
        <v>588</v>
      </c>
      <c r="D95" s="469"/>
      <c r="E95" s="469"/>
      <c r="F95" s="470">
        <f>SUM(F92:F94)</f>
        <v>0</v>
      </c>
    </row>
    <row r="96" spans="1:6">
      <c r="A96" s="483">
        <f t="shared" si="1"/>
        <v>92</v>
      </c>
      <c r="B96" s="3116"/>
      <c r="C96" s="469" t="s">
        <v>598</v>
      </c>
      <c r="D96" s="469"/>
      <c r="E96" s="469"/>
      <c r="F96" s="470">
        <f>F87+F91+F95</f>
        <v>0</v>
      </c>
    </row>
    <row r="97" spans="1:7">
      <c r="A97" s="483">
        <f t="shared" si="1"/>
        <v>93</v>
      </c>
      <c r="B97" s="3114" t="s">
        <v>381</v>
      </c>
      <c r="C97" s="460" t="s">
        <v>670</v>
      </c>
      <c r="D97" s="461"/>
      <c r="E97" s="461"/>
      <c r="F97" s="462"/>
    </row>
    <row r="98" spans="1:7">
      <c r="A98" s="483">
        <f t="shared" si="1"/>
        <v>94</v>
      </c>
      <c r="B98" s="3115"/>
      <c r="C98" s="463"/>
      <c r="D98" s="464"/>
      <c r="E98" s="464"/>
      <c r="F98" s="465"/>
    </row>
    <row r="99" spans="1:7">
      <c r="A99" s="483">
        <f t="shared" si="1"/>
        <v>95</v>
      </c>
      <c r="B99" s="3115"/>
      <c r="C99" s="466"/>
      <c r="D99" s="467"/>
      <c r="E99" s="467"/>
      <c r="F99" s="468"/>
    </row>
    <row r="100" spans="1:7">
      <c r="A100" s="483">
        <f t="shared" si="1"/>
        <v>96</v>
      </c>
      <c r="B100" s="3115"/>
      <c r="C100" s="469" t="s">
        <v>588</v>
      </c>
      <c r="D100" s="469"/>
      <c r="E100" s="469"/>
      <c r="F100" s="470">
        <f>SUM(F97:F99)</f>
        <v>0</v>
      </c>
    </row>
    <row r="101" spans="1:7">
      <c r="A101" s="483">
        <f t="shared" si="1"/>
        <v>97</v>
      </c>
      <c r="B101" s="3115"/>
      <c r="C101" s="460" t="s">
        <v>671</v>
      </c>
      <c r="D101" s="461"/>
      <c r="E101" s="461"/>
      <c r="F101" s="462"/>
    </row>
    <row r="102" spans="1:7">
      <c r="A102" s="483">
        <f t="shared" si="1"/>
        <v>98</v>
      </c>
      <c r="B102" s="3115"/>
      <c r="C102" s="463"/>
      <c r="D102" s="464"/>
      <c r="E102" s="464"/>
      <c r="F102" s="465"/>
    </row>
    <row r="103" spans="1:7">
      <c r="A103" s="483">
        <f t="shared" si="1"/>
        <v>99</v>
      </c>
      <c r="B103" s="3115"/>
      <c r="C103" s="466"/>
      <c r="D103" s="467"/>
      <c r="E103" s="467"/>
      <c r="F103" s="468"/>
    </row>
    <row r="104" spans="1:7">
      <c r="A104" s="483">
        <f t="shared" si="1"/>
        <v>100</v>
      </c>
      <c r="B104" s="3115"/>
      <c r="C104" s="469" t="s">
        <v>588</v>
      </c>
      <c r="D104" s="469"/>
      <c r="E104" s="469"/>
      <c r="F104" s="470">
        <f>SUM(F101:F103)</f>
        <v>0</v>
      </c>
    </row>
    <row r="105" spans="1:7">
      <c r="A105" s="483">
        <f t="shared" si="1"/>
        <v>101</v>
      </c>
      <c r="B105" s="3115"/>
      <c r="C105" s="460" t="s">
        <v>672</v>
      </c>
      <c r="D105" s="461"/>
      <c r="E105" s="461"/>
      <c r="F105" s="462"/>
    </row>
    <row r="106" spans="1:7">
      <c r="A106" s="483">
        <f t="shared" si="1"/>
        <v>102</v>
      </c>
      <c r="B106" s="3115"/>
      <c r="C106" s="463"/>
      <c r="D106" s="464"/>
      <c r="E106" s="464"/>
      <c r="F106" s="465"/>
    </row>
    <row r="107" spans="1:7">
      <c r="A107" s="483">
        <f t="shared" si="1"/>
        <v>103</v>
      </c>
      <c r="B107" s="3115"/>
      <c r="C107" s="466"/>
      <c r="D107" s="467"/>
      <c r="E107" s="467"/>
      <c r="F107" s="468"/>
    </row>
    <row r="108" spans="1:7">
      <c r="A108" s="483">
        <f t="shared" si="1"/>
        <v>104</v>
      </c>
      <c r="B108" s="3115"/>
      <c r="C108" s="469" t="s">
        <v>588</v>
      </c>
      <c r="D108" s="469"/>
      <c r="E108" s="469"/>
      <c r="F108" s="470">
        <f>SUM(F105:F107)</f>
        <v>0</v>
      </c>
    </row>
    <row r="109" spans="1:7">
      <c r="A109" s="483">
        <f t="shared" si="1"/>
        <v>105</v>
      </c>
      <c r="B109" s="3116"/>
      <c r="C109" s="469" t="s">
        <v>598</v>
      </c>
      <c r="D109" s="469"/>
      <c r="E109" s="469"/>
      <c r="F109" s="470">
        <f>F100+F104+F108</f>
        <v>0</v>
      </c>
    </row>
    <row r="110" spans="1:7" ht="15" thickBot="1">
      <c r="A110" s="484">
        <f t="shared" si="1"/>
        <v>106</v>
      </c>
      <c r="B110" s="165" t="s">
        <v>250</v>
      </c>
      <c r="C110" s="480"/>
      <c r="D110" s="481"/>
      <c r="E110" s="481"/>
      <c r="F110" s="482">
        <f>F96+F109</f>
        <v>0</v>
      </c>
    </row>
    <row r="111" spans="1:7">
      <c r="A111" s="166" t="s">
        <v>450</v>
      </c>
      <c r="B111" s="167"/>
      <c r="C111" s="167"/>
      <c r="D111" s="167"/>
      <c r="E111" s="167"/>
      <c r="F111" s="168"/>
      <c r="G111" s="169"/>
    </row>
    <row r="112" spans="1:7" ht="27.75" customHeight="1">
      <c r="A112" s="170">
        <v>1</v>
      </c>
      <c r="B112" s="3110" t="s">
        <v>251</v>
      </c>
      <c r="C112" s="3110"/>
      <c r="D112" s="3110"/>
      <c r="E112" s="3110"/>
      <c r="F112" s="3110"/>
      <c r="G112" s="2288"/>
    </row>
    <row r="113" spans="1:7" s="171" customFormat="1" ht="27.75" customHeight="1">
      <c r="A113" s="170">
        <v>2</v>
      </c>
      <c r="B113" s="3117" t="s">
        <v>375</v>
      </c>
      <c r="C113" s="3117"/>
      <c r="D113" s="3117"/>
      <c r="E113" s="3117"/>
      <c r="F113" s="3117"/>
      <c r="G113" s="2288"/>
    </row>
    <row r="114" spans="1:7" s="171" customFormat="1" ht="28.5" customHeight="1">
      <c r="A114" s="170">
        <v>3</v>
      </c>
      <c r="B114" s="3110" t="s">
        <v>270</v>
      </c>
      <c r="C114" s="3110"/>
      <c r="D114" s="3110"/>
      <c r="E114" s="3110"/>
      <c r="F114" s="3110"/>
      <c r="G114" s="2288"/>
    </row>
    <row r="115" spans="1:7">
      <c r="A115" s="274">
        <v>4</v>
      </c>
      <c r="B115" s="154" t="s">
        <v>382</v>
      </c>
    </row>
  </sheetData>
  <mergeCells count="12">
    <mergeCell ref="B5:B17"/>
    <mergeCell ref="B18:B30"/>
    <mergeCell ref="B31:B43"/>
    <mergeCell ref="B44:B56"/>
    <mergeCell ref="A3:A4"/>
    <mergeCell ref="B114:F114"/>
    <mergeCell ref="B57:B69"/>
    <mergeCell ref="B70:B82"/>
    <mergeCell ref="B84:B96"/>
    <mergeCell ref="B97:B109"/>
    <mergeCell ref="B112:F112"/>
    <mergeCell ref="B113:F113"/>
  </mergeCells>
  <phoneticPr fontId="26" type="noConversion"/>
  <printOptions horizontalCentered="1"/>
  <pageMargins left="0.39370078740157483" right="0.39370078740157483" top="0.39370078740157483" bottom="0.39370078740157483" header="0.19685039370078741" footer="0.19685039370078741"/>
  <pageSetup paperSize="9" scale="48" orientation="portrait" horizontalDpi="4294967295" verticalDpi="4294967295" r:id="rId1"/>
  <headerFooter alignWithMargins="0">
    <oddFooter>&amp;C&amp;"Times New Roman,標準"&amp;P+168&amp;R&amp;"Times New Roman,標準"&amp;A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FFC000"/>
    <pageSetUpPr fitToPage="1"/>
  </sheetPr>
  <dimension ref="A1:J26"/>
  <sheetViews>
    <sheetView workbookViewId="0">
      <selection activeCell="B26" sqref="B26"/>
    </sheetView>
  </sheetViews>
  <sheetFormatPr defaultColWidth="17.625" defaultRowHeight="15.75"/>
  <cols>
    <col min="1" max="1" width="17.625" style="1481" customWidth="1"/>
    <col min="2" max="2" width="34.625" style="1481" customWidth="1"/>
    <col min="3" max="16384" width="17.625" style="1481"/>
  </cols>
  <sheetData>
    <row r="1" spans="1:10" ht="16.5">
      <c r="A1" s="1482" t="s">
        <v>3198</v>
      </c>
      <c r="B1" s="1483"/>
    </row>
    <row r="2" spans="1:10" ht="17.25" thickBot="1">
      <c r="A2" s="1484" t="s">
        <v>2406</v>
      </c>
      <c r="B2" s="1485"/>
      <c r="C2" s="1486"/>
      <c r="D2" s="1486"/>
      <c r="E2" s="1486"/>
      <c r="F2" s="1486"/>
      <c r="G2" s="1486"/>
      <c r="H2" s="1486"/>
      <c r="I2" s="1486"/>
      <c r="J2" s="1486"/>
    </row>
    <row r="3" spans="1:10" ht="33">
      <c r="A3" s="3120" t="s">
        <v>2330</v>
      </c>
      <c r="B3" s="1487" t="s">
        <v>2331</v>
      </c>
      <c r="C3" s="1487" t="s">
        <v>2332</v>
      </c>
      <c r="D3" s="1487" t="s">
        <v>2397</v>
      </c>
      <c r="E3" s="1487" t="s">
        <v>2398</v>
      </c>
      <c r="F3" s="1487" t="s">
        <v>3197</v>
      </c>
      <c r="G3" s="1487" t="s">
        <v>2333</v>
      </c>
      <c r="H3" s="1487" t="s">
        <v>2334</v>
      </c>
      <c r="I3" s="1487" t="s">
        <v>3199</v>
      </c>
      <c r="J3" s="1488" t="s">
        <v>2335</v>
      </c>
    </row>
    <row r="4" spans="1:10" ht="31.5">
      <c r="A4" s="3121"/>
      <c r="B4" s="1489" t="s">
        <v>179</v>
      </c>
      <c r="C4" s="1489" t="s">
        <v>180</v>
      </c>
      <c r="D4" s="1489" t="s">
        <v>68</v>
      </c>
      <c r="E4" s="1489" t="s">
        <v>2336</v>
      </c>
      <c r="F4" s="1489" t="s">
        <v>70</v>
      </c>
      <c r="G4" s="1489" t="s">
        <v>2399</v>
      </c>
      <c r="H4" s="1489" t="s">
        <v>2400</v>
      </c>
      <c r="I4" s="1489" t="s">
        <v>2401</v>
      </c>
      <c r="J4" s="1535" t="s">
        <v>2337</v>
      </c>
    </row>
    <row r="5" spans="1:10" ht="16.5">
      <c r="A5" s="2290">
        <v>1</v>
      </c>
      <c r="B5" s="1490" t="s">
        <v>2402</v>
      </c>
      <c r="C5" s="1491"/>
      <c r="D5" s="1491"/>
      <c r="E5" s="1491"/>
      <c r="F5" s="1492"/>
      <c r="G5" s="1491"/>
      <c r="H5" s="1491"/>
      <c r="I5" s="1491"/>
      <c r="J5" s="1493"/>
    </row>
    <row r="6" spans="1:10" ht="16.5">
      <c r="A6" s="2290">
        <v>2</v>
      </c>
      <c r="B6" s="1494" t="s">
        <v>3200</v>
      </c>
      <c r="C6" s="1491"/>
      <c r="D6" s="1491"/>
      <c r="E6" s="1491"/>
      <c r="F6" s="1492"/>
      <c r="G6" s="1491"/>
      <c r="H6" s="1491"/>
      <c r="I6" s="1491"/>
      <c r="J6" s="1493"/>
    </row>
    <row r="7" spans="1:10" ht="16.5">
      <c r="A7" s="2290">
        <v>3</v>
      </c>
      <c r="B7" s="1495" t="s">
        <v>3196</v>
      </c>
      <c r="C7" s="1496">
        <v>0.25979999999999998</v>
      </c>
      <c r="D7" s="1496">
        <f ca="1">'表30-14-3'!H6</f>
        <v>2.6200000000000001E-2</v>
      </c>
      <c r="E7" s="1496">
        <f ca="1">C7+D7</f>
        <v>0.28599999999999998</v>
      </c>
      <c r="F7" s="1497">
        <f>IFERROR('表30-14-1'!K5,1)</f>
        <v>1</v>
      </c>
      <c r="G7" s="1496">
        <f ca="1">E7*F7</f>
        <v>0.28599999999999998</v>
      </c>
      <c r="H7" s="1496">
        <f ca="1">E7*1.5</f>
        <v>0.42899999999999994</v>
      </c>
      <c r="I7" s="1496">
        <f ca="1">E7*0.75</f>
        <v>0.21449999999999997</v>
      </c>
      <c r="J7" s="1498">
        <f ca="1">ROUND(IF(G7&lt;I7,I7,IF(G7&gt;H7,H7,G7)),4)</f>
        <v>0.28599999999999998</v>
      </c>
    </row>
    <row r="8" spans="1:10" ht="16.5">
      <c r="A8" s="2290">
        <v>4</v>
      </c>
      <c r="B8" s="1495" t="s">
        <v>2338</v>
      </c>
      <c r="C8" s="1496">
        <v>0.2165</v>
      </c>
      <c r="D8" s="1496">
        <f ca="1">'表30-14-3'!H6</f>
        <v>2.6200000000000001E-2</v>
      </c>
      <c r="E8" s="1496">
        <f ca="1">C8+D8</f>
        <v>0.2427</v>
      </c>
      <c r="F8" s="1497">
        <f>IFERROR('表30-14-1'!K5,1)</f>
        <v>1</v>
      </c>
      <c r="G8" s="1496">
        <f ca="1">E8*F8</f>
        <v>0.2427</v>
      </c>
      <c r="H8" s="1496">
        <f ca="1">E8*1.5</f>
        <v>0.36404999999999998</v>
      </c>
      <c r="I8" s="1496">
        <f ca="1">E8*0.75</f>
        <v>0.18202499999999999</v>
      </c>
      <c r="J8" s="1498">
        <f ca="1">ROUND(IF(G8&lt;I8,I8,IF(G8&gt;H8,H8,G8)),4)</f>
        <v>0.2427</v>
      </c>
    </row>
    <row r="9" spans="1:10" ht="16.5">
      <c r="A9" s="2290">
        <v>5</v>
      </c>
      <c r="B9" s="1494" t="s">
        <v>2339</v>
      </c>
      <c r="C9" s="1491"/>
      <c r="D9" s="1491"/>
      <c r="E9" s="1491"/>
      <c r="F9" s="1492"/>
      <c r="G9" s="1491"/>
      <c r="H9" s="1491"/>
      <c r="I9" s="1491"/>
      <c r="J9" s="1493"/>
    </row>
    <row r="10" spans="1:10" ht="16.5">
      <c r="A10" s="2290">
        <v>6</v>
      </c>
      <c r="B10" s="1495" t="s">
        <v>3196</v>
      </c>
      <c r="C10" s="1496">
        <v>0.36</v>
      </c>
      <c r="D10" s="1496">
        <f ca="1">'表30-14-3'!I6</f>
        <v>4.4999999999999998E-2</v>
      </c>
      <c r="E10" s="1496">
        <f ca="1">C10+D10</f>
        <v>0.40499999999999997</v>
      </c>
      <c r="F10" s="1497">
        <f>IFERROR('表30-14-2'!K5,1)</f>
        <v>1</v>
      </c>
      <c r="G10" s="1496">
        <f ca="1">E10*F10</f>
        <v>0.40499999999999997</v>
      </c>
      <c r="H10" s="1496">
        <f ca="1">E10*1.5</f>
        <v>0.60749999999999993</v>
      </c>
      <c r="I10" s="1496">
        <f ca="1">E10*0.75</f>
        <v>0.30374999999999996</v>
      </c>
      <c r="J10" s="1498">
        <f ca="1">ROUND(IF(G10&lt;I10,I10,IF(G10&gt;H10,H10,G10)),4)</f>
        <v>0.40500000000000003</v>
      </c>
    </row>
    <row r="11" spans="1:10" ht="16.5">
      <c r="A11" s="2290">
        <v>7</v>
      </c>
      <c r="B11" s="1495" t="s">
        <v>2338</v>
      </c>
      <c r="C11" s="1496">
        <v>0.3</v>
      </c>
      <c r="D11" s="1496">
        <f ca="1">'表30-14-3'!I6</f>
        <v>4.4999999999999998E-2</v>
      </c>
      <c r="E11" s="1496">
        <f ca="1">C11+D11</f>
        <v>0.34499999999999997</v>
      </c>
      <c r="F11" s="1497">
        <f>IFERROR('表30-14-2'!K5,1)</f>
        <v>1</v>
      </c>
      <c r="G11" s="1496">
        <f ca="1">E11*F11</f>
        <v>0.34499999999999997</v>
      </c>
      <c r="H11" s="1496">
        <f ca="1">E11*1.5</f>
        <v>0.51749999999999996</v>
      </c>
      <c r="I11" s="1496">
        <f ca="1">E11*0.75</f>
        <v>0.25874999999999998</v>
      </c>
      <c r="J11" s="1498">
        <f ca="1">ROUND(IF(G11&lt;I11,I11,IF(G11&gt;H11,H11,G11)),4)</f>
        <v>0.34499999999999997</v>
      </c>
    </row>
    <row r="12" spans="1:10" ht="16.5">
      <c r="A12" s="2290">
        <v>8</v>
      </c>
      <c r="B12" s="1490" t="s">
        <v>2403</v>
      </c>
      <c r="C12" s="1491"/>
      <c r="D12" s="1491"/>
      <c r="E12" s="1491"/>
      <c r="F12" s="1492"/>
      <c r="G12" s="1491"/>
      <c r="H12" s="1491"/>
      <c r="I12" s="1491"/>
      <c r="J12" s="1493"/>
    </row>
    <row r="13" spans="1:10" ht="16.5">
      <c r="A13" s="2290">
        <v>9</v>
      </c>
      <c r="B13" s="1494" t="s">
        <v>2340</v>
      </c>
      <c r="C13" s="1496">
        <v>0.2165</v>
      </c>
      <c r="D13" s="1496">
        <f ca="1">'表30-14-3'!H6</f>
        <v>2.6200000000000001E-2</v>
      </c>
      <c r="E13" s="1496">
        <f ca="1">C13+D13</f>
        <v>0.2427</v>
      </c>
      <c r="F13" s="1497">
        <f>IFERROR('表30-14-1'!K5,1)</f>
        <v>1</v>
      </c>
      <c r="G13" s="1496">
        <f ca="1">E13*F13</f>
        <v>0.2427</v>
      </c>
      <c r="H13" s="1496">
        <f ca="1">E13*1.5</f>
        <v>0.36404999999999998</v>
      </c>
      <c r="I13" s="1496">
        <f ca="1">E13*0.75</f>
        <v>0.18202499999999999</v>
      </c>
      <c r="J13" s="1498">
        <f ca="1">ROUND(IF(G13&lt;I13,I13,IF(G13&gt;H13,H13,G13)),4)</f>
        <v>0.2427</v>
      </c>
    </row>
    <row r="14" spans="1:10" ht="17.25" thickBot="1">
      <c r="A14" s="1499">
        <v>10</v>
      </c>
      <c r="B14" s="2483" t="s">
        <v>7263</v>
      </c>
      <c r="C14" s="1500">
        <v>0.2165</v>
      </c>
      <c r="D14" s="1500">
        <f ca="1">'表30-14-3'!H6</f>
        <v>2.6200000000000001E-2</v>
      </c>
      <c r="E14" s="1500">
        <f ca="1">C14+D14</f>
        <v>0.2427</v>
      </c>
      <c r="F14" s="1501">
        <f>IFERROR('表30-14-1'!K5,1)</f>
        <v>1</v>
      </c>
      <c r="G14" s="1500">
        <f ca="1">E14*F14</f>
        <v>0.2427</v>
      </c>
      <c r="H14" s="1500">
        <f ca="1">E14*1.5</f>
        <v>0.36404999999999998</v>
      </c>
      <c r="I14" s="1500">
        <f ca="1">E14*0.75</f>
        <v>0.18202499999999999</v>
      </c>
      <c r="J14" s="1502">
        <f ca="1">ROUND(IF(G14&lt;I14,I14,IF(G14&gt;H14,H14,G14)),4)</f>
        <v>0.2427</v>
      </c>
    </row>
    <row r="15" spans="1:10" ht="16.5">
      <c r="A15" s="2289">
        <v>11</v>
      </c>
      <c r="B15" s="2484" t="s">
        <v>7264</v>
      </c>
      <c r="C15" s="1536"/>
      <c r="D15" s="1536"/>
      <c r="E15" s="1537"/>
    </row>
    <row r="16" spans="1:10" ht="16.5">
      <c r="A16" s="2290">
        <v>12</v>
      </c>
      <c r="B16" s="2485" t="s">
        <v>7265</v>
      </c>
      <c r="C16" s="1496">
        <v>0.2009</v>
      </c>
      <c r="D16" s="1496">
        <f ca="1">'表30-14-3'!J6</f>
        <v>1.1000000000000001E-3</v>
      </c>
      <c r="E16" s="1498">
        <f ca="1">C16+D16</f>
        <v>0.20199999999999999</v>
      </c>
    </row>
    <row r="17" spans="1:5" ht="16.5">
      <c r="A17" s="2290">
        <v>13</v>
      </c>
      <c r="B17" s="2485" t="s">
        <v>7266</v>
      </c>
      <c r="C17" s="1496">
        <v>0.2009</v>
      </c>
      <c r="D17" s="1496">
        <f ca="1">'表30-14-3'!J6</f>
        <v>1.1000000000000001E-3</v>
      </c>
      <c r="E17" s="1498">
        <f ca="1">C17+D17</f>
        <v>0.20199999999999999</v>
      </c>
    </row>
    <row r="18" spans="1:5" ht="16.5">
      <c r="A18" s="2290">
        <v>14</v>
      </c>
      <c r="B18" s="2486" t="s">
        <v>7267</v>
      </c>
      <c r="C18" s="1491"/>
      <c r="D18" s="1491"/>
      <c r="E18" s="1493"/>
    </row>
    <row r="19" spans="1:5" ht="16.5">
      <c r="A19" s="2290">
        <v>15</v>
      </c>
      <c r="B19" s="2485" t="s">
        <v>7268</v>
      </c>
      <c r="C19" s="1496">
        <v>0.2009</v>
      </c>
      <c r="D19" s="1496">
        <f ca="1">'表30-14-3'!J6</f>
        <v>1.1000000000000001E-3</v>
      </c>
      <c r="E19" s="1498">
        <f ca="1">C19+D19</f>
        <v>0.20199999999999999</v>
      </c>
    </row>
    <row r="20" spans="1:5" ht="17.25" thickBot="1">
      <c r="A20" s="1499">
        <v>16</v>
      </c>
      <c r="B20" s="2483" t="s">
        <v>7263</v>
      </c>
      <c r="C20" s="1500">
        <v>0.2009</v>
      </c>
      <c r="D20" s="1500">
        <f ca="1">'表30-14-3'!J6</f>
        <v>1.1000000000000001E-3</v>
      </c>
      <c r="E20" s="1502">
        <f ca="1">C20+D20</f>
        <v>0.20199999999999999</v>
      </c>
    </row>
    <row r="21" spans="1:5" ht="16.5">
      <c r="A21" s="2289">
        <v>17</v>
      </c>
      <c r="B21" s="2484" t="s">
        <v>7269</v>
      </c>
      <c r="C21" s="1536"/>
      <c r="D21" s="1536"/>
      <c r="E21" s="1537"/>
    </row>
    <row r="22" spans="1:5" ht="16.5">
      <c r="A22" s="2290">
        <v>18</v>
      </c>
      <c r="B22" s="2485" t="s">
        <v>7265</v>
      </c>
      <c r="C22" s="1496">
        <v>0.28870000000000001</v>
      </c>
      <c r="D22" s="1496">
        <f ca="1">'表30-14-3'!K6</f>
        <v>-4.1000000000000002E-2</v>
      </c>
      <c r="E22" s="1498">
        <f ca="1">C22+D22</f>
        <v>0.2477</v>
      </c>
    </row>
    <row r="23" spans="1:5" ht="16.5">
      <c r="A23" s="2290">
        <v>19</v>
      </c>
      <c r="B23" s="2485" t="s">
        <v>7266</v>
      </c>
      <c r="C23" s="1496">
        <v>0.28870000000000001</v>
      </c>
      <c r="D23" s="1496">
        <f ca="1">'表30-14-3'!K6</f>
        <v>-4.1000000000000002E-2</v>
      </c>
      <c r="E23" s="1498">
        <f ca="1">C23+D23</f>
        <v>0.2477</v>
      </c>
    </row>
    <row r="24" spans="1:5" ht="16.5">
      <c r="A24" s="2290">
        <v>20</v>
      </c>
      <c r="B24" s="2486" t="s">
        <v>7270</v>
      </c>
      <c r="C24" s="1491"/>
      <c r="D24" s="1491"/>
      <c r="E24" s="1493"/>
    </row>
    <row r="25" spans="1:5" ht="16.5">
      <c r="A25" s="2290">
        <v>21</v>
      </c>
      <c r="B25" s="2485" t="s">
        <v>7268</v>
      </c>
      <c r="C25" s="1496">
        <v>0.28870000000000001</v>
      </c>
      <c r="D25" s="1496">
        <f ca="1">'表30-14-3'!K6</f>
        <v>-4.1000000000000002E-2</v>
      </c>
      <c r="E25" s="1498">
        <f ca="1">C25+D25</f>
        <v>0.2477</v>
      </c>
    </row>
    <row r="26" spans="1:5" ht="17.25" thickBot="1">
      <c r="A26" s="1499">
        <v>22</v>
      </c>
      <c r="B26" s="2483" t="s">
        <v>7271</v>
      </c>
      <c r="C26" s="1500">
        <v>0.28870000000000001</v>
      </c>
      <c r="D26" s="1500">
        <f ca="1">'表30-14-3'!K6</f>
        <v>-4.1000000000000002E-2</v>
      </c>
      <c r="E26" s="1502">
        <f ca="1">C26+D26</f>
        <v>0.2477</v>
      </c>
    </row>
  </sheetData>
  <mergeCells count="1">
    <mergeCell ref="A3:A4"/>
  </mergeCells>
  <phoneticPr fontId="29" type="noConversion"/>
  <printOptions horizontalCentered="1"/>
  <pageMargins left="0.39370078740157483" right="0.39370078740157483" top="0.39370078740157483" bottom="0.39370078740157483" header="0.19685039370078741" footer="0.19685039370078741"/>
  <pageSetup paperSize="9" fitToHeight="0" orientation="landscape" cellComments="asDisplayed" horizontalDpi="4294967295" verticalDpi="4294967295" r:id="rId1"/>
  <headerFooter alignWithMargins="0">
    <oddFooter>&amp;C&amp;"Times New Roman,標準"171&amp;R&amp;"Times New Roman,標準"&amp;A</oddFooter>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0">
    <pageSetUpPr fitToPage="1"/>
  </sheetPr>
  <dimension ref="A1:F36"/>
  <sheetViews>
    <sheetView workbookViewId="0"/>
  </sheetViews>
  <sheetFormatPr defaultRowHeight="14.25"/>
  <cols>
    <col min="1" max="1" width="5.125" style="174" customWidth="1"/>
    <col min="2" max="2" width="23.125" style="174" customWidth="1"/>
    <col min="3" max="3" width="53.75" style="174" customWidth="1"/>
    <col min="4" max="4" width="24.875" style="174" customWidth="1"/>
    <col min="5" max="5" width="13.875" style="174" customWidth="1"/>
    <col min="6" max="6" width="25.125" style="174" customWidth="1"/>
    <col min="7" max="16384" width="9" style="174"/>
  </cols>
  <sheetData>
    <row r="1" spans="1:6">
      <c r="A1" s="173" t="str">
        <f>'表30-1'!A1</f>
        <v xml:space="preserve"> 保險股份有限公司(  分公司)   年度報表</v>
      </c>
    </row>
    <row r="2" spans="1:6">
      <c r="A2" s="525" t="s">
        <v>271</v>
      </c>
    </row>
    <row r="3" spans="1:6" ht="15" thickBot="1">
      <c r="F3" s="157" t="s">
        <v>403</v>
      </c>
    </row>
    <row r="4" spans="1:6" s="178" customFormat="1" ht="14.25" customHeight="1">
      <c r="A4" s="3122" t="s">
        <v>236</v>
      </c>
      <c r="B4" s="175" t="s">
        <v>272</v>
      </c>
      <c r="C4" s="175" t="s">
        <v>273</v>
      </c>
      <c r="D4" s="175" t="s">
        <v>274</v>
      </c>
      <c r="E4" s="176" t="s">
        <v>275</v>
      </c>
      <c r="F4" s="177" t="s">
        <v>404</v>
      </c>
    </row>
    <row r="5" spans="1:6" s="178" customFormat="1">
      <c r="A5" s="3123"/>
      <c r="B5" s="179" t="s">
        <v>66</v>
      </c>
      <c r="C5" s="179" t="s">
        <v>67</v>
      </c>
      <c r="D5" s="179" t="s">
        <v>68</v>
      </c>
      <c r="E5" s="179" t="s">
        <v>69</v>
      </c>
      <c r="F5" s="180" t="s">
        <v>70</v>
      </c>
    </row>
    <row r="6" spans="1:6" s="178" customFormat="1">
      <c r="A6" s="2291">
        <v>1</v>
      </c>
      <c r="B6" s="181" t="s">
        <v>384</v>
      </c>
      <c r="C6" s="182"/>
      <c r="D6" s="183"/>
      <c r="E6" s="184"/>
      <c r="F6" s="185">
        <f t="shared" ref="F6:F23" si="0">D6*E6</f>
        <v>0</v>
      </c>
    </row>
    <row r="7" spans="1:6" s="178" customFormat="1">
      <c r="A7" s="2291">
        <v>2</v>
      </c>
      <c r="B7" s="181"/>
      <c r="C7" s="182"/>
      <c r="D7" s="183"/>
      <c r="E7" s="184"/>
      <c r="F7" s="185">
        <f t="shared" si="0"/>
        <v>0</v>
      </c>
    </row>
    <row r="8" spans="1:6" s="178" customFormat="1">
      <c r="A8" s="2291">
        <v>3</v>
      </c>
      <c r="B8" s="181"/>
      <c r="C8" s="182"/>
      <c r="D8" s="183"/>
      <c r="E8" s="184"/>
      <c r="F8" s="185">
        <f t="shared" si="0"/>
        <v>0</v>
      </c>
    </row>
    <row r="9" spans="1:6" s="178" customFormat="1">
      <c r="A9" s="2291">
        <v>4</v>
      </c>
      <c r="B9" s="181"/>
      <c r="C9" s="182"/>
      <c r="D9" s="183"/>
      <c r="E9" s="184"/>
      <c r="F9" s="185">
        <f t="shared" si="0"/>
        <v>0</v>
      </c>
    </row>
    <row r="10" spans="1:6" s="178" customFormat="1">
      <c r="A10" s="2291">
        <v>5</v>
      </c>
      <c r="B10" s="181"/>
      <c r="C10" s="182"/>
      <c r="D10" s="183"/>
      <c r="E10" s="184"/>
      <c r="F10" s="185">
        <f t="shared" si="0"/>
        <v>0</v>
      </c>
    </row>
    <row r="11" spans="1:6" s="178" customFormat="1">
      <c r="A11" s="2291">
        <v>6</v>
      </c>
      <c r="B11" s="181"/>
      <c r="C11" s="182"/>
      <c r="D11" s="183"/>
      <c r="E11" s="184"/>
      <c r="F11" s="185">
        <f t="shared" si="0"/>
        <v>0</v>
      </c>
    </row>
    <row r="12" spans="1:6" s="178" customFormat="1">
      <c r="A12" s="2291">
        <v>7</v>
      </c>
      <c r="B12" s="181"/>
      <c r="C12" s="182"/>
      <c r="D12" s="183"/>
      <c r="E12" s="184"/>
      <c r="F12" s="185">
        <f t="shared" si="0"/>
        <v>0</v>
      </c>
    </row>
    <row r="13" spans="1:6" s="178" customFormat="1">
      <c r="A13" s="2291">
        <v>8</v>
      </c>
      <c r="B13" s="181"/>
      <c r="C13" s="182"/>
      <c r="D13" s="183"/>
      <c r="E13" s="184"/>
      <c r="F13" s="185">
        <f t="shared" si="0"/>
        <v>0</v>
      </c>
    </row>
    <row r="14" spans="1:6" s="178" customFormat="1">
      <c r="A14" s="2291">
        <v>9</v>
      </c>
      <c r="B14" s="181"/>
      <c r="C14" s="182"/>
      <c r="D14" s="183"/>
      <c r="E14" s="184"/>
      <c r="F14" s="185">
        <f t="shared" si="0"/>
        <v>0</v>
      </c>
    </row>
    <row r="15" spans="1:6" s="178" customFormat="1">
      <c r="A15" s="2291">
        <v>10</v>
      </c>
      <c r="B15" s="181"/>
      <c r="C15" s="182"/>
      <c r="D15" s="183"/>
      <c r="E15" s="184"/>
      <c r="F15" s="185">
        <f t="shared" si="0"/>
        <v>0</v>
      </c>
    </row>
    <row r="16" spans="1:6" s="178" customFormat="1">
      <c r="A16" s="2291">
        <v>11</v>
      </c>
      <c r="B16" s="181"/>
      <c r="C16" s="182"/>
      <c r="D16" s="183"/>
      <c r="E16" s="184"/>
      <c r="F16" s="185">
        <f t="shared" si="0"/>
        <v>0</v>
      </c>
    </row>
    <row r="17" spans="1:6" s="178" customFormat="1">
      <c r="A17" s="2291">
        <v>12</v>
      </c>
      <c r="B17" s="181"/>
      <c r="C17" s="182"/>
      <c r="D17" s="183"/>
      <c r="E17" s="184"/>
      <c r="F17" s="185">
        <f t="shared" si="0"/>
        <v>0</v>
      </c>
    </row>
    <row r="18" spans="1:6" s="178" customFormat="1">
      <c r="A18" s="2291">
        <v>13</v>
      </c>
      <c r="B18" s="181"/>
      <c r="C18" s="182"/>
      <c r="D18" s="183"/>
      <c r="E18" s="184"/>
      <c r="F18" s="185">
        <f t="shared" si="0"/>
        <v>0</v>
      </c>
    </row>
    <row r="19" spans="1:6" s="178" customFormat="1">
      <c r="A19" s="2291">
        <v>14</v>
      </c>
      <c r="B19" s="181"/>
      <c r="C19" s="182"/>
      <c r="D19" s="183"/>
      <c r="E19" s="184"/>
      <c r="F19" s="185">
        <f t="shared" si="0"/>
        <v>0</v>
      </c>
    </row>
    <row r="20" spans="1:6" s="178" customFormat="1">
      <c r="A20" s="2291">
        <v>15</v>
      </c>
      <c r="B20" s="181"/>
      <c r="C20" s="182"/>
      <c r="D20" s="183"/>
      <c r="E20" s="184"/>
      <c r="F20" s="185">
        <f t="shared" si="0"/>
        <v>0</v>
      </c>
    </row>
    <row r="21" spans="1:6" s="178" customFormat="1">
      <c r="A21" s="2291">
        <v>16</v>
      </c>
      <c r="B21" s="181"/>
      <c r="C21" s="182"/>
      <c r="D21" s="183"/>
      <c r="E21" s="184"/>
      <c r="F21" s="185">
        <f t="shared" si="0"/>
        <v>0</v>
      </c>
    </row>
    <row r="22" spans="1:6" s="178" customFormat="1" ht="12.75" customHeight="1">
      <c r="A22" s="2291">
        <v>17</v>
      </c>
      <c r="B22" s="181"/>
      <c r="C22" s="182"/>
      <c r="D22" s="183"/>
      <c r="E22" s="184"/>
      <c r="F22" s="185">
        <f t="shared" si="0"/>
        <v>0</v>
      </c>
    </row>
    <row r="23" spans="1:6" s="178" customFormat="1">
      <c r="A23" s="2291">
        <v>18</v>
      </c>
      <c r="B23" s="181"/>
      <c r="C23" s="182"/>
      <c r="D23" s="183"/>
      <c r="E23" s="184"/>
      <c r="F23" s="185">
        <f t="shared" si="0"/>
        <v>0</v>
      </c>
    </row>
    <row r="24" spans="1:6" s="178" customFormat="1" ht="17.25" customHeight="1" thickBot="1">
      <c r="A24" s="186">
        <v>19</v>
      </c>
      <c r="B24" s="3124" t="s">
        <v>89</v>
      </c>
      <c r="C24" s="3125"/>
      <c r="D24" s="187">
        <f>SUM(D6:D23)</f>
        <v>0</v>
      </c>
      <c r="E24" s="188"/>
      <c r="F24" s="2306">
        <f>SUM(F6:F23)</f>
        <v>0</v>
      </c>
    </row>
    <row r="25" spans="1:6">
      <c r="A25" s="2307"/>
    </row>
    <row r="26" spans="1:6">
      <c r="A26" s="300" t="s">
        <v>123</v>
      </c>
    </row>
    <row r="27" spans="1:6">
      <c r="A27" s="189">
        <v>1</v>
      </c>
      <c r="B27" s="178" t="s">
        <v>276</v>
      </c>
    </row>
    <row r="28" spans="1:6">
      <c r="A28" s="190">
        <v>2</v>
      </c>
      <c r="B28" s="178" t="s">
        <v>277</v>
      </c>
    </row>
    <row r="29" spans="1:6">
      <c r="A29" s="190"/>
      <c r="B29" s="178"/>
    </row>
    <row r="30" spans="1:6">
      <c r="A30" s="190">
        <v>3</v>
      </c>
      <c r="B30" s="178" t="s">
        <v>278</v>
      </c>
    </row>
    <row r="33" spans="2:2">
      <c r="B33" s="191" t="s">
        <v>6692</v>
      </c>
    </row>
    <row r="34" spans="2:2">
      <c r="B34" s="191" t="s">
        <v>6693</v>
      </c>
    </row>
    <row r="35" spans="2:2">
      <c r="B35" s="191" t="s">
        <v>6694</v>
      </c>
    </row>
    <row r="36" spans="2:2">
      <c r="B36" s="191" t="s">
        <v>6695</v>
      </c>
    </row>
  </sheetData>
  <mergeCells count="2">
    <mergeCell ref="A4:A5"/>
    <mergeCell ref="B24:C24"/>
  </mergeCells>
  <phoneticPr fontId="29" type="noConversion"/>
  <printOptions horizontalCentered="1"/>
  <pageMargins left="0.39370078740157483" right="0.19685039370078741" top="0.39370078740157483" bottom="0.39370078740157483" header="0" footer="0"/>
  <pageSetup paperSize="9" scale="97" orientation="landscape" cellComments="asDisplayed" horizontalDpi="4294967295" verticalDpi="4294967295" r:id="rId1"/>
  <headerFooter alignWithMargins="0">
    <oddFooter>&amp;C&amp;"Times New Roman,標準"172&amp;R&amp;"Times New Roman,標準"&amp;A</oddFooter>
  </headerFooter>
  <drawing r:id="rId2"/>
  <legacyDrawing r:id="rId3"/>
  <oleObjects>
    <mc:AlternateContent xmlns:mc="http://schemas.openxmlformats.org/markup-compatibility/2006">
      <mc:Choice Requires="x14">
        <oleObject progId="Equation.3" shapeId="16385" r:id="rId4">
          <objectPr defaultSize="0" autoPict="0" r:id="rId5">
            <anchor moveWithCells="1" sizeWithCells="1">
              <from>
                <xdr:col>2</xdr:col>
                <xdr:colOff>200025</xdr:colOff>
                <xdr:row>30</xdr:row>
                <xdr:rowOff>0</xdr:rowOff>
              </from>
              <to>
                <xdr:col>2</xdr:col>
                <xdr:colOff>1685925</xdr:colOff>
                <xdr:row>31</xdr:row>
                <xdr:rowOff>171450</xdr:rowOff>
              </to>
            </anchor>
          </objectPr>
        </oleObject>
      </mc:Choice>
      <mc:Fallback>
        <oleObject progId="Equation.3" shapeId="16385" r:id="rId4"/>
      </mc:Fallback>
    </mc:AlternateContent>
  </oleObjec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M27"/>
  <sheetViews>
    <sheetView workbookViewId="0">
      <selection activeCell="A118" sqref="A1:XFD1048576"/>
    </sheetView>
  </sheetViews>
  <sheetFormatPr defaultRowHeight="14.25"/>
  <cols>
    <col min="1" max="1" width="5.125" style="192" customWidth="1"/>
    <col min="2" max="2" width="9" style="192"/>
    <col min="3" max="3" width="21" style="192" customWidth="1"/>
    <col min="4" max="8" width="9" style="192"/>
    <col min="9" max="9" width="12.375" style="192" customWidth="1"/>
    <col min="10" max="11" width="11.875" style="192" customWidth="1"/>
    <col min="12" max="16384" width="9" style="192"/>
  </cols>
  <sheetData>
    <row r="1" spans="1:12">
      <c r="A1" s="105" t="str">
        <f>表03!A1</f>
        <v xml:space="preserve"> 保險股份有限公司    年度(月)報表</v>
      </c>
    </row>
    <row r="2" spans="1:12">
      <c r="A2" s="193" t="s">
        <v>279</v>
      </c>
    </row>
    <row r="3" spans="1:12" ht="15" thickBot="1">
      <c r="L3" s="157" t="s">
        <v>403</v>
      </c>
    </row>
    <row r="4" spans="1:12">
      <c r="A4" s="3133" t="s">
        <v>398</v>
      </c>
      <c r="B4" s="3128" t="s">
        <v>90</v>
      </c>
      <c r="C4" s="3128"/>
      <c r="D4" s="3128"/>
      <c r="E4" s="3129" t="s">
        <v>280</v>
      </c>
      <c r="F4" s="3129" t="s">
        <v>281</v>
      </c>
      <c r="G4" s="3129" t="s">
        <v>282</v>
      </c>
      <c r="H4" s="3129" t="s">
        <v>91</v>
      </c>
      <c r="I4" s="3129" t="s">
        <v>283</v>
      </c>
      <c r="J4" s="3129" t="s">
        <v>284</v>
      </c>
      <c r="K4" s="3129" t="s">
        <v>227</v>
      </c>
      <c r="L4" s="3126" t="s">
        <v>228</v>
      </c>
    </row>
    <row r="5" spans="1:12">
      <c r="A5" s="3134"/>
      <c r="B5" s="194" t="s">
        <v>231</v>
      </c>
      <c r="C5" s="194" t="s">
        <v>233</v>
      </c>
      <c r="D5" s="194" t="s">
        <v>232</v>
      </c>
      <c r="E5" s="3130"/>
      <c r="F5" s="3130"/>
      <c r="G5" s="3130"/>
      <c r="H5" s="3130"/>
      <c r="I5" s="3130"/>
      <c r="J5" s="3130"/>
      <c r="K5" s="3130"/>
      <c r="L5" s="3127"/>
    </row>
    <row r="6" spans="1:12">
      <c r="A6" s="3134"/>
      <c r="B6" s="179" t="s">
        <v>371</v>
      </c>
      <c r="C6" s="179" t="s">
        <v>67</v>
      </c>
      <c r="D6" s="179" t="s">
        <v>68</v>
      </c>
      <c r="E6" s="179" t="s">
        <v>69</v>
      </c>
      <c r="F6" s="179" t="s">
        <v>70</v>
      </c>
      <c r="G6" s="179" t="s">
        <v>71</v>
      </c>
      <c r="H6" s="179" t="s">
        <v>72</v>
      </c>
      <c r="I6" s="179" t="s">
        <v>73</v>
      </c>
      <c r="J6" s="179" t="s">
        <v>74</v>
      </c>
      <c r="K6" s="179" t="s">
        <v>75</v>
      </c>
      <c r="L6" s="180" t="s">
        <v>234</v>
      </c>
    </row>
    <row r="7" spans="1:12">
      <c r="A7" s="2292">
        <v>1</v>
      </c>
      <c r="B7" s="181"/>
      <c r="C7" s="182"/>
      <c r="D7" s="182"/>
      <c r="E7" s="195"/>
      <c r="F7" s="195"/>
      <c r="G7" s="195"/>
      <c r="H7" s="195"/>
      <c r="I7" s="195"/>
      <c r="J7" s="195"/>
      <c r="K7" s="195"/>
      <c r="L7" s="196"/>
    </row>
    <row r="8" spans="1:12">
      <c r="A8" s="2292">
        <v>2</v>
      </c>
      <c r="B8" s="182"/>
      <c r="C8" s="182"/>
      <c r="D8" s="182"/>
      <c r="E8" s="195"/>
      <c r="F8" s="195"/>
      <c r="G8" s="195"/>
      <c r="H8" s="195"/>
      <c r="I8" s="195"/>
      <c r="J8" s="195"/>
      <c r="K8" s="195"/>
      <c r="L8" s="196"/>
    </row>
    <row r="9" spans="1:12">
      <c r="A9" s="2292">
        <v>3</v>
      </c>
      <c r="B9" s="182"/>
      <c r="C9" s="182"/>
      <c r="D9" s="182"/>
      <c r="E9" s="195"/>
      <c r="F9" s="195"/>
      <c r="G9" s="195"/>
      <c r="H9" s="195"/>
      <c r="I9" s="195"/>
      <c r="J9" s="195"/>
      <c r="K9" s="195"/>
      <c r="L9" s="196"/>
    </row>
    <row r="10" spans="1:12">
      <c r="A10" s="2292">
        <v>4</v>
      </c>
      <c r="B10" s="182"/>
      <c r="C10" s="182"/>
      <c r="D10" s="182"/>
      <c r="E10" s="195"/>
      <c r="F10" s="195"/>
      <c r="G10" s="195"/>
      <c r="H10" s="195"/>
      <c r="I10" s="195"/>
      <c r="J10" s="195"/>
      <c r="K10" s="195"/>
      <c r="L10" s="196"/>
    </row>
    <row r="11" spans="1:12">
      <c r="A11" s="2292">
        <v>5</v>
      </c>
      <c r="B11" s="182"/>
      <c r="C11" s="182"/>
      <c r="D11" s="182"/>
      <c r="E11" s="195"/>
      <c r="F11" s="195"/>
      <c r="G11" s="195"/>
      <c r="H11" s="195"/>
      <c r="I11" s="195"/>
      <c r="J11" s="195"/>
      <c r="K11" s="195"/>
      <c r="L11" s="196"/>
    </row>
    <row r="12" spans="1:12">
      <c r="A12" s="2292">
        <v>6</v>
      </c>
      <c r="B12" s="182"/>
      <c r="C12" s="182"/>
      <c r="D12" s="182"/>
      <c r="E12" s="195"/>
      <c r="F12" s="195"/>
      <c r="G12" s="195"/>
      <c r="H12" s="195"/>
      <c r="I12" s="195"/>
      <c r="J12" s="195"/>
      <c r="K12" s="195"/>
      <c r="L12" s="196"/>
    </row>
    <row r="13" spans="1:12">
      <c r="A13" s="2292">
        <v>7</v>
      </c>
      <c r="B13" s="182"/>
      <c r="C13" s="182"/>
      <c r="D13" s="182"/>
      <c r="E13" s="195"/>
      <c r="F13" s="195"/>
      <c r="G13" s="195"/>
      <c r="H13" s="195"/>
      <c r="I13" s="195"/>
      <c r="J13" s="195"/>
      <c r="K13" s="195"/>
      <c r="L13" s="196"/>
    </row>
    <row r="14" spans="1:12">
      <c r="A14" s="2292">
        <v>8</v>
      </c>
      <c r="B14" s="182"/>
      <c r="C14" s="182"/>
      <c r="D14" s="182"/>
      <c r="E14" s="195"/>
      <c r="F14" s="195"/>
      <c r="G14" s="195"/>
      <c r="H14" s="195"/>
      <c r="I14" s="195"/>
      <c r="J14" s="195"/>
      <c r="K14" s="195"/>
      <c r="L14" s="196"/>
    </row>
    <row r="15" spans="1:12">
      <c r="A15" s="2292">
        <v>9</v>
      </c>
      <c r="B15" s="182"/>
      <c r="C15" s="182"/>
      <c r="D15" s="182"/>
      <c r="E15" s="195"/>
      <c r="F15" s="195"/>
      <c r="G15" s="195"/>
      <c r="H15" s="195"/>
      <c r="I15" s="195"/>
      <c r="J15" s="195"/>
      <c r="K15" s="195"/>
      <c r="L15" s="196"/>
    </row>
    <row r="16" spans="1:12" ht="17.25" customHeight="1" thickBot="1">
      <c r="A16" s="282">
        <v>10</v>
      </c>
      <c r="B16" s="3131" t="s">
        <v>89</v>
      </c>
      <c r="C16" s="3132"/>
      <c r="D16" s="3132"/>
      <c r="E16" s="3132"/>
      <c r="F16" s="3132"/>
      <c r="G16" s="3132"/>
      <c r="H16" s="3132"/>
      <c r="I16" s="197">
        <f>SUM(I7:I15)</f>
        <v>0</v>
      </c>
      <c r="J16" s="197">
        <f>SUM(J7:J15)</f>
        <v>0</v>
      </c>
      <c r="K16" s="197">
        <f>SUM(K7:K15)</f>
        <v>0</v>
      </c>
      <c r="L16" s="198"/>
    </row>
    <row r="27" spans="1:13" ht="18" customHeight="1">
      <c r="A27" s="199"/>
      <c r="B27" s="200"/>
      <c r="C27" s="200"/>
      <c r="D27" s="200"/>
      <c r="E27" s="200"/>
      <c r="F27" s="200"/>
      <c r="G27" s="200"/>
      <c r="H27" s="200"/>
      <c r="I27" s="200"/>
      <c r="J27" s="200"/>
      <c r="K27" s="200"/>
      <c r="L27" s="200"/>
      <c r="M27" s="200"/>
    </row>
  </sheetData>
  <mergeCells count="11">
    <mergeCell ref="B16:H16"/>
    <mergeCell ref="A4:A6"/>
    <mergeCell ref="E4:E5"/>
    <mergeCell ref="F4:F5"/>
    <mergeCell ref="G4:G5"/>
    <mergeCell ref="L4:L5"/>
    <mergeCell ref="B4:D4"/>
    <mergeCell ref="H4:H5"/>
    <mergeCell ref="I4:I5"/>
    <mergeCell ref="J4:J5"/>
    <mergeCell ref="K4:K5"/>
  </mergeCells>
  <phoneticPr fontId="26" type="noConversion"/>
  <printOptions horizontalCentered="1"/>
  <pageMargins left="0.39370078740157483" right="0.39370078740157483" top="0.39370078740157483" bottom="0.39370078740157483" header="0" footer="0.19685039370078741"/>
  <pageSetup paperSize="9" fitToHeight="2" orientation="landscape" cellComments="asDisplayed" horizontalDpi="4294967295" verticalDpi="4294967295" r:id="rId1"/>
  <headerFooter alignWithMargins="0">
    <oddFooter>&amp;C&amp;"Times New Roman,標準"173&amp;R&amp;"Times New Roman,標準"&amp;A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C000"/>
    <pageSetUpPr fitToPage="1"/>
  </sheetPr>
  <dimension ref="A1:M1325"/>
  <sheetViews>
    <sheetView topLeftCell="E1" zoomScaleNormal="100" zoomScaleSheetLayoutView="80" workbookViewId="0">
      <pane ySplit="3" topLeftCell="A4" activePane="bottomLeft" state="frozen"/>
      <selection activeCell="A118" sqref="A1:XFD1048576"/>
      <selection pane="bottomLeft" activeCell="K19" sqref="K19"/>
    </sheetView>
  </sheetViews>
  <sheetFormatPr defaultColWidth="15.625" defaultRowHeight="15.75"/>
  <cols>
    <col min="1" max="1" width="12.875" style="1573" customWidth="1"/>
    <col min="2" max="2" width="18.625" style="1481" customWidth="1"/>
    <col min="3" max="3" width="27.5" style="1481" customWidth="1"/>
    <col min="4" max="6" width="18.625" style="1481" customWidth="1"/>
    <col min="7" max="7" width="20.75" style="1481" customWidth="1"/>
    <col min="8" max="8" width="18.625" style="1481" customWidth="1"/>
    <col min="9" max="9" width="30.625" style="1481" customWidth="1"/>
    <col min="10" max="10" width="1.625" style="1481" customWidth="1"/>
    <col min="11" max="11" width="63.25" style="1481" customWidth="1"/>
    <col min="12" max="12" width="30.625" style="1481" customWidth="1"/>
    <col min="13" max="16384" width="15.625" style="1481"/>
  </cols>
  <sheetData>
    <row r="1" spans="1:12" ht="16.5">
      <c r="A1" s="1545" t="s">
        <v>5479</v>
      </c>
      <c r="B1" s="1483"/>
      <c r="F1" s="1550"/>
      <c r="G1" s="1550"/>
    </row>
    <row r="2" spans="1:12" ht="17.25" thickBot="1">
      <c r="A2" s="1547" t="s">
        <v>5480</v>
      </c>
      <c r="B2" s="1553"/>
      <c r="I2" s="1549" t="s">
        <v>2421</v>
      </c>
    </row>
    <row r="3" spans="1:12" ht="33.75" thickBot="1">
      <c r="A3" s="1554" t="s">
        <v>2428</v>
      </c>
      <c r="B3" s="1555" t="s">
        <v>2429</v>
      </c>
      <c r="C3" s="1555" t="s">
        <v>2430</v>
      </c>
      <c r="D3" s="1555" t="s">
        <v>2431</v>
      </c>
      <c r="E3" s="1555" t="s">
        <v>2432</v>
      </c>
      <c r="F3" s="1555" t="s">
        <v>2433</v>
      </c>
      <c r="G3" s="1555" t="s">
        <v>2434</v>
      </c>
      <c r="H3" s="1555" t="s">
        <v>2435</v>
      </c>
      <c r="I3" s="1556" t="s">
        <v>2436</v>
      </c>
      <c r="J3" s="1557"/>
    </row>
    <row r="4" spans="1:12" ht="16.5">
      <c r="A4" s="2298" t="s">
        <v>4176</v>
      </c>
      <c r="B4" s="2299" t="s">
        <v>5481</v>
      </c>
      <c r="C4" s="1586" t="s">
        <v>2250</v>
      </c>
      <c r="D4" s="1558"/>
      <c r="E4" s="1558"/>
      <c r="F4" s="1559">
        <f>D4*E4</f>
        <v>0</v>
      </c>
      <c r="G4" s="1560" t="e">
        <f>F4/$F$1214</f>
        <v>#DIV/0!</v>
      </c>
      <c r="H4" s="2294">
        <v>1.1081000000000001</v>
      </c>
      <c r="I4" s="2296"/>
      <c r="J4" s="1550"/>
      <c r="K4" s="1561" t="s">
        <v>2423</v>
      </c>
    </row>
    <row r="5" spans="1:12" ht="17.25" thickBot="1">
      <c r="A5" s="2298" t="s">
        <v>4177</v>
      </c>
      <c r="B5" s="2299" t="s">
        <v>5482</v>
      </c>
      <c r="C5" s="1586" t="s">
        <v>2250</v>
      </c>
      <c r="D5" s="1558"/>
      <c r="E5" s="1558"/>
      <c r="F5" s="1559">
        <f t="shared" ref="F5:F68" si="0">D5*E5</f>
        <v>0</v>
      </c>
      <c r="G5" s="1560" t="e">
        <f t="shared" ref="G5:G68" si="1">F5/$F$1214</f>
        <v>#DIV/0!</v>
      </c>
      <c r="H5" s="2294">
        <v>0.63470000000000004</v>
      </c>
      <c r="I5" s="2296"/>
      <c r="J5" s="1550"/>
      <c r="K5" s="1551" t="e">
        <f>SUMPRODUCT(G4:G1213,H4:H1213)</f>
        <v>#DIV/0!</v>
      </c>
    </row>
    <row r="6" spans="1:12" ht="17.25" thickBot="1">
      <c r="A6" s="2298" t="s">
        <v>4178</v>
      </c>
      <c r="B6" s="2299" t="s">
        <v>5483</v>
      </c>
      <c r="C6" s="1586" t="s">
        <v>2250</v>
      </c>
      <c r="D6" s="1558"/>
      <c r="E6" s="1558"/>
      <c r="F6" s="1559">
        <f t="shared" si="0"/>
        <v>0</v>
      </c>
      <c r="G6" s="1560" t="e">
        <f t="shared" si="1"/>
        <v>#DIV/0!</v>
      </c>
      <c r="H6" s="2294">
        <v>1.3912</v>
      </c>
      <c r="I6" s="2296"/>
      <c r="J6" s="1550"/>
      <c r="K6" s="1481" t="s">
        <v>2427</v>
      </c>
    </row>
    <row r="7" spans="1:12" ht="16.5" customHeight="1">
      <c r="A7" s="2298" t="s">
        <v>4179</v>
      </c>
      <c r="B7" s="2299" t="s">
        <v>5484</v>
      </c>
      <c r="C7" s="1586" t="s">
        <v>2250</v>
      </c>
      <c r="D7" s="1558"/>
      <c r="E7" s="1558"/>
      <c r="F7" s="1559">
        <f t="shared" si="0"/>
        <v>0</v>
      </c>
      <c r="G7" s="1560" t="e">
        <f t="shared" si="1"/>
        <v>#DIV/0!</v>
      </c>
      <c r="H7" s="2294">
        <v>1.1388</v>
      </c>
      <c r="I7" s="2296"/>
      <c r="J7" s="1550"/>
      <c r="K7" s="3135" t="s">
        <v>5485</v>
      </c>
      <c r="L7" s="3136"/>
    </row>
    <row r="8" spans="1:12" ht="16.5">
      <c r="A8" s="2298" t="s">
        <v>4180</v>
      </c>
      <c r="B8" s="2299" t="s">
        <v>5486</v>
      </c>
      <c r="C8" s="1586" t="s">
        <v>2250</v>
      </c>
      <c r="D8" s="1558"/>
      <c r="E8" s="1558"/>
      <c r="F8" s="1559">
        <f t="shared" si="0"/>
        <v>0</v>
      </c>
      <c r="G8" s="1560" t="e">
        <f t="shared" si="1"/>
        <v>#DIV/0!</v>
      </c>
      <c r="H8" s="2294">
        <v>0.76080000000000003</v>
      </c>
      <c r="I8" s="2296"/>
      <c r="J8" s="1550"/>
      <c r="K8" s="2487" t="s">
        <v>7272</v>
      </c>
      <c r="L8" s="1348"/>
    </row>
    <row r="9" spans="1:12" ht="16.5">
      <c r="A9" s="2298" t="s">
        <v>4181</v>
      </c>
      <c r="B9" s="2299" t="s">
        <v>5487</v>
      </c>
      <c r="C9" s="1586" t="s">
        <v>2250</v>
      </c>
      <c r="D9" s="1558"/>
      <c r="E9" s="1558"/>
      <c r="F9" s="1559">
        <f t="shared" si="0"/>
        <v>0</v>
      </c>
      <c r="G9" s="1560" t="e">
        <f t="shared" si="1"/>
        <v>#DIV/0!</v>
      </c>
      <c r="H9" s="2294">
        <v>0.50260000000000005</v>
      </c>
      <c r="I9" s="2296"/>
      <c r="J9" s="1550"/>
      <c r="K9" s="2487" t="s">
        <v>7273</v>
      </c>
      <c r="L9" s="1348"/>
    </row>
    <row r="10" spans="1:12" ht="16.5">
      <c r="A10" s="2298" t="s">
        <v>4182</v>
      </c>
      <c r="B10" s="2299" t="s">
        <v>5488</v>
      </c>
      <c r="C10" s="1586" t="s">
        <v>2250</v>
      </c>
      <c r="D10" s="1558"/>
      <c r="E10" s="1558"/>
      <c r="F10" s="1559">
        <f t="shared" si="0"/>
        <v>0</v>
      </c>
      <c r="G10" s="1560" t="e">
        <f t="shared" si="1"/>
        <v>#DIV/0!</v>
      </c>
      <c r="H10" s="2294">
        <v>0.65280000000000005</v>
      </c>
      <c r="I10" s="2296"/>
      <c r="J10" s="1550"/>
      <c r="K10" s="2487" t="s">
        <v>7274</v>
      </c>
      <c r="L10" s="1348"/>
    </row>
    <row r="11" spans="1:12" ht="16.5">
      <c r="A11" s="2298" t="s">
        <v>4183</v>
      </c>
      <c r="B11" s="2299" t="s">
        <v>5489</v>
      </c>
      <c r="C11" s="1586" t="s">
        <v>2250</v>
      </c>
      <c r="D11" s="1558"/>
      <c r="E11" s="1558"/>
      <c r="F11" s="1559">
        <f t="shared" si="0"/>
        <v>0</v>
      </c>
      <c r="G11" s="1560" t="e">
        <f t="shared" si="1"/>
        <v>#DIV/0!</v>
      </c>
      <c r="H11" s="2294">
        <v>1.0286999999999999</v>
      </c>
      <c r="I11" s="2296"/>
      <c r="J11" s="1550"/>
      <c r="K11" s="2487" t="s">
        <v>7275</v>
      </c>
      <c r="L11" s="1348"/>
    </row>
    <row r="12" spans="1:12" ht="16.5">
      <c r="A12" s="2298" t="s">
        <v>4184</v>
      </c>
      <c r="B12" s="2299" t="s">
        <v>5490</v>
      </c>
      <c r="C12" s="1586" t="s">
        <v>2250</v>
      </c>
      <c r="D12" s="1558"/>
      <c r="E12" s="1558"/>
      <c r="F12" s="1559">
        <f t="shared" si="0"/>
        <v>0</v>
      </c>
      <c r="G12" s="1560" t="e">
        <f t="shared" si="1"/>
        <v>#DIV/0!</v>
      </c>
      <c r="H12" s="2294">
        <v>0.81720000000000004</v>
      </c>
      <c r="I12" s="2296"/>
      <c r="J12" s="1550"/>
      <c r="K12" s="2487" t="s">
        <v>7276</v>
      </c>
      <c r="L12" s="1348"/>
    </row>
    <row r="13" spans="1:12" ht="16.5">
      <c r="A13" s="2298" t="s">
        <v>4185</v>
      </c>
      <c r="B13" s="2299" t="s">
        <v>5491</v>
      </c>
      <c r="C13" s="1586" t="s">
        <v>2250</v>
      </c>
      <c r="D13" s="1558"/>
      <c r="E13" s="1558"/>
      <c r="F13" s="1559">
        <f t="shared" si="0"/>
        <v>0</v>
      </c>
      <c r="G13" s="1560" t="e">
        <f t="shared" si="1"/>
        <v>#DIV/0!</v>
      </c>
      <c r="H13" s="2294">
        <v>0.68340000000000001</v>
      </c>
      <c r="I13" s="2296"/>
      <c r="J13" s="1550"/>
      <c r="K13" s="2487" t="s">
        <v>7277</v>
      </c>
      <c r="L13" s="1348"/>
    </row>
    <row r="14" spans="1:12" ht="16.5">
      <c r="A14" s="2298" t="s">
        <v>4186</v>
      </c>
      <c r="B14" s="2299" t="s">
        <v>5492</v>
      </c>
      <c r="C14" s="1586" t="s">
        <v>2250</v>
      </c>
      <c r="D14" s="1558"/>
      <c r="E14" s="1558"/>
      <c r="F14" s="1559">
        <f t="shared" si="0"/>
        <v>0</v>
      </c>
      <c r="G14" s="1560" t="e">
        <f t="shared" si="1"/>
        <v>#DIV/0!</v>
      </c>
      <c r="H14" s="2294">
        <v>1.018</v>
      </c>
      <c r="I14" s="2296"/>
      <c r="J14" s="1550"/>
      <c r="K14" s="2487" t="s">
        <v>7278</v>
      </c>
      <c r="L14" s="1348"/>
    </row>
    <row r="15" spans="1:12" ht="16.5">
      <c r="A15" s="2298" t="s">
        <v>4187</v>
      </c>
      <c r="B15" s="2299" t="s">
        <v>5493</v>
      </c>
      <c r="C15" s="1586" t="s">
        <v>2250</v>
      </c>
      <c r="D15" s="1558"/>
      <c r="E15" s="1558"/>
      <c r="F15" s="1559">
        <f t="shared" si="0"/>
        <v>0</v>
      </c>
      <c r="G15" s="1560" t="e">
        <f t="shared" si="1"/>
        <v>#DIV/0!</v>
      </c>
      <c r="H15" s="2294">
        <v>1.9963</v>
      </c>
      <c r="I15" s="2296"/>
      <c r="J15" s="1550"/>
      <c r="K15" s="2487" t="s">
        <v>7279</v>
      </c>
      <c r="L15" s="1348"/>
    </row>
    <row r="16" spans="1:12" ht="16.5">
      <c r="A16" s="2298" t="s">
        <v>4188</v>
      </c>
      <c r="B16" s="2299" t="s">
        <v>5494</v>
      </c>
      <c r="C16" s="1586" t="s">
        <v>2250</v>
      </c>
      <c r="D16" s="1558"/>
      <c r="E16" s="1558"/>
      <c r="F16" s="1559">
        <f t="shared" si="0"/>
        <v>0</v>
      </c>
      <c r="G16" s="1560" t="e">
        <f t="shared" si="1"/>
        <v>#DIV/0!</v>
      </c>
      <c r="H16" s="2294">
        <v>-0.97219999999999995</v>
      </c>
      <c r="I16" s="2296"/>
      <c r="J16" s="1550"/>
      <c r="K16" s="2487" t="s">
        <v>7280</v>
      </c>
      <c r="L16" s="1348"/>
    </row>
    <row r="17" spans="1:12" ht="16.5">
      <c r="A17" s="2298" t="s">
        <v>4189</v>
      </c>
      <c r="B17" s="2299" t="s">
        <v>5495</v>
      </c>
      <c r="C17" s="1586" t="s">
        <v>2250</v>
      </c>
      <c r="D17" s="1558"/>
      <c r="E17" s="1558"/>
      <c r="F17" s="1559">
        <f t="shared" si="0"/>
        <v>0</v>
      </c>
      <c r="G17" s="1560" t="e">
        <f t="shared" si="1"/>
        <v>#DIV/0!</v>
      </c>
      <c r="H17" s="2294">
        <v>2.0024999999999999</v>
      </c>
      <c r="I17" s="2296"/>
      <c r="J17" s="1550"/>
      <c r="K17" s="2487" t="s">
        <v>7281</v>
      </c>
      <c r="L17" s="1348"/>
    </row>
    <row r="18" spans="1:12" ht="16.5">
      <c r="A18" s="2298" t="s">
        <v>4190</v>
      </c>
      <c r="B18" s="2299" t="s">
        <v>5496</v>
      </c>
      <c r="C18" s="1586" t="s">
        <v>2250</v>
      </c>
      <c r="D18" s="1558"/>
      <c r="E18" s="1558"/>
      <c r="F18" s="1559">
        <f t="shared" si="0"/>
        <v>0</v>
      </c>
      <c r="G18" s="1560" t="e">
        <f t="shared" si="1"/>
        <v>#DIV/0!</v>
      </c>
      <c r="H18" s="2294">
        <v>-0.95089999999999997</v>
      </c>
      <c r="I18" s="2296"/>
      <c r="J18" s="1550"/>
      <c r="K18" s="2487" t="s">
        <v>7306</v>
      </c>
      <c r="L18" s="1348"/>
    </row>
    <row r="19" spans="1:12" ht="16.5">
      <c r="A19" s="2298" t="s">
        <v>4191</v>
      </c>
      <c r="B19" s="2299" t="s">
        <v>5497</v>
      </c>
      <c r="C19" s="1586" t="s">
        <v>2250</v>
      </c>
      <c r="D19" s="1558"/>
      <c r="E19" s="1558"/>
      <c r="F19" s="1559">
        <f t="shared" si="0"/>
        <v>0</v>
      </c>
      <c r="G19" s="1560" t="e">
        <f t="shared" si="1"/>
        <v>#DIV/0!</v>
      </c>
      <c r="H19" s="2294">
        <v>1.9331</v>
      </c>
      <c r="I19" s="2296"/>
      <c r="J19" s="1550"/>
      <c r="K19" s="2487" t="s">
        <v>7307</v>
      </c>
      <c r="L19" s="1348"/>
    </row>
    <row r="20" spans="1:12" ht="16.5">
      <c r="A20" s="2298" t="s">
        <v>4192</v>
      </c>
      <c r="B20" s="2299" t="s">
        <v>5498</v>
      </c>
      <c r="C20" s="1586" t="s">
        <v>2250</v>
      </c>
      <c r="D20" s="1558"/>
      <c r="E20" s="1558"/>
      <c r="F20" s="1559">
        <f t="shared" si="0"/>
        <v>0</v>
      </c>
      <c r="G20" s="1560" t="e">
        <f t="shared" si="1"/>
        <v>#DIV/0!</v>
      </c>
      <c r="H20" s="2294">
        <v>-0.93259999999999998</v>
      </c>
      <c r="I20" s="2296"/>
      <c r="J20" s="1550"/>
      <c r="K20" s="2487" t="s">
        <v>7282</v>
      </c>
      <c r="L20" s="1348"/>
    </row>
    <row r="21" spans="1:12" ht="17.25" thickBot="1">
      <c r="A21" s="2298" t="s">
        <v>4193</v>
      </c>
      <c r="B21" s="2299" t="s">
        <v>5499</v>
      </c>
      <c r="C21" s="1586" t="s">
        <v>2250</v>
      </c>
      <c r="D21" s="1558"/>
      <c r="E21" s="1558"/>
      <c r="F21" s="1559">
        <f t="shared" si="0"/>
        <v>0</v>
      </c>
      <c r="G21" s="1560" t="e">
        <f t="shared" si="1"/>
        <v>#DIV/0!</v>
      </c>
      <c r="H21" s="2294">
        <v>1.8322000000000001</v>
      </c>
      <c r="I21" s="2296"/>
      <c r="J21" s="1550"/>
      <c r="K21" s="2488" t="s">
        <v>7283</v>
      </c>
      <c r="L21" s="1346"/>
    </row>
    <row r="22" spans="1:12" ht="17.25" thickBot="1">
      <c r="A22" s="2298" t="s">
        <v>4194</v>
      </c>
      <c r="B22" s="2299" t="s">
        <v>5500</v>
      </c>
      <c r="C22" s="1586" t="s">
        <v>2250</v>
      </c>
      <c r="D22" s="1558"/>
      <c r="E22" s="1558"/>
      <c r="F22" s="1559">
        <f t="shared" si="0"/>
        <v>0</v>
      </c>
      <c r="G22" s="1560" t="e">
        <f t="shared" si="1"/>
        <v>#DIV/0!</v>
      </c>
      <c r="H22" s="2294">
        <v>-0.95669999999999999</v>
      </c>
      <c r="I22" s="2296"/>
      <c r="J22" s="1550"/>
    </row>
    <row r="23" spans="1:12" ht="16.5" customHeight="1">
      <c r="A23" s="2298" t="s">
        <v>4195</v>
      </c>
      <c r="B23" s="2299" t="s">
        <v>5501</v>
      </c>
      <c r="C23" s="1586" t="s">
        <v>2250</v>
      </c>
      <c r="D23" s="1558"/>
      <c r="E23" s="1558"/>
      <c r="F23" s="1559">
        <f t="shared" si="0"/>
        <v>0</v>
      </c>
      <c r="G23" s="1560" t="e">
        <f t="shared" si="1"/>
        <v>#DIV/0!</v>
      </c>
      <c r="H23" s="2294">
        <v>0.94040000000000001</v>
      </c>
      <c r="I23" s="2296"/>
      <c r="J23" s="1550"/>
      <c r="K23" s="3135" t="s">
        <v>5502</v>
      </c>
      <c r="L23" s="3136"/>
    </row>
    <row r="24" spans="1:12" ht="16.5">
      <c r="A24" s="2298" t="s">
        <v>4196</v>
      </c>
      <c r="B24" s="2299" t="s">
        <v>5503</v>
      </c>
      <c r="C24" s="1586" t="s">
        <v>2250</v>
      </c>
      <c r="D24" s="1558"/>
      <c r="E24" s="1558"/>
      <c r="F24" s="1559">
        <f t="shared" si="0"/>
        <v>0</v>
      </c>
      <c r="G24" s="1560" t="e">
        <f t="shared" si="1"/>
        <v>#DIV/0!</v>
      </c>
      <c r="H24" s="2294">
        <v>-0.53749999999999998</v>
      </c>
      <c r="I24" s="2296"/>
      <c r="J24" s="1550"/>
      <c r="K24" s="2487" t="s">
        <v>7284</v>
      </c>
      <c r="L24" s="1348"/>
    </row>
    <row r="25" spans="1:12" ht="16.5">
      <c r="A25" s="2298" t="s">
        <v>4197</v>
      </c>
      <c r="B25" s="2299" t="s">
        <v>5504</v>
      </c>
      <c r="C25" s="1586" t="s">
        <v>2250</v>
      </c>
      <c r="D25" s="1558"/>
      <c r="E25" s="1558"/>
      <c r="F25" s="1559">
        <f t="shared" si="0"/>
        <v>0</v>
      </c>
      <c r="G25" s="1560" t="e">
        <f t="shared" si="1"/>
        <v>#DIV/0!</v>
      </c>
      <c r="H25" s="2294">
        <v>0.81140000000000001</v>
      </c>
      <c r="I25" s="2296"/>
      <c r="J25" s="1550"/>
      <c r="K25" s="2487" t="s">
        <v>7285</v>
      </c>
      <c r="L25" s="1348"/>
    </row>
    <row r="26" spans="1:12" ht="16.5">
      <c r="A26" s="2298" t="s">
        <v>4198</v>
      </c>
      <c r="B26" s="2299" t="s">
        <v>5505</v>
      </c>
      <c r="C26" s="1586" t="s">
        <v>2250</v>
      </c>
      <c r="D26" s="1558"/>
      <c r="E26" s="1558"/>
      <c r="F26" s="1559">
        <f t="shared" si="0"/>
        <v>0</v>
      </c>
      <c r="G26" s="1560" t="e">
        <f t="shared" si="1"/>
        <v>#DIV/0!</v>
      </c>
      <c r="H26" s="2294">
        <v>0.47449999999999998</v>
      </c>
      <c r="I26" s="2296"/>
      <c r="J26" s="1550"/>
      <c r="K26" s="2487" t="s">
        <v>7286</v>
      </c>
      <c r="L26" s="1348"/>
    </row>
    <row r="27" spans="1:12" ht="16.5">
      <c r="A27" s="2298" t="s">
        <v>4199</v>
      </c>
      <c r="B27" s="2299" t="s">
        <v>5506</v>
      </c>
      <c r="C27" s="1586" t="s">
        <v>2250</v>
      </c>
      <c r="D27" s="1558"/>
      <c r="E27" s="1558"/>
      <c r="F27" s="1559">
        <f t="shared" si="0"/>
        <v>0</v>
      </c>
      <c r="G27" s="1560" t="e">
        <f t="shared" si="1"/>
        <v>#DIV/0!</v>
      </c>
      <c r="H27" s="2294">
        <v>0.56869999999999998</v>
      </c>
      <c r="I27" s="2296"/>
      <c r="J27" s="1550"/>
      <c r="K27" s="2487" t="s">
        <v>7287</v>
      </c>
      <c r="L27" s="1348"/>
    </row>
    <row r="28" spans="1:12" ht="16.5">
      <c r="A28" s="2298" t="s">
        <v>4200</v>
      </c>
      <c r="B28" s="2299" t="s">
        <v>5507</v>
      </c>
      <c r="C28" s="1586" t="s">
        <v>2250</v>
      </c>
      <c r="D28" s="1558"/>
      <c r="E28" s="1558"/>
      <c r="F28" s="1559">
        <f t="shared" si="0"/>
        <v>0</v>
      </c>
      <c r="G28" s="1560" t="e">
        <f t="shared" si="1"/>
        <v>#DIV/0!</v>
      </c>
      <c r="H28" s="2294">
        <v>0.85609999999999997</v>
      </c>
      <c r="I28" s="2296"/>
      <c r="J28" s="1550"/>
      <c r="K28" s="2487" t="s">
        <v>7288</v>
      </c>
      <c r="L28" s="1348"/>
    </row>
    <row r="29" spans="1:12" ht="16.5">
      <c r="A29" s="2298" t="s">
        <v>4201</v>
      </c>
      <c r="B29" s="2299" t="s">
        <v>5508</v>
      </c>
      <c r="C29" s="1586" t="s">
        <v>2250</v>
      </c>
      <c r="D29" s="1558"/>
      <c r="E29" s="1558"/>
      <c r="F29" s="1559">
        <f t="shared" si="0"/>
        <v>0</v>
      </c>
      <c r="G29" s="1560" t="e">
        <f t="shared" si="1"/>
        <v>#DIV/0!</v>
      </c>
      <c r="H29" s="2294">
        <v>0.66010000000000002</v>
      </c>
      <c r="I29" s="2296"/>
      <c r="J29" s="1550"/>
      <c r="K29" s="2487" t="s">
        <v>7289</v>
      </c>
      <c r="L29" s="1348"/>
    </row>
    <row r="30" spans="1:12" ht="16.5">
      <c r="A30" s="2298" t="s">
        <v>4202</v>
      </c>
      <c r="B30" s="2299" t="s">
        <v>5509</v>
      </c>
      <c r="C30" s="1586" t="s">
        <v>2250</v>
      </c>
      <c r="D30" s="1558"/>
      <c r="E30" s="1558"/>
      <c r="F30" s="1559">
        <f t="shared" si="0"/>
        <v>0</v>
      </c>
      <c r="G30" s="1560" t="e">
        <f t="shared" si="1"/>
        <v>#DIV/0!</v>
      </c>
      <c r="H30" s="2294">
        <v>0.51900000000000002</v>
      </c>
      <c r="I30" s="2296"/>
      <c r="J30" s="1550"/>
      <c r="K30" s="2487" t="s">
        <v>7290</v>
      </c>
      <c r="L30" s="1348"/>
    </row>
    <row r="31" spans="1:12" ht="16.5">
      <c r="A31" s="2298" t="s">
        <v>4203</v>
      </c>
      <c r="B31" s="2299" t="s">
        <v>5510</v>
      </c>
      <c r="C31" s="1586" t="s">
        <v>2250</v>
      </c>
      <c r="D31" s="1558"/>
      <c r="E31" s="1558"/>
      <c r="F31" s="1559">
        <f t="shared" si="0"/>
        <v>0</v>
      </c>
      <c r="G31" s="1560" t="e">
        <f t="shared" si="1"/>
        <v>#DIV/0!</v>
      </c>
      <c r="H31" s="2294">
        <v>0.83950000000000002</v>
      </c>
      <c r="I31" s="2296"/>
      <c r="J31" s="1550"/>
      <c r="K31" s="2487" t="s">
        <v>7291</v>
      </c>
      <c r="L31" s="1348"/>
    </row>
    <row r="32" spans="1:12" ht="16.5">
      <c r="A32" s="2298" t="s">
        <v>4204</v>
      </c>
      <c r="B32" s="2299" t="s">
        <v>5511</v>
      </c>
      <c r="C32" s="1586" t="s">
        <v>2250</v>
      </c>
      <c r="D32" s="1558"/>
      <c r="E32" s="1558"/>
      <c r="F32" s="1559">
        <f t="shared" si="0"/>
        <v>0</v>
      </c>
      <c r="G32" s="1560" t="e">
        <f t="shared" si="1"/>
        <v>#DIV/0!</v>
      </c>
      <c r="H32" s="2294">
        <v>0.35389999999999999</v>
      </c>
      <c r="I32" s="2296"/>
      <c r="J32" s="1550"/>
      <c r="K32" s="2487" t="s">
        <v>7292</v>
      </c>
      <c r="L32" s="1348"/>
    </row>
    <row r="33" spans="1:13" ht="66">
      <c r="A33" s="2298" t="s">
        <v>4205</v>
      </c>
      <c r="B33" s="2299" t="s">
        <v>5512</v>
      </c>
      <c r="C33" s="1586" t="s">
        <v>2250</v>
      </c>
      <c r="D33" s="1558"/>
      <c r="E33" s="1558"/>
      <c r="F33" s="1559">
        <f t="shared" si="0"/>
        <v>0</v>
      </c>
      <c r="G33" s="1560" t="e">
        <f t="shared" si="1"/>
        <v>#DIV/0!</v>
      </c>
      <c r="H33" s="2294">
        <v>1.2313000000000001</v>
      </c>
      <c r="I33" s="2296" t="s">
        <v>5513</v>
      </c>
      <c r="J33" s="1550"/>
      <c r="K33" s="1349" t="s">
        <v>2437</v>
      </c>
      <c r="L33" s="1348"/>
    </row>
    <row r="34" spans="1:13" ht="16.5">
      <c r="A34" s="2298" t="s">
        <v>4206</v>
      </c>
      <c r="B34" s="2299" t="s">
        <v>5514</v>
      </c>
      <c r="C34" s="1586" t="s">
        <v>3861</v>
      </c>
      <c r="D34" s="1558"/>
      <c r="E34" s="1558"/>
      <c r="F34" s="1559">
        <f t="shared" si="0"/>
        <v>0</v>
      </c>
      <c r="G34" s="1560" t="e">
        <f t="shared" si="1"/>
        <v>#DIV/0!</v>
      </c>
      <c r="H34" s="2294">
        <v>0.47289999999999999</v>
      </c>
      <c r="I34" s="2296"/>
      <c r="J34" s="1550"/>
      <c r="K34" s="1349" t="s">
        <v>2438</v>
      </c>
      <c r="L34" s="1348"/>
    </row>
    <row r="35" spans="1:13" ht="16.5">
      <c r="A35" s="2298" t="s">
        <v>4207</v>
      </c>
      <c r="B35" s="2299" t="s">
        <v>5515</v>
      </c>
      <c r="C35" s="1586" t="s">
        <v>3861</v>
      </c>
      <c r="D35" s="1558"/>
      <c r="E35" s="1558"/>
      <c r="F35" s="1559">
        <f t="shared" si="0"/>
        <v>0</v>
      </c>
      <c r="G35" s="1560" t="e">
        <f t="shared" si="1"/>
        <v>#DIV/0!</v>
      </c>
      <c r="H35" s="2294">
        <v>0.52200000000000002</v>
      </c>
      <c r="I35" s="2296"/>
      <c r="J35" s="1550"/>
      <c r="K35" s="1349" t="s">
        <v>2439</v>
      </c>
      <c r="L35" s="1348"/>
    </row>
    <row r="36" spans="1:13" ht="16.5">
      <c r="A36" s="2298" t="s">
        <v>4208</v>
      </c>
      <c r="B36" s="2299" t="s">
        <v>5516</v>
      </c>
      <c r="C36" s="1586" t="s">
        <v>3861</v>
      </c>
      <c r="D36" s="1558"/>
      <c r="E36" s="1558"/>
      <c r="F36" s="1559">
        <f t="shared" si="0"/>
        <v>0</v>
      </c>
      <c r="G36" s="1560" t="e">
        <f t="shared" si="1"/>
        <v>#DIV/0!</v>
      </c>
      <c r="H36" s="2294">
        <v>0.31019999999999998</v>
      </c>
      <c r="I36" s="2296"/>
      <c r="J36" s="1550"/>
      <c r="K36" s="1349" t="s">
        <v>2440</v>
      </c>
      <c r="L36" s="1348"/>
      <c r="M36" s="1550"/>
    </row>
    <row r="37" spans="1:13" ht="16.5">
      <c r="A37" s="2298" t="s">
        <v>4209</v>
      </c>
      <c r="B37" s="2299" t="s">
        <v>5517</v>
      </c>
      <c r="C37" s="1586" t="s">
        <v>3861</v>
      </c>
      <c r="D37" s="1558"/>
      <c r="E37" s="1558"/>
      <c r="F37" s="1559">
        <f t="shared" si="0"/>
        <v>0</v>
      </c>
      <c r="G37" s="1560" t="e">
        <f t="shared" si="1"/>
        <v>#DIV/0!</v>
      </c>
      <c r="H37" s="2294">
        <v>0.26690000000000003</v>
      </c>
      <c r="I37" s="2296"/>
      <c r="J37" s="1550"/>
      <c r="K37" s="1349" t="s">
        <v>2441</v>
      </c>
      <c r="L37" s="1348"/>
      <c r="M37" s="1550"/>
    </row>
    <row r="38" spans="1:13" ht="16.5">
      <c r="A38" s="2298" t="s">
        <v>4210</v>
      </c>
      <c r="B38" s="2299" t="s">
        <v>5518</v>
      </c>
      <c r="C38" s="1586" t="s">
        <v>3861</v>
      </c>
      <c r="D38" s="1558"/>
      <c r="E38" s="1558"/>
      <c r="F38" s="1559">
        <f t="shared" si="0"/>
        <v>0</v>
      </c>
      <c r="G38" s="1560" t="e">
        <f t="shared" si="1"/>
        <v>#DIV/0!</v>
      </c>
      <c r="H38" s="2294">
        <v>3.7999999999999999E-2</v>
      </c>
      <c r="I38" s="2296"/>
      <c r="J38" s="1550"/>
      <c r="K38" s="1550"/>
      <c r="L38" s="1550"/>
    </row>
    <row r="39" spans="1:13" ht="16.5">
      <c r="A39" s="2298" t="s">
        <v>4211</v>
      </c>
      <c r="B39" s="2299" t="s">
        <v>5519</v>
      </c>
      <c r="C39" s="1586" t="s">
        <v>3861</v>
      </c>
      <c r="D39" s="1558"/>
      <c r="E39" s="1558"/>
      <c r="F39" s="1559">
        <f t="shared" si="0"/>
        <v>0</v>
      </c>
      <c r="G39" s="1560" t="e">
        <f t="shared" si="1"/>
        <v>#DIV/0!</v>
      </c>
      <c r="H39" s="2294">
        <v>0.3548</v>
      </c>
      <c r="I39" s="2296"/>
      <c r="J39" s="1550"/>
      <c r="K39" s="1550"/>
      <c r="L39" s="1550"/>
    </row>
    <row r="40" spans="1:13" ht="16.5">
      <c r="A40" s="2298" t="s">
        <v>4212</v>
      </c>
      <c r="B40" s="2299" t="s">
        <v>5520</v>
      </c>
      <c r="C40" s="1586" t="s">
        <v>3861</v>
      </c>
      <c r="D40" s="1558"/>
      <c r="E40" s="1558"/>
      <c r="F40" s="1559">
        <f t="shared" si="0"/>
        <v>0</v>
      </c>
      <c r="G40" s="1560" t="e">
        <f t="shared" si="1"/>
        <v>#DIV/0!</v>
      </c>
      <c r="H40" s="2294">
        <v>9.0399999999999994E-2</v>
      </c>
      <c r="I40" s="2296"/>
      <c r="J40" s="1550"/>
    </row>
    <row r="41" spans="1:13" ht="16.5">
      <c r="A41" s="2298" t="s">
        <v>4213</v>
      </c>
      <c r="B41" s="2299" t="s">
        <v>5521</v>
      </c>
      <c r="C41" s="1586" t="s">
        <v>3861</v>
      </c>
      <c r="D41" s="1558"/>
      <c r="E41" s="1558"/>
      <c r="F41" s="1559">
        <f t="shared" si="0"/>
        <v>0</v>
      </c>
      <c r="G41" s="1560" t="e">
        <f t="shared" si="1"/>
        <v>#DIV/0!</v>
      </c>
      <c r="H41" s="2294">
        <v>0.54430000000000001</v>
      </c>
      <c r="I41" s="2296"/>
      <c r="J41" s="1550"/>
    </row>
    <row r="42" spans="1:13" ht="16.5">
      <c r="A42" s="2298" t="s">
        <v>4214</v>
      </c>
      <c r="B42" s="2299" t="s">
        <v>5522</v>
      </c>
      <c r="C42" s="1586" t="s">
        <v>3861</v>
      </c>
      <c r="D42" s="1558"/>
      <c r="E42" s="1558"/>
      <c r="F42" s="1559">
        <f t="shared" si="0"/>
        <v>0</v>
      </c>
      <c r="G42" s="1560" t="e">
        <f t="shared" si="1"/>
        <v>#DIV/0!</v>
      </c>
      <c r="H42" s="2294">
        <v>0.1203</v>
      </c>
      <c r="I42" s="2296"/>
      <c r="J42" s="1550"/>
    </row>
    <row r="43" spans="1:13" ht="16.5">
      <c r="A43" s="2298" t="s">
        <v>4215</v>
      </c>
      <c r="B43" s="2299" t="s">
        <v>5523</v>
      </c>
      <c r="C43" s="1586" t="s">
        <v>3861</v>
      </c>
      <c r="D43" s="1558"/>
      <c r="E43" s="1558"/>
      <c r="F43" s="1559">
        <f t="shared" si="0"/>
        <v>0</v>
      </c>
      <c r="G43" s="1560" t="e">
        <f t="shared" si="1"/>
        <v>#DIV/0!</v>
      </c>
      <c r="H43" s="2294">
        <v>-4.5199999999999997E-2</v>
      </c>
      <c r="I43" s="2296"/>
      <c r="J43" s="1550"/>
    </row>
    <row r="44" spans="1:13" ht="16.5">
      <c r="A44" s="2298" t="s">
        <v>4216</v>
      </c>
      <c r="B44" s="2299" t="s">
        <v>5524</v>
      </c>
      <c r="C44" s="1586" t="s">
        <v>3861</v>
      </c>
      <c r="D44" s="1558"/>
      <c r="E44" s="1558"/>
      <c r="F44" s="1559">
        <f t="shared" si="0"/>
        <v>0</v>
      </c>
      <c r="G44" s="1560" t="e">
        <f t="shared" si="1"/>
        <v>#DIV/0!</v>
      </c>
      <c r="H44" s="2294">
        <v>0.4728</v>
      </c>
      <c r="I44" s="2296"/>
      <c r="J44" s="1550"/>
    </row>
    <row r="45" spans="1:13" ht="16.5">
      <c r="A45" s="2298" t="s">
        <v>4217</v>
      </c>
      <c r="B45" s="2299" t="s">
        <v>5525</v>
      </c>
      <c r="C45" s="1586" t="s">
        <v>3861</v>
      </c>
      <c r="D45" s="1558"/>
      <c r="E45" s="1558"/>
      <c r="F45" s="1559">
        <f t="shared" si="0"/>
        <v>0</v>
      </c>
      <c r="G45" s="1560" t="e">
        <f t="shared" si="1"/>
        <v>#DIV/0!</v>
      </c>
      <c r="H45" s="2294">
        <v>0.19339999999999999</v>
      </c>
      <c r="I45" s="2296"/>
      <c r="J45" s="1550"/>
    </row>
    <row r="46" spans="1:13" ht="16.5">
      <c r="A46" s="2298" t="s">
        <v>4218</v>
      </c>
      <c r="B46" s="2299" t="s">
        <v>5526</v>
      </c>
      <c r="C46" s="1586" t="s">
        <v>3861</v>
      </c>
      <c r="D46" s="1558"/>
      <c r="E46" s="1558"/>
      <c r="F46" s="1559">
        <f t="shared" si="0"/>
        <v>0</v>
      </c>
      <c r="G46" s="1560" t="e">
        <f t="shared" si="1"/>
        <v>#DIV/0!</v>
      </c>
      <c r="H46" s="2294">
        <v>0.48060000000000003</v>
      </c>
      <c r="I46" s="2296"/>
      <c r="J46" s="1550"/>
    </row>
    <row r="47" spans="1:13" ht="16.5">
      <c r="A47" s="2298" t="s">
        <v>4219</v>
      </c>
      <c r="B47" s="2299" t="s">
        <v>5527</v>
      </c>
      <c r="C47" s="1586" t="s">
        <v>3861</v>
      </c>
      <c r="D47" s="1558"/>
      <c r="E47" s="1558"/>
      <c r="F47" s="1559">
        <f t="shared" si="0"/>
        <v>0</v>
      </c>
      <c r="G47" s="1560" t="e">
        <f t="shared" si="1"/>
        <v>#DIV/0!</v>
      </c>
      <c r="H47" s="2294">
        <v>0.23369999999999999</v>
      </c>
      <c r="I47" s="2296"/>
      <c r="J47" s="1550"/>
    </row>
    <row r="48" spans="1:13" ht="16.5">
      <c r="A48" s="2298" t="s">
        <v>4220</v>
      </c>
      <c r="B48" s="2299" t="s">
        <v>5528</v>
      </c>
      <c r="C48" s="1586" t="s">
        <v>3861</v>
      </c>
      <c r="D48" s="1558"/>
      <c r="E48" s="1558"/>
      <c r="F48" s="1559">
        <f t="shared" si="0"/>
        <v>0</v>
      </c>
      <c r="G48" s="1560" t="e">
        <f t="shared" si="1"/>
        <v>#DIV/0!</v>
      </c>
      <c r="H48" s="2294">
        <v>0.35899999999999999</v>
      </c>
      <c r="I48" s="2296"/>
      <c r="J48" s="1550"/>
    </row>
    <row r="49" spans="1:10" ht="16.5">
      <c r="A49" s="2298" t="s">
        <v>4221</v>
      </c>
      <c r="B49" s="2299" t="s">
        <v>5529</v>
      </c>
      <c r="C49" s="1586" t="s">
        <v>3861</v>
      </c>
      <c r="D49" s="1558"/>
      <c r="E49" s="1558"/>
      <c r="F49" s="1559">
        <f t="shared" si="0"/>
        <v>0</v>
      </c>
      <c r="G49" s="1560" t="e">
        <f t="shared" si="1"/>
        <v>#DIV/0!</v>
      </c>
      <c r="H49" s="2294">
        <v>8.6699999999999999E-2</v>
      </c>
      <c r="I49" s="2296"/>
      <c r="J49" s="1550"/>
    </row>
    <row r="50" spans="1:10" ht="16.5">
      <c r="A50" s="2298" t="s">
        <v>4222</v>
      </c>
      <c r="B50" s="2299" t="s">
        <v>5530</v>
      </c>
      <c r="C50" s="1586" t="s">
        <v>3861</v>
      </c>
      <c r="D50" s="1558"/>
      <c r="E50" s="1558"/>
      <c r="F50" s="1559">
        <f t="shared" si="0"/>
        <v>0</v>
      </c>
      <c r="G50" s="1560" t="e">
        <f t="shared" si="1"/>
        <v>#DIV/0!</v>
      </c>
      <c r="H50" s="2294">
        <v>0.1492</v>
      </c>
      <c r="I50" s="2296"/>
      <c r="J50" s="1550"/>
    </row>
    <row r="51" spans="1:10" ht="16.5">
      <c r="A51" s="2298" t="s">
        <v>4223</v>
      </c>
      <c r="B51" s="2299" t="s">
        <v>5531</v>
      </c>
      <c r="C51" s="1586" t="s">
        <v>3861</v>
      </c>
      <c r="D51" s="1558"/>
      <c r="E51" s="1558"/>
      <c r="F51" s="1559">
        <f t="shared" si="0"/>
        <v>0</v>
      </c>
      <c r="G51" s="1560" t="e">
        <f t="shared" si="1"/>
        <v>#DIV/0!</v>
      </c>
      <c r="H51" s="2294">
        <v>0.31390000000000001</v>
      </c>
      <c r="I51" s="2296"/>
      <c r="J51" s="1550"/>
    </row>
    <row r="52" spans="1:10" ht="16.5">
      <c r="A52" s="2298" t="s">
        <v>4224</v>
      </c>
      <c r="B52" s="2299" t="s">
        <v>5532</v>
      </c>
      <c r="C52" s="1586" t="s">
        <v>3861</v>
      </c>
      <c r="D52" s="1558"/>
      <c r="E52" s="1558"/>
      <c r="F52" s="1559">
        <f t="shared" si="0"/>
        <v>0</v>
      </c>
      <c r="G52" s="1560" t="e">
        <f t="shared" si="1"/>
        <v>#DIV/0!</v>
      </c>
      <c r="H52" s="2294">
        <v>0.61990000000000001</v>
      </c>
      <c r="I52" s="2296"/>
      <c r="J52" s="1550"/>
    </row>
    <row r="53" spans="1:10" ht="16.5">
      <c r="A53" s="2298" t="s">
        <v>4225</v>
      </c>
      <c r="B53" s="2299" t="s">
        <v>5533</v>
      </c>
      <c r="C53" s="1586" t="s">
        <v>3861</v>
      </c>
      <c r="D53" s="1558"/>
      <c r="E53" s="1558"/>
      <c r="F53" s="1559">
        <f t="shared" si="0"/>
        <v>0</v>
      </c>
      <c r="G53" s="1560" t="e">
        <f t="shared" si="1"/>
        <v>#DIV/0!</v>
      </c>
      <c r="H53" s="2294">
        <v>0.40710000000000002</v>
      </c>
      <c r="I53" s="2296"/>
      <c r="J53" s="1550"/>
    </row>
    <row r="54" spans="1:10" ht="16.5">
      <c r="A54" s="2298" t="s">
        <v>4226</v>
      </c>
      <c r="B54" s="2299" t="s">
        <v>5534</v>
      </c>
      <c r="C54" s="1586" t="s">
        <v>3861</v>
      </c>
      <c r="D54" s="1558"/>
      <c r="E54" s="1558"/>
      <c r="F54" s="1559">
        <f t="shared" si="0"/>
        <v>0</v>
      </c>
      <c r="G54" s="1560" t="e">
        <f t="shared" si="1"/>
        <v>#DIV/0!</v>
      </c>
      <c r="H54" s="2294">
        <v>0.16569999999999999</v>
      </c>
      <c r="I54" s="2296"/>
      <c r="J54" s="1550"/>
    </row>
    <row r="55" spans="1:10" ht="16.5">
      <c r="A55" s="2298" t="s">
        <v>4227</v>
      </c>
      <c r="B55" s="2299" t="s">
        <v>5535</v>
      </c>
      <c r="C55" s="1586" t="s">
        <v>3861</v>
      </c>
      <c r="D55" s="1558"/>
      <c r="E55" s="1558"/>
      <c r="F55" s="1559">
        <f t="shared" si="0"/>
        <v>0</v>
      </c>
      <c r="G55" s="1560" t="e">
        <f t="shared" si="1"/>
        <v>#DIV/0!</v>
      </c>
      <c r="H55" s="2294">
        <v>0.25669999999999998</v>
      </c>
      <c r="I55" s="2296"/>
      <c r="J55" s="1550"/>
    </row>
    <row r="56" spans="1:10" ht="16.5">
      <c r="A56" s="2298" t="s">
        <v>4228</v>
      </c>
      <c r="B56" s="2299" t="s">
        <v>5536</v>
      </c>
      <c r="C56" s="1586" t="s">
        <v>3861</v>
      </c>
      <c r="D56" s="1558"/>
      <c r="E56" s="1558"/>
      <c r="F56" s="1559">
        <f t="shared" si="0"/>
        <v>0</v>
      </c>
      <c r="G56" s="1560" t="e">
        <f t="shared" si="1"/>
        <v>#DIV/0!</v>
      </c>
      <c r="H56" s="2294">
        <v>0.1182</v>
      </c>
      <c r="I56" s="2296"/>
      <c r="J56" s="1550"/>
    </row>
    <row r="57" spans="1:10" ht="16.5">
      <c r="A57" s="2298" t="s">
        <v>4229</v>
      </c>
      <c r="B57" s="2299" t="s">
        <v>5537</v>
      </c>
      <c r="C57" s="1586" t="s">
        <v>3861</v>
      </c>
      <c r="D57" s="1558"/>
      <c r="E57" s="1558"/>
      <c r="F57" s="1559">
        <f t="shared" si="0"/>
        <v>0</v>
      </c>
      <c r="G57" s="1560" t="e">
        <f t="shared" si="1"/>
        <v>#DIV/0!</v>
      </c>
      <c r="H57" s="2294">
        <v>0.1628</v>
      </c>
      <c r="I57" s="2296"/>
      <c r="J57" s="1550"/>
    </row>
    <row r="58" spans="1:10" ht="16.5">
      <c r="A58" s="2298" t="s">
        <v>4230</v>
      </c>
      <c r="B58" s="2299" t="s">
        <v>5538</v>
      </c>
      <c r="C58" s="1586" t="s">
        <v>3861</v>
      </c>
      <c r="D58" s="1558"/>
      <c r="E58" s="1558"/>
      <c r="F58" s="1559">
        <f t="shared" si="0"/>
        <v>0</v>
      </c>
      <c r="G58" s="1560" t="e">
        <f t="shared" si="1"/>
        <v>#DIV/0!</v>
      </c>
      <c r="H58" s="2294">
        <v>0.26340000000000002</v>
      </c>
      <c r="I58" s="2296"/>
      <c r="J58" s="1550"/>
    </row>
    <row r="59" spans="1:10" ht="16.5">
      <c r="A59" s="2298" t="s">
        <v>4231</v>
      </c>
      <c r="B59" s="2299" t="s">
        <v>5539</v>
      </c>
      <c r="C59" s="1586" t="s">
        <v>3861</v>
      </c>
      <c r="D59" s="1558"/>
      <c r="E59" s="1558"/>
      <c r="F59" s="1559">
        <f t="shared" si="0"/>
        <v>0</v>
      </c>
      <c r="G59" s="1560" t="e">
        <f t="shared" si="1"/>
        <v>#DIV/0!</v>
      </c>
      <c r="H59" s="2294">
        <v>0.31709999999999999</v>
      </c>
      <c r="I59" s="2296"/>
      <c r="J59" s="1550"/>
    </row>
    <row r="60" spans="1:10" ht="16.5">
      <c r="A60" s="2298" t="s">
        <v>4232</v>
      </c>
      <c r="B60" s="2299" t="s">
        <v>5540</v>
      </c>
      <c r="C60" s="1586" t="s">
        <v>3861</v>
      </c>
      <c r="D60" s="1558"/>
      <c r="E60" s="1558"/>
      <c r="F60" s="1559">
        <f t="shared" si="0"/>
        <v>0</v>
      </c>
      <c r="G60" s="1560" t="e">
        <f t="shared" si="1"/>
        <v>#DIV/0!</v>
      </c>
      <c r="H60" s="2294">
        <v>0.87380000000000002</v>
      </c>
      <c r="I60" s="2296"/>
      <c r="J60" s="1550"/>
    </row>
    <row r="61" spans="1:10" ht="16.5">
      <c r="A61" s="2298" t="s">
        <v>4233</v>
      </c>
      <c r="B61" s="2299" t="s">
        <v>5541</v>
      </c>
      <c r="C61" s="1586" t="s">
        <v>3861</v>
      </c>
      <c r="D61" s="1558"/>
      <c r="E61" s="1558"/>
      <c r="F61" s="1559">
        <f t="shared" si="0"/>
        <v>0</v>
      </c>
      <c r="G61" s="1560" t="e">
        <f t="shared" si="1"/>
        <v>#DIV/0!</v>
      </c>
      <c r="H61" s="2294">
        <v>0.82279999999999998</v>
      </c>
      <c r="I61" s="2296"/>
      <c r="J61" s="1550"/>
    </row>
    <row r="62" spans="1:10" ht="16.5">
      <c r="A62" s="2298" t="s">
        <v>4234</v>
      </c>
      <c r="B62" s="2299" t="s">
        <v>5542</v>
      </c>
      <c r="C62" s="1586" t="s">
        <v>3861</v>
      </c>
      <c r="D62" s="1558"/>
      <c r="E62" s="1558"/>
      <c r="F62" s="1559">
        <f t="shared" si="0"/>
        <v>0</v>
      </c>
      <c r="G62" s="1560" t="e">
        <f t="shared" si="1"/>
        <v>#DIV/0!</v>
      </c>
      <c r="H62" s="2294">
        <v>0.67090000000000005</v>
      </c>
      <c r="I62" s="2296"/>
      <c r="J62" s="1550"/>
    </row>
    <row r="63" spans="1:10" ht="16.5">
      <c r="A63" s="2298" t="s">
        <v>4235</v>
      </c>
      <c r="B63" s="2299" t="s">
        <v>5543</v>
      </c>
      <c r="C63" s="1586" t="s">
        <v>3861</v>
      </c>
      <c r="D63" s="1558"/>
      <c r="E63" s="1558"/>
      <c r="F63" s="1559">
        <f t="shared" si="0"/>
        <v>0</v>
      </c>
      <c r="G63" s="1560" t="e">
        <f t="shared" si="1"/>
        <v>#DIV/0!</v>
      </c>
      <c r="H63" s="2294">
        <v>0.48709999999999998</v>
      </c>
      <c r="I63" s="2296"/>
      <c r="J63" s="1550"/>
    </row>
    <row r="64" spans="1:10" ht="16.5">
      <c r="A64" s="2298" t="s">
        <v>4236</v>
      </c>
      <c r="B64" s="2299" t="s">
        <v>5544</v>
      </c>
      <c r="C64" s="1586" t="s">
        <v>3861</v>
      </c>
      <c r="D64" s="1558"/>
      <c r="E64" s="1558"/>
      <c r="F64" s="1559">
        <f t="shared" si="0"/>
        <v>0</v>
      </c>
      <c r="G64" s="1560" t="e">
        <f t="shared" si="1"/>
        <v>#DIV/0!</v>
      </c>
      <c r="H64" s="2294">
        <v>0.86739999999999995</v>
      </c>
      <c r="I64" s="2296"/>
      <c r="J64" s="1550"/>
    </row>
    <row r="65" spans="1:10" ht="16.5">
      <c r="A65" s="2298" t="s">
        <v>4237</v>
      </c>
      <c r="B65" s="2299" t="s">
        <v>5545</v>
      </c>
      <c r="C65" s="1586" t="s">
        <v>3861</v>
      </c>
      <c r="D65" s="1558"/>
      <c r="E65" s="1558"/>
      <c r="F65" s="1559">
        <f t="shared" si="0"/>
        <v>0</v>
      </c>
      <c r="G65" s="1560" t="e">
        <f t="shared" si="1"/>
        <v>#DIV/0!</v>
      </c>
      <c r="H65" s="2294">
        <v>0.30659999999999998</v>
      </c>
      <c r="I65" s="2296"/>
      <c r="J65" s="1550"/>
    </row>
    <row r="66" spans="1:10" ht="16.5">
      <c r="A66" s="2298" t="s">
        <v>4238</v>
      </c>
      <c r="B66" s="2299" t="s">
        <v>5546</v>
      </c>
      <c r="C66" s="1586" t="s">
        <v>3861</v>
      </c>
      <c r="D66" s="1558"/>
      <c r="E66" s="1558"/>
      <c r="F66" s="1559">
        <f t="shared" si="0"/>
        <v>0</v>
      </c>
      <c r="G66" s="1560" t="e">
        <f t="shared" si="1"/>
        <v>#DIV/0!</v>
      </c>
      <c r="H66" s="2294">
        <v>0.64059999999999995</v>
      </c>
      <c r="I66" s="2296"/>
      <c r="J66" s="1550"/>
    </row>
    <row r="67" spans="1:10" ht="16.5">
      <c r="A67" s="2298" t="s">
        <v>4239</v>
      </c>
      <c r="B67" s="2299" t="s">
        <v>5547</v>
      </c>
      <c r="C67" s="1586" t="s">
        <v>3861</v>
      </c>
      <c r="D67" s="1558"/>
      <c r="E67" s="1558"/>
      <c r="F67" s="1559">
        <f t="shared" si="0"/>
        <v>0</v>
      </c>
      <c r="G67" s="1560" t="e">
        <f t="shared" si="1"/>
        <v>#DIV/0!</v>
      </c>
      <c r="H67" s="2294">
        <v>0.89590000000000003</v>
      </c>
      <c r="I67" s="2296"/>
      <c r="J67" s="1550"/>
    </row>
    <row r="68" spans="1:10" ht="16.5">
      <c r="A68" s="2298" t="s">
        <v>4240</v>
      </c>
      <c r="B68" s="2299" t="s">
        <v>5548</v>
      </c>
      <c r="C68" s="1586" t="s">
        <v>3861</v>
      </c>
      <c r="D68" s="1558"/>
      <c r="E68" s="1558"/>
      <c r="F68" s="1559">
        <f t="shared" si="0"/>
        <v>0</v>
      </c>
      <c r="G68" s="1560" t="e">
        <f t="shared" si="1"/>
        <v>#DIV/0!</v>
      </c>
      <c r="H68" s="2294">
        <v>0.34239999999999998</v>
      </c>
      <c r="I68" s="2296"/>
      <c r="J68" s="1550"/>
    </row>
    <row r="69" spans="1:10" ht="16.5">
      <c r="A69" s="2298" t="s">
        <v>4241</v>
      </c>
      <c r="B69" s="2299" t="s">
        <v>5549</v>
      </c>
      <c r="C69" s="1586" t="s">
        <v>3861</v>
      </c>
      <c r="D69" s="1558"/>
      <c r="E69" s="1558"/>
      <c r="F69" s="1559">
        <f t="shared" ref="F69:F132" si="2">D69*E69</f>
        <v>0</v>
      </c>
      <c r="G69" s="1560" t="e">
        <f t="shared" ref="G69:G132" si="3">F69/$F$1214</f>
        <v>#DIV/0!</v>
      </c>
      <c r="H69" s="2294">
        <v>0.86639999999999995</v>
      </c>
      <c r="I69" s="2296"/>
      <c r="J69" s="1550"/>
    </row>
    <row r="70" spans="1:10" ht="16.5">
      <c r="A70" s="2298" t="s">
        <v>4242</v>
      </c>
      <c r="B70" s="2299" t="s">
        <v>5550</v>
      </c>
      <c r="C70" s="1586" t="s">
        <v>3861</v>
      </c>
      <c r="D70" s="1558"/>
      <c r="E70" s="1558"/>
      <c r="F70" s="1559">
        <f t="shared" si="2"/>
        <v>0</v>
      </c>
      <c r="G70" s="1560" t="e">
        <f t="shared" si="3"/>
        <v>#DIV/0!</v>
      </c>
      <c r="H70" s="2294">
        <v>0.7</v>
      </c>
      <c r="I70" s="2296"/>
      <c r="J70" s="1550"/>
    </row>
    <row r="71" spans="1:10" ht="16.5">
      <c r="A71" s="2298" t="s">
        <v>4243</v>
      </c>
      <c r="B71" s="2299" t="s">
        <v>5551</v>
      </c>
      <c r="C71" s="1586" t="s">
        <v>3861</v>
      </c>
      <c r="D71" s="1558"/>
      <c r="E71" s="1558"/>
      <c r="F71" s="1559">
        <f t="shared" si="2"/>
        <v>0</v>
      </c>
      <c r="G71" s="1560" t="e">
        <f t="shared" si="3"/>
        <v>#DIV/0!</v>
      </c>
      <c r="H71" s="2294">
        <v>0.64780000000000004</v>
      </c>
      <c r="I71" s="2296"/>
      <c r="J71" s="1550"/>
    </row>
    <row r="72" spans="1:10" ht="16.5">
      <c r="A72" s="2298" t="s">
        <v>4244</v>
      </c>
      <c r="B72" s="2299" t="s">
        <v>5552</v>
      </c>
      <c r="C72" s="1586" t="s">
        <v>3861</v>
      </c>
      <c r="D72" s="1558"/>
      <c r="E72" s="1558"/>
      <c r="F72" s="1559">
        <f t="shared" si="2"/>
        <v>0</v>
      </c>
      <c r="G72" s="1560" t="e">
        <f t="shared" si="3"/>
        <v>#DIV/0!</v>
      </c>
      <c r="H72" s="2294">
        <v>3.0700000000000002E-2</v>
      </c>
      <c r="I72" s="2296"/>
      <c r="J72" s="1550"/>
    </row>
    <row r="73" spans="1:10" ht="16.5">
      <c r="A73" s="2298" t="s">
        <v>4245</v>
      </c>
      <c r="B73" s="2299" t="s">
        <v>5553</v>
      </c>
      <c r="C73" s="1586" t="s">
        <v>3861</v>
      </c>
      <c r="D73" s="1558"/>
      <c r="E73" s="1558"/>
      <c r="F73" s="1559">
        <f t="shared" si="2"/>
        <v>0</v>
      </c>
      <c r="G73" s="1560" t="e">
        <f t="shared" si="3"/>
        <v>#DIV/0!</v>
      </c>
      <c r="H73" s="2294">
        <v>0.6623</v>
      </c>
      <c r="I73" s="2296"/>
      <c r="J73" s="1550"/>
    </row>
    <row r="74" spans="1:10" ht="16.5">
      <c r="A74" s="2298" t="s">
        <v>4246</v>
      </c>
      <c r="B74" s="2299" t="s">
        <v>5554</v>
      </c>
      <c r="C74" s="1586" t="s">
        <v>3861</v>
      </c>
      <c r="D74" s="1558"/>
      <c r="E74" s="1558"/>
      <c r="F74" s="1559">
        <f t="shared" si="2"/>
        <v>0</v>
      </c>
      <c r="G74" s="1560" t="e">
        <f t="shared" si="3"/>
        <v>#DIV/0!</v>
      </c>
      <c r="H74" s="2294">
        <v>0.66100000000000003</v>
      </c>
      <c r="I74" s="2296"/>
      <c r="J74" s="1550"/>
    </row>
    <row r="75" spans="1:10" ht="16.5">
      <c r="A75" s="2298" t="s">
        <v>4247</v>
      </c>
      <c r="B75" s="2299" t="s">
        <v>5555</v>
      </c>
      <c r="C75" s="1586" t="s">
        <v>3861</v>
      </c>
      <c r="D75" s="1558"/>
      <c r="E75" s="1558"/>
      <c r="F75" s="1559">
        <f t="shared" si="2"/>
        <v>0</v>
      </c>
      <c r="G75" s="1560" t="e">
        <f t="shared" si="3"/>
        <v>#DIV/0!</v>
      </c>
      <c r="H75" s="2294">
        <v>8.1799999999999998E-2</v>
      </c>
      <c r="I75" s="2296"/>
      <c r="J75" s="1550"/>
    </row>
    <row r="76" spans="1:10" ht="16.5">
      <c r="A76" s="2298" t="s">
        <v>4248</v>
      </c>
      <c r="B76" s="2299" t="s">
        <v>5556</v>
      </c>
      <c r="C76" s="1586" t="s">
        <v>3861</v>
      </c>
      <c r="D76" s="1558"/>
      <c r="E76" s="1558"/>
      <c r="F76" s="1559">
        <f t="shared" si="2"/>
        <v>0</v>
      </c>
      <c r="G76" s="1560" t="e">
        <f t="shared" si="3"/>
        <v>#DIV/0!</v>
      </c>
      <c r="H76" s="2294">
        <v>0.22839999999999999</v>
      </c>
      <c r="I76" s="2296"/>
      <c r="J76" s="1550"/>
    </row>
    <row r="77" spans="1:10" ht="16.5">
      <c r="A77" s="2298" t="s">
        <v>4249</v>
      </c>
      <c r="B77" s="2299" t="s">
        <v>5557</v>
      </c>
      <c r="C77" s="1586" t="s">
        <v>3861</v>
      </c>
      <c r="D77" s="1558"/>
      <c r="E77" s="1558"/>
      <c r="F77" s="1559">
        <f t="shared" si="2"/>
        <v>0</v>
      </c>
      <c r="G77" s="1560" t="e">
        <f t="shared" si="3"/>
        <v>#DIV/0!</v>
      </c>
      <c r="H77" s="2294">
        <v>0.13780000000000001</v>
      </c>
      <c r="I77" s="2296"/>
      <c r="J77" s="1550"/>
    </row>
    <row r="78" spans="1:10" ht="16.5">
      <c r="A78" s="2298" t="s">
        <v>4250</v>
      </c>
      <c r="B78" s="2299" t="s">
        <v>5558</v>
      </c>
      <c r="C78" s="1586" t="s">
        <v>3861</v>
      </c>
      <c r="D78" s="1558"/>
      <c r="E78" s="1558"/>
      <c r="F78" s="1559">
        <f t="shared" si="2"/>
        <v>0</v>
      </c>
      <c r="G78" s="1560" t="e">
        <f t="shared" si="3"/>
        <v>#DIV/0!</v>
      </c>
      <c r="H78" s="2294">
        <v>6.0600000000000001E-2</v>
      </c>
      <c r="I78" s="2296"/>
      <c r="J78" s="1550"/>
    </row>
    <row r="79" spans="1:10" ht="16.5">
      <c r="A79" s="2298" t="s">
        <v>4251</v>
      </c>
      <c r="B79" s="2299" t="s">
        <v>5559</v>
      </c>
      <c r="C79" s="1586" t="s">
        <v>3861</v>
      </c>
      <c r="D79" s="1558"/>
      <c r="E79" s="1558"/>
      <c r="F79" s="1559">
        <f t="shared" si="2"/>
        <v>0</v>
      </c>
      <c r="G79" s="1560" t="e">
        <f t="shared" si="3"/>
        <v>#DIV/0!</v>
      </c>
      <c r="H79" s="2294">
        <v>0.75860000000000005</v>
      </c>
      <c r="I79" s="2296"/>
      <c r="J79" s="1550"/>
    </row>
    <row r="80" spans="1:10" ht="16.5">
      <c r="A80" s="2298" t="s">
        <v>4252</v>
      </c>
      <c r="B80" s="2299" t="s">
        <v>5560</v>
      </c>
      <c r="C80" s="1586" t="s">
        <v>3861</v>
      </c>
      <c r="D80" s="1558"/>
      <c r="E80" s="1558"/>
      <c r="F80" s="1559">
        <f t="shared" si="2"/>
        <v>0</v>
      </c>
      <c r="G80" s="1560" t="e">
        <f t="shared" si="3"/>
        <v>#DIV/0!</v>
      </c>
      <c r="H80" s="2294">
        <v>0.53779999999999994</v>
      </c>
      <c r="I80" s="2296"/>
      <c r="J80" s="1550"/>
    </row>
    <row r="81" spans="1:10" ht="16.5">
      <c r="A81" s="2298" t="s">
        <v>4253</v>
      </c>
      <c r="B81" s="2299" t="s">
        <v>5561</v>
      </c>
      <c r="C81" s="1586" t="s">
        <v>3861</v>
      </c>
      <c r="D81" s="1558"/>
      <c r="E81" s="1558"/>
      <c r="F81" s="1559">
        <f t="shared" si="2"/>
        <v>0</v>
      </c>
      <c r="G81" s="1560" t="e">
        <f t="shared" si="3"/>
        <v>#DIV/0!</v>
      </c>
      <c r="H81" s="2294">
        <v>0.83509999999999995</v>
      </c>
      <c r="I81" s="2296"/>
      <c r="J81" s="1550"/>
    </row>
    <row r="82" spans="1:10" ht="16.5">
      <c r="A82" s="2298" t="s">
        <v>4254</v>
      </c>
      <c r="B82" s="2299" t="s">
        <v>5562</v>
      </c>
      <c r="C82" s="1586" t="s">
        <v>3861</v>
      </c>
      <c r="D82" s="1558"/>
      <c r="E82" s="1558"/>
      <c r="F82" s="1559">
        <f t="shared" si="2"/>
        <v>0</v>
      </c>
      <c r="G82" s="1560" t="e">
        <f t="shared" si="3"/>
        <v>#DIV/0!</v>
      </c>
      <c r="H82" s="2294">
        <v>0.31640000000000001</v>
      </c>
      <c r="I82" s="2296"/>
      <c r="J82" s="1550"/>
    </row>
    <row r="83" spans="1:10" ht="16.5">
      <c r="A83" s="2298" t="s">
        <v>4255</v>
      </c>
      <c r="B83" s="2299" t="s">
        <v>5563</v>
      </c>
      <c r="C83" s="1586" t="s">
        <v>3861</v>
      </c>
      <c r="D83" s="1558"/>
      <c r="E83" s="1558"/>
      <c r="F83" s="1559">
        <f t="shared" si="2"/>
        <v>0</v>
      </c>
      <c r="G83" s="1560" t="e">
        <f t="shared" si="3"/>
        <v>#DIV/0!</v>
      </c>
      <c r="H83" s="2294">
        <v>0.6472</v>
      </c>
      <c r="I83" s="2296"/>
      <c r="J83" s="1550"/>
    </row>
    <row r="84" spans="1:10" ht="16.5">
      <c r="A84" s="2298" t="s">
        <v>4256</v>
      </c>
      <c r="B84" s="2299" t="s">
        <v>5564</v>
      </c>
      <c r="C84" s="1586" t="s">
        <v>3861</v>
      </c>
      <c r="D84" s="1558"/>
      <c r="E84" s="1558"/>
      <c r="F84" s="1559">
        <f t="shared" si="2"/>
        <v>0</v>
      </c>
      <c r="G84" s="1560" t="e">
        <f t="shared" si="3"/>
        <v>#DIV/0!</v>
      </c>
      <c r="H84" s="2294">
        <v>0.2248</v>
      </c>
      <c r="I84" s="2296"/>
      <c r="J84" s="1550"/>
    </row>
    <row r="85" spans="1:10" ht="16.5">
      <c r="A85" s="2298" t="s">
        <v>4257</v>
      </c>
      <c r="B85" s="2299" t="s">
        <v>5565</v>
      </c>
      <c r="C85" s="1586" t="s">
        <v>3861</v>
      </c>
      <c r="D85" s="1558"/>
      <c r="E85" s="1558"/>
      <c r="F85" s="1559">
        <f t="shared" si="2"/>
        <v>0</v>
      </c>
      <c r="G85" s="1560" t="e">
        <f t="shared" si="3"/>
        <v>#DIV/0!</v>
      </c>
      <c r="H85" s="2294">
        <v>0.62019999999999997</v>
      </c>
      <c r="I85" s="2296"/>
      <c r="J85" s="1550"/>
    </row>
    <row r="86" spans="1:10" ht="16.5">
      <c r="A86" s="2298" t="s">
        <v>4258</v>
      </c>
      <c r="B86" s="2299" t="s">
        <v>5566</v>
      </c>
      <c r="C86" s="1586" t="s">
        <v>3861</v>
      </c>
      <c r="D86" s="1558"/>
      <c r="E86" s="1558"/>
      <c r="F86" s="1559">
        <f t="shared" si="2"/>
        <v>0</v>
      </c>
      <c r="G86" s="1560" t="e">
        <f t="shared" si="3"/>
        <v>#DIV/0!</v>
      </c>
      <c r="H86" s="2294">
        <v>0.58009999999999995</v>
      </c>
      <c r="I86" s="2296"/>
      <c r="J86" s="1550"/>
    </row>
    <row r="87" spans="1:10" ht="16.5">
      <c r="A87" s="2298" t="s">
        <v>4259</v>
      </c>
      <c r="B87" s="2299" t="s">
        <v>5567</v>
      </c>
      <c r="C87" s="1586" t="s">
        <v>3861</v>
      </c>
      <c r="D87" s="1558"/>
      <c r="E87" s="1558"/>
      <c r="F87" s="1559">
        <f t="shared" si="2"/>
        <v>0</v>
      </c>
      <c r="G87" s="1560" t="e">
        <f t="shared" si="3"/>
        <v>#DIV/0!</v>
      </c>
      <c r="H87" s="2294">
        <v>0.1144</v>
      </c>
      <c r="I87" s="2296"/>
      <c r="J87" s="1550"/>
    </row>
    <row r="88" spans="1:10" ht="16.5">
      <c r="A88" s="2298" t="s">
        <v>4260</v>
      </c>
      <c r="B88" s="2299" t="s">
        <v>5568</v>
      </c>
      <c r="C88" s="1586" t="s">
        <v>3861</v>
      </c>
      <c r="D88" s="1558"/>
      <c r="E88" s="1558"/>
      <c r="F88" s="1559">
        <f t="shared" si="2"/>
        <v>0</v>
      </c>
      <c r="G88" s="1560" t="e">
        <f t="shared" si="3"/>
        <v>#DIV/0!</v>
      </c>
      <c r="H88" s="2294">
        <v>0.28639999999999999</v>
      </c>
      <c r="I88" s="2296"/>
      <c r="J88" s="1550"/>
    </row>
    <row r="89" spans="1:10" ht="16.5">
      <c r="A89" s="2298" t="s">
        <v>4261</v>
      </c>
      <c r="B89" s="2299" t="s">
        <v>5569</v>
      </c>
      <c r="C89" s="1586" t="s">
        <v>3861</v>
      </c>
      <c r="D89" s="1558"/>
      <c r="E89" s="1558"/>
      <c r="F89" s="1559">
        <f t="shared" si="2"/>
        <v>0</v>
      </c>
      <c r="G89" s="1560" t="e">
        <f t="shared" si="3"/>
        <v>#DIV/0!</v>
      </c>
      <c r="H89" s="2294">
        <v>0.27960000000000002</v>
      </c>
      <c r="I89" s="2296"/>
      <c r="J89" s="1550"/>
    </row>
    <row r="90" spans="1:10" ht="16.5">
      <c r="A90" s="2298" t="s">
        <v>4262</v>
      </c>
      <c r="B90" s="2299" t="s">
        <v>5570</v>
      </c>
      <c r="C90" s="1586" t="s">
        <v>3861</v>
      </c>
      <c r="D90" s="1558"/>
      <c r="E90" s="1558"/>
      <c r="F90" s="1559">
        <f t="shared" si="2"/>
        <v>0</v>
      </c>
      <c r="G90" s="1560" t="e">
        <f t="shared" si="3"/>
        <v>#DIV/0!</v>
      </c>
      <c r="H90" s="2294">
        <v>0.1588</v>
      </c>
      <c r="I90" s="2296"/>
      <c r="J90" s="1550"/>
    </row>
    <row r="91" spans="1:10" ht="16.5">
      <c r="A91" s="2298" t="s">
        <v>4263</v>
      </c>
      <c r="B91" s="2299" t="s">
        <v>5571</v>
      </c>
      <c r="C91" s="1586" t="s">
        <v>3861</v>
      </c>
      <c r="D91" s="1558"/>
      <c r="E91" s="1558"/>
      <c r="F91" s="1559">
        <f t="shared" si="2"/>
        <v>0</v>
      </c>
      <c r="G91" s="1560" t="e">
        <f t="shared" si="3"/>
        <v>#DIV/0!</v>
      </c>
      <c r="H91" s="2294">
        <v>-0.1217</v>
      </c>
      <c r="I91" s="2296"/>
      <c r="J91" s="1550"/>
    </row>
    <row r="92" spans="1:10" ht="16.5">
      <c r="A92" s="2298" t="s">
        <v>4264</v>
      </c>
      <c r="B92" s="2299" t="s">
        <v>5572</v>
      </c>
      <c r="C92" s="1586" t="s">
        <v>3861</v>
      </c>
      <c r="D92" s="1558"/>
      <c r="E92" s="1558"/>
      <c r="F92" s="1559">
        <f t="shared" si="2"/>
        <v>0</v>
      </c>
      <c r="G92" s="1560" t="e">
        <f t="shared" si="3"/>
        <v>#DIV/0!</v>
      </c>
      <c r="H92" s="2294">
        <v>-0.30459999999999998</v>
      </c>
      <c r="I92" s="2296"/>
      <c r="J92" s="1550"/>
    </row>
    <row r="93" spans="1:10" ht="16.5">
      <c r="A93" s="2298" t="s">
        <v>4265</v>
      </c>
      <c r="B93" s="2299" t="s">
        <v>5573</v>
      </c>
      <c r="C93" s="1586" t="s">
        <v>3861</v>
      </c>
      <c r="D93" s="1558"/>
      <c r="E93" s="1558"/>
      <c r="F93" s="1559">
        <f t="shared" si="2"/>
        <v>0</v>
      </c>
      <c r="G93" s="1560" t="e">
        <f t="shared" si="3"/>
        <v>#DIV/0!</v>
      </c>
      <c r="H93" s="2294">
        <v>0.54669999999999996</v>
      </c>
      <c r="I93" s="2296"/>
      <c r="J93" s="1550"/>
    </row>
    <row r="94" spans="1:10" ht="16.5">
      <c r="A94" s="2298" t="s">
        <v>4266</v>
      </c>
      <c r="B94" s="2299" t="s">
        <v>5574</v>
      </c>
      <c r="C94" s="1586" t="s">
        <v>3861</v>
      </c>
      <c r="D94" s="1558"/>
      <c r="E94" s="1558"/>
      <c r="F94" s="1559">
        <f t="shared" si="2"/>
        <v>0</v>
      </c>
      <c r="G94" s="1560" t="e">
        <f t="shared" si="3"/>
        <v>#DIV/0!</v>
      </c>
      <c r="H94" s="2294">
        <v>0.12939999999999999</v>
      </c>
      <c r="I94" s="2296"/>
      <c r="J94" s="1550"/>
    </row>
    <row r="95" spans="1:10" ht="16.5">
      <c r="A95" s="2298" t="s">
        <v>4267</v>
      </c>
      <c r="B95" s="2299" t="s">
        <v>5575</v>
      </c>
      <c r="C95" s="1586" t="s">
        <v>3861</v>
      </c>
      <c r="D95" s="1558"/>
      <c r="E95" s="1558"/>
      <c r="F95" s="1559">
        <f t="shared" si="2"/>
        <v>0</v>
      </c>
      <c r="G95" s="1560" t="e">
        <f t="shared" si="3"/>
        <v>#DIV/0!</v>
      </c>
      <c r="H95" s="2294">
        <v>0.31850000000000001</v>
      </c>
      <c r="I95" s="2296"/>
      <c r="J95" s="1550"/>
    </row>
    <row r="96" spans="1:10" ht="16.5">
      <c r="A96" s="2298" t="s">
        <v>4268</v>
      </c>
      <c r="B96" s="2299" t="s">
        <v>5576</v>
      </c>
      <c r="C96" s="1586" t="s">
        <v>3861</v>
      </c>
      <c r="D96" s="1558"/>
      <c r="E96" s="1558"/>
      <c r="F96" s="1559">
        <f t="shared" si="2"/>
        <v>0</v>
      </c>
      <c r="G96" s="1560" t="e">
        <f t="shared" si="3"/>
        <v>#DIV/0!</v>
      </c>
      <c r="H96" s="2294">
        <v>0.5837</v>
      </c>
      <c r="I96" s="2296"/>
      <c r="J96" s="1550"/>
    </row>
    <row r="97" spans="1:10" ht="16.5">
      <c r="A97" s="2298" t="s">
        <v>4269</v>
      </c>
      <c r="B97" s="2299" t="s">
        <v>5577</v>
      </c>
      <c r="C97" s="1586" t="s">
        <v>3861</v>
      </c>
      <c r="D97" s="1558"/>
      <c r="E97" s="1558"/>
      <c r="F97" s="1559">
        <f t="shared" si="2"/>
        <v>0</v>
      </c>
      <c r="G97" s="1560" t="e">
        <f t="shared" si="3"/>
        <v>#DIV/0!</v>
      </c>
      <c r="H97" s="2294">
        <v>5.4399999999999997E-2</v>
      </c>
      <c r="I97" s="2296"/>
      <c r="J97" s="1550"/>
    </row>
    <row r="98" spans="1:10" ht="16.5">
      <c r="A98" s="2298" t="s">
        <v>4270</v>
      </c>
      <c r="B98" s="2299" t="s">
        <v>5578</v>
      </c>
      <c r="C98" s="1586" t="s">
        <v>3861</v>
      </c>
      <c r="D98" s="1558"/>
      <c r="E98" s="1558"/>
      <c r="F98" s="1559">
        <f t="shared" si="2"/>
        <v>0</v>
      </c>
      <c r="G98" s="1560" t="e">
        <f t="shared" si="3"/>
        <v>#DIV/0!</v>
      </c>
      <c r="H98" s="2294">
        <v>0.32579999999999998</v>
      </c>
      <c r="I98" s="2296"/>
      <c r="J98" s="1550"/>
    </row>
    <row r="99" spans="1:10" ht="16.5">
      <c r="A99" s="2298" t="s">
        <v>4271</v>
      </c>
      <c r="B99" s="2299" t="s">
        <v>5579</v>
      </c>
      <c r="C99" s="1586" t="s">
        <v>3861</v>
      </c>
      <c r="D99" s="1558"/>
      <c r="E99" s="1558"/>
      <c r="F99" s="1559">
        <f t="shared" si="2"/>
        <v>0</v>
      </c>
      <c r="G99" s="1560" t="e">
        <f t="shared" si="3"/>
        <v>#DIV/0!</v>
      </c>
      <c r="H99" s="2294">
        <v>0.1971</v>
      </c>
      <c r="I99" s="2296"/>
      <c r="J99" s="1550"/>
    </row>
    <row r="100" spans="1:10" ht="16.5">
      <c r="A100" s="2298" t="s">
        <v>4272</v>
      </c>
      <c r="B100" s="2299" t="s">
        <v>5580</v>
      </c>
      <c r="C100" s="1586" t="s">
        <v>3861</v>
      </c>
      <c r="D100" s="1558"/>
      <c r="E100" s="1558"/>
      <c r="F100" s="1559">
        <f t="shared" si="2"/>
        <v>0</v>
      </c>
      <c r="G100" s="1560" t="e">
        <f t="shared" si="3"/>
        <v>#DIV/0!</v>
      </c>
      <c r="H100" s="2294">
        <v>-0.2641</v>
      </c>
      <c r="I100" s="2296"/>
      <c r="J100" s="1550"/>
    </row>
    <row r="101" spans="1:10" ht="16.5">
      <c r="A101" s="2298" t="s">
        <v>4273</v>
      </c>
      <c r="B101" s="2299" t="s">
        <v>5581</v>
      </c>
      <c r="C101" s="1586" t="s">
        <v>3861</v>
      </c>
      <c r="D101" s="1558"/>
      <c r="E101" s="1558"/>
      <c r="F101" s="1559">
        <f t="shared" si="2"/>
        <v>0</v>
      </c>
      <c r="G101" s="1560" t="e">
        <f t="shared" si="3"/>
        <v>#DIV/0!</v>
      </c>
      <c r="H101" s="2294">
        <v>0.3972</v>
      </c>
      <c r="I101" s="2296"/>
      <c r="J101" s="1550"/>
    </row>
    <row r="102" spans="1:10" ht="16.5">
      <c r="A102" s="2298" t="s">
        <v>4274</v>
      </c>
      <c r="B102" s="2299" t="s">
        <v>5582</v>
      </c>
      <c r="C102" s="1586" t="s">
        <v>3861</v>
      </c>
      <c r="D102" s="1558"/>
      <c r="E102" s="1558"/>
      <c r="F102" s="1559">
        <f t="shared" si="2"/>
        <v>0</v>
      </c>
      <c r="G102" s="1560" t="e">
        <f t="shared" si="3"/>
        <v>#DIV/0!</v>
      </c>
      <c r="H102" s="2294">
        <v>0.378</v>
      </c>
      <c r="I102" s="2296"/>
      <c r="J102" s="1550"/>
    </row>
    <row r="103" spans="1:10" ht="16.5">
      <c r="A103" s="2298" t="s">
        <v>4275</v>
      </c>
      <c r="B103" s="2299" t="s">
        <v>5583</v>
      </c>
      <c r="C103" s="1586" t="s">
        <v>3861</v>
      </c>
      <c r="D103" s="1558"/>
      <c r="E103" s="1558"/>
      <c r="F103" s="1559">
        <f t="shared" si="2"/>
        <v>0</v>
      </c>
      <c r="G103" s="1560" t="e">
        <f t="shared" si="3"/>
        <v>#DIV/0!</v>
      </c>
      <c r="H103" s="2294">
        <v>0.31159999999999999</v>
      </c>
      <c r="I103" s="2296"/>
      <c r="J103" s="1550"/>
    </row>
    <row r="104" spans="1:10" ht="16.5">
      <c r="A104" s="2298" t="s">
        <v>4276</v>
      </c>
      <c r="B104" s="2299" t="s">
        <v>5584</v>
      </c>
      <c r="C104" s="1586" t="s">
        <v>3861</v>
      </c>
      <c r="D104" s="1558"/>
      <c r="E104" s="1558"/>
      <c r="F104" s="1559">
        <f t="shared" si="2"/>
        <v>0</v>
      </c>
      <c r="G104" s="1560" t="e">
        <f t="shared" si="3"/>
        <v>#DIV/0!</v>
      </c>
      <c r="H104" s="2294">
        <v>0.2331</v>
      </c>
      <c r="I104" s="2296"/>
      <c r="J104" s="1550"/>
    </row>
    <row r="105" spans="1:10" ht="16.5">
      <c r="A105" s="2298" t="s">
        <v>4277</v>
      </c>
      <c r="B105" s="2299" t="s">
        <v>5585</v>
      </c>
      <c r="C105" s="1586" t="s">
        <v>3861</v>
      </c>
      <c r="D105" s="1558"/>
      <c r="E105" s="1558"/>
      <c r="F105" s="1559">
        <f t="shared" si="2"/>
        <v>0</v>
      </c>
      <c r="G105" s="1560" t="e">
        <f t="shared" si="3"/>
        <v>#DIV/0!</v>
      </c>
      <c r="H105" s="2294">
        <v>0.19359999999999999</v>
      </c>
      <c r="I105" s="2296"/>
      <c r="J105" s="1550"/>
    </row>
    <row r="106" spans="1:10" ht="16.5">
      <c r="A106" s="2298" t="s">
        <v>4278</v>
      </c>
      <c r="B106" s="2299" t="s">
        <v>5586</v>
      </c>
      <c r="C106" s="1586" t="s">
        <v>3861</v>
      </c>
      <c r="D106" s="1558"/>
      <c r="E106" s="1558"/>
      <c r="F106" s="1559">
        <f t="shared" si="2"/>
        <v>0</v>
      </c>
      <c r="G106" s="1560" t="e">
        <f t="shared" si="3"/>
        <v>#DIV/0!</v>
      </c>
      <c r="H106" s="2294">
        <v>0.35970000000000002</v>
      </c>
      <c r="I106" s="2296"/>
      <c r="J106" s="1550"/>
    </row>
    <row r="107" spans="1:10" ht="16.5">
      <c r="A107" s="2298" t="s">
        <v>4279</v>
      </c>
      <c r="B107" s="2299" t="s">
        <v>5587</v>
      </c>
      <c r="C107" s="1586" t="s">
        <v>3861</v>
      </c>
      <c r="D107" s="1558"/>
      <c r="E107" s="1558"/>
      <c r="F107" s="1559">
        <f t="shared" si="2"/>
        <v>0</v>
      </c>
      <c r="G107" s="1560" t="e">
        <f t="shared" si="3"/>
        <v>#DIV/0!</v>
      </c>
      <c r="H107" s="2294">
        <v>0.13270000000000001</v>
      </c>
      <c r="I107" s="2296"/>
      <c r="J107" s="1550"/>
    </row>
    <row r="108" spans="1:10" ht="16.5">
      <c r="A108" s="2298" t="s">
        <v>4280</v>
      </c>
      <c r="B108" s="2299" t="s">
        <v>5588</v>
      </c>
      <c r="C108" s="1586" t="s">
        <v>3861</v>
      </c>
      <c r="D108" s="1558"/>
      <c r="E108" s="1558"/>
      <c r="F108" s="1559">
        <f t="shared" si="2"/>
        <v>0</v>
      </c>
      <c r="G108" s="1560" t="e">
        <f t="shared" si="3"/>
        <v>#DIV/0!</v>
      </c>
      <c r="H108" s="2294">
        <v>0.2676</v>
      </c>
      <c r="I108" s="2296"/>
      <c r="J108" s="1550"/>
    </row>
    <row r="109" spans="1:10" ht="16.5">
      <c r="A109" s="2298" t="s">
        <v>4281</v>
      </c>
      <c r="B109" s="2299" t="s">
        <v>5589</v>
      </c>
      <c r="C109" s="1586" t="s">
        <v>3861</v>
      </c>
      <c r="D109" s="1558"/>
      <c r="E109" s="1558"/>
      <c r="F109" s="1559">
        <f t="shared" si="2"/>
        <v>0</v>
      </c>
      <c r="G109" s="1560" t="e">
        <f t="shared" si="3"/>
        <v>#DIV/0!</v>
      </c>
      <c r="H109" s="2294">
        <v>0.35670000000000002</v>
      </c>
      <c r="I109" s="2296"/>
      <c r="J109" s="1550"/>
    </row>
    <row r="110" spans="1:10" ht="16.5">
      <c r="A110" s="2298" t="s">
        <v>4282</v>
      </c>
      <c r="B110" s="2299" t="s">
        <v>5590</v>
      </c>
      <c r="C110" s="1586" t="s">
        <v>3861</v>
      </c>
      <c r="D110" s="1558"/>
      <c r="E110" s="1558"/>
      <c r="F110" s="1559">
        <f t="shared" si="2"/>
        <v>0</v>
      </c>
      <c r="G110" s="1560" t="e">
        <f t="shared" si="3"/>
        <v>#DIV/0!</v>
      </c>
      <c r="H110" s="2294">
        <v>8.4099999999999994E-2</v>
      </c>
      <c r="I110" s="2296"/>
      <c r="J110" s="1550"/>
    </row>
    <row r="111" spans="1:10" ht="16.5">
      <c r="A111" s="2298" t="s">
        <v>4283</v>
      </c>
      <c r="B111" s="2299" t="s">
        <v>5591</v>
      </c>
      <c r="C111" s="1586" t="s">
        <v>3861</v>
      </c>
      <c r="D111" s="1558"/>
      <c r="E111" s="1558"/>
      <c r="F111" s="1559">
        <f t="shared" si="2"/>
        <v>0</v>
      </c>
      <c r="G111" s="1560" t="e">
        <f t="shared" si="3"/>
        <v>#DIV/0!</v>
      </c>
      <c r="H111" s="2294">
        <v>0.33689999999999998</v>
      </c>
      <c r="I111" s="2296"/>
      <c r="J111" s="1550"/>
    </row>
    <row r="112" spans="1:10" ht="16.5">
      <c r="A112" s="2298" t="s">
        <v>4284</v>
      </c>
      <c r="B112" s="2299" t="s">
        <v>5592</v>
      </c>
      <c r="C112" s="1586" t="s">
        <v>3861</v>
      </c>
      <c r="D112" s="1558"/>
      <c r="E112" s="1558"/>
      <c r="F112" s="1559">
        <f t="shared" si="2"/>
        <v>0</v>
      </c>
      <c r="G112" s="1560" t="e">
        <f t="shared" si="3"/>
        <v>#DIV/0!</v>
      </c>
      <c r="H112" s="2294">
        <v>0.30399999999999999</v>
      </c>
      <c r="I112" s="2296"/>
      <c r="J112" s="1550"/>
    </row>
    <row r="113" spans="1:10" ht="16.5">
      <c r="A113" s="2298" t="s">
        <v>4285</v>
      </c>
      <c r="B113" s="2299" t="s">
        <v>5593</v>
      </c>
      <c r="C113" s="1586" t="s">
        <v>3861</v>
      </c>
      <c r="D113" s="1558"/>
      <c r="E113" s="1558"/>
      <c r="F113" s="1559">
        <f t="shared" si="2"/>
        <v>0</v>
      </c>
      <c r="G113" s="1560" t="e">
        <f t="shared" si="3"/>
        <v>#DIV/0!</v>
      </c>
      <c r="H113" s="2294">
        <v>0.1605</v>
      </c>
      <c r="I113" s="2296"/>
      <c r="J113" s="1550"/>
    </row>
    <row r="114" spans="1:10" ht="16.5">
      <c r="A114" s="2298" t="s">
        <v>4286</v>
      </c>
      <c r="B114" s="2299" t="s">
        <v>5594</v>
      </c>
      <c r="C114" s="1586" t="s">
        <v>3861</v>
      </c>
      <c r="D114" s="1558"/>
      <c r="E114" s="1558"/>
      <c r="F114" s="1559">
        <f t="shared" si="2"/>
        <v>0</v>
      </c>
      <c r="G114" s="1560" t="e">
        <f t="shared" si="3"/>
        <v>#DIV/0!</v>
      </c>
      <c r="H114" s="2294">
        <v>0.23749999999999999</v>
      </c>
      <c r="I114" s="2296"/>
      <c r="J114" s="1550"/>
    </row>
    <row r="115" spans="1:10" ht="16.5">
      <c r="A115" s="2298" t="s">
        <v>4287</v>
      </c>
      <c r="B115" s="2299" t="s">
        <v>5595</v>
      </c>
      <c r="C115" s="1586" t="s">
        <v>3861</v>
      </c>
      <c r="D115" s="1558"/>
      <c r="E115" s="1558"/>
      <c r="F115" s="1559">
        <f t="shared" si="2"/>
        <v>0</v>
      </c>
      <c r="G115" s="1560" t="e">
        <f t="shared" si="3"/>
        <v>#DIV/0!</v>
      </c>
      <c r="H115" s="2294">
        <v>0.36249999999999999</v>
      </c>
      <c r="I115" s="2296"/>
      <c r="J115" s="1550"/>
    </row>
    <row r="116" spans="1:10" ht="16.5">
      <c r="A116" s="2298" t="s">
        <v>4288</v>
      </c>
      <c r="B116" s="2299" t="s">
        <v>5596</v>
      </c>
      <c r="C116" s="1586" t="s">
        <v>3861</v>
      </c>
      <c r="D116" s="1558"/>
      <c r="E116" s="1558"/>
      <c r="F116" s="1559">
        <f t="shared" si="2"/>
        <v>0</v>
      </c>
      <c r="G116" s="1560" t="e">
        <f t="shared" si="3"/>
        <v>#DIV/0!</v>
      </c>
      <c r="H116" s="2294">
        <v>0.20949999999999999</v>
      </c>
      <c r="I116" s="2296"/>
      <c r="J116" s="1550"/>
    </row>
    <row r="117" spans="1:10" ht="16.5">
      <c r="A117" s="2298" t="s">
        <v>4289</v>
      </c>
      <c r="B117" s="2299" t="s">
        <v>5597</v>
      </c>
      <c r="C117" s="1586" t="s">
        <v>3861</v>
      </c>
      <c r="D117" s="1558"/>
      <c r="E117" s="1558"/>
      <c r="F117" s="1559">
        <f t="shared" si="2"/>
        <v>0</v>
      </c>
      <c r="G117" s="1560" t="e">
        <f t="shared" si="3"/>
        <v>#DIV/0!</v>
      </c>
      <c r="H117" s="2294">
        <v>0.35010000000000002</v>
      </c>
      <c r="I117" s="2296"/>
      <c r="J117" s="1550"/>
    </row>
    <row r="118" spans="1:10" ht="16.5">
      <c r="A118" s="2298" t="s">
        <v>4290</v>
      </c>
      <c r="B118" s="2299" t="s">
        <v>5598</v>
      </c>
      <c r="C118" s="1586" t="s">
        <v>3861</v>
      </c>
      <c r="D118" s="1558"/>
      <c r="E118" s="1558"/>
      <c r="F118" s="1559">
        <f t="shared" si="2"/>
        <v>0</v>
      </c>
      <c r="G118" s="1560" t="e">
        <f t="shared" si="3"/>
        <v>#DIV/0!</v>
      </c>
      <c r="H118" s="2294">
        <v>0.29859999999999998</v>
      </c>
      <c r="I118" s="2296"/>
      <c r="J118" s="1550"/>
    </row>
    <row r="119" spans="1:10" ht="16.5">
      <c r="A119" s="2298" t="s">
        <v>4291</v>
      </c>
      <c r="B119" s="2299" t="s">
        <v>5599</v>
      </c>
      <c r="C119" s="1586" t="s">
        <v>3861</v>
      </c>
      <c r="D119" s="1558"/>
      <c r="E119" s="1558"/>
      <c r="F119" s="1559">
        <f t="shared" si="2"/>
        <v>0</v>
      </c>
      <c r="G119" s="1560" t="e">
        <f t="shared" si="3"/>
        <v>#DIV/0!</v>
      </c>
      <c r="H119" s="2294">
        <v>0.21940000000000001</v>
      </c>
      <c r="I119" s="2296"/>
      <c r="J119" s="1550"/>
    </row>
    <row r="120" spans="1:10" ht="16.5">
      <c r="A120" s="2298" t="s">
        <v>4292</v>
      </c>
      <c r="B120" s="2299" t="s">
        <v>5600</v>
      </c>
      <c r="C120" s="1586" t="s">
        <v>3861</v>
      </c>
      <c r="D120" s="1558"/>
      <c r="E120" s="1558"/>
      <c r="F120" s="1559">
        <f t="shared" si="2"/>
        <v>0</v>
      </c>
      <c r="G120" s="1560" t="e">
        <f t="shared" si="3"/>
        <v>#DIV/0!</v>
      </c>
      <c r="H120" s="2294">
        <v>0.22450000000000001</v>
      </c>
      <c r="I120" s="2296"/>
      <c r="J120" s="1550"/>
    </row>
    <row r="121" spans="1:10" ht="16.5">
      <c r="A121" s="2298" t="s">
        <v>4293</v>
      </c>
      <c r="B121" s="2299" t="s">
        <v>5601</v>
      </c>
      <c r="C121" s="1586" t="s">
        <v>3861</v>
      </c>
      <c r="D121" s="1558"/>
      <c r="E121" s="1558"/>
      <c r="F121" s="1559">
        <f t="shared" si="2"/>
        <v>0</v>
      </c>
      <c r="G121" s="1560" t="e">
        <f t="shared" si="3"/>
        <v>#DIV/0!</v>
      </c>
      <c r="H121" s="2294">
        <v>0.13039999999999999</v>
      </c>
      <c r="I121" s="2296"/>
      <c r="J121" s="1550"/>
    </row>
    <row r="122" spans="1:10" ht="16.5">
      <c r="A122" s="2298" t="s">
        <v>4294</v>
      </c>
      <c r="B122" s="2299" t="s">
        <v>5602</v>
      </c>
      <c r="C122" s="1586" t="s">
        <v>3861</v>
      </c>
      <c r="D122" s="1558"/>
      <c r="E122" s="1558"/>
      <c r="F122" s="1559">
        <f t="shared" si="2"/>
        <v>0</v>
      </c>
      <c r="G122" s="1560" t="e">
        <f t="shared" si="3"/>
        <v>#DIV/0!</v>
      </c>
      <c r="H122" s="2294">
        <v>1.78E-2</v>
      </c>
      <c r="I122" s="2296"/>
      <c r="J122" s="1550"/>
    </row>
    <row r="123" spans="1:10" ht="16.5">
      <c r="A123" s="2298" t="s">
        <v>4295</v>
      </c>
      <c r="B123" s="2299" t="s">
        <v>5603</v>
      </c>
      <c r="C123" s="1586" t="s">
        <v>3861</v>
      </c>
      <c r="D123" s="1558"/>
      <c r="E123" s="1558"/>
      <c r="F123" s="1559">
        <f t="shared" si="2"/>
        <v>0</v>
      </c>
      <c r="G123" s="1560" t="e">
        <f t="shared" si="3"/>
        <v>#DIV/0!</v>
      </c>
      <c r="H123" s="2294">
        <v>0.16889999999999999</v>
      </c>
      <c r="I123" s="2296"/>
      <c r="J123" s="1550"/>
    </row>
    <row r="124" spans="1:10" ht="16.5">
      <c r="A124" s="2298" t="s">
        <v>4296</v>
      </c>
      <c r="B124" s="2299" t="s">
        <v>5604</v>
      </c>
      <c r="C124" s="1586" t="s">
        <v>3861</v>
      </c>
      <c r="D124" s="1558"/>
      <c r="E124" s="1558"/>
      <c r="F124" s="1559">
        <f t="shared" si="2"/>
        <v>0</v>
      </c>
      <c r="G124" s="1560" t="e">
        <f t="shared" si="3"/>
        <v>#DIV/0!</v>
      </c>
      <c r="H124" s="2294">
        <v>0.3896</v>
      </c>
      <c r="I124" s="2296"/>
      <c r="J124" s="1550"/>
    </row>
    <row r="125" spans="1:10" ht="16.5">
      <c r="A125" s="2298" t="s">
        <v>4297</v>
      </c>
      <c r="B125" s="2299" t="s">
        <v>5605</v>
      </c>
      <c r="C125" s="1586" t="s">
        <v>3861</v>
      </c>
      <c r="D125" s="1558"/>
      <c r="E125" s="1558"/>
      <c r="F125" s="1559">
        <f t="shared" si="2"/>
        <v>0</v>
      </c>
      <c r="G125" s="1560" t="e">
        <f t="shared" si="3"/>
        <v>#DIV/0!</v>
      </c>
      <c r="H125" s="2294">
        <v>0.28710000000000002</v>
      </c>
      <c r="I125" s="2296"/>
      <c r="J125" s="1550"/>
    </row>
    <row r="126" spans="1:10" ht="16.5">
      <c r="A126" s="2298" t="s">
        <v>4298</v>
      </c>
      <c r="B126" s="2299" t="s">
        <v>5606</v>
      </c>
      <c r="C126" s="1586" t="s">
        <v>3861</v>
      </c>
      <c r="D126" s="1558"/>
      <c r="E126" s="1558"/>
      <c r="F126" s="1559">
        <f t="shared" si="2"/>
        <v>0</v>
      </c>
      <c r="G126" s="1560" t="e">
        <f t="shared" si="3"/>
        <v>#DIV/0!</v>
      </c>
      <c r="H126" s="2294">
        <v>0.40670000000000001</v>
      </c>
      <c r="I126" s="2296"/>
      <c r="J126" s="1550"/>
    </row>
    <row r="127" spans="1:10" ht="16.5">
      <c r="A127" s="2298" t="s">
        <v>4299</v>
      </c>
      <c r="B127" s="2299" t="s">
        <v>5607</v>
      </c>
      <c r="C127" s="1586" t="s">
        <v>3861</v>
      </c>
      <c r="D127" s="1558"/>
      <c r="E127" s="1558"/>
      <c r="F127" s="1559">
        <f t="shared" si="2"/>
        <v>0</v>
      </c>
      <c r="G127" s="1560" t="e">
        <f t="shared" si="3"/>
        <v>#DIV/0!</v>
      </c>
      <c r="H127" s="2294">
        <v>0.66169999999999995</v>
      </c>
      <c r="I127" s="2296"/>
      <c r="J127" s="1550"/>
    </row>
    <row r="128" spans="1:10" ht="16.5">
      <c r="A128" s="2298" t="s">
        <v>4300</v>
      </c>
      <c r="B128" s="2299" t="s">
        <v>5608</v>
      </c>
      <c r="C128" s="1586" t="s">
        <v>3861</v>
      </c>
      <c r="D128" s="1558"/>
      <c r="E128" s="1558"/>
      <c r="F128" s="1559">
        <f t="shared" si="2"/>
        <v>0</v>
      </c>
      <c r="G128" s="1560" t="e">
        <f t="shared" si="3"/>
        <v>#DIV/0!</v>
      </c>
      <c r="H128" s="2294">
        <v>0.50970000000000004</v>
      </c>
      <c r="I128" s="2296"/>
      <c r="J128" s="1550"/>
    </row>
    <row r="129" spans="1:10" ht="16.5">
      <c r="A129" s="2298" t="s">
        <v>4301</v>
      </c>
      <c r="B129" s="2299" t="s">
        <v>5609</v>
      </c>
      <c r="C129" s="1586" t="s">
        <v>3861</v>
      </c>
      <c r="D129" s="1558"/>
      <c r="E129" s="1558"/>
      <c r="F129" s="1559">
        <f t="shared" si="2"/>
        <v>0</v>
      </c>
      <c r="G129" s="1560" t="e">
        <f t="shared" si="3"/>
        <v>#DIV/0!</v>
      </c>
      <c r="H129" s="2294">
        <v>0.24679999999999999</v>
      </c>
      <c r="I129" s="2296"/>
      <c r="J129" s="1550"/>
    </row>
    <row r="130" spans="1:10" ht="16.5">
      <c r="A130" s="2298" t="s">
        <v>4302</v>
      </c>
      <c r="B130" s="2299" t="s">
        <v>5610</v>
      </c>
      <c r="C130" s="1586" t="s">
        <v>3861</v>
      </c>
      <c r="D130" s="1558"/>
      <c r="E130" s="1558"/>
      <c r="F130" s="1559">
        <f t="shared" si="2"/>
        <v>0</v>
      </c>
      <c r="G130" s="1560" t="e">
        <f t="shared" si="3"/>
        <v>#DIV/0!</v>
      </c>
      <c r="H130" s="2294">
        <v>2.5700000000000001E-2</v>
      </c>
      <c r="I130" s="2296"/>
      <c r="J130" s="1550"/>
    </row>
    <row r="131" spans="1:10" ht="16.5">
      <c r="A131" s="2298" t="s">
        <v>4303</v>
      </c>
      <c r="B131" s="2299" t="s">
        <v>5611</v>
      </c>
      <c r="C131" s="1586" t="s">
        <v>3861</v>
      </c>
      <c r="D131" s="1558"/>
      <c r="E131" s="1558"/>
      <c r="F131" s="1559">
        <f t="shared" si="2"/>
        <v>0</v>
      </c>
      <c r="G131" s="1560" t="e">
        <f t="shared" si="3"/>
        <v>#DIV/0!</v>
      </c>
      <c r="H131" s="2294">
        <v>0.18770000000000001</v>
      </c>
      <c r="I131" s="2296"/>
      <c r="J131" s="1550"/>
    </row>
    <row r="132" spans="1:10" ht="16.5">
      <c r="A132" s="2298" t="s">
        <v>4304</v>
      </c>
      <c r="B132" s="2299" t="s">
        <v>5612</v>
      </c>
      <c r="C132" s="1586" t="s">
        <v>3861</v>
      </c>
      <c r="D132" s="1558"/>
      <c r="E132" s="1558"/>
      <c r="F132" s="1559">
        <f t="shared" si="2"/>
        <v>0</v>
      </c>
      <c r="G132" s="1560" t="e">
        <f t="shared" si="3"/>
        <v>#DIV/0!</v>
      </c>
      <c r="H132" s="2294">
        <v>0.67789999999999995</v>
      </c>
      <c r="I132" s="2296"/>
      <c r="J132" s="1550"/>
    </row>
    <row r="133" spans="1:10" ht="16.5">
      <c r="A133" s="2298" t="s">
        <v>4305</v>
      </c>
      <c r="B133" s="2299" t="s">
        <v>5613</v>
      </c>
      <c r="C133" s="1586" t="s">
        <v>3861</v>
      </c>
      <c r="D133" s="1558"/>
      <c r="E133" s="1558"/>
      <c r="F133" s="1559">
        <f t="shared" ref="F133:F196" si="4">D133*E133</f>
        <v>0</v>
      </c>
      <c r="G133" s="1560" t="e">
        <f t="shared" ref="G133:G196" si="5">F133/$F$1214</f>
        <v>#DIV/0!</v>
      </c>
      <c r="H133" s="2294">
        <v>0.20880000000000001</v>
      </c>
      <c r="I133" s="2296"/>
      <c r="J133" s="1550"/>
    </row>
    <row r="134" spans="1:10" ht="16.5">
      <c r="A134" s="2298" t="s">
        <v>4306</v>
      </c>
      <c r="B134" s="2299" t="s">
        <v>5614</v>
      </c>
      <c r="C134" s="1586" t="s">
        <v>3861</v>
      </c>
      <c r="D134" s="1558"/>
      <c r="E134" s="1558"/>
      <c r="F134" s="1559">
        <f t="shared" si="4"/>
        <v>0</v>
      </c>
      <c r="G134" s="1560" t="e">
        <f t="shared" si="5"/>
        <v>#DIV/0!</v>
      </c>
      <c r="H134" s="2294">
        <v>0.33229999999999998</v>
      </c>
      <c r="I134" s="2296"/>
      <c r="J134" s="1550"/>
    </row>
    <row r="135" spans="1:10" ht="16.5">
      <c r="A135" s="2298" t="s">
        <v>4307</v>
      </c>
      <c r="B135" s="2299" t="s">
        <v>5615</v>
      </c>
      <c r="C135" s="1586" t="s">
        <v>3861</v>
      </c>
      <c r="D135" s="1558"/>
      <c r="E135" s="1558"/>
      <c r="F135" s="1559">
        <f t="shared" si="4"/>
        <v>0</v>
      </c>
      <c r="G135" s="1560" t="e">
        <f t="shared" si="5"/>
        <v>#DIV/0!</v>
      </c>
      <c r="H135" s="2294">
        <v>0.4945</v>
      </c>
      <c r="I135" s="2296"/>
      <c r="J135" s="1552"/>
    </row>
    <row r="136" spans="1:10" ht="16.5">
      <c r="A136" s="2298" t="s">
        <v>4308</v>
      </c>
      <c r="B136" s="2299" t="s">
        <v>5616</v>
      </c>
      <c r="C136" s="1586" t="s">
        <v>3861</v>
      </c>
      <c r="D136" s="1558"/>
      <c r="E136" s="1558"/>
      <c r="F136" s="1559">
        <f t="shared" si="4"/>
        <v>0</v>
      </c>
      <c r="G136" s="1560" t="e">
        <f t="shared" si="5"/>
        <v>#DIV/0!</v>
      </c>
      <c r="H136" s="2294">
        <v>0.32200000000000001</v>
      </c>
      <c r="I136" s="2296"/>
      <c r="J136" s="1550"/>
    </row>
    <row r="137" spans="1:10" ht="16.5">
      <c r="A137" s="2298" t="s">
        <v>4309</v>
      </c>
      <c r="B137" s="2299" t="s">
        <v>5617</v>
      </c>
      <c r="C137" s="1586" t="s">
        <v>3861</v>
      </c>
      <c r="D137" s="1558"/>
      <c r="E137" s="1558"/>
      <c r="F137" s="1559">
        <f t="shared" si="4"/>
        <v>0</v>
      </c>
      <c r="G137" s="1560" t="e">
        <f t="shared" si="5"/>
        <v>#DIV/0!</v>
      </c>
      <c r="H137" s="2294">
        <v>0.1109</v>
      </c>
      <c r="I137" s="2296"/>
      <c r="J137" s="1550"/>
    </row>
    <row r="138" spans="1:10" ht="16.5">
      <c r="A138" s="2298" t="s">
        <v>4310</v>
      </c>
      <c r="B138" s="2299" t="s">
        <v>5618</v>
      </c>
      <c r="C138" s="1586" t="s">
        <v>3861</v>
      </c>
      <c r="D138" s="1558"/>
      <c r="E138" s="1558"/>
      <c r="F138" s="1559">
        <f t="shared" si="4"/>
        <v>0</v>
      </c>
      <c r="G138" s="1560" t="e">
        <f t="shared" si="5"/>
        <v>#DIV/0!</v>
      </c>
      <c r="H138" s="2294">
        <v>-1.5699999999999999E-2</v>
      </c>
      <c r="I138" s="2296"/>
      <c r="J138" s="1550"/>
    </row>
    <row r="139" spans="1:10" ht="16.5">
      <c r="A139" s="2298" t="s">
        <v>4311</v>
      </c>
      <c r="B139" s="2299" t="s">
        <v>5619</v>
      </c>
      <c r="C139" s="1586" t="s">
        <v>3861</v>
      </c>
      <c r="D139" s="1558"/>
      <c r="E139" s="1558"/>
      <c r="F139" s="1559">
        <f t="shared" si="4"/>
        <v>0</v>
      </c>
      <c r="G139" s="1560" t="e">
        <f t="shared" si="5"/>
        <v>#DIV/0!</v>
      </c>
      <c r="H139" s="2294">
        <v>0.2102</v>
      </c>
      <c r="I139" s="2296"/>
      <c r="J139" s="1550"/>
    </row>
    <row r="140" spans="1:10" ht="16.5">
      <c r="A140" s="2298" t="s">
        <v>4312</v>
      </c>
      <c r="B140" s="2299" t="s">
        <v>5620</v>
      </c>
      <c r="C140" s="1586" t="s">
        <v>3861</v>
      </c>
      <c r="D140" s="1558"/>
      <c r="E140" s="1558"/>
      <c r="F140" s="1559">
        <f t="shared" si="4"/>
        <v>0</v>
      </c>
      <c r="G140" s="1560" t="e">
        <f t="shared" si="5"/>
        <v>#DIV/0!</v>
      </c>
      <c r="H140" s="2294">
        <v>0.34910000000000002</v>
      </c>
      <c r="I140" s="2296"/>
      <c r="J140" s="1550"/>
    </row>
    <row r="141" spans="1:10" ht="16.5">
      <c r="A141" s="2298" t="s">
        <v>4313</v>
      </c>
      <c r="B141" s="2299" t="s">
        <v>5621</v>
      </c>
      <c r="C141" s="1586" t="s">
        <v>3861</v>
      </c>
      <c r="D141" s="1558"/>
      <c r="E141" s="1558"/>
      <c r="F141" s="1559">
        <f t="shared" si="4"/>
        <v>0</v>
      </c>
      <c r="G141" s="1560" t="e">
        <f t="shared" si="5"/>
        <v>#DIV/0!</v>
      </c>
      <c r="H141" s="2294">
        <v>0.24660000000000001</v>
      </c>
      <c r="I141" s="2296"/>
      <c r="J141" s="1550"/>
    </row>
    <row r="142" spans="1:10" ht="16.5">
      <c r="A142" s="2298" t="s">
        <v>4314</v>
      </c>
      <c r="B142" s="2299" t="s">
        <v>5622</v>
      </c>
      <c r="C142" s="1586" t="s">
        <v>3861</v>
      </c>
      <c r="D142" s="1558"/>
      <c r="E142" s="1558"/>
      <c r="F142" s="1559">
        <f t="shared" si="4"/>
        <v>0</v>
      </c>
      <c r="G142" s="1560" t="e">
        <f t="shared" si="5"/>
        <v>#DIV/0!</v>
      </c>
      <c r="H142" s="2294">
        <v>7.8399999999999997E-2</v>
      </c>
      <c r="I142" s="2296"/>
      <c r="J142" s="1550"/>
    </row>
    <row r="143" spans="1:10" ht="16.5">
      <c r="A143" s="2298" t="s">
        <v>4315</v>
      </c>
      <c r="B143" s="2299" t="s">
        <v>5623</v>
      </c>
      <c r="C143" s="1586" t="s">
        <v>3861</v>
      </c>
      <c r="D143" s="1558"/>
      <c r="E143" s="1558"/>
      <c r="F143" s="1559">
        <f t="shared" si="4"/>
        <v>0</v>
      </c>
      <c r="G143" s="1560" t="e">
        <f t="shared" si="5"/>
        <v>#DIV/0!</v>
      </c>
      <c r="H143" s="2294">
        <v>9.9000000000000008E-3</v>
      </c>
      <c r="I143" s="2296"/>
      <c r="J143" s="1550"/>
    </row>
    <row r="144" spans="1:10" ht="16.5">
      <c r="A144" s="2298" t="s">
        <v>4316</v>
      </c>
      <c r="B144" s="2299" t="s">
        <v>5624</v>
      </c>
      <c r="C144" s="1586" t="s">
        <v>3861</v>
      </c>
      <c r="D144" s="1558"/>
      <c r="E144" s="1558"/>
      <c r="F144" s="1559">
        <f t="shared" si="4"/>
        <v>0</v>
      </c>
      <c r="G144" s="1560" t="e">
        <f t="shared" si="5"/>
        <v>#DIV/0!</v>
      </c>
      <c r="H144" s="2294">
        <v>0.32719999999999999</v>
      </c>
      <c r="I144" s="2296"/>
      <c r="J144" s="1550"/>
    </row>
    <row r="145" spans="1:10" ht="16.5">
      <c r="A145" s="2298" t="s">
        <v>4317</v>
      </c>
      <c r="B145" s="2299" t="s">
        <v>5625</v>
      </c>
      <c r="C145" s="1586" t="s">
        <v>3861</v>
      </c>
      <c r="D145" s="1558"/>
      <c r="E145" s="1558"/>
      <c r="F145" s="1559">
        <f t="shared" si="4"/>
        <v>0</v>
      </c>
      <c r="G145" s="1560" t="e">
        <f t="shared" si="5"/>
        <v>#DIV/0!</v>
      </c>
      <c r="H145" s="2294">
        <v>0.3866</v>
      </c>
      <c r="I145" s="2296"/>
      <c r="J145" s="1550"/>
    </row>
    <row r="146" spans="1:10" ht="16.5">
      <c r="A146" s="2298" t="s">
        <v>4318</v>
      </c>
      <c r="B146" s="2299" t="s">
        <v>5626</v>
      </c>
      <c r="C146" s="1586" t="s">
        <v>3861</v>
      </c>
      <c r="D146" s="1558"/>
      <c r="E146" s="1558"/>
      <c r="F146" s="1559">
        <f t="shared" si="4"/>
        <v>0</v>
      </c>
      <c r="G146" s="1560" t="e">
        <f t="shared" si="5"/>
        <v>#DIV/0!</v>
      </c>
      <c r="H146" s="2294">
        <v>0.70889999999999997</v>
      </c>
      <c r="I146" s="2296"/>
      <c r="J146" s="1550"/>
    </row>
    <row r="147" spans="1:10" ht="16.5">
      <c r="A147" s="2298" t="s">
        <v>4319</v>
      </c>
      <c r="B147" s="2299" t="s">
        <v>5627</v>
      </c>
      <c r="C147" s="1586" t="s">
        <v>3861</v>
      </c>
      <c r="D147" s="1558"/>
      <c r="E147" s="1558"/>
      <c r="F147" s="1559">
        <f t="shared" si="4"/>
        <v>0</v>
      </c>
      <c r="G147" s="1560" t="e">
        <f t="shared" si="5"/>
        <v>#DIV/0!</v>
      </c>
      <c r="H147" s="2294">
        <v>0.1532</v>
      </c>
      <c r="I147" s="2296"/>
      <c r="J147" s="1550"/>
    </row>
    <row r="148" spans="1:10" ht="16.5">
      <c r="A148" s="2298" t="s">
        <v>4320</v>
      </c>
      <c r="B148" s="2299" t="s">
        <v>5628</v>
      </c>
      <c r="C148" s="1586" t="s">
        <v>3861</v>
      </c>
      <c r="D148" s="1558"/>
      <c r="E148" s="1558"/>
      <c r="F148" s="1559">
        <f t="shared" si="4"/>
        <v>0</v>
      </c>
      <c r="G148" s="1560" t="e">
        <f t="shared" si="5"/>
        <v>#DIV/0!</v>
      </c>
      <c r="H148" s="2294">
        <v>0.63390000000000002</v>
      </c>
      <c r="I148" s="2296"/>
      <c r="J148" s="1550"/>
    </row>
    <row r="149" spans="1:10" ht="16.5">
      <c r="A149" s="2298" t="s">
        <v>4321</v>
      </c>
      <c r="B149" s="2299" t="s">
        <v>5629</v>
      </c>
      <c r="C149" s="1586" t="s">
        <v>3861</v>
      </c>
      <c r="D149" s="1558"/>
      <c r="E149" s="1558"/>
      <c r="F149" s="1559">
        <f t="shared" si="4"/>
        <v>0</v>
      </c>
      <c r="G149" s="1560" t="e">
        <f t="shared" si="5"/>
        <v>#DIV/0!</v>
      </c>
      <c r="H149" s="2294">
        <v>0.67120000000000002</v>
      </c>
      <c r="I149" s="2296"/>
      <c r="J149" s="1550"/>
    </row>
    <row r="150" spans="1:10" ht="16.5">
      <c r="A150" s="2298" t="s">
        <v>4322</v>
      </c>
      <c r="B150" s="2299" t="s">
        <v>5630</v>
      </c>
      <c r="C150" s="1586" t="s">
        <v>3861</v>
      </c>
      <c r="D150" s="1558"/>
      <c r="E150" s="1558"/>
      <c r="F150" s="1559">
        <f t="shared" si="4"/>
        <v>0</v>
      </c>
      <c r="G150" s="1560" t="e">
        <f t="shared" si="5"/>
        <v>#DIV/0!</v>
      </c>
      <c r="H150" s="2294">
        <v>0.4083</v>
      </c>
      <c r="I150" s="2296"/>
      <c r="J150" s="1550"/>
    </row>
    <row r="151" spans="1:10" ht="16.5">
      <c r="A151" s="2298" t="s">
        <v>4323</v>
      </c>
      <c r="B151" s="2299" t="s">
        <v>5631</v>
      </c>
      <c r="C151" s="1586" t="s">
        <v>3861</v>
      </c>
      <c r="D151" s="1558"/>
      <c r="E151" s="1558"/>
      <c r="F151" s="1559">
        <f t="shared" si="4"/>
        <v>0</v>
      </c>
      <c r="G151" s="1560" t="e">
        <f t="shared" si="5"/>
        <v>#DIV/0!</v>
      </c>
      <c r="H151" s="2294">
        <v>0.35560000000000003</v>
      </c>
      <c r="I151" s="2296"/>
      <c r="J151" s="1550"/>
    </row>
    <row r="152" spans="1:10" ht="16.5">
      <c r="A152" s="2298" t="s">
        <v>4324</v>
      </c>
      <c r="B152" s="2299" t="s">
        <v>5632</v>
      </c>
      <c r="C152" s="1586" t="s">
        <v>3861</v>
      </c>
      <c r="D152" s="1558"/>
      <c r="E152" s="1558"/>
      <c r="F152" s="1559">
        <f t="shared" si="4"/>
        <v>0</v>
      </c>
      <c r="G152" s="1560" t="e">
        <f t="shared" si="5"/>
        <v>#DIV/0!</v>
      </c>
      <c r="H152" s="2294">
        <v>0.72919999999999996</v>
      </c>
      <c r="I152" s="2296"/>
      <c r="J152" s="1550"/>
    </row>
    <row r="153" spans="1:10" ht="16.5">
      <c r="A153" s="2298" t="s">
        <v>4325</v>
      </c>
      <c r="B153" s="2299" t="s">
        <v>5633</v>
      </c>
      <c r="C153" s="1586" t="s">
        <v>3861</v>
      </c>
      <c r="D153" s="1558"/>
      <c r="E153" s="1558"/>
      <c r="F153" s="1559">
        <f t="shared" si="4"/>
        <v>0</v>
      </c>
      <c r="G153" s="1560" t="e">
        <f t="shared" si="5"/>
        <v>#DIV/0!</v>
      </c>
      <c r="H153" s="2294">
        <v>0.3831</v>
      </c>
      <c r="I153" s="2296"/>
      <c r="J153" s="1550"/>
    </row>
    <row r="154" spans="1:10" ht="16.5">
      <c r="A154" s="2298" t="s">
        <v>4326</v>
      </c>
      <c r="B154" s="2299" t="s">
        <v>5634</v>
      </c>
      <c r="C154" s="1586" t="s">
        <v>3861</v>
      </c>
      <c r="D154" s="1558"/>
      <c r="E154" s="1558"/>
      <c r="F154" s="1559">
        <f t="shared" si="4"/>
        <v>0</v>
      </c>
      <c r="G154" s="1560" t="e">
        <f t="shared" si="5"/>
        <v>#DIV/0!</v>
      </c>
      <c r="H154" s="2294">
        <v>0.30909999999999999</v>
      </c>
      <c r="I154" s="2296"/>
      <c r="J154" s="1550"/>
    </row>
    <row r="155" spans="1:10" ht="16.5">
      <c r="A155" s="2298" t="s">
        <v>4327</v>
      </c>
      <c r="B155" s="2299" t="s">
        <v>5635</v>
      </c>
      <c r="C155" s="1586" t="s">
        <v>3861</v>
      </c>
      <c r="D155" s="1558"/>
      <c r="E155" s="1558"/>
      <c r="F155" s="1559">
        <f t="shared" si="4"/>
        <v>0</v>
      </c>
      <c r="G155" s="1560" t="e">
        <f t="shared" si="5"/>
        <v>#DIV/0!</v>
      </c>
      <c r="H155" s="2294">
        <v>0.36890000000000001</v>
      </c>
      <c r="I155" s="2296"/>
      <c r="J155" s="1550"/>
    </row>
    <row r="156" spans="1:10" ht="16.5">
      <c r="A156" s="2298" t="s">
        <v>4328</v>
      </c>
      <c r="B156" s="2299" t="s">
        <v>5636</v>
      </c>
      <c r="C156" s="1586" t="s">
        <v>3861</v>
      </c>
      <c r="D156" s="1558"/>
      <c r="E156" s="1558"/>
      <c r="F156" s="1559">
        <f t="shared" si="4"/>
        <v>0</v>
      </c>
      <c r="G156" s="1560" t="e">
        <f t="shared" si="5"/>
        <v>#DIV/0!</v>
      </c>
      <c r="H156" s="2294">
        <v>0.35699999999999998</v>
      </c>
      <c r="I156" s="2296"/>
      <c r="J156" s="1550"/>
    </row>
    <row r="157" spans="1:10" ht="16.5">
      <c r="A157" s="2298" t="s">
        <v>4329</v>
      </c>
      <c r="B157" s="2299" t="s">
        <v>5637</v>
      </c>
      <c r="C157" s="1586" t="s">
        <v>3861</v>
      </c>
      <c r="D157" s="1558"/>
      <c r="E157" s="1558"/>
      <c r="F157" s="1559">
        <f t="shared" si="4"/>
        <v>0</v>
      </c>
      <c r="G157" s="1560" t="e">
        <f t="shared" si="5"/>
        <v>#DIV/0!</v>
      </c>
      <c r="H157" s="2294">
        <v>0.248</v>
      </c>
      <c r="I157" s="2296"/>
      <c r="J157" s="1550"/>
    </row>
    <row r="158" spans="1:10" ht="16.5">
      <c r="A158" s="2298" t="s">
        <v>4330</v>
      </c>
      <c r="B158" s="2299" t="s">
        <v>5638</v>
      </c>
      <c r="C158" s="1586" t="s">
        <v>3861</v>
      </c>
      <c r="D158" s="1558"/>
      <c r="E158" s="1558"/>
      <c r="F158" s="1559">
        <f t="shared" si="4"/>
        <v>0</v>
      </c>
      <c r="G158" s="1560" t="e">
        <f t="shared" si="5"/>
        <v>#DIV/0!</v>
      </c>
      <c r="H158" s="2294">
        <v>0.91420000000000001</v>
      </c>
      <c r="I158" s="2296"/>
      <c r="J158" s="1550"/>
    </row>
    <row r="159" spans="1:10" ht="16.5">
      <c r="A159" s="2298" t="s">
        <v>4331</v>
      </c>
      <c r="B159" s="2299" t="s">
        <v>5639</v>
      </c>
      <c r="C159" s="1586" t="s">
        <v>3861</v>
      </c>
      <c r="D159" s="1558"/>
      <c r="E159" s="1558"/>
      <c r="F159" s="1559">
        <f t="shared" si="4"/>
        <v>0</v>
      </c>
      <c r="G159" s="1560" t="e">
        <f t="shared" si="5"/>
        <v>#DIV/0!</v>
      </c>
      <c r="H159" s="2294">
        <v>0.33389999999999997</v>
      </c>
      <c r="I159" s="2296"/>
      <c r="J159" s="1550"/>
    </row>
    <row r="160" spans="1:10" ht="16.5">
      <c r="A160" s="2298" t="s">
        <v>4332</v>
      </c>
      <c r="B160" s="2299" t="s">
        <v>5640</v>
      </c>
      <c r="C160" s="1586" t="s">
        <v>3861</v>
      </c>
      <c r="D160" s="1558"/>
      <c r="E160" s="1558"/>
      <c r="F160" s="1559">
        <f t="shared" si="4"/>
        <v>0</v>
      </c>
      <c r="G160" s="1560" t="e">
        <f t="shared" si="5"/>
        <v>#DIV/0!</v>
      </c>
      <c r="H160" s="2294">
        <v>0.18</v>
      </c>
      <c r="I160" s="2296"/>
      <c r="J160" s="1550"/>
    </row>
    <row r="161" spans="1:10" ht="16.5">
      <c r="A161" s="2298" t="s">
        <v>4333</v>
      </c>
      <c r="B161" s="2299" t="s">
        <v>5641</v>
      </c>
      <c r="C161" s="1586" t="s">
        <v>3861</v>
      </c>
      <c r="D161" s="1558"/>
      <c r="E161" s="1558"/>
      <c r="F161" s="1559">
        <f t="shared" si="4"/>
        <v>0</v>
      </c>
      <c r="G161" s="1560" t="e">
        <f t="shared" si="5"/>
        <v>#DIV/0!</v>
      </c>
      <c r="H161" s="2294">
        <v>0.35210000000000002</v>
      </c>
      <c r="I161" s="2296"/>
      <c r="J161" s="1550"/>
    </row>
    <row r="162" spans="1:10" ht="16.5">
      <c r="A162" s="2298" t="s">
        <v>4334</v>
      </c>
      <c r="B162" s="2299" t="s">
        <v>5642</v>
      </c>
      <c r="C162" s="1586" t="s">
        <v>3861</v>
      </c>
      <c r="D162" s="1558"/>
      <c r="E162" s="1558"/>
      <c r="F162" s="1559">
        <f t="shared" si="4"/>
        <v>0</v>
      </c>
      <c r="G162" s="1560" t="e">
        <f t="shared" si="5"/>
        <v>#DIV/0!</v>
      </c>
      <c r="H162" s="2294">
        <v>0.25209999999999999</v>
      </c>
      <c r="I162" s="2296"/>
      <c r="J162" s="1550"/>
    </row>
    <row r="163" spans="1:10" ht="16.5">
      <c r="A163" s="2298" t="s">
        <v>4335</v>
      </c>
      <c r="B163" s="2299" t="s">
        <v>5643</v>
      </c>
      <c r="C163" s="1586" t="s">
        <v>3861</v>
      </c>
      <c r="D163" s="1558"/>
      <c r="E163" s="1558"/>
      <c r="F163" s="1559">
        <f t="shared" si="4"/>
        <v>0</v>
      </c>
      <c r="G163" s="1560" t="e">
        <f t="shared" si="5"/>
        <v>#DIV/0!</v>
      </c>
      <c r="H163" s="2294">
        <v>1.8800000000000001E-2</v>
      </c>
      <c r="I163" s="2300"/>
      <c r="J163" s="1550"/>
    </row>
    <row r="164" spans="1:10" ht="16.5">
      <c r="A164" s="2298" t="s">
        <v>4336</v>
      </c>
      <c r="B164" s="2299" t="s">
        <v>5644</v>
      </c>
      <c r="C164" s="1586" t="s">
        <v>3861</v>
      </c>
      <c r="D164" s="1558"/>
      <c r="E164" s="1558"/>
      <c r="F164" s="1559">
        <f t="shared" si="4"/>
        <v>0</v>
      </c>
      <c r="G164" s="1560" t="e">
        <f t="shared" si="5"/>
        <v>#DIV/0!</v>
      </c>
      <c r="H164" s="2294">
        <v>0.15090000000000001</v>
      </c>
      <c r="I164" s="2296"/>
      <c r="J164" s="1550"/>
    </row>
    <row r="165" spans="1:10" ht="16.5">
      <c r="A165" s="2298" t="s">
        <v>4337</v>
      </c>
      <c r="B165" s="2299" t="s">
        <v>5645</v>
      </c>
      <c r="C165" s="1586" t="s">
        <v>3861</v>
      </c>
      <c r="D165" s="1558"/>
      <c r="E165" s="1558"/>
      <c r="F165" s="1559">
        <f t="shared" si="4"/>
        <v>0</v>
      </c>
      <c r="G165" s="1560" t="e">
        <f t="shared" si="5"/>
        <v>#DIV/0!</v>
      </c>
      <c r="H165" s="2294">
        <v>0.76119999999999999</v>
      </c>
      <c r="I165" s="2296"/>
      <c r="J165" s="1550"/>
    </row>
    <row r="166" spans="1:10" ht="16.5">
      <c r="A166" s="2298" t="s">
        <v>4338</v>
      </c>
      <c r="B166" s="2299" t="s">
        <v>5646</v>
      </c>
      <c r="C166" s="1586" t="s">
        <v>3861</v>
      </c>
      <c r="D166" s="1558"/>
      <c r="E166" s="1558"/>
      <c r="F166" s="1559">
        <f t="shared" si="4"/>
        <v>0</v>
      </c>
      <c r="G166" s="1560" t="e">
        <f t="shared" si="5"/>
        <v>#DIV/0!</v>
      </c>
      <c r="H166" s="2294">
        <v>0.17280000000000001</v>
      </c>
      <c r="I166" s="2296"/>
      <c r="J166" s="1550"/>
    </row>
    <row r="167" spans="1:10" ht="16.5">
      <c r="A167" s="2298" t="s">
        <v>4339</v>
      </c>
      <c r="B167" s="2299" t="s">
        <v>5647</v>
      </c>
      <c r="C167" s="1586" t="s">
        <v>3861</v>
      </c>
      <c r="D167" s="1558"/>
      <c r="E167" s="1558"/>
      <c r="F167" s="1559">
        <f t="shared" si="4"/>
        <v>0</v>
      </c>
      <c r="G167" s="1560" t="e">
        <f t="shared" si="5"/>
        <v>#DIV/0!</v>
      </c>
      <c r="H167" s="2294">
        <v>0.33100000000000002</v>
      </c>
      <c r="I167" s="2296"/>
      <c r="J167" s="1550"/>
    </row>
    <row r="168" spans="1:10" ht="16.5">
      <c r="A168" s="2298" t="s">
        <v>4340</v>
      </c>
      <c r="B168" s="2299" t="s">
        <v>5648</v>
      </c>
      <c r="C168" s="1586" t="s">
        <v>3861</v>
      </c>
      <c r="D168" s="1558"/>
      <c r="E168" s="1558"/>
      <c r="F168" s="1559">
        <f t="shared" si="4"/>
        <v>0</v>
      </c>
      <c r="G168" s="1560" t="e">
        <f t="shared" si="5"/>
        <v>#DIV/0!</v>
      </c>
      <c r="H168" s="2294">
        <v>0.41399999999999998</v>
      </c>
      <c r="I168" s="2296"/>
      <c r="J168" s="1550"/>
    </row>
    <row r="169" spans="1:10" ht="16.5">
      <c r="A169" s="2298" t="s">
        <v>4341</v>
      </c>
      <c r="B169" s="2299" t="s">
        <v>5649</v>
      </c>
      <c r="C169" s="1586" t="s">
        <v>3861</v>
      </c>
      <c r="D169" s="1558"/>
      <c r="E169" s="1558"/>
      <c r="F169" s="1559">
        <f t="shared" si="4"/>
        <v>0</v>
      </c>
      <c r="G169" s="1560" t="e">
        <f t="shared" si="5"/>
        <v>#DIV/0!</v>
      </c>
      <c r="H169" s="2294">
        <v>0.28420000000000001</v>
      </c>
      <c r="I169" s="2296"/>
      <c r="J169" s="1550"/>
    </row>
    <row r="170" spans="1:10" ht="16.5">
      <c r="A170" s="2298" t="s">
        <v>4342</v>
      </c>
      <c r="B170" s="2299" t="s">
        <v>5650</v>
      </c>
      <c r="C170" s="1586" t="s">
        <v>3861</v>
      </c>
      <c r="D170" s="1558"/>
      <c r="E170" s="1558"/>
      <c r="F170" s="1559">
        <f t="shared" si="4"/>
        <v>0</v>
      </c>
      <c r="G170" s="1560" t="e">
        <f t="shared" si="5"/>
        <v>#DIV/0!</v>
      </c>
      <c r="H170" s="2294">
        <v>1.4693000000000001</v>
      </c>
      <c r="I170" s="2296"/>
      <c r="J170" s="1550"/>
    </row>
    <row r="171" spans="1:10" ht="16.5">
      <c r="A171" s="2298" t="s">
        <v>4343</v>
      </c>
      <c r="B171" s="2299" t="s">
        <v>5651</v>
      </c>
      <c r="C171" s="1586" t="s">
        <v>3861</v>
      </c>
      <c r="D171" s="1558"/>
      <c r="E171" s="1558"/>
      <c r="F171" s="1559">
        <f t="shared" si="4"/>
        <v>0</v>
      </c>
      <c r="G171" s="1560" t="e">
        <f t="shared" si="5"/>
        <v>#DIV/0!</v>
      </c>
      <c r="H171" s="2294">
        <v>2.2791000000000001</v>
      </c>
      <c r="I171" s="2296"/>
      <c r="J171" s="1550"/>
    </row>
    <row r="172" spans="1:10" ht="16.5">
      <c r="A172" s="2298" t="s">
        <v>4344</v>
      </c>
      <c r="B172" s="2299" t="s">
        <v>5652</v>
      </c>
      <c r="C172" s="1586" t="s">
        <v>3861</v>
      </c>
      <c r="D172" s="1558"/>
      <c r="E172" s="1558"/>
      <c r="F172" s="1559">
        <f t="shared" si="4"/>
        <v>0</v>
      </c>
      <c r="G172" s="1560" t="e">
        <f t="shared" si="5"/>
        <v>#DIV/0!</v>
      </c>
      <c r="H172" s="2294">
        <v>0.55520000000000003</v>
      </c>
      <c r="I172" s="2296"/>
      <c r="J172" s="1550"/>
    </row>
    <row r="173" spans="1:10" ht="16.5">
      <c r="A173" s="2298" t="s">
        <v>4345</v>
      </c>
      <c r="B173" s="2299" t="s">
        <v>5653</v>
      </c>
      <c r="C173" s="1586" t="s">
        <v>3861</v>
      </c>
      <c r="D173" s="1558"/>
      <c r="E173" s="1558"/>
      <c r="F173" s="1559">
        <f t="shared" si="4"/>
        <v>0</v>
      </c>
      <c r="G173" s="1560" t="e">
        <f t="shared" si="5"/>
        <v>#DIV/0!</v>
      </c>
      <c r="H173" s="2294">
        <v>0.1898</v>
      </c>
      <c r="I173" s="2296"/>
      <c r="J173" s="1552"/>
    </row>
    <row r="174" spans="1:10" ht="16.5">
      <c r="A174" s="2298" t="s">
        <v>4346</v>
      </c>
      <c r="B174" s="2299" t="s">
        <v>5654</v>
      </c>
      <c r="C174" s="1586" t="s">
        <v>3861</v>
      </c>
      <c r="D174" s="1558"/>
      <c r="E174" s="1558"/>
      <c r="F174" s="1559">
        <f t="shared" si="4"/>
        <v>0</v>
      </c>
      <c r="G174" s="1560" t="e">
        <f t="shared" si="5"/>
        <v>#DIV/0!</v>
      </c>
      <c r="H174" s="2294">
        <v>-0.1694</v>
      </c>
      <c r="I174" s="2296"/>
      <c r="J174" s="1550"/>
    </row>
    <row r="175" spans="1:10" ht="16.5">
      <c r="A175" s="2298" t="s">
        <v>4347</v>
      </c>
      <c r="B175" s="2299" t="s">
        <v>5655</v>
      </c>
      <c r="C175" s="1586" t="s">
        <v>3861</v>
      </c>
      <c r="D175" s="1558"/>
      <c r="E175" s="1558"/>
      <c r="F175" s="1559">
        <f t="shared" si="4"/>
        <v>0</v>
      </c>
      <c r="G175" s="1560" t="e">
        <f t="shared" si="5"/>
        <v>#DIV/0!</v>
      </c>
      <c r="H175" s="2294">
        <v>0.38190000000000002</v>
      </c>
      <c r="I175" s="2296"/>
      <c r="J175" s="1550"/>
    </row>
    <row r="176" spans="1:10" ht="16.5">
      <c r="A176" s="2298" t="s">
        <v>4348</v>
      </c>
      <c r="B176" s="2299" t="s">
        <v>5656</v>
      </c>
      <c r="C176" s="1586" t="s">
        <v>3861</v>
      </c>
      <c r="D176" s="1558"/>
      <c r="E176" s="1558"/>
      <c r="F176" s="1559">
        <f t="shared" si="4"/>
        <v>0</v>
      </c>
      <c r="G176" s="1560" t="e">
        <f t="shared" si="5"/>
        <v>#DIV/0!</v>
      </c>
      <c r="H176" s="2294">
        <v>0.7913</v>
      </c>
      <c r="I176" s="2296"/>
      <c r="J176" s="1550"/>
    </row>
    <row r="177" spans="1:10" ht="16.5">
      <c r="A177" s="2298" t="s">
        <v>4349</v>
      </c>
      <c r="B177" s="2299" t="s">
        <v>5657</v>
      </c>
      <c r="C177" s="1586" t="s">
        <v>3861</v>
      </c>
      <c r="D177" s="1558"/>
      <c r="E177" s="1558"/>
      <c r="F177" s="1559">
        <f t="shared" si="4"/>
        <v>0</v>
      </c>
      <c r="G177" s="1560" t="e">
        <f t="shared" si="5"/>
        <v>#DIV/0!</v>
      </c>
      <c r="H177" s="2294">
        <v>0.37490000000000001</v>
      </c>
      <c r="I177" s="2296"/>
      <c r="J177" s="1550"/>
    </row>
    <row r="178" spans="1:10" ht="16.5">
      <c r="A178" s="2298" t="s">
        <v>4350</v>
      </c>
      <c r="B178" s="2299" t="s">
        <v>5658</v>
      </c>
      <c r="C178" s="1586" t="s">
        <v>3861</v>
      </c>
      <c r="D178" s="1558"/>
      <c r="E178" s="1558"/>
      <c r="F178" s="1559">
        <f t="shared" si="4"/>
        <v>0</v>
      </c>
      <c r="G178" s="1560" t="e">
        <f t="shared" si="5"/>
        <v>#DIV/0!</v>
      </c>
      <c r="H178" s="2294">
        <v>0.51680000000000004</v>
      </c>
      <c r="I178" s="2296"/>
      <c r="J178" s="1550"/>
    </row>
    <row r="179" spans="1:10" ht="16.5">
      <c r="A179" s="2298" t="s">
        <v>4351</v>
      </c>
      <c r="B179" s="2299" t="s">
        <v>5659</v>
      </c>
      <c r="C179" s="1586" t="s">
        <v>3861</v>
      </c>
      <c r="D179" s="1558"/>
      <c r="E179" s="1558"/>
      <c r="F179" s="1559">
        <f t="shared" si="4"/>
        <v>0</v>
      </c>
      <c r="G179" s="1560" t="e">
        <f t="shared" si="5"/>
        <v>#DIV/0!</v>
      </c>
      <c r="H179" s="2294">
        <v>0.28689999999999999</v>
      </c>
      <c r="I179" s="2296"/>
      <c r="J179" s="1550"/>
    </row>
    <row r="180" spans="1:10" ht="16.5">
      <c r="A180" s="2298" t="s">
        <v>4352</v>
      </c>
      <c r="B180" s="2299" t="s">
        <v>5660</v>
      </c>
      <c r="C180" s="1586" t="s">
        <v>3861</v>
      </c>
      <c r="D180" s="1558"/>
      <c r="E180" s="1558"/>
      <c r="F180" s="1559">
        <f t="shared" si="4"/>
        <v>0</v>
      </c>
      <c r="G180" s="1560" t="e">
        <f t="shared" si="5"/>
        <v>#DIV/0!</v>
      </c>
      <c r="H180" s="2294">
        <v>0.2359</v>
      </c>
      <c r="I180" s="2296"/>
      <c r="J180" s="1550"/>
    </row>
    <row r="181" spans="1:10" ht="16.5">
      <c r="A181" s="2298" t="s">
        <v>4353</v>
      </c>
      <c r="B181" s="2299" t="s">
        <v>5661</v>
      </c>
      <c r="C181" s="1586" t="s">
        <v>3861</v>
      </c>
      <c r="D181" s="1558"/>
      <c r="E181" s="1558"/>
      <c r="F181" s="1559">
        <f t="shared" si="4"/>
        <v>0</v>
      </c>
      <c r="G181" s="1560" t="e">
        <f t="shared" si="5"/>
        <v>#DIV/0!</v>
      </c>
      <c r="H181" s="2294">
        <v>0.2087</v>
      </c>
      <c r="I181" s="2296"/>
      <c r="J181" s="1550"/>
    </row>
    <row r="182" spans="1:10" ht="16.5">
      <c r="A182" s="2298" t="s">
        <v>4354</v>
      </c>
      <c r="B182" s="2299" t="s">
        <v>5662</v>
      </c>
      <c r="C182" s="1586" t="s">
        <v>3861</v>
      </c>
      <c r="D182" s="1558"/>
      <c r="E182" s="1558"/>
      <c r="F182" s="1559">
        <f t="shared" si="4"/>
        <v>0</v>
      </c>
      <c r="G182" s="1560" t="e">
        <f t="shared" si="5"/>
        <v>#DIV/0!</v>
      </c>
      <c r="H182" s="2294">
        <v>0.31519999999999998</v>
      </c>
      <c r="I182" s="2296"/>
      <c r="J182" s="1550"/>
    </row>
    <row r="183" spans="1:10" ht="16.5">
      <c r="A183" s="2298" t="s">
        <v>4355</v>
      </c>
      <c r="B183" s="2299" t="s">
        <v>5663</v>
      </c>
      <c r="C183" s="1586" t="s">
        <v>3861</v>
      </c>
      <c r="D183" s="1558"/>
      <c r="E183" s="1558"/>
      <c r="F183" s="1559">
        <f t="shared" si="4"/>
        <v>0</v>
      </c>
      <c r="G183" s="1560" t="e">
        <f t="shared" si="5"/>
        <v>#DIV/0!</v>
      </c>
      <c r="H183" s="2294">
        <v>0.16969999999999999</v>
      </c>
      <c r="I183" s="2296"/>
      <c r="J183" s="1550"/>
    </row>
    <row r="184" spans="1:10" ht="16.5">
      <c r="A184" s="2298" t="s">
        <v>4356</v>
      </c>
      <c r="B184" s="2299" t="s">
        <v>5664</v>
      </c>
      <c r="C184" s="1586" t="s">
        <v>3861</v>
      </c>
      <c r="D184" s="1558"/>
      <c r="E184" s="1558"/>
      <c r="F184" s="1559">
        <f t="shared" si="4"/>
        <v>0</v>
      </c>
      <c r="G184" s="1560" t="e">
        <f t="shared" si="5"/>
        <v>#DIV/0!</v>
      </c>
      <c r="H184" s="2294">
        <v>0.27529999999999999</v>
      </c>
      <c r="I184" s="2296"/>
      <c r="J184" s="1550"/>
    </row>
    <row r="185" spans="1:10" ht="16.5">
      <c r="A185" s="2298" t="s">
        <v>4357</v>
      </c>
      <c r="B185" s="2299" t="s">
        <v>5665</v>
      </c>
      <c r="C185" s="1586" t="s">
        <v>3861</v>
      </c>
      <c r="D185" s="1558"/>
      <c r="E185" s="1558"/>
      <c r="F185" s="1559">
        <f t="shared" si="4"/>
        <v>0</v>
      </c>
      <c r="G185" s="1560" t="e">
        <f t="shared" si="5"/>
        <v>#DIV/0!</v>
      </c>
      <c r="H185" s="2294">
        <v>0.2472</v>
      </c>
      <c r="I185" s="2296"/>
      <c r="J185" s="1550"/>
    </row>
    <row r="186" spans="1:10" ht="16.5">
      <c r="A186" s="2298" t="s">
        <v>4358</v>
      </c>
      <c r="B186" s="2299" t="s">
        <v>5666</v>
      </c>
      <c r="C186" s="1586" t="s">
        <v>3861</v>
      </c>
      <c r="D186" s="1558"/>
      <c r="E186" s="1558"/>
      <c r="F186" s="1559">
        <f t="shared" si="4"/>
        <v>0</v>
      </c>
      <c r="G186" s="1560" t="e">
        <f t="shared" si="5"/>
        <v>#DIV/0!</v>
      </c>
      <c r="H186" s="2294">
        <v>0.37090000000000001</v>
      </c>
      <c r="I186" s="2296"/>
      <c r="J186" s="1550"/>
    </row>
    <row r="187" spans="1:10" ht="16.5">
      <c r="A187" s="2298" t="s">
        <v>4359</v>
      </c>
      <c r="B187" s="2299" t="s">
        <v>5667</v>
      </c>
      <c r="C187" s="1586" t="s">
        <v>3861</v>
      </c>
      <c r="D187" s="1558"/>
      <c r="E187" s="1558"/>
      <c r="F187" s="1559">
        <f t="shared" si="4"/>
        <v>0</v>
      </c>
      <c r="G187" s="1560" t="e">
        <f t="shared" si="5"/>
        <v>#DIV/0!</v>
      </c>
      <c r="H187" s="2294">
        <v>0.1492</v>
      </c>
      <c r="I187" s="2296"/>
      <c r="J187" s="1550"/>
    </row>
    <row r="188" spans="1:10" ht="16.5">
      <c r="A188" s="2298" t="s">
        <v>4360</v>
      </c>
      <c r="B188" s="2299" t="s">
        <v>5668</v>
      </c>
      <c r="C188" s="1586" t="s">
        <v>3861</v>
      </c>
      <c r="D188" s="1558"/>
      <c r="E188" s="1558"/>
      <c r="F188" s="1559">
        <f t="shared" si="4"/>
        <v>0</v>
      </c>
      <c r="G188" s="1560" t="e">
        <f t="shared" si="5"/>
        <v>#DIV/0!</v>
      </c>
      <c r="H188" s="2294">
        <v>0.32140000000000002</v>
      </c>
      <c r="I188" s="2296"/>
      <c r="J188" s="1550"/>
    </row>
    <row r="189" spans="1:10" ht="16.5">
      <c r="A189" s="2298" t="s">
        <v>4361</v>
      </c>
      <c r="B189" s="2299" t="s">
        <v>5669</v>
      </c>
      <c r="C189" s="1586" t="s">
        <v>3861</v>
      </c>
      <c r="D189" s="1558"/>
      <c r="E189" s="1558"/>
      <c r="F189" s="1559">
        <f t="shared" si="4"/>
        <v>0</v>
      </c>
      <c r="G189" s="1560" t="e">
        <f t="shared" si="5"/>
        <v>#DIV/0!</v>
      </c>
      <c r="H189" s="2294">
        <v>0.41739999999999999</v>
      </c>
      <c r="I189" s="2296"/>
      <c r="J189" s="1550"/>
    </row>
    <row r="190" spans="1:10" ht="16.5">
      <c r="A190" s="2298" t="s">
        <v>4362</v>
      </c>
      <c r="B190" s="2299" t="s">
        <v>5670</v>
      </c>
      <c r="C190" s="1586" t="s">
        <v>3861</v>
      </c>
      <c r="D190" s="1558"/>
      <c r="E190" s="1558"/>
      <c r="F190" s="1559">
        <f t="shared" si="4"/>
        <v>0</v>
      </c>
      <c r="G190" s="1560" t="e">
        <f t="shared" si="5"/>
        <v>#DIV/0!</v>
      </c>
      <c r="H190" s="2294">
        <v>0.2064</v>
      </c>
      <c r="I190" s="2296"/>
      <c r="J190" s="1550"/>
    </row>
    <row r="191" spans="1:10" ht="16.5">
      <c r="A191" s="2298" t="s">
        <v>4363</v>
      </c>
      <c r="B191" s="2299" t="s">
        <v>5671</v>
      </c>
      <c r="C191" s="1586" t="s">
        <v>3861</v>
      </c>
      <c r="D191" s="1558"/>
      <c r="E191" s="1558"/>
      <c r="F191" s="1559">
        <f t="shared" si="4"/>
        <v>0</v>
      </c>
      <c r="G191" s="1560" t="e">
        <f t="shared" si="5"/>
        <v>#DIV/0!</v>
      </c>
      <c r="H191" s="2294">
        <v>0.28289999999999998</v>
      </c>
      <c r="I191" s="2296"/>
      <c r="J191" s="1550"/>
    </row>
    <row r="192" spans="1:10" ht="16.5">
      <c r="A192" s="2298" t="s">
        <v>4364</v>
      </c>
      <c r="B192" s="2299" t="s">
        <v>5672</v>
      </c>
      <c r="C192" s="1586" t="s">
        <v>3861</v>
      </c>
      <c r="D192" s="1558"/>
      <c r="E192" s="1558"/>
      <c r="F192" s="1559">
        <f t="shared" si="4"/>
        <v>0</v>
      </c>
      <c r="G192" s="1560" t="e">
        <f t="shared" si="5"/>
        <v>#DIV/0!</v>
      </c>
      <c r="H192" s="2294">
        <v>0.65310000000000001</v>
      </c>
      <c r="I192" s="2296"/>
      <c r="J192" s="1550"/>
    </row>
    <row r="193" spans="1:10" ht="16.5">
      <c r="A193" s="2298" t="s">
        <v>4365</v>
      </c>
      <c r="B193" s="2299" t="s">
        <v>5673</v>
      </c>
      <c r="C193" s="1586" t="s">
        <v>3861</v>
      </c>
      <c r="D193" s="1558"/>
      <c r="E193" s="1558"/>
      <c r="F193" s="1559">
        <f t="shared" si="4"/>
        <v>0</v>
      </c>
      <c r="G193" s="1560" t="e">
        <f t="shared" si="5"/>
        <v>#DIV/0!</v>
      </c>
      <c r="H193" s="2294">
        <v>0.52910000000000001</v>
      </c>
      <c r="I193" s="2296"/>
      <c r="J193" s="1550"/>
    </row>
    <row r="194" spans="1:10" ht="16.5">
      <c r="A194" s="2298" t="s">
        <v>4366</v>
      </c>
      <c r="B194" s="2299" t="s">
        <v>5674</v>
      </c>
      <c r="C194" s="1586" t="s">
        <v>3861</v>
      </c>
      <c r="D194" s="1558"/>
      <c r="E194" s="1558"/>
      <c r="F194" s="1559">
        <f t="shared" si="4"/>
        <v>0</v>
      </c>
      <c r="G194" s="1560" t="e">
        <f t="shared" si="5"/>
        <v>#DIV/0!</v>
      </c>
      <c r="H194" s="2294">
        <v>0.1188</v>
      </c>
      <c r="I194" s="2296"/>
      <c r="J194" s="1550"/>
    </row>
    <row r="195" spans="1:10" ht="16.5">
      <c r="A195" s="2298" t="s">
        <v>4367</v>
      </c>
      <c r="B195" s="2299" t="s">
        <v>5675</v>
      </c>
      <c r="C195" s="1586" t="s">
        <v>3861</v>
      </c>
      <c r="D195" s="1558"/>
      <c r="E195" s="1558"/>
      <c r="F195" s="1559">
        <f t="shared" si="4"/>
        <v>0</v>
      </c>
      <c r="G195" s="1560" t="e">
        <f t="shared" si="5"/>
        <v>#DIV/0!</v>
      </c>
      <c r="H195" s="2294">
        <v>0.1701</v>
      </c>
      <c r="I195" s="2296"/>
      <c r="J195" s="1550"/>
    </row>
    <row r="196" spans="1:10" ht="16.5">
      <c r="A196" s="2298" t="s">
        <v>4368</v>
      </c>
      <c r="B196" s="2299" t="s">
        <v>5676</v>
      </c>
      <c r="C196" s="1586" t="s">
        <v>3861</v>
      </c>
      <c r="D196" s="1558"/>
      <c r="E196" s="1558"/>
      <c r="F196" s="1559">
        <f t="shared" si="4"/>
        <v>0</v>
      </c>
      <c r="G196" s="1560" t="e">
        <f t="shared" si="5"/>
        <v>#DIV/0!</v>
      </c>
      <c r="H196" s="2294">
        <v>0.51659999999999995</v>
      </c>
      <c r="I196" s="2296"/>
      <c r="J196" s="1550"/>
    </row>
    <row r="197" spans="1:10" ht="16.5">
      <c r="A197" s="2298" t="s">
        <v>4369</v>
      </c>
      <c r="B197" s="2299" t="s">
        <v>5677</v>
      </c>
      <c r="C197" s="1586" t="s">
        <v>3861</v>
      </c>
      <c r="D197" s="1558"/>
      <c r="E197" s="1558"/>
      <c r="F197" s="1559">
        <f t="shared" ref="F197:F260" si="6">D197*E197</f>
        <v>0</v>
      </c>
      <c r="G197" s="1560" t="e">
        <f t="shared" ref="G197:G260" si="7">F197/$F$1214</f>
        <v>#DIV/0!</v>
      </c>
      <c r="H197" s="2294">
        <v>0.29680000000000001</v>
      </c>
      <c r="I197" s="2296"/>
      <c r="J197" s="1550"/>
    </row>
    <row r="198" spans="1:10" ht="16.5">
      <c r="A198" s="2298" t="s">
        <v>4370</v>
      </c>
      <c r="B198" s="2299" t="s">
        <v>5678</v>
      </c>
      <c r="C198" s="1586" t="s">
        <v>3861</v>
      </c>
      <c r="D198" s="1558"/>
      <c r="E198" s="1558"/>
      <c r="F198" s="1559">
        <f t="shared" si="6"/>
        <v>0</v>
      </c>
      <c r="G198" s="1560" t="e">
        <f t="shared" si="7"/>
        <v>#DIV/0!</v>
      </c>
      <c r="H198" s="2294">
        <v>0.49259999999999998</v>
      </c>
      <c r="I198" s="2296"/>
      <c r="J198" s="1550"/>
    </row>
    <row r="199" spans="1:10" ht="16.5">
      <c r="A199" s="2298" t="s">
        <v>4371</v>
      </c>
      <c r="B199" s="2299" t="s">
        <v>5679</v>
      </c>
      <c r="C199" s="1586" t="s">
        <v>3861</v>
      </c>
      <c r="D199" s="1558"/>
      <c r="E199" s="1558"/>
      <c r="F199" s="1559">
        <f t="shared" si="6"/>
        <v>0</v>
      </c>
      <c r="G199" s="1560" t="e">
        <f t="shared" si="7"/>
        <v>#DIV/0!</v>
      </c>
      <c r="H199" s="2294">
        <v>0.28370000000000001</v>
      </c>
      <c r="I199" s="2296"/>
      <c r="J199" s="1550"/>
    </row>
    <row r="200" spans="1:10" ht="16.5">
      <c r="A200" s="2298" t="s">
        <v>4372</v>
      </c>
      <c r="B200" s="2299" t="s">
        <v>5680</v>
      </c>
      <c r="C200" s="1586" t="s">
        <v>3861</v>
      </c>
      <c r="D200" s="1558"/>
      <c r="E200" s="1558"/>
      <c r="F200" s="1559">
        <f t="shared" si="6"/>
        <v>0</v>
      </c>
      <c r="G200" s="1560" t="e">
        <f t="shared" si="7"/>
        <v>#DIV/0!</v>
      </c>
      <c r="H200" s="2294">
        <v>0.19650000000000001</v>
      </c>
      <c r="I200" s="2296"/>
      <c r="J200" s="1550"/>
    </row>
    <row r="201" spans="1:10" ht="16.5">
      <c r="A201" s="2298" t="s">
        <v>4373</v>
      </c>
      <c r="B201" s="2299" t="s">
        <v>5681</v>
      </c>
      <c r="C201" s="1586" t="s">
        <v>3861</v>
      </c>
      <c r="D201" s="1558"/>
      <c r="E201" s="1558"/>
      <c r="F201" s="1559">
        <f t="shared" si="6"/>
        <v>0</v>
      </c>
      <c r="G201" s="1560" t="e">
        <f t="shared" si="7"/>
        <v>#DIV/0!</v>
      </c>
      <c r="H201" s="2294">
        <v>0.20369999999999999</v>
      </c>
      <c r="I201" s="2296"/>
      <c r="J201" s="1550"/>
    </row>
    <row r="202" spans="1:10" ht="16.5">
      <c r="A202" s="2298" t="s">
        <v>4374</v>
      </c>
      <c r="B202" s="2299" t="s">
        <v>5682</v>
      </c>
      <c r="C202" s="1586" t="s">
        <v>3861</v>
      </c>
      <c r="D202" s="1558"/>
      <c r="E202" s="1558"/>
      <c r="F202" s="1559">
        <f t="shared" si="6"/>
        <v>0</v>
      </c>
      <c r="G202" s="1560" t="e">
        <f t="shared" si="7"/>
        <v>#DIV/0!</v>
      </c>
      <c r="H202" s="2294">
        <v>0.4612</v>
      </c>
      <c r="I202" s="2296"/>
      <c r="J202" s="1550"/>
    </row>
    <row r="203" spans="1:10" ht="16.5">
      <c r="A203" s="2298" t="s">
        <v>4375</v>
      </c>
      <c r="B203" s="2299" t="s">
        <v>5683</v>
      </c>
      <c r="C203" s="1586" t="s">
        <v>3861</v>
      </c>
      <c r="D203" s="1558"/>
      <c r="E203" s="1558"/>
      <c r="F203" s="1559">
        <f t="shared" si="6"/>
        <v>0</v>
      </c>
      <c r="G203" s="1560" t="e">
        <f t="shared" si="7"/>
        <v>#DIV/0!</v>
      </c>
      <c r="H203" s="2294">
        <v>0.17760000000000001</v>
      </c>
      <c r="I203" s="2296"/>
      <c r="J203" s="1550"/>
    </row>
    <row r="204" spans="1:10" ht="16.5">
      <c r="A204" s="2298" t="s">
        <v>4376</v>
      </c>
      <c r="B204" s="2299" t="s">
        <v>5684</v>
      </c>
      <c r="C204" s="1586" t="s">
        <v>3861</v>
      </c>
      <c r="D204" s="1558"/>
      <c r="E204" s="1558"/>
      <c r="F204" s="1559">
        <f t="shared" si="6"/>
        <v>0</v>
      </c>
      <c r="G204" s="1560" t="e">
        <f t="shared" si="7"/>
        <v>#DIV/0!</v>
      </c>
      <c r="H204" s="2294">
        <v>0.25800000000000001</v>
      </c>
      <c r="I204" s="2296"/>
      <c r="J204" s="1550"/>
    </row>
    <row r="205" spans="1:10" ht="16.5">
      <c r="A205" s="2298" t="s">
        <v>4377</v>
      </c>
      <c r="B205" s="2299" t="s">
        <v>5685</v>
      </c>
      <c r="C205" s="1586" t="s">
        <v>3861</v>
      </c>
      <c r="D205" s="1558"/>
      <c r="E205" s="1558"/>
      <c r="F205" s="1559">
        <f t="shared" si="6"/>
        <v>0</v>
      </c>
      <c r="G205" s="1560" t="e">
        <f t="shared" si="7"/>
        <v>#DIV/0!</v>
      </c>
      <c r="H205" s="2294">
        <v>9.4500000000000001E-2</v>
      </c>
      <c r="I205" s="2296"/>
      <c r="J205" s="1550"/>
    </row>
    <row r="206" spans="1:10" ht="16.5">
      <c r="A206" s="2298" t="s">
        <v>4378</v>
      </c>
      <c r="B206" s="2299" t="s">
        <v>5686</v>
      </c>
      <c r="C206" s="1586" t="s">
        <v>3861</v>
      </c>
      <c r="D206" s="1558"/>
      <c r="E206" s="1558"/>
      <c r="F206" s="1559">
        <f t="shared" si="6"/>
        <v>0</v>
      </c>
      <c r="G206" s="1560" t="e">
        <f t="shared" si="7"/>
        <v>#DIV/0!</v>
      </c>
      <c r="H206" s="2294">
        <v>0.31780000000000003</v>
      </c>
      <c r="I206" s="2296"/>
      <c r="J206" s="1550"/>
    </row>
    <row r="207" spans="1:10" ht="16.5">
      <c r="A207" s="2298" t="s">
        <v>4379</v>
      </c>
      <c r="B207" s="2299" t="s">
        <v>5687</v>
      </c>
      <c r="C207" s="1586" t="s">
        <v>3861</v>
      </c>
      <c r="D207" s="1558"/>
      <c r="E207" s="1558"/>
      <c r="F207" s="1559">
        <f t="shared" si="6"/>
        <v>0</v>
      </c>
      <c r="G207" s="1560" t="e">
        <f t="shared" si="7"/>
        <v>#DIV/0!</v>
      </c>
      <c r="H207" s="2294">
        <v>0.23180000000000001</v>
      </c>
      <c r="I207" s="2296"/>
      <c r="J207" s="1550"/>
    </row>
    <row r="208" spans="1:10" ht="16.5">
      <c r="A208" s="2298" t="s">
        <v>4380</v>
      </c>
      <c r="B208" s="2299" t="s">
        <v>5688</v>
      </c>
      <c r="C208" s="1586" t="s">
        <v>3861</v>
      </c>
      <c r="D208" s="1558"/>
      <c r="E208" s="1558"/>
      <c r="F208" s="1559">
        <f t="shared" si="6"/>
        <v>0</v>
      </c>
      <c r="G208" s="1560" t="e">
        <f t="shared" si="7"/>
        <v>#DIV/0!</v>
      </c>
      <c r="H208" s="2294">
        <v>9.9900000000000003E-2</v>
      </c>
      <c r="I208" s="2296"/>
      <c r="J208" s="1550"/>
    </row>
    <row r="209" spans="1:10" ht="16.5">
      <c r="A209" s="2298" t="s">
        <v>4381</v>
      </c>
      <c r="B209" s="2299" t="s">
        <v>5689</v>
      </c>
      <c r="C209" s="1586" t="s">
        <v>3861</v>
      </c>
      <c r="D209" s="1558"/>
      <c r="E209" s="1558"/>
      <c r="F209" s="1559">
        <f t="shared" si="6"/>
        <v>0</v>
      </c>
      <c r="G209" s="1560" t="e">
        <f t="shared" si="7"/>
        <v>#DIV/0!</v>
      </c>
      <c r="H209" s="2294">
        <v>4.3999999999999997E-2</v>
      </c>
      <c r="I209" s="2296"/>
      <c r="J209" s="1550"/>
    </row>
    <row r="210" spans="1:10" ht="16.5">
      <c r="A210" s="2298" t="s">
        <v>4382</v>
      </c>
      <c r="B210" s="2299" t="s">
        <v>5690</v>
      </c>
      <c r="C210" s="1586" t="s">
        <v>3861</v>
      </c>
      <c r="D210" s="1558"/>
      <c r="E210" s="1558"/>
      <c r="F210" s="1559">
        <f t="shared" si="6"/>
        <v>0</v>
      </c>
      <c r="G210" s="1560" t="e">
        <f t="shared" si="7"/>
        <v>#DIV/0!</v>
      </c>
      <c r="H210" s="2294">
        <v>0.42459999999999998</v>
      </c>
      <c r="I210" s="2296"/>
      <c r="J210" s="1550"/>
    </row>
    <row r="211" spans="1:10" ht="16.5">
      <c r="A211" s="2298" t="s">
        <v>4383</v>
      </c>
      <c r="B211" s="2299" t="s">
        <v>5691</v>
      </c>
      <c r="C211" s="1586" t="s">
        <v>3861</v>
      </c>
      <c r="D211" s="1558"/>
      <c r="E211" s="1558"/>
      <c r="F211" s="1559">
        <f t="shared" si="6"/>
        <v>0</v>
      </c>
      <c r="G211" s="1560" t="e">
        <f t="shared" si="7"/>
        <v>#DIV/0!</v>
      </c>
      <c r="H211" s="2294">
        <v>0.18310000000000001</v>
      </c>
      <c r="I211" s="2296"/>
      <c r="J211" s="1550"/>
    </row>
    <row r="212" spans="1:10" ht="16.5">
      <c r="A212" s="2298" t="s">
        <v>4384</v>
      </c>
      <c r="B212" s="2299" t="s">
        <v>5692</v>
      </c>
      <c r="C212" s="1586" t="s">
        <v>3861</v>
      </c>
      <c r="D212" s="1558"/>
      <c r="E212" s="1558"/>
      <c r="F212" s="1559">
        <f t="shared" si="6"/>
        <v>0</v>
      </c>
      <c r="G212" s="1560" t="e">
        <f t="shared" si="7"/>
        <v>#DIV/0!</v>
      </c>
      <c r="H212" s="2294">
        <v>0.1474</v>
      </c>
      <c r="I212" s="2296"/>
      <c r="J212" s="1550"/>
    </row>
    <row r="213" spans="1:10" ht="16.5">
      <c r="A213" s="2298" t="s">
        <v>4385</v>
      </c>
      <c r="B213" s="2299" t="s">
        <v>5693</v>
      </c>
      <c r="C213" s="1586" t="s">
        <v>3861</v>
      </c>
      <c r="D213" s="1558"/>
      <c r="E213" s="1558"/>
      <c r="F213" s="1559">
        <f t="shared" si="6"/>
        <v>0</v>
      </c>
      <c r="G213" s="1560" t="e">
        <f t="shared" si="7"/>
        <v>#DIV/0!</v>
      </c>
      <c r="H213" s="2294">
        <v>0.28000000000000003</v>
      </c>
      <c r="I213" s="2296"/>
      <c r="J213" s="1550"/>
    </row>
    <row r="214" spans="1:10" ht="16.5">
      <c r="A214" s="2298" t="s">
        <v>4386</v>
      </c>
      <c r="B214" s="2299" t="s">
        <v>5694</v>
      </c>
      <c r="C214" s="1586" t="s">
        <v>3861</v>
      </c>
      <c r="D214" s="1558"/>
      <c r="E214" s="1558"/>
      <c r="F214" s="1559">
        <f t="shared" si="6"/>
        <v>0</v>
      </c>
      <c r="G214" s="1560" t="e">
        <f t="shared" si="7"/>
        <v>#DIV/0!</v>
      </c>
      <c r="H214" s="2294">
        <v>0.19500000000000001</v>
      </c>
      <c r="I214" s="2296"/>
      <c r="J214" s="1550"/>
    </row>
    <row r="215" spans="1:10" ht="16.5">
      <c r="A215" s="2298" t="s">
        <v>4387</v>
      </c>
      <c r="B215" s="2299" t="s">
        <v>5695</v>
      </c>
      <c r="C215" s="1586" t="s">
        <v>3861</v>
      </c>
      <c r="D215" s="1558"/>
      <c r="E215" s="1558"/>
      <c r="F215" s="1559">
        <f t="shared" si="6"/>
        <v>0</v>
      </c>
      <c r="G215" s="1560" t="e">
        <f t="shared" si="7"/>
        <v>#DIV/0!</v>
      </c>
      <c r="H215" s="2294">
        <v>0.55259999999999998</v>
      </c>
      <c r="I215" s="2296"/>
      <c r="J215" s="1550"/>
    </row>
    <row r="216" spans="1:10" ht="16.5">
      <c r="A216" s="2298" t="s">
        <v>4388</v>
      </c>
      <c r="B216" s="2299" t="s">
        <v>5696</v>
      </c>
      <c r="C216" s="1586" t="s">
        <v>3861</v>
      </c>
      <c r="D216" s="1558"/>
      <c r="E216" s="1558"/>
      <c r="F216" s="1559">
        <f t="shared" si="6"/>
        <v>0</v>
      </c>
      <c r="G216" s="1560" t="e">
        <f t="shared" si="7"/>
        <v>#DIV/0!</v>
      </c>
      <c r="H216" s="2294">
        <v>0.40639999999999998</v>
      </c>
      <c r="I216" s="2296"/>
      <c r="J216" s="1550"/>
    </row>
    <row r="217" spans="1:10" ht="16.5">
      <c r="A217" s="2298" t="s">
        <v>4389</v>
      </c>
      <c r="B217" s="2299" t="s">
        <v>5697</v>
      </c>
      <c r="C217" s="1586" t="s">
        <v>3861</v>
      </c>
      <c r="D217" s="1558"/>
      <c r="E217" s="1558"/>
      <c r="F217" s="1559">
        <f t="shared" si="6"/>
        <v>0</v>
      </c>
      <c r="G217" s="1560" t="e">
        <f t="shared" si="7"/>
        <v>#DIV/0!</v>
      </c>
      <c r="H217" s="2294">
        <v>0.51819999999999999</v>
      </c>
      <c r="I217" s="2296"/>
      <c r="J217" s="1550"/>
    </row>
    <row r="218" spans="1:10" ht="16.5">
      <c r="A218" s="2298" t="s">
        <v>4390</v>
      </c>
      <c r="B218" s="2299" t="s">
        <v>5698</v>
      </c>
      <c r="C218" s="1586" t="s">
        <v>3861</v>
      </c>
      <c r="D218" s="1558"/>
      <c r="E218" s="1558"/>
      <c r="F218" s="1559">
        <f t="shared" si="6"/>
        <v>0</v>
      </c>
      <c r="G218" s="1560" t="e">
        <f t="shared" si="7"/>
        <v>#DIV/0!</v>
      </c>
      <c r="H218" s="2294">
        <v>0.3231</v>
      </c>
      <c r="I218" s="2296"/>
      <c r="J218" s="1550"/>
    </row>
    <row r="219" spans="1:10" ht="16.5">
      <c r="A219" s="2298" t="s">
        <v>4391</v>
      </c>
      <c r="B219" s="2299" t="s">
        <v>5699</v>
      </c>
      <c r="C219" s="1586" t="s">
        <v>3861</v>
      </c>
      <c r="D219" s="1558"/>
      <c r="E219" s="1558"/>
      <c r="F219" s="1559">
        <f t="shared" si="6"/>
        <v>0</v>
      </c>
      <c r="G219" s="1560" t="e">
        <f t="shared" si="7"/>
        <v>#DIV/0!</v>
      </c>
      <c r="H219" s="2294">
        <v>0.55459999999999998</v>
      </c>
      <c r="I219" s="2296"/>
      <c r="J219" s="1550"/>
    </row>
    <row r="220" spans="1:10" ht="16.5">
      <c r="A220" s="2298" t="s">
        <v>4392</v>
      </c>
      <c r="B220" s="2299" t="s">
        <v>5700</v>
      </c>
      <c r="C220" s="1586" t="s">
        <v>3861</v>
      </c>
      <c r="D220" s="1558"/>
      <c r="E220" s="1558"/>
      <c r="F220" s="1559">
        <f t="shared" si="6"/>
        <v>0</v>
      </c>
      <c r="G220" s="1560" t="e">
        <f t="shared" si="7"/>
        <v>#DIV/0!</v>
      </c>
      <c r="H220" s="2294">
        <v>0.442</v>
      </c>
      <c r="I220" s="2296"/>
      <c r="J220" s="1550"/>
    </row>
    <row r="221" spans="1:10" ht="16.5">
      <c r="A221" s="2298" t="s">
        <v>4393</v>
      </c>
      <c r="B221" s="2299" t="s">
        <v>5701</v>
      </c>
      <c r="C221" s="1586" t="s">
        <v>3861</v>
      </c>
      <c r="D221" s="1558"/>
      <c r="E221" s="1558"/>
      <c r="F221" s="1559">
        <f t="shared" si="6"/>
        <v>0</v>
      </c>
      <c r="G221" s="1560" t="e">
        <f t="shared" si="7"/>
        <v>#DIV/0!</v>
      </c>
      <c r="H221" s="2294">
        <v>0.30959999999999999</v>
      </c>
      <c r="I221" s="2296"/>
      <c r="J221" s="1550"/>
    </row>
    <row r="222" spans="1:10" ht="16.5">
      <c r="A222" s="2298" t="s">
        <v>4394</v>
      </c>
      <c r="B222" s="2299" t="s">
        <v>5702</v>
      </c>
      <c r="C222" s="1586" t="s">
        <v>3861</v>
      </c>
      <c r="D222" s="1558"/>
      <c r="E222" s="1558"/>
      <c r="F222" s="1559">
        <f t="shared" si="6"/>
        <v>0</v>
      </c>
      <c r="G222" s="1560" t="e">
        <f t="shared" si="7"/>
        <v>#DIV/0!</v>
      </c>
      <c r="H222" s="2294">
        <v>1</v>
      </c>
      <c r="I222" s="2296" t="s">
        <v>5703</v>
      </c>
      <c r="J222" s="1550"/>
    </row>
    <row r="223" spans="1:10" ht="16.5">
      <c r="A223" s="2298" t="s">
        <v>4395</v>
      </c>
      <c r="B223" s="2299" t="s">
        <v>5704</v>
      </c>
      <c r="C223" s="1586" t="s">
        <v>3861</v>
      </c>
      <c r="D223" s="1558"/>
      <c r="E223" s="1558"/>
      <c r="F223" s="1559">
        <f t="shared" si="6"/>
        <v>0</v>
      </c>
      <c r="G223" s="1560" t="e">
        <f t="shared" si="7"/>
        <v>#DIV/0!</v>
      </c>
      <c r="H223" s="2294">
        <v>0.55079999999999996</v>
      </c>
      <c r="I223" s="2296"/>
      <c r="J223" s="1552"/>
    </row>
    <row r="224" spans="1:10" ht="16.5">
      <c r="A224" s="2298" t="s">
        <v>4396</v>
      </c>
      <c r="B224" s="2299" t="s">
        <v>5705</v>
      </c>
      <c r="C224" s="1586" t="s">
        <v>3861</v>
      </c>
      <c r="D224" s="1558"/>
      <c r="E224" s="1558"/>
      <c r="F224" s="1559">
        <f t="shared" si="6"/>
        <v>0</v>
      </c>
      <c r="G224" s="1560" t="e">
        <f t="shared" si="7"/>
        <v>#DIV/0!</v>
      </c>
      <c r="H224" s="2294">
        <v>0.47</v>
      </c>
      <c r="I224" s="2296"/>
      <c r="J224" s="1550"/>
    </row>
    <row r="225" spans="1:10" ht="16.5">
      <c r="A225" s="2298" t="s">
        <v>4397</v>
      </c>
      <c r="B225" s="2299" t="s">
        <v>5706</v>
      </c>
      <c r="C225" s="1586" t="s">
        <v>3861</v>
      </c>
      <c r="D225" s="1558"/>
      <c r="E225" s="1558"/>
      <c r="F225" s="1559">
        <f t="shared" si="6"/>
        <v>0</v>
      </c>
      <c r="G225" s="1560" t="e">
        <f t="shared" si="7"/>
        <v>#DIV/0!</v>
      </c>
      <c r="H225" s="2294">
        <v>0.13139999999999999</v>
      </c>
      <c r="I225" s="2296"/>
      <c r="J225" s="1550"/>
    </row>
    <row r="226" spans="1:10" ht="16.5">
      <c r="A226" s="2298" t="s">
        <v>4398</v>
      </c>
      <c r="B226" s="2299" t="s">
        <v>5707</v>
      </c>
      <c r="C226" s="1586" t="s">
        <v>3861</v>
      </c>
      <c r="D226" s="1558"/>
      <c r="E226" s="1558"/>
      <c r="F226" s="1559">
        <f t="shared" si="6"/>
        <v>0</v>
      </c>
      <c r="G226" s="1560" t="e">
        <f t="shared" si="7"/>
        <v>#DIV/0!</v>
      </c>
      <c r="H226" s="2294">
        <v>0.46350000000000002</v>
      </c>
      <c r="I226" s="2296"/>
      <c r="J226" s="1550"/>
    </row>
    <row r="227" spans="1:10" ht="16.5">
      <c r="A227" s="2298" t="s">
        <v>4399</v>
      </c>
      <c r="B227" s="2299" t="s">
        <v>5708</v>
      </c>
      <c r="C227" s="1586" t="s">
        <v>3861</v>
      </c>
      <c r="D227" s="1558"/>
      <c r="E227" s="1558"/>
      <c r="F227" s="1559">
        <f t="shared" si="6"/>
        <v>0</v>
      </c>
      <c r="G227" s="1560" t="e">
        <f t="shared" si="7"/>
        <v>#DIV/0!</v>
      </c>
      <c r="H227" s="2294">
        <v>-0.50929999999999997</v>
      </c>
      <c r="I227" s="2296"/>
      <c r="J227" s="1550"/>
    </row>
    <row r="228" spans="1:10" ht="16.5">
      <c r="A228" s="2298" t="s">
        <v>4400</v>
      </c>
      <c r="B228" s="2299" t="s">
        <v>5709</v>
      </c>
      <c r="C228" s="1586" t="s">
        <v>3861</v>
      </c>
      <c r="D228" s="1558"/>
      <c r="E228" s="1558"/>
      <c r="F228" s="1559">
        <f t="shared" si="6"/>
        <v>0</v>
      </c>
      <c r="G228" s="1560" t="e">
        <f t="shared" si="7"/>
        <v>#DIV/0!</v>
      </c>
      <c r="H228" s="2294">
        <v>0.17810000000000001</v>
      </c>
      <c r="I228" s="2300"/>
      <c r="J228" s="1550"/>
    </row>
    <row r="229" spans="1:10" ht="16.5">
      <c r="A229" s="2298" t="s">
        <v>4401</v>
      </c>
      <c r="B229" s="2299" t="s">
        <v>5710</v>
      </c>
      <c r="C229" s="1586" t="s">
        <v>3861</v>
      </c>
      <c r="D229" s="1558"/>
      <c r="E229" s="1558"/>
      <c r="F229" s="1559">
        <f t="shared" si="6"/>
        <v>0</v>
      </c>
      <c r="G229" s="1560" t="e">
        <f t="shared" si="7"/>
        <v>#DIV/0!</v>
      </c>
      <c r="H229" s="2294">
        <v>0.1027</v>
      </c>
      <c r="I229" s="2296"/>
      <c r="J229" s="1550"/>
    </row>
    <row r="230" spans="1:10" ht="16.5">
      <c r="A230" s="2298" t="s">
        <v>4402</v>
      </c>
      <c r="B230" s="2299" t="s">
        <v>5711</v>
      </c>
      <c r="C230" s="1586" t="s">
        <v>3861</v>
      </c>
      <c r="D230" s="1558"/>
      <c r="E230" s="1558"/>
      <c r="F230" s="1559">
        <f t="shared" si="6"/>
        <v>0</v>
      </c>
      <c r="G230" s="1560" t="e">
        <f t="shared" si="7"/>
        <v>#DIV/0!</v>
      </c>
      <c r="H230" s="2294">
        <v>0.25130000000000002</v>
      </c>
      <c r="I230" s="2296"/>
      <c r="J230" s="1550"/>
    </row>
    <row r="231" spans="1:10" ht="16.5">
      <c r="A231" s="2298" t="s">
        <v>4403</v>
      </c>
      <c r="B231" s="2299" t="s">
        <v>5712</v>
      </c>
      <c r="C231" s="1586" t="s">
        <v>3861</v>
      </c>
      <c r="D231" s="1558"/>
      <c r="E231" s="1558"/>
      <c r="F231" s="1559">
        <f t="shared" si="6"/>
        <v>0</v>
      </c>
      <c r="G231" s="1560" t="e">
        <f t="shared" si="7"/>
        <v>#DIV/0!</v>
      </c>
      <c r="H231" s="2294">
        <v>0.21510000000000001</v>
      </c>
      <c r="I231" s="2296"/>
      <c r="J231" s="1550"/>
    </row>
    <row r="232" spans="1:10" ht="16.5">
      <c r="A232" s="2298" t="s">
        <v>4404</v>
      </c>
      <c r="B232" s="2299" t="s">
        <v>5713</v>
      </c>
      <c r="C232" s="1586" t="s">
        <v>3861</v>
      </c>
      <c r="D232" s="1558"/>
      <c r="E232" s="1558"/>
      <c r="F232" s="1559">
        <f t="shared" si="6"/>
        <v>0</v>
      </c>
      <c r="G232" s="1560" t="e">
        <f t="shared" si="7"/>
        <v>#DIV/0!</v>
      </c>
      <c r="H232" s="2294">
        <v>0.50029999999999997</v>
      </c>
      <c r="I232" s="2296"/>
      <c r="J232" s="1550"/>
    </row>
    <row r="233" spans="1:10" ht="16.5">
      <c r="A233" s="2298" t="s">
        <v>4405</v>
      </c>
      <c r="B233" s="2299" t="s">
        <v>5714</v>
      </c>
      <c r="C233" s="1586" t="s">
        <v>3861</v>
      </c>
      <c r="D233" s="1558"/>
      <c r="E233" s="1558"/>
      <c r="F233" s="1559">
        <f t="shared" si="6"/>
        <v>0</v>
      </c>
      <c r="G233" s="1560" t="e">
        <f t="shared" si="7"/>
        <v>#DIV/0!</v>
      </c>
      <c r="H233" s="2294">
        <v>5.2900000000000003E-2</v>
      </c>
      <c r="I233" s="2296"/>
      <c r="J233" s="1550"/>
    </row>
    <row r="234" spans="1:10" ht="16.5">
      <c r="A234" s="2298" t="s">
        <v>4406</v>
      </c>
      <c r="B234" s="2299" t="s">
        <v>5715</v>
      </c>
      <c r="C234" s="1586" t="s">
        <v>3861</v>
      </c>
      <c r="D234" s="1558"/>
      <c r="E234" s="1558"/>
      <c r="F234" s="1559">
        <f t="shared" si="6"/>
        <v>0</v>
      </c>
      <c r="G234" s="1560" t="e">
        <f t="shared" si="7"/>
        <v>#DIV/0!</v>
      </c>
      <c r="H234" s="2294">
        <v>0.62929999999999997</v>
      </c>
      <c r="I234" s="2296"/>
      <c r="J234" s="1550"/>
    </row>
    <row r="235" spans="1:10" ht="16.5">
      <c r="A235" s="2298" t="s">
        <v>4407</v>
      </c>
      <c r="B235" s="2299" t="s">
        <v>5716</v>
      </c>
      <c r="C235" s="1586" t="s">
        <v>3861</v>
      </c>
      <c r="D235" s="1558"/>
      <c r="E235" s="1558"/>
      <c r="F235" s="1559">
        <f t="shared" si="6"/>
        <v>0</v>
      </c>
      <c r="G235" s="1560" t="e">
        <f t="shared" si="7"/>
        <v>#DIV/0!</v>
      </c>
      <c r="H235" s="2294">
        <v>0.51249999999999996</v>
      </c>
      <c r="I235" s="2296"/>
      <c r="J235" s="1550"/>
    </row>
    <row r="236" spans="1:10" ht="16.5">
      <c r="A236" s="2298" t="s">
        <v>4408</v>
      </c>
      <c r="B236" s="2299" t="s">
        <v>5717</v>
      </c>
      <c r="C236" s="1586" t="s">
        <v>3861</v>
      </c>
      <c r="D236" s="1558"/>
      <c r="E236" s="1558"/>
      <c r="F236" s="1559">
        <f t="shared" si="6"/>
        <v>0</v>
      </c>
      <c r="G236" s="1560" t="e">
        <f t="shared" si="7"/>
        <v>#DIV/0!</v>
      </c>
      <c r="H236" s="2294">
        <v>0.99080000000000001</v>
      </c>
      <c r="I236" s="2296"/>
      <c r="J236" s="1550"/>
    </row>
    <row r="237" spans="1:10" ht="16.5">
      <c r="A237" s="2298" t="s">
        <v>4409</v>
      </c>
      <c r="B237" s="2299" t="s">
        <v>5718</v>
      </c>
      <c r="C237" s="1586" t="s">
        <v>3861</v>
      </c>
      <c r="D237" s="1558"/>
      <c r="E237" s="1558"/>
      <c r="F237" s="1559">
        <f t="shared" si="6"/>
        <v>0</v>
      </c>
      <c r="G237" s="1560" t="e">
        <f t="shared" si="7"/>
        <v>#DIV/0!</v>
      </c>
      <c r="H237" s="2294">
        <v>0.4526</v>
      </c>
      <c r="I237" s="2296"/>
      <c r="J237" s="1550"/>
    </row>
    <row r="238" spans="1:10" ht="16.5">
      <c r="A238" s="2298" t="s">
        <v>4410</v>
      </c>
      <c r="B238" s="2299" t="s">
        <v>5719</v>
      </c>
      <c r="C238" s="1586" t="s">
        <v>3861</v>
      </c>
      <c r="D238" s="1558"/>
      <c r="E238" s="1558"/>
      <c r="F238" s="1559">
        <f t="shared" si="6"/>
        <v>0</v>
      </c>
      <c r="G238" s="1560" t="e">
        <f t="shared" si="7"/>
        <v>#DIV/0!</v>
      </c>
      <c r="H238" s="2294">
        <v>0.39279999999999998</v>
      </c>
      <c r="I238" s="2296"/>
      <c r="J238" s="1550"/>
    </row>
    <row r="239" spans="1:10" ht="16.5">
      <c r="A239" s="2298" t="s">
        <v>4411</v>
      </c>
      <c r="B239" s="2299" t="s">
        <v>5720</v>
      </c>
      <c r="C239" s="1586" t="s">
        <v>3861</v>
      </c>
      <c r="D239" s="1558"/>
      <c r="E239" s="1558"/>
      <c r="F239" s="1559">
        <f t="shared" si="6"/>
        <v>0</v>
      </c>
      <c r="G239" s="1560" t="e">
        <f t="shared" si="7"/>
        <v>#DIV/0!</v>
      </c>
      <c r="H239" s="2294">
        <v>0.32829999999999998</v>
      </c>
      <c r="I239" s="2296"/>
      <c r="J239" s="1550"/>
    </row>
    <row r="240" spans="1:10" ht="16.5">
      <c r="A240" s="2298" t="s">
        <v>4412</v>
      </c>
      <c r="B240" s="2299" t="s">
        <v>5721</v>
      </c>
      <c r="C240" s="1586" t="s">
        <v>3861</v>
      </c>
      <c r="D240" s="1558"/>
      <c r="E240" s="1558"/>
      <c r="F240" s="1559">
        <f t="shared" si="6"/>
        <v>0</v>
      </c>
      <c r="G240" s="1560" t="e">
        <f t="shared" si="7"/>
        <v>#DIV/0!</v>
      </c>
      <c r="H240" s="2294">
        <v>4.1000000000000002E-2</v>
      </c>
      <c r="I240" s="2296"/>
      <c r="J240" s="1550"/>
    </row>
    <row r="241" spans="1:10" ht="16.5">
      <c r="A241" s="2298" t="s">
        <v>4413</v>
      </c>
      <c r="B241" s="2299" t="s">
        <v>5722</v>
      </c>
      <c r="C241" s="1586" t="s">
        <v>3861</v>
      </c>
      <c r="D241" s="1558"/>
      <c r="E241" s="1558"/>
      <c r="F241" s="1559">
        <f t="shared" si="6"/>
        <v>0</v>
      </c>
      <c r="G241" s="1560" t="e">
        <f t="shared" si="7"/>
        <v>#DIV/0!</v>
      </c>
      <c r="H241" s="2294">
        <v>0.53610000000000002</v>
      </c>
      <c r="I241" s="2296"/>
      <c r="J241" s="1550"/>
    </row>
    <row r="242" spans="1:10" ht="16.5">
      <c r="A242" s="2298" t="s">
        <v>4414</v>
      </c>
      <c r="B242" s="2299" t="s">
        <v>5723</v>
      </c>
      <c r="C242" s="1586" t="s">
        <v>3861</v>
      </c>
      <c r="D242" s="1558"/>
      <c r="E242" s="1558"/>
      <c r="F242" s="1559">
        <f t="shared" si="6"/>
        <v>0</v>
      </c>
      <c r="G242" s="1560" t="e">
        <f t="shared" si="7"/>
        <v>#DIV/0!</v>
      </c>
      <c r="H242" s="2294">
        <v>0.1784</v>
      </c>
      <c r="I242" s="2296"/>
      <c r="J242" s="1550"/>
    </row>
    <row r="243" spans="1:10" ht="16.5">
      <c r="A243" s="2298" t="s">
        <v>4415</v>
      </c>
      <c r="B243" s="2299" t="s">
        <v>5724</v>
      </c>
      <c r="C243" s="1586" t="s">
        <v>3861</v>
      </c>
      <c r="D243" s="1558"/>
      <c r="E243" s="1558"/>
      <c r="F243" s="1559">
        <f t="shared" si="6"/>
        <v>0</v>
      </c>
      <c r="G243" s="1560" t="e">
        <f t="shared" si="7"/>
        <v>#DIV/0!</v>
      </c>
      <c r="H243" s="2294">
        <v>0.23749999999999999</v>
      </c>
      <c r="I243" s="2296"/>
      <c r="J243" s="1550"/>
    </row>
    <row r="244" spans="1:10" ht="16.5">
      <c r="A244" s="2298" t="s">
        <v>4416</v>
      </c>
      <c r="B244" s="2299" t="s">
        <v>5725</v>
      </c>
      <c r="C244" s="1586" t="s">
        <v>3861</v>
      </c>
      <c r="D244" s="1558"/>
      <c r="E244" s="1558"/>
      <c r="F244" s="1559">
        <f t="shared" si="6"/>
        <v>0</v>
      </c>
      <c r="G244" s="1560" t="e">
        <f t="shared" si="7"/>
        <v>#DIV/0!</v>
      </c>
      <c r="H244" s="2294">
        <v>0.52659999999999996</v>
      </c>
      <c r="I244" s="2296"/>
      <c r="J244" s="1550"/>
    </row>
    <row r="245" spans="1:10" ht="16.5">
      <c r="A245" s="2298" t="s">
        <v>4417</v>
      </c>
      <c r="B245" s="2299" t="s">
        <v>5726</v>
      </c>
      <c r="C245" s="1586" t="s">
        <v>3861</v>
      </c>
      <c r="D245" s="1558"/>
      <c r="E245" s="1558"/>
      <c r="F245" s="1559">
        <f t="shared" si="6"/>
        <v>0</v>
      </c>
      <c r="G245" s="1560" t="e">
        <f t="shared" si="7"/>
        <v>#DIV/0!</v>
      </c>
      <c r="H245" s="2294">
        <v>0.90410000000000001</v>
      </c>
      <c r="I245" s="2296"/>
      <c r="J245" s="1550"/>
    </row>
    <row r="246" spans="1:10" ht="16.5">
      <c r="A246" s="2298" t="s">
        <v>4418</v>
      </c>
      <c r="B246" s="2299" t="s">
        <v>5727</v>
      </c>
      <c r="C246" s="1586" t="s">
        <v>3861</v>
      </c>
      <c r="D246" s="1558"/>
      <c r="E246" s="1558"/>
      <c r="F246" s="1559">
        <f t="shared" si="6"/>
        <v>0</v>
      </c>
      <c r="G246" s="1560" t="e">
        <f t="shared" si="7"/>
        <v>#DIV/0!</v>
      </c>
      <c r="H246" s="2294">
        <v>0.3483</v>
      </c>
      <c r="I246" s="2296"/>
      <c r="J246" s="1550"/>
    </row>
    <row r="247" spans="1:10" ht="16.5">
      <c r="A247" s="2298" t="s">
        <v>4419</v>
      </c>
      <c r="B247" s="2299" t="s">
        <v>5728</v>
      </c>
      <c r="C247" s="1586" t="s">
        <v>3861</v>
      </c>
      <c r="D247" s="1558"/>
      <c r="E247" s="1558"/>
      <c r="F247" s="1559">
        <f t="shared" si="6"/>
        <v>0</v>
      </c>
      <c r="G247" s="1560" t="e">
        <f t="shared" si="7"/>
        <v>#DIV/0!</v>
      </c>
      <c r="H247" s="2294">
        <v>0.21329999999999999</v>
      </c>
      <c r="I247" s="2296"/>
      <c r="J247" s="1550"/>
    </row>
    <row r="248" spans="1:10" ht="16.5">
      <c r="A248" s="2298" t="s">
        <v>4420</v>
      </c>
      <c r="B248" s="2299" t="s">
        <v>5729</v>
      </c>
      <c r="C248" s="1586" t="s">
        <v>3861</v>
      </c>
      <c r="D248" s="1558"/>
      <c r="E248" s="1558"/>
      <c r="F248" s="1559">
        <f t="shared" si="6"/>
        <v>0</v>
      </c>
      <c r="G248" s="1560" t="e">
        <f t="shared" si="7"/>
        <v>#DIV/0!</v>
      </c>
      <c r="H248" s="2294">
        <v>0.1072</v>
      </c>
      <c r="I248" s="2296"/>
      <c r="J248" s="1550"/>
    </row>
    <row r="249" spans="1:10" ht="16.5">
      <c r="A249" s="2298" t="s">
        <v>4421</v>
      </c>
      <c r="B249" s="2299" t="s">
        <v>5730</v>
      </c>
      <c r="C249" s="1586" t="s">
        <v>3861</v>
      </c>
      <c r="D249" s="1558"/>
      <c r="E249" s="1558"/>
      <c r="F249" s="1559">
        <f t="shared" si="6"/>
        <v>0</v>
      </c>
      <c r="G249" s="1560" t="e">
        <f t="shared" si="7"/>
        <v>#DIV/0!</v>
      </c>
      <c r="H249" s="2294">
        <v>0.2346</v>
      </c>
      <c r="I249" s="2296"/>
      <c r="J249" s="1550"/>
    </row>
    <row r="250" spans="1:10" ht="16.5">
      <c r="A250" s="2298" t="s">
        <v>4422</v>
      </c>
      <c r="B250" s="2299" t="s">
        <v>5731</v>
      </c>
      <c r="C250" s="1586" t="s">
        <v>3861</v>
      </c>
      <c r="D250" s="1558"/>
      <c r="E250" s="1558"/>
      <c r="F250" s="1559">
        <f t="shared" si="6"/>
        <v>0</v>
      </c>
      <c r="G250" s="1560" t="e">
        <f t="shared" si="7"/>
        <v>#DIV/0!</v>
      </c>
      <c r="H250" s="2294">
        <v>0.37980000000000003</v>
      </c>
      <c r="I250" s="2296"/>
      <c r="J250" s="1550"/>
    </row>
    <row r="251" spans="1:10" ht="16.5">
      <c r="A251" s="2298" t="s">
        <v>4423</v>
      </c>
      <c r="B251" s="2299" t="s">
        <v>5732</v>
      </c>
      <c r="C251" s="1586" t="s">
        <v>3861</v>
      </c>
      <c r="D251" s="1558"/>
      <c r="E251" s="1558"/>
      <c r="F251" s="1559">
        <f t="shared" si="6"/>
        <v>0</v>
      </c>
      <c r="G251" s="1560" t="e">
        <f t="shared" si="7"/>
        <v>#DIV/0!</v>
      </c>
      <c r="H251" s="2294">
        <v>0.16470000000000001</v>
      </c>
      <c r="I251" s="2296"/>
      <c r="J251" s="1550"/>
    </row>
    <row r="252" spans="1:10" ht="16.5">
      <c r="A252" s="2298" t="s">
        <v>4424</v>
      </c>
      <c r="B252" s="2299" t="s">
        <v>5733</v>
      </c>
      <c r="C252" s="1586" t="s">
        <v>3861</v>
      </c>
      <c r="D252" s="1558"/>
      <c r="E252" s="1558"/>
      <c r="F252" s="1559">
        <f t="shared" si="6"/>
        <v>0</v>
      </c>
      <c r="G252" s="1560" t="e">
        <f t="shared" si="7"/>
        <v>#DIV/0!</v>
      </c>
      <c r="H252" s="2294">
        <v>0.10199999999999999</v>
      </c>
      <c r="I252" s="2296"/>
      <c r="J252" s="1550"/>
    </row>
    <row r="253" spans="1:10" ht="16.5">
      <c r="A253" s="2298" t="s">
        <v>4425</v>
      </c>
      <c r="B253" s="2299" t="s">
        <v>5734</v>
      </c>
      <c r="C253" s="1586" t="s">
        <v>3861</v>
      </c>
      <c r="D253" s="1558"/>
      <c r="E253" s="1558"/>
      <c r="F253" s="1559">
        <f t="shared" si="6"/>
        <v>0</v>
      </c>
      <c r="G253" s="1560" t="e">
        <f t="shared" si="7"/>
        <v>#DIV/0!</v>
      </c>
      <c r="H253" s="2294">
        <v>0.23930000000000001</v>
      </c>
      <c r="I253" s="2296"/>
      <c r="J253" s="1550"/>
    </row>
    <row r="254" spans="1:10" ht="16.5">
      <c r="A254" s="2298" t="s">
        <v>4426</v>
      </c>
      <c r="B254" s="2299" t="s">
        <v>5735</v>
      </c>
      <c r="C254" s="1586" t="s">
        <v>3861</v>
      </c>
      <c r="D254" s="1558"/>
      <c r="E254" s="1558"/>
      <c r="F254" s="1559">
        <f t="shared" si="6"/>
        <v>0</v>
      </c>
      <c r="G254" s="1560" t="e">
        <f t="shared" si="7"/>
        <v>#DIV/0!</v>
      </c>
      <c r="H254" s="2294">
        <v>-3.5099999999999999E-2</v>
      </c>
      <c r="I254" s="2296"/>
      <c r="J254" s="1550"/>
    </row>
    <row r="255" spans="1:10" ht="16.5">
      <c r="A255" s="2298" t="s">
        <v>4427</v>
      </c>
      <c r="B255" s="2299" t="s">
        <v>5736</v>
      </c>
      <c r="C255" s="1586" t="s">
        <v>3861</v>
      </c>
      <c r="D255" s="1558"/>
      <c r="E255" s="1558"/>
      <c r="F255" s="1559">
        <f t="shared" si="6"/>
        <v>0</v>
      </c>
      <c r="G255" s="1560" t="e">
        <f t="shared" si="7"/>
        <v>#DIV/0!</v>
      </c>
      <c r="H255" s="2294">
        <v>0.37909999999999999</v>
      </c>
      <c r="I255" s="2296"/>
      <c r="J255" s="1550"/>
    </row>
    <row r="256" spans="1:10" ht="16.5">
      <c r="A256" s="2298" t="s">
        <v>4428</v>
      </c>
      <c r="B256" s="2299" t="s">
        <v>5737</v>
      </c>
      <c r="C256" s="1586" t="s">
        <v>3861</v>
      </c>
      <c r="D256" s="1558"/>
      <c r="E256" s="1558"/>
      <c r="F256" s="1559">
        <f t="shared" si="6"/>
        <v>0</v>
      </c>
      <c r="G256" s="1560" t="e">
        <f t="shared" si="7"/>
        <v>#DIV/0!</v>
      </c>
      <c r="H256" s="2294">
        <v>0.50309999999999999</v>
      </c>
      <c r="I256" s="2296"/>
      <c r="J256" s="1550"/>
    </row>
    <row r="257" spans="1:10" ht="16.5">
      <c r="A257" s="2298" t="s">
        <v>4429</v>
      </c>
      <c r="B257" s="2299" t="s">
        <v>5738</v>
      </c>
      <c r="C257" s="1586" t="s">
        <v>3861</v>
      </c>
      <c r="D257" s="1558"/>
      <c r="E257" s="1558"/>
      <c r="F257" s="1559">
        <f t="shared" si="6"/>
        <v>0</v>
      </c>
      <c r="G257" s="1560" t="e">
        <f t="shared" si="7"/>
        <v>#DIV/0!</v>
      </c>
      <c r="H257" s="2294">
        <v>0.66910000000000003</v>
      </c>
      <c r="I257" s="2296"/>
      <c r="J257" s="1550"/>
    </row>
    <row r="258" spans="1:10" ht="16.5">
      <c r="A258" s="2298" t="s">
        <v>4430</v>
      </c>
      <c r="B258" s="2299" t="s">
        <v>5739</v>
      </c>
      <c r="C258" s="1586" t="s">
        <v>3861</v>
      </c>
      <c r="D258" s="1558"/>
      <c r="E258" s="1558"/>
      <c r="F258" s="1559">
        <f t="shared" si="6"/>
        <v>0</v>
      </c>
      <c r="G258" s="1560" t="e">
        <f t="shared" si="7"/>
        <v>#DIV/0!</v>
      </c>
      <c r="H258" s="2294">
        <v>0.23780000000000001</v>
      </c>
      <c r="I258" s="2296"/>
      <c r="J258" s="1550"/>
    </row>
    <row r="259" spans="1:10" ht="16.5">
      <c r="A259" s="2298" t="s">
        <v>4431</v>
      </c>
      <c r="B259" s="2299" t="s">
        <v>5740</v>
      </c>
      <c r="C259" s="1586" t="s">
        <v>3861</v>
      </c>
      <c r="D259" s="1558"/>
      <c r="E259" s="1558"/>
      <c r="F259" s="1559">
        <f t="shared" si="6"/>
        <v>0</v>
      </c>
      <c r="G259" s="1560" t="e">
        <f t="shared" si="7"/>
        <v>#DIV/0!</v>
      </c>
      <c r="H259" s="2294">
        <v>0.25640000000000002</v>
      </c>
      <c r="I259" s="2296"/>
      <c r="J259" s="1550"/>
    </row>
    <row r="260" spans="1:10" ht="16.5">
      <c r="A260" s="2298" t="s">
        <v>4432</v>
      </c>
      <c r="B260" s="2299" t="s">
        <v>5741</v>
      </c>
      <c r="C260" s="1586" t="s">
        <v>3861</v>
      </c>
      <c r="D260" s="1558"/>
      <c r="E260" s="1558"/>
      <c r="F260" s="1559">
        <f t="shared" si="6"/>
        <v>0</v>
      </c>
      <c r="G260" s="1560" t="e">
        <f t="shared" si="7"/>
        <v>#DIV/0!</v>
      </c>
      <c r="H260" s="2294">
        <v>0.1583</v>
      </c>
      <c r="I260" s="2296"/>
      <c r="J260" s="1550"/>
    </row>
    <row r="261" spans="1:10" ht="16.5">
      <c r="A261" s="2298" t="s">
        <v>4433</v>
      </c>
      <c r="B261" s="2299" t="s">
        <v>5742</v>
      </c>
      <c r="C261" s="1586" t="s">
        <v>3861</v>
      </c>
      <c r="D261" s="1558"/>
      <c r="E261" s="1558"/>
      <c r="F261" s="1559">
        <f t="shared" ref="F261:F324" si="8">D261*E261</f>
        <v>0</v>
      </c>
      <c r="G261" s="1560" t="e">
        <f t="shared" ref="G261:G324" si="9">F261/$F$1214</f>
        <v>#DIV/0!</v>
      </c>
      <c r="H261" s="2294">
        <v>0.32300000000000001</v>
      </c>
      <c r="I261" s="2296"/>
      <c r="J261" s="1550"/>
    </row>
    <row r="262" spans="1:10" ht="16.5">
      <c r="A262" s="2298" t="s">
        <v>4434</v>
      </c>
      <c r="B262" s="2299" t="s">
        <v>5743</v>
      </c>
      <c r="C262" s="1586" t="s">
        <v>3861</v>
      </c>
      <c r="D262" s="1558"/>
      <c r="E262" s="1558"/>
      <c r="F262" s="1559">
        <f t="shared" si="8"/>
        <v>0</v>
      </c>
      <c r="G262" s="1560" t="e">
        <f t="shared" si="9"/>
        <v>#DIV/0!</v>
      </c>
      <c r="H262" s="2294">
        <v>1.7722</v>
      </c>
      <c r="I262" s="2296"/>
      <c r="J262" s="1550"/>
    </row>
    <row r="263" spans="1:10" ht="16.5">
      <c r="A263" s="2298" t="s">
        <v>4435</v>
      </c>
      <c r="B263" s="2299" t="s">
        <v>5744</v>
      </c>
      <c r="C263" s="1586" t="s">
        <v>3861</v>
      </c>
      <c r="D263" s="1558"/>
      <c r="E263" s="1558"/>
      <c r="F263" s="1559">
        <f t="shared" si="8"/>
        <v>0</v>
      </c>
      <c r="G263" s="1560" t="e">
        <f t="shared" si="9"/>
        <v>#DIV/0!</v>
      </c>
      <c r="H263" s="2294">
        <v>0.4703</v>
      </c>
      <c r="I263" s="2296"/>
      <c r="J263" s="1550"/>
    </row>
    <row r="264" spans="1:10" ht="16.5">
      <c r="A264" s="2298" t="s">
        <v>4436</v>
      </c>
      <c r="B264" s="2299" t="s">
        <v>5745</v>
      </c>
      <c r="C264" s="1586" t="s">
        <v>3861</v>
      </c>
      <c r="D264" s="1558"/>
      <c r="E264" s="1558"/>
      <c r="F264" s="1559">
        <f t="shared" si="8"/>
        <v>0</v>
      </c>
      <c r="G264" s="1560" t="e">
        <f t="shared" si="9"/>
        <v>#DIV/0!</v>
      </c>
      <c r="H264" s="2294">
        <v>0.35709999999999997</v>
      </c>
      <c r="I264" s="2296"/>
      <c r="J264" s="1550"/>
    </row>
    <row r="265" spans="1:10" ht="16.5">
      <c r="A265" s="2298" t="s">
        <v>4437</v>
      </c>
      <c r="B265" s="2299" t="s">
        <v>5746</v>
      </c>
      <c r="C265" s="1586" t="s">
        <v>3861</v>
      </c>
      <c r="D265" s="1558"/>
      <c r="E265" s="1558"/>
      <c r="F265" s="1559">
        <f t="shared" si="8"/>
        <v>0</v>
      </c>
      <c r="G265" s="1560" t="e">
        <f t="shared" si="9"/>
        <v>#DIV/0!</v>
      </c>
      <c r="H265" s="2294">
        <v>0.49730000000000002</v>
      </c>
      <c r="I265" s="2296"/>
      <c r="J265" s="1550"/>
    </row>
    <row r="266" spans="1:10" ht="16.5">
      <c r="A266" s="2298" t="s">
        <v>4438</v>
      </c>
      <c r="B266" s="2299" t="s">
        <v>5747</v>
      </c>
      <c r="C266" s="1586" t="s">
        <v>3861</v>
      </c>
      <c r="D266" s="1558"/>
      <c r="E266" s="1558"/>
      <c r="F266" s="1559">
        <f t="shared" si="8"/>
        <v>0</v>
      </c>
      <c r="G266" s="1560" t="e">
        <f t="shared" si="9"/>
        <v>#DIV/0!</v>
      </c>
      <c r="H266" s="2294">
        <v>0.47199999999999998</v>
      </c>
      <c r="I266" s="2296"/>
      <c r="J266" s="1550"/>
    </row>
    <row r="267" spans="1:10" ht="16.5">
      <c r="A267" s="2298" t="s">
        <v>4439</v>
      </c>
      <c r="B267" s="2299" t="s">
        <v>5748</v>
      </c>
      <c r="C267" s="1586" t="s">
        <v>3861</v>
      </c>
      <c r="D267" s="1558"/>
      <c r="E267" s="1558"/>
      <c r="F267" s="1559">
        <f t="shared" si="8"/>
        <v>0</v>
      </c>
      <c r="G267" s="1560" t="e">
        <f t="shared" si="9"/>
        <v>#DIV/0!</v>
      </c>
      <c r="H267" s="2294">
        <v>0.1174</v>
      </c>
      <c r="I267" s="2296"/>
      <c r="J267" s="1550"/>
    </row>
    <row r="268" spans="1:10" ht="16.5">
      <c r="A268" s="2298" t="s">
        <v>4440</v>
      </c>
      <c r="B268" s="2299" t="s">
        <v>5749</v>
      </c>
      <c r="C268" s="1586" t="s">
        <v>3861</v>
      </c>
      <c r="D268" s="1558"/>
      <c r="E268" s="1558"/>
      <c r="F268" s="1559">
        <f t="shared" si="8"/>
        <v>0</v>
      </c>
      <c r="G268" s="1560" t="e">
        <f t="shared" si="9"/>
        <v>#DIV/0!</v>
      </c>
      <c r="H268" s="2294">
        <v>0.53790000000000004</v>
      </c>
      <c r="I268" s="2296"/>
      <c r="J268" s="1550"/>
    </row>
    <row r="269" spans="1:10" ht="16.5">
      <c r="A269" s="2298" t="s">
        <v>4441</v>
      </c>
      <c r="B269" s="2299" t="s">
        <v>5750</v>
      </c>
      <c r="C269" s="1586" t="s">
        <v>3861</v>
      </c>
      <c r="D269" s="1558"/>
      <c r="E269" s="1558"/>
      <c r="F269" s="1559">
        <f t="shared" si="8"/>
        <v>0</v>
      </c>
      <c r="G269" s="1560" t="e">
        <f t="shared" si="9"/>
        <v>#DIV/0!</v>
      </c>
      <c r="H269" s="2294">
        <v>0.47489999999999999</v>
      </c>
      <c r="I269" s="2296"/>
      <c r="J269" s="1550"/>
    </row>
    <row r="270" spans="1:10" ht="16.5">
      <c r="A270" s="2298" t="s">
        <v>4442</v>
      </c>
      <c r="B270" s="2299" t="s">
        <v>5751</v>
      </c>
      <c r="C270" s="1586" t="s">
        <v>3861</v>
      </c>
      <c r="D270" s="1558"/>
      <c r="E270" s="1558"/>
      <c r="F270" s="1559">
        <f t="shared" si="8"/>
        <v>0</v>
      </c>
      <c r="G270" s="1560" t="e">
        <f t="shared" si="9"/>
        <v>#DIV/0!</v>
      </c>
      <c r="H270" s="2294">
        <v>0.55859999999999999</v>
      </c>
      <c r="I270" s="2296"/>
      <c r="J270" s="1550"/>
    </row>
    <row r="271" spans="1:10" ht="16.5">
      <c r="A271" s="2298" t="s">
        <v>4443</v>
      </c>
      <c r="B271" s="2299" t="s">
        <v>5752</v>
      </c>
      <c r="C271" s="1586" t="s">
        <v>3861</v>
      </c>
      <c r="D271" s="1558"/>
      <c r="E271" s="1558"/>
      <c r="F271" s="1559">
        <f t="shared" si="8"/>
        <v>0</v>
      </c>
      <c r="G271" s="1560" t="e">
        <f t="shared" si="9"/>
        <v>#DIV/0!</v>
      </c>
      <c r="H271" s="2294">
        <v>0.29559999999999997</v>
      </c>
      <c r="I271" s="2296"/>
      <c r="J271" s="1550"/>
    </row>
    <row r="272" spans="1:10" ht="16.5">
      <c r="A272" s="2298" t="s">
        <v>4444</v>
      </c>
      <c r="B272" s="2299" t="s">
        <v>5753</v>
      </c>
      <c r="C272" s="1586" t="s">
        <v>3861</v>
      </c>
      <c r="D272" s="1558"/>
      <c r="E272" s="1558"/>
      <c r="F272" s="1559">
        <f t="shared" si="8"/>
        <v>0</v>
      </c>
      <c r="G272" s="1560" t="e">
        <f t="shared" si="9"/>
        <v>#DIV/0!</v>
      </c>
      <c r="H272" s="2294">
        <v>0.48259999999999997</v>
      </c>
      <c r="I272" s="2296"/>
      <c r="J272" s="1550"/>
    </row>
    <row r="273" spans="1:10" ht="16.5">
      <c r="A273" s="2298" t="s">
        <v>4445</v>
      </c>
      <c r="B273" s="2299" t="s">
        <v>5754</v>
      </c>
      <c r="C273" s="1586" t="s">
        <v>3861</v>
      </c>
      <c r="D273" s="1558"/>
      <c r="E273" s="1558"/>
      <c r="F273" s="1559">
        <f t="shared" si="8"/>
        <v>0</v>
      </c>
      <c r="G273" s="1560" t="e">
        <f t="shared" si="9"/>
        <v>#DIV/0!</v>
      </c>
      <c r="H273" s="2294">
        <v>0.39329999999999998</v>
      </c>
      <c r="I273" s="2296"/>
      <c r="J273" s="1550"/>
    </row>
    <row r="274" spans="1:10" ht="16.5">
      <c r="A274" s="2298" t="s">
        <v>4446</v>
      </c>
      <c r="B274" s="2299" t="s">
        <v>5755</v>
      </c>
      <c r="C274" s="1586" t="s">
        <v>3861</v>
      </c>
      <c r="D274" s="1558"/>
      <c r="E274" s="1558"/>
      <c r="F274" s="1559">
        <f t="shared" si="8"/>
        <v>0</v>
      </c>
      <c r="G274" s="1560" t="e">
        <f t="shared" si="9"/>
        <v>#DIV/0!</v>
      </c>
      <c r="H274" s="2294">
        <v>0.46239999999999998</v>
      </c>
      <c r="I274" s="2296"/>
      <c r="J274" s="1550"/>
    </row>
    <row r="275" spans="1:10" ht="16.5">
      <c r="A275" s="2298" t="s">
        <v>4447</v>
      </c>
      <c r="B275" s="2299" t="s">
        <v>5756</v>
      </c>
      <c r="C275" s="1586" t="s">
        <v>3861</v>
      </c>
      <c r="D275" s="1558"/>
      <c r="E275" s="1558"/>
      <c r="F275" s="1559">
        <f t="shared" si="8"/>
        <v>0</v>
      </c>
      <c r="G275" s="1560" t="e">
        <f t="shared" si="9"/>
        <v>#DIV/0!</v>
      </c>
      <c r="H275" s="2294">
        <v>0.19189999999999999</v>
      </c>
      <c r="I275" s="2296"/>
      <c r="J275" s="1550"/>
    </row>
    <row r="276" spans="1:10" ht="16.5">
      <c r="A276" s="2298" t="s">
        <v>4448</v>
      </c>
      <c r="B276" s="2299" t="s">
        <v>5757</v>
      </c>
      <c r="C276" s="1586" t="s">
        <v>3861</v>
      </c>
      <c r="D276" s="1558"/>
      <c r="E276" s="1558"/>
      <c r="F276" s="1559">
        <f t="shared" si="8"/>
        <v>0</v>
      </c>
      <c r="G276" s="1560" t="e">
        <f t="shared" si="9"/>
        <v>#DIV/0!</v>
      </c>
      <c r="H276" s="2294">
        <v>0.35099999999999998</v>
      </c>
      <c r="I276" s="2296"/>
      <c r="J276" s="1550"/>
    </row>
    <row r="277" spans="1:10" ht="16.5">
      <c r="A277" s="2298" t="s">
        <v>4449</v>
      </c>
      <c r="B277" s="2299" t="s">
        <v>5758</v>
      </c>
      <c r="C277" s="1586" t="s">
        <v>3861</v>
      </c>
      <c r="D277" s="1558"/>
      <c r="E277" s="1558"/>
      <c r="F277" s="1559">
        <f t="shared" si="8"/>
        <v>0</v>
      </c>
      <c r="G277" s="1560" t="e">
        <f t="shared" si="9"/>
        <v>#DIV/0!</v>
      </c>
      <c r="H277" s="2294">
        <v>0.47170000000000001</v>
      </c>
      <c r="I277" s="2296"/>
      <c r="J277" s="1550"/>
    </row>
    <row r="278" spans="1:10" ht="16.5">
      <c r="A278" s="2298" t="s">
        <v>4450</v>
      </c>
      <c r="B278" s="2299" t="s">
        <v>5759</v>
      </c>
      <c r="C278" s="1586" t="s">
        <v>3861</v>
      </c>
      <c r="D278" s="1558"/>
      <c r="E278" s="1558"/>
      <c r="F278" s="1559">
        <f t="shared" si="8"/>
        <v>0</v>
      </c>
      <c r="G278" s="1560" t="e">
        <f t="shared" si="9"/>
        <v>#DIV/0!</v>
      </c>
      <c r="H278" s="2294">
        <v>0.25619999999999998</v>
      </c>
      <c r="I278" s="2296"/>
      <c r="J278" s="1550"/>
    </row>
    <row r="279" spans="1:10" ht="16.5">
      <c r="A279" s="2298" t="s">
        <v>4451</v>
      </c>
      <c r="B279" s="2299" t="s">
        <v>5760</v>
      </c>
      <c r="C279" s="1586" t="s">
        <v>3861</v>
      </c>
      <c r="D279" s="1558"/>
      <c r="E279" s="1558"/>
      <c r="F279" s="1559">
        <f t="shared" si="8"/>
        <v>0</v>
      </c>
      <c r="G279" s="1560" t="e">
        <f t="shared" si="9"/>
        <v>#DIV/0!</v>
      </c>
      <c r="H279" s="2294">
        <v>0.23019999999999999</v>
      </c>
      <c r="I279" s="2296"/>
      <c r="J279" s="1550"/>
    </row>
    <row r="280" spans="1:10" ht="16.5">
      <c r="A280" s="2298" t="s">
        <v>4452</v>
      </c>
      <c r="B280" s="2299" t="s">
        <v>5761</v>
      </c>
      <c r="C280" s="1586" t="s">
        <v>3861</v>
      </c>
      <c r="D280" s="1558"/>
      <c r="E280" s="1558"/>
      <c r="F280" s="1559">
        <f t="shared" si="8"/>
        <v>0</v>
      </c>
      <c r="G280" s="1560" t="e">
        <f t="shared" si="9"/>
        <v>#DIV/0!</v>
      </c>
      <c r="H280" s="2294">
        <v>1.2870999999999999</v>
      </c>
      <c r="I280" s="2296"/>
      <c r="J280" s="1550"/>
    </row>
    <row r="281" spans="1:10" ht="16.5">
      <c r="A281" s="2298" t="s">
        <v>4453</v>
      </c>
      <c r="B281" s="2299" t="s">
        <v>5762</v>
      </c>
      <c r="C281" s="1586" t="s">
        <v>3861</v>
      </c>
      <c r="D281" s="1558"/>
      <c r="E281" s="1558"/>
      <c r="F281" s="1559">
        <f t="shared" si="8"/>
        <v>0</v>
      </c>
      <c r="G281" s="1560" t="e">
        <f t="shared" si="9"/>
        <v>#DIV/0!</v>
      </c>
      <c r="H281" s="2294">
        <v>0.46129999999999999</v>
      </c>
      <c r="I281" s="2296"/>
      <c r="J281" s="1550"/>
    </row>
    <row r="282" spans="1:10" ht="16.5">
      <c r="A282" s="2298" t="s">
        <v>4454</v>
      </c>
      <c r="B282" s="2299" t="s">
        <v>5763</v>
      </c>
      <c r="C282" s="1586" t="s">
        <v>3861</v>
      </c>
      <c r="D282" s="1558"/>
      <c r="E282" s="1558"/>
      <c r="F282" s="1559">
        <f t="shared" si="8"/>
        <v>0</v>
      </c>
      <c r="G282" s="1560" t="e">
        <f t="shared" si="9"/>
        <v>#DIV/0!</v>
      </c>
      <c r="H282" s="2294">
        <v>0.3856</v>
      </c>
      <c r="I282" s="2296"/>
      <c r="J282" s="1550"/>
    </row>
    <row r="283" spans="1:10" ht="16.5">
      <c r="A283" s="2298" t="s">
        <v>4455</v>
      </c>
      <c r="B283" s="2299" t="s">
        <v>5764</v>
      </c>
      <c r="C283" s="1586" t="s">
        <v>3861</v>
      </c>
      <c r="D283" s="1558"/>
      <c r="E283" s="1558"/>
      <c r="F283" s="1559">
        <f t="shared" si="8"/>
        <v>0</v>
      </c>
      <c r="G283" s="1560" t="e">
        <f t="shared" si="9"/>
        <v>#DIV/0!</v>
      </c>
      <c r="H283" s="2294">
        <v>0.82079999999999997</v>
      </c>
      <c r="I283" s="2296"/>
      <c r="J283" s="1550"/>
    </row>
    <row r="284" spans="1:10" ht="16.5">
      <c r="A284" s="2298" t="s">
        <v>4456</v>
      </c>
      <c r="B284" s="2299" t="s">
        <v>5765</v>
      </c>
      <c r="C284" s="1586" t="s">
        <v>3861</v>
      </c>
      <c r="D284" s="1558"/>
      <c r="E284" s="1558"/>
      <c r="F284" s="1559">
        <f t="shared" si="8"/>
        <v>0</v>
      </c>
      <c r="G284" s="1560" t="e">
        <f t="shared" si="9"/>
        <v>#DIV/0!</v>
      </c>
      <c r="H284" s="2294">
        <v>1.1507000000000001</v>
      </c>
      <c r="I284" s="2296"/>
      <c r="J284" s="1550"/>
    </row>
    <row r="285" spans="1:10" ht="16.5">
      <c r="A285" s="2298" t="s">
        <v>4457</v>
      </c>
      <c r="B285" s="2299" t="s">
        <v>5766</v>
      </c>
      <c r="C285" s="1586" t="s">
        <v>3861</v>
      </c>
      <c r="D285" s="1558"/>
      <c r="E285" s="1558"/>
      <c r="F285" s="1559">
        <f t="shared" si="8"/>
        <v>0</v>
      </c>
      <c r="G285" s="1560" t="e">
        <f t="shared" si="9"/>
        <v>#DIV/0!</v>
      </c>
      <c r="H285" s="2294">
        <v>1</v>
      </c>
      <c r="I285" s="2296" t="s">
        <v>5703</v>
      </c>
      <c r="J285" s="1550"/>
    </row>
    <row r="286" spans="1:10" ht="16.5">
      <c r="A286" s="2298" t="s">
        <v>4458</v>
      </c>
      <c r="B286" s="2299" t="s">
        <v>5767</v>
      </c>
      <c r="C286" s="1586" t="s">
        <v>3861</v>
      </c>
      <c r="D286" s="1558"/>
      <c r="E286" s="1558"/>
      <c r="F286" s="1559">
        <f t="shared" si="8"/>
        <v>0</v>
      </c>
      <c r="G286" s="1560" t="e">
        <f t="shared" si="9"/>
        <v>#DIV/0!</v>
      </c>
      <c r="H286" s="2294">
        <v>0.503</v>
      </c>
      <c r="I286" s="2296"/>
      <c r="J286" s="1550"/>
    </row>
    <row r="287" spans="1:10" ht="16.5">
      <c r="A287" s="2298" t="s">
        <v>4459</v>
      </c>
      <c r="B287" s="2299" t="s">
        <v>5768</v>
      </c>
      <c r="C287" s="1586" t="s">
        <v>3861</v>
      </c>
      <c r="D287" s="1558"/>
      <c r="E287" s="1558"/>
      <c r="F287" s="1559">
        <f t="shared" si="8"/>
        <v>0</v>
      </c>
      <c r="G287" s="1560" t="e">
        <f t="shared" si="9"/>
        <v>#DIV/0!</v>
      </c>
      <c r="H287" s="2294">
        <v>0.6915</v>
      </c>
      <c r="I287" s="2296"/>
      <c r="J287" s="1550"/>
    </row>
    <row r="288" spans="1:10" ht="16.5">
      <c r="A288" s="2298" t="s">
        <v>4460</v>
      </c>
      <c r="B288" s="2299" t="s">
        <v>5769</v>
      </c>
      <c r="C288" s="1586" t="s">
        <v>3861</v>
      </c>
      <c r="D288" s="1558"/>
      <c r="E288" s="1558"/>
      <c r="F288" s="1559">
        <f t="shared" si="8"/>
        <v>0</v>
      </c>
      <c r="G288" s="1560" t="e">
        <f t="shared" si="9"/>
        <v>#DIV/0!</v>
      </c>
      <c r="H288" s="2294">
        <v>0.30230000000000001</v>
      </c>
      <c r="I288" s="2296"/>
      <c r="J288" s="1550"/>
    </row>
    <row r="289" spans="1:10" ht="16.5">
      <c r="A289" s="2298" t="s">
        <v>4461</v>
      </c>
      <c r="B289" s="2299" t="s">
        <v>5770</v>
      </c>
      <c r="C289" s="1586" t="s">
        <v>3861</v>
      </c>
      <c r="D289" s="1558"/>
      <c r="E289" s="1558"/>
      <c r="F289" s="1559">
        <f t="shared" si="8"/>
        <v>0</v>
      </c>
      <c r="G289" s="1560" t="e">
        <f t="shared" si="9"/>
        <v>#DIV/0!</v>
      </c>
      <c r="H289" s="2294">
        <v>0.6704</v>
      </c>
      <c r="I289" s="2296"/>
      <c r="J289" s="1550"/>
    </row>
    <row r="290" spans="1:10" ht="16.5">
      <c r="A290" s="2298" t="s">
        <v>4462</v>
      </c>
      <c r="B290" s="2299" t="s">
        <v>5771</v>
      </c>
      <c r="C290" s="1586" t="s">
        <v>3861</v>
      </c>
      <c r="D290" s="1558"/>
      <c r="E290" s="1558"/>
      <c r="F290" s="1559">
        <f t="shared" si="8"/>
        <v>0</v>
      </c>
      <c r="G290" s="1560" t="e">
        <f t="shared" si="9"/>
        <v>#DIV/0!</v>
      </c>
      <c r="H290" s="2294">
        <v>0.65569999999999995</v>
      </c>
      <c r="I290" s="2296"/>
      <c r="J290" s="1550"/>
    </row>
    <row r="291" spans="1:10" ht="16.5">
      <c r="A291" s="2298" t="s">
        <v>4463</v>
      </c>
      <c r="B291" s="2299" t="s">
        <v>5772</v>
      </c>
      <c r="C291" s="1586" t="s">
        <v>3861</v>
      </c>
      <c r="D291" s="1558"/>
      <c r="E291" s="1558"/>
      <c r="F291" s="1559">
        <f t="shared" si="8"/>
        <v>0</v>
      </c>
      <c r="G291" s="1560" t="e">
        <f t="shared" si="9"/>
        <v>#DIV/0!</v>
      </c>
      <c r="H291" s="2294">
        <v>1.1399999999999999</v>
      </c>
      <c r="I291" s="2296"/>
      <c r="J291" s="1550"/>
    </row>
    <row r="292" spans="1:10" ht="16.5">
      <c r="A292" s="2298" t="s">
        <v>4464</v>
      </c>
      <c r="B292" s="2299" t="s">
        <v>5773</v>
      </c>
      <c r="C292" s="1586" t="s">
        <v>3861</v>
      </c>
      <c r="D292" s="1558"/>
      <c r="E292" s="1558"/>
      <c r="F292" s="1559">
        <f t="shared" si="8"/>
        <v>0</v>
      </c>
      <c r="G292" s="1560" t="e">
        <f t="shared" si="9"/>
        <v>#DIV/0!</v>
      </c>
      <c r="H292" s="2294">
        <v>0.31869999999999998</v>
      </c>
      <c r="I292" s="2296"/>
      <c r="J292" s="1550"/>
    </row>
    <row r="293" spans="1:10" ht="16.5">
      <c r="A293" s="2298" t="s">
        <v>4465</v>
      </c>
      <c r="B293" s="2299" t="s">
        <v>5774</v>
      </c>
      <c r="C293" s="1586" t="s">
        <v>3861</v>
      </c>
      <c r="D293" s="1558"/>
      <c r="E293" s="1558"/>
      <c r="F293" s="1559">
        <f t="shared" si="8"/>
        <v>0</v>
      </c>
      <c r="G293" s="1560" t="e">
        <f t="shared" si="9"/>
        <v>#DIV/0!</v>
      </c>
      <c r="H293" s="2294">
        <v>1.2467999999999999</v>
      </c>
      <c r="I293" s="2296"/>
      <c r="J293" s="1550"/>
    </row>
    <row r="294" spans="1:10" ht="16.5">
      <c r="A294" s="2298" t="s">
        <v>4466</v>
      </c>
      <c r="B294" s="2299" t="s">
        <v>5775</v>
      </c>
      <c r="C294" s="1586" t="s">
        <v>3861</v>
      </c>
      <c r="D294" s="1558"/>
      <c r="E294" s="1558"/>
      <c r="F294" s="1559">
        <f t="shared" si="8"/>
        <v>0</v>
      </c>
      <c r="G294" s="1560" t="e">
        <f t="shared" si="9"/>
        <v>#DIV/0!</v>
      </c>
      <c r="H294" s="2294">
        <v>0.56530000000000002</v>
      </c>
      <c r="I294" s="2296"/>
      <c r="J294" s="1550"/>
    </row>
    <row r="295" spans="1:10" ht="16.5">
      <c r="A295" s="2298" t="s">
        <v>4467</v>
      </c>
      <c r="B295" s="2299" t="s">
        <v>5776</v>
      </c>
      <c r="C295" s="1586" t="s">
        <v>3861</v>
      </c>
      <c r="D295" s="1558"/>
      <c r="E295" s="1558"/>
      <c r="F295" s="1559">
        <f t="shared" si="8"/>
        <v>0</v>
      </c>
      <c r="G295" s="1560" t="e">
        <f t="shared" si="9"/>
        <v>#DIV/0!</v>
      </c>
      <c r="H295" s="2294">
        <v>1.1371</v>
      </c>
      <c r="I295" s="2296"/>
      <c r="J295" s="1550"/>
    </row>
    <row r="296" spans="1:10" ht="16.5">
      <c r="A296" s="2298" t="s">
        <v>4468</v>
      </c>
      <c r="B296" s="2299" t="s">
        <v>5777</v>
      </c>
      <c r="C296" s="1586" t="s">
        <v>3861</v>
      </c>
      <c r="D296" s="1558"/>
      <c r="E296" s="1558"/>
      <c r="F296" s="1559">
        <f t="shared" si="8"/>
        <v>0</v>
      </c>
      <c r="G296" s="1560" t="e">
        <f t="shared" si="9"/>
        <v>#DIV/0!</v>
      </c>
      <c r="H296" s="2294">
        <v>1.3154999999999999</v>
      </c>
      <c r="I296" s="2296"/>
      <c r="J296" s="1550"/>
    </row>
    <row r="297" spans="1:10" ht="16.5">
      <c r="A297" s="2298" t="s">
        <v>4469</v>
      </c>
      <c r="B297" s="2299" t="s">
        <v>5778</v>
      </c>
      <c r="C297" s="1586" t="s">
        <v>3861</v>
      </c>
      <c r="D297" s="1558"/>
      <c r="E297" s="1558"/>
      <c r="F297" s="1559">
        <f t="shared" si="8"/>
        <v>0</v>
      </c>
      <c r="G297" s="1560" t="e">
        <f t="shared" si="9"/>
        <v>#DIV/0!</v>
      </c>
      <c r="H297" s="2294">
        <v>1.5036</v>
      </c>
      <c r="I297" s="2296"/>
      <c r="J297" s="1550"/>
    </row>
    <row r="298" spans="1:10" ht="16.5">
      <c r="A298" s="2298" t="s">
        <v>4470</v>
      </c>
      <c r="B298" s="2299" t="s">
        <v>5779</v>
      </c>
      <c r="C298" s="1586" t="s">
        <v>3861</v>
      </c>
      <c r="D298" s="1558"/>
      <c r="E298" s="1558"/>
      <c r="F298" s="1559">
        <f t="shared" si="8"/>
        <v>0</v>
      </c>
      <c r="G298" s="1560" t="e">
        <f t="shared" si="9"/>
        <v>#DIV/0!</v>
      </c>
      <c r="H298" s="2294">
        <v>1.3393999999999999</v>
      </c>
      <c r="I298" s="2296"/>
      <c r="J298" s="1550"/>
    </row>
    <row r="299" spans="1:10" ht="16.5">
      <c r="A299" s="2298" t="s">
        <v>4471</v>
      </c>
      <c r="B299" s="2299" t="s">
        <v>5780</v>
      </c>
      <c r="C299" s="1586" t="s">
        <v>3861</v>
      </c>
      <c r="D299" s="1558"/>
      <c r="E299" s="1558"/>
      <c r="F299" s="1559">
        <f t="shared" si="8"/>
        <v>0</v>
      </c>
      <c r="G299" s="1560" t="e">
        <f t="shared" si="9"/>
        <v>#DIV/0!</v>
      </c>
      <c r="H299" s="2294">
        <v>0.43919999999999998</v>
      </c>
      <c r="I299" s="2296"/>
      <c r="J299" s="1550"/>
    </row>
    <row r="300" spans="1:10" ht="16.5">
      <c r="A300" s="2298" t="s">
        <v>4472</v>
      </c>
      <c r="B300" s="2299" t="s">
        <v>5781</v>
      </c>
      <c r="C300" s="1586" t="s">
        <v>3861</v>
      </c>
      <c r="D300" s="1558"/>
      <c r="E300" s="1558"/>
      <c r="F300" s="1559">
        <f t="shared" si="8"/>
        <v>0</v>
      </c>
      <c r="G300" s="1560" t="e">
        <f t="shared" si="9"/>
        <v>#DIV/0!</v>
      </c>
      <c r="H300" s="2294">
        <v>0.95589999999999997</v>
      </c>
      <c r="I300" s="2296"/>
      <c r="J300" s="1550"/>
    </row>
    <row r="301" spans="1:10" ht="16.5">
      <c r="A301" s="2298" t="s">
        <v>4473</v>
      </c>
      <c r="B301" s="2299" t="s">
        <v>5782</v>
      </c>
      <c r="C301" s="1586" t="s">
        <v>3861</v>
      </c>
      <c r="D301" s="1558"/>
      <c r="E301" s="1558"/>
      <c r="F301" s="1559">
        <f t="shared" si="8"/>
        <v>0</v>
      </c>
      <c r="G301" s="1560" t="e">
        <f t="shared" si="9"/>
        <v>#DIV/0!</v>
      </c>
      <c r="H301" s="2294">
        <v>0.61660000000000004</v>
      </c>
      <c r="I301" s="2296"/>
      <c r="J301" s="1550"/>
    </row>
    <row r="302" spans="1:10" ht="16.5">
      <c r="A302" s="2298" t="s">
        <v>4474</v>
      </c>
      <c r="B302" s="2299" t="s">
        <v>5783</v>
      </c>
      <c r="C302" s="1586" t="s">
        <v>3861</v>
      </c>
      <c r="D302" s="1558"/>
      <c r="E302" s="1558"/>
      <c r="F302" s="1559">
        <f t="shared" si="8"/>
        <v>0</v>
      </c>
      <c r="G302" s="1560" t="e">
        <f t="shared" si="9"/>
        <v>#DIV/0!</v>
      </c>
      <c r="H302" s="2294">
        <v>1.5207999999999999</v>
      </c>
      <c r="I302" s="2296"/>
      <c r="J302" s="1550"/>
    </row>
    <row r="303" spans="1:10" ht="16.5">
      <c r="A303" s="2298" t="s">
        <v>4475</v>
      </c>
      <c r="B303" s="2299" t="s">
        <v>5784</v>
      </c>
      <c r="C303" s="1586" t="s">
        <v>3861</v>
      </c>
      <c r="D303" s="1558"/>
      <c r="E303" s="1558"/>
      <c r="F303" s="1559">
        <f t="shared" si="8"/>
        <v>0</v>
      </c>
      <c r="G303" s="1560" t="e">
        <f t="shared" si="9"/>
        <v>#DIV/0!</v>
      </c>
      <c r="H303" s="2294">
        <v>1.5356000000000001</v>
      </c>
      <c r="I303" s="2296"/>
      <c r="J303" s="1550"/>
    </row>
    <row r="304" spans="1:10" ht="16.5">
      <c r="A304" s="2298" t="s">
        <v>4476</v>
      </c>
      <c r="B304" s="2299" t="s">
        <v>5785</v>
      </c>
      <c r="C304" s="1586" t="s">
        <v>3861</v>
      </c>
      <c r="D304" s="1558"/>
      <c r="E304" s="1558"/>
      <c r="F304" s="1559">
        <f t="shared" si="8"/>
        <v>0</v>
      </c>
      <c r="G304" s="1560" t="e">
        <f t="shared" si="9"/>
        <v>#DIV/0!</v>
      </c>
      <c r="H304" s="2294">
        <v>0.89349999999999996</v>
      </c>
      <c r="I304" s="2296"/>
      <c r="J304" s="1550"/>
    </row>
    <row r="305" spans="1:10" ht="16.5">
      <c r="A305" s="2298" t="s">
        <v>4477</v>
      </c>
      <c r="B305" s="2299" t="s">
        <v>5786</v>
      </c>
      <c r="C305" s="1586" t="s">
        <v>3861</v>
      </c>
      <c r="D305" s="1558"/>
      <c r="E305" s="1558"/>
      <c r="F305" s="1559">
        <f t="shared" si="8"/>
        <v>0</v>
      </c>
      <c r="G305" s="1560" t="e">
        <f t="shared" si="9"/>
        <v>#DIV/0!</v>
      </c>
      <c r="H305" s="2294">
        <v>1.7603</v>
      </c>
      <c r="I305" s="2296"/>
      <c r="J305" s="1550"/>
    </row>
    <row r="306" spans="1:10" ht="16.5">
      <c r="A306" s="2298" t="s">
        <v>4478</v>
      </c>
      <c r="B306" s="2299" t="s">
        <v>5787</v>
      </c>
      <c r="C306" s="1586" t="s">
        <v>3861</v>
      </c>
      <c r="D306" s="1558"/>
      <c r="E306" s="1558"/>
      <c r="F306" s="1559">
        <f t="shared" si="8"/>
        <v>0</v>
      </c>
      <c r="G306" s="1560" t="e">
        <f t="shared" si="9"/>
        <v>#DIV/0!</v>
      </c>
      <c r="H306" s="2294">
        <v>0.46579999999999999</v>
      </c>
      <c r="I306" s="2296"/>
      <c r="J306" s="1550"/>
    </row>
    <row r="307" spans="1:10" ht="16.5">
      <c r="A307" s="2298" t="s">
        <v>4479</v>
      </c>
      <c r="B307" s="2299" t="s">
        <v>5788</v>
      </c>
      <c r="C307" s="1586" t="s">
        <v>3861</v>
      </c>
      <c r="D307" s="1558"/>
      <c r="E307" s="1558"/>
      <c r="F307" s="1559">
        <f t="shared" si="8"/>
        <v>0</v>
      </c>
      <c r="G307" s="1560" t="e">
        <f t="shared" si="9"/>
        <v>#DIV/0!</v>
      </c>
      <c r="H307" s="2294">
        <v>1.0448999999999999</v>
      </c>
      <c r="I307" s="2296"/>
      <c r="J307" s="1550"/>
    </row>
    <row r="308" spans="1:10" ht="16.5">
      <c r="A308" s="2298" t="s">
        <v>4480</v>
      </c>
      <c r="B308" s="2299" t="s">
        <v>5789</v>
      </c>
      <c r="C308" s="1586" t="s">
        <v>3861</v>
      </c>
      <c r="D308" s="1558"/>
      <c r="E308" s="1558"/>
      <c r="F308" s="1559">
        <f t="shared" si="8"/>
        <v>0</v>
      </c>
      <c r="G308" s="1560" t="e">
        <f t="shared" si="9"/>
        <v>#DIV/0!</v>
      </c>
      <c r="H308" s="2294">
        <v>1.3671</v>
      </c>
      <c r="I308" s="2296"/>
      <c r="J308" s="1550"/>
    </row>
    <row r="309" spans="1:10" ht="16.5">
      <c r="A309" s="2298" t="s">
        <v>4481</v>
      </c>
      <c r="B309" s="2299" t="s">
        <v>5790</v>
      </c>
      <c r="C309" s="1586" t="s">
        <v>3861</v>
      </c>
      <c r="D309" s="1558"/>
      <c r="E309" s="1558"/>
      <c r="F309" s="1559">
        <f t="shared" si="8"/>
        <v>0</v>
      </c>
      <c r="G309" s="1560" t="e">
        <f t="shared" si="9"/>
        <v>#DIV/0!</v>
      </c>
      <c r="H309" s="2294">
        <v>1.5333000000000001</v>
      </c>
      <c r="I309" s="2296"/>
      <c r="J309" s="1550"/>
    </row>
    <row r="310" spans="1:10" ht="16.5">
      <c r="A310" s="2298" t="s">
        <v>4482</v>
      </c>
      <c r="B310" s="2299" t="s">
        <v>5791</v>
      </c>
      <c r="C310" s="1586" t="s">
        <v>3861</v>
      </c>
      <c r="D310" s="1558"/>
      <c r="E310" s="1558"/>
      <c r="F310" s="1559">
        <f t="shared" si="8"/>
        <v>0</v>
      </c>
      <c r="G310" s="1560" t="e">
        <f t="shared" si="9"/>
        <v>#DIV/0!</v>
      </c>
      <c r="H310" s="2294">
        <v>1.0508999999999999</v>
      </c>
      <c r="I310" s="2296"/>
      <c r="J310" s="1550"/>
    </row>
    <row r="311" spans="1:10" ht="16.5">
      <c r="A311" s="2298" t="s">
        <v>4483</v>
      </c>
      <c r="B311" s="2299" t="s">
        <v>5792</v>
      </c>
      <c r="C311" s="1586" t="s">
        <v>3861</v>
      </c>
      <c r="D311" s="1558"/>
      <c r="E311" s="1558"/>
      <c r="F311" s="1559">
        <f t="shared" si="8"/>
        <v>0</v>
      </c>
      <c r="G311" s="1560" t="e">
        <f t="shared" si="9"/>
        <v>#DIV/0!</v>
      </c>
      <c r="H311" s="2294">
        <v>1.3246</v>
      </c>
      <c r="I311" s="2296"/>
      <c r="J311" s="1550"/>
    </row>
    <row r="312" spans="1:10" ht="16.5">
      <c r="A312" s="2298" t="s">
        <v>4484</v>
      </c>
      <c r="B312" s="2299" t="s">
        <v>5793</v>
      </c>
      <c r="C312" s="1586" t="s">
        <v>3861</v>
      </c>
      <c r="D312" s="1558"/>
      <c r="E312" s="1558"/>
      <c r="F312" s="1559">
        <f t="shared" si="8"/>
        <v>0</v>
      </c>
      <c r="G312" s="1560" t="e">
        <f t="shared" si="9"/>
        <v>#DIV/0!</v>
      </c>
      <c r="H312" s="2294">
        <v>1.3674999999999999</v>
      </c>
      <c r="I312" s="2296"/>
      <c r="J312" s="1550"/>
    </row>
    <row r="313" spans="1:10" ht="16.5">
      <c r="A313" s="2298" t="s">
        <v>4485</v>
      </c>
      <c r="B313" s="2299" t="s">
        <v>5794</v>
      </c>
      <c r="C313" s="1586" t="s">
        <v>3861</v>
      </c>
      <c r="D313" s="1558"/>
      <c r="E313" s="1558"/>
      <c r="F313" s="1559">
        <f t="shared" si="8"/>
        <v>0</v>
      </c>
      <c r="G313" s="1560" t="e">
        <f t="shared" si="9"/>
        <v>#DIV/0!</v>
      </c>
      <c r="H313" s="2294">
        <v>0.67800000000000005</v>
      </c>
      <c r="I313" s="2296"/>
      <c r="J313" s="1550"/>
    </row>
    <row r="314" spans="1:10" ht="16.5">
      <c r="A314" s="2298" t="s">
        <v>4486</v>
      </c>
      <c r="B314" s="2299" t="s">
        <v>5795</v>
      </c>
      <c r="C314" s="1586" t="s">
        <v>3861</v>
      </c>
      <c r="D314" s="1558"/>
      <c r="E314" s="1558"/>
      <c r="F314" s="1559">
        <f t="shared" si="8"/>
        <v>0</v>
      </c>
      <c r="G314" s="1560" t="e">
        <f t="shared" si="9"/>
        <v>#DIV/0!</v>
      </c>
      <c r="H314" s="2294">
        <v>0.57789999999999997</v>
      </c>
      <c r="I314" s="2296"/>
      <c r="J314" s="1550"/>
    </row>
    <row r="315" spans="1:10" ht="16.5">
      <c r="A315" s="2298" t="s">
        <v>4487</v>
      </c>
      <c r="B315" s="2299" t="s">
        <v>5796</v>
      </c>
      <c r="C315" s="1586" t="s">
        <v>3861</v>
      </c>
      <c r="D315" s="1558"/>
      <c r="E315" s="1558"/>
      <c r="F315" s="1559">
        <f t="shared" si="8"/>
        <v>0</v>
      </c>
      <c r="G315" s="1560" t="e">
        <f t="shared" si="9"/>
        <v>#DIV/0!</v>
      </c>
      <c r="H315" s="2294">
        <v>0.52149999999999996</v>
      </c>
      <c r="I315" s="2296"/>
      <c r="J315" s="1550"/>
    </row>
    <row r="316" spans="1:10" ht="16.5">
      <c r="A316" s="2298" t="s">
        <v>4488</v>
      </c>
      <c r="B316" s="2299" t="s">
        <v>5797</v>
      </c>
      <c r="C316" s="1586" t="s">
        <v>3861</v>
      </c>
      <c r="D316" s="1558"/>
      <c r="E316" s="1558"/>
      <c r="F316" s="1559">
        <f t="shared" si="8"/>
        <v>0</v>
      </c>
      <c r="G316" s="1560" t="e">
        <f t="shared" si="9"/>
        <v>#DIV/0!</v>
      </c>
      <c r="H316" s="2294">
        <v>0.88839999999999997</v>
      </c>
      <c r="I316" s="2296"/>
      <c r="J316" s="1550"/>
    </row>
    <row r="317" spans="1:10" ht="16.5">
      <c r="A317" s="2298" t="s">
        <v>4489</v>
      </c>
      <c r="B317" s="2299" t="s">
        <v>5798</v>
      </c>
      <c r="C317" s="1586" t="s">
        <v>3861</v>
      </c>
      <c r="D317" s="1558"/>
      <c r="E317" s="1558"/>
      <c r="F317" s="1559">
        <f t="shared" si="8"/>
        <v>0</v>
      </c>
      <c r="G317" s="1560" t="e">
        <f t="shared" si="9"/>
        <v>#DIV/0!</v>
      </c>
      <c r="H317" s="2294">
        <v>0.9657</v>
      </c>
      <c r="I317" s="2296"/>
      <c r="J317" s="1550"/>
    </row>
    <row r="318" spans="1:10" ht="16.5">
      <c r="A318" s="2298" t="s">
        <v>4490</v>
      </c>
      <c r="B318" s="2299" t="s">
        <v>5799</v>
      </c>
      <c r="C318" s="1586" t="s">
        <v>3861</v>
      </c>
      <c r="D318" s="1558"/>
      <c r="E318" s="1558"/>
      <c r="F318" s="1559">
        <f t="shared" si="8"/>
        <v>0</v>
      </c>
      <c r="G318" s="1560" t="e">
        <f t="shared" si="9"/>
        <v>#DIV/0!</v>
      </c>
      <c r="H318" s="2294">
        <v>0.39960000000000001</v>
      </c>
      <c r="I318" s="2296"/>
      <c r="J318" s="1550"/>
    </row>
    <row r="319" spans="1:10" ht="16.5">
      <c r="A319" s="2298" t="s">
        <v>4491</v>
      </c>
      <c r="B319" s="2299" t="s">
        <v>5800</v>
      </c>
      <c r="C319" s="1586" t="s">
        <v>3861</v>
      </c>
      <c r="D319" s="1558"/>
      <c r="E319" s="1558"/>
      <c r="F319" s="1559">
        <f t="shared" si="8"/>
        <v>0</v>
      </c>
      <c r="G319" s="1560" t="e">
        <f t="shared" si="9"/>
        <v>#DIV/0!</v>
      </c>
      <c r="H319" s="2294">
        <v>1.3499000000000001</v>
      </c>
      <c r="I319" s="2296"/>
      <c r="J319" s="1550"/>
    </row>
    <row r="320" spans="1:10" ht="16.5">
      <c r="A320" s="2298" t="s">
        <v>4492</v>
      </c>
      <c r="B320" s="2299" t="s">
        <v>5801</v>
      </c>
      <c r="C320" s="1586" t="s">
        <v>3861</v>
      </c>
      <c r="D320" s="1558"/>
      <c r="E320" s="1558"/>
      <c r="F320" s="1559">
        <f t="shared" si="8"/>
        <v>0</v>
      </c>
      <c r="G320" s="1560" t="e">
        <f t="shared" si="9"/>
        <v>#DIV/0!</v>
      </c>
      <c r="H320" s="2294">
        <v>1.0810999999999999</v>
      </c>
      <c r="I320" s="2296"/>
      <c r="J320" s="1550"/>
    </row>
    <row r="321" spans="1:10" ht="16.5">
      <c r="A321" s="2298" t="s">
        <v>4493</v>
      </c>
      <c r="B321" s="2299" t="s">
        <v>5802</v>
      </c>
      <c r="C321" s="1586" t="s">
        <v>3861</v>
      </c>
      <c r="D321" s="1558"/>
      <c r="E321" s="1558"/>
      <c r="F321" s="1559">
        <f t="shared" si="8"/>
        <v>0</v>
      </c>
      <c r="G321" s="1560" t="e">
        <f t="shared" si="9"/>
        <v>#DIV/0!</v>
      </c>
      <c r="H321" s="2294">
        <v>0.95389999999999997</v>
      </c>
      <c r="I321" s="2296"/>
      <c r="J321" s="1550"/>
    </row>
    <row r="322" spans="1:10" ht="16.5">
      <c r="A322" s="2298" t="s">
        <v>4494</v>
      </c>
      <c r="B322" s="2299" t="s">
        <v>5803</v>
      </c>
      <c r="C322" s="1586" t="s">
        <v>3861</v>
      </c>
      <c r="D322" s="1558"/>
      <c r="E322" s="1558"/>
      <c r="F322" s="1559">
        <f t="shared" si="8"/>
        <v>0</v>
      </c>
      <c r="G322" s="1560" t="e">
        <f t="shared" si="9"/>
        <v>#DIV/0!</v>
      </c>
      <c r="H322" s="2294">
        <v>0.75749999999999995</v>
      </c>
      <c r="I322" s="2296"/>
      <c r="J322" s="1550"/>
    </row>
    <row r="323" spans="1:10" ht="16.5">
      <c r="A323" s="2298" t="s">
        <v>4495</v>
      </c>
      <c r="B323" s="2299" t="s">
        <v>5804</v>
      </c>
      <c r="C323" s="1586" t="s">
        <v>3861</v>
      </c>
      <c r="D323" s="1558"/>
      <c r="E323" s="1558"/>
      <c r="F323" s="1559">
        <f t="shared" si="8"/>
        <v>0</v>
      </c>
      <c r="G323" s="1560" t="e">
        <f t="shared" si="9"/>
        <v>#DIV/0!</v>
      </c>
      <c r="H323" s="2294">
        <v>0.7722</v>
      </c>
      <c r="I323" s="2296"/>
      <c r="J323" s="1550"/>
    </row>
    <row r="324" spans="1:10" ht="16.5">
      <c r="A324" s="2298" t="s">
        <v>4496</v>
      </c>
      <c r="B324" s="2299" t="s">
        <v>5805</v>
      </c>
      <c r="C324" s="1586" t="s">
        <v>3861</v>
      </c>
      <c r="D324" s="1558"/>
      <c r="E324" s="1558"/>
      <c r="F324" s="1559">
        <f t="shared" si="8"/>
        <v>0</v>
      </c>
      <c r="G324" s="1560" t="e">
        <f t="shared" si="9"/>
        <v>#DIV/0!</v>
      </c>
      <c r="H324" s="2294">
        <v>0.14779999999999999</v>
      </c>
      <c r="I324" s="2296"/>
      <c r="J324" s="1550"/>
    </row>
    <row r="325" spans="1:10" ht="16.5">
      <c r="A325" s="2298" t="s">
        <v>4497</v>
      </c>
      <c r="B325" s="2299" t="s">
        <v>5806</v>
      </c>
      <c r="C325" s="1586" t="s">
        <v>3861</v>
      </c>
      <c r="D325" s="1558"/>
      <c r="E325" s="1558"/>
      <c r="F325" s="1559">
        <f t="shared" ref="F325:F388" si="10">D325*E325</f>
        <v>0</v>
      </c>
      <c r="G325" s="1560" t="e">
        <f t="shared" ref="G325:G388" si="11">F325/$F$1214</f>
        <v>#DIV/0!</v>
      </c>
      <c r="H325" s="2294">
        <v>0.86660000000000004</v>
      </c>
      <c r="I325" s="2296"/>
      <c r="J325" s="1550"/>
    </row>
    <row r="326" spans="1:10" ht="16.5">
      <c r="A326" s="2298" t="s">
        <v>4498</v>
      </c>
      <c r="B326" s="2299" t="s">
        <v>5807</v>
      </c>
      <c r="C326" s="1586" t="s">
        <v>3861</v>
      </c>
      <c r="D326" s="1558"/>
      <c r="E326" s="1558"/>
      <c r="F326" s="1559">
        <f t="shared" si="10"/>
        <v>0</v>
      </c>
      <c r="G326" s="1560" t="e">
        <f t="shared" si="11"/>
        <v>#DIV/0!</v>
      </c>
      <c r="H326" s="2294">
        <v>1.5018</v>
      </c>
      <c r="I326" s="2296"/>
      <c r="J326" s="1550"/>
    </row>
    <row r="327" spans="1:10" ht="16.5">
      <c r="A327" s="2298" t="s">
        <v>4499</v>
      </c>
      <c r="B327" s="2299" t="s">
        <v>5808</v>
      </c>
      <c r="C327" s="1586" t="s">
        <v>3861</v>
      </c>
      <c r="D327" s="1558"/>
      <c r="E327" s="1558"/>
      <c r="F327" s="1559">
        <f t="shared" si="10"/>
        <v>0</v>
      </c>
      <c r="G327" s="1560" t="e">
        <f t="shared" si="11"/>
        <v>#DIV/0!</v>
      </c>
      <c r="H327" s="2294">
        <v>0.60529999999999995</v>
      </c>
      <c r="I327" s="2296"/>
      <c r="J327" s="1550"/>
    </row>
    <row r="328" spans="1:10" ht="16.5">
      <c r="A328" s="2298" t="s">
        <v>4500</v>
      </c>
      <c r="B328" s="2299" t="s">
        <v>5809</v>
      </c>
      <c r="C328" s="1586" t="s">
        <v>3861</v>
      </c>
      <c r="D328" s="1558"/>
      <c r="E328" s="1558"/>
      <c r="F328" s="1559">
        <f t="shared" si="10"/>
        <v>0</v>
      </c>
      <c r="G328" s="1560" t="e">
        <f t="shared" si="11"/>
        <v>#DIV/0!</v>
      </c>
      <c r="H328" s="2294">
        <v>0.79690000000000005</v>
      </c>
      <c r="I328" s="2296"/>
      <c r="J328" s="1550"/>
    </row>
    <row r="329" spans="1:10" ht="16.5">
      <c r="A329" s="2298" t="s">
        <v>4501</v>
      </c>
      <c r="B329" s="2299" t="s">
        <v>5810</v>
      </c>
      <c r="C329" s="1586" t="s">
        <v>3861</v>
      </c>
      <c r="D329" s="1558"/>
      <c r="E329" s="1558"/>
      <c r="F329" s="1559">
        <f t="shared" si="10"/>
        <v>0</v>
      </c>
      <c r="G329" s="1560" t="e">
        <f t="shared" si="11"/>
        <v>#DIV/0!</v>
      </c>
      <c r="H329" s="2294">
        <v>-0.2465</v>
      </c>
      <c r="I329" s="2296"/>
      <c r="J329" s="1550"/>
    </row>
    <row r="330" spans="1:10" ht="16.5">
      <c r="A330" s="2298" t="s">
        <v>4502</v>
      </c>
      <c r="B330" s="2299" t="s">
        <v>5811</v>
      </c>
      <c r="C330" s="1586" t="s">
        <v>3861</v>
      </c>
      <c r="D330" s="1558"/>
      <c r="E330" s="1558"/>
      <c r="F330" s="1559">
        <f t="shared" si="10"/>
        <v>0</v>
      </c>
      <c r="G330" s="1560" t="e">
        <f t="shared" si="11"/>
        <v>#DIV/0!</v>
      </c>
      <c r="H330" s="2294">
        <v>0.43369999999999997</v>
      </c>
      <c r="I330" s="2296"/>
      <c r="J330" s="1550"/>
    </row>
    <row r="331" spans="1:10" ht="16.5">
      <c r="A331" s="2298" t="s">
        <v>4503</v>
      </c>
      <c r="B331" s="2299" t="s">
        <v>5812</v>
      </c>
      <c r="C331" s="1586" t="s">
        <v>3861</v>
      </c>
      <c r="D331" s="1558"/>
      <c r="E331" s="1558"/>
      <c r="F331" s="1559">
        <f t="shared" si="10"/>
        <v>0</v>
      </c>
      <c r="G331" s="1560" t="e">
        <f t="shared" si="11"/>
        <v>#DIV/0!</v>
      </c>
      <c r="H331" s="2294">
        <v>1.0968</v>
      </c>
      <c r="I331" s="2296"/>
      <c r="J331" s="1550"/>
    </row>
    <row r="332" spans="1:10" ht="16.5">
      <c r="A332" s="2298" t="s">
        <v>4504</v>
      </c>
      <c r="B332" s="2299" t="s">
        <v>5813</v>
      </c>
      <c r="C332" s="1586" t="s">
        <v>3861</v>
      </c>
      <c r="D332" s="1558"/>
      <c r="E332" s="1558"/>
      <c r="F332" s="1559">
        <f t="shared" si="10"/>
        <v>0</v>
      </c>
      <c r="G332" s="1560" t="e">
        <f t="shared" si="11"/>
        <v>#DIV/0!</v>
      </c>
      <c r="H332" s="2294">
        <v>1.5165999999999999</v>
      </c>
      <c r="I332" s="2296"/>
      <c r="J332" s="1550"/>
    </row>
    <row r="333" spans="1:10" ht="16.5">
      <c r="A333" s="2298" t="s">
        <v>4505</v>
      </c>
      <c r="B333" s="2299" t="s">
        <v>5814</v>
      </c>
      <c r="C333" s="1586" t="s">
        <v>3861</v>
      </c>
      <c r="D333" s="1558"/>
      <c r="E333" s="1558"/>
      <c r="F333" s="1559">
        <f t="shared" si="10"/>
        <v>0</v>
      </c>
      <c r="G333" s="1560" t="e">
        <f t="shared" si="11"/>
        <v>#DIV/0!</v>
      </c>
      <c r="H333" s="2294">
        <v>0.79559999999999997</v>
      </c>
      <c r="I333" s="2296"/>
      <c r="J333" s="1550"/>
    </row>
    <row r="334" spans="1:10" ht="16.5">
      <c r="A334" s="2298" t="s">
        <v>4506</v>
      </c>
      <c r="B334" s="2299" t="s">
        <v>5815</v>
      </c>
      <c r="C334" s="1586" t="s">
        <v>3861</v>
      </c>
      <c r="D334" s="1558"/>
      <c r="E334" s="1558"/>
      <c r="F334" s="1559">
        <f t="shared" si="10"/>
        <v>0</v>
      </c>
      <c r="G334" s="1560" t="e">
        <f t="shared" si="11"/>
        <v>#DIV/0!</v>
      </c>
      <c r="H334" s="2294">
        <v>1.2844</v>
      </c>
      <c r="I334" s="2296"/>
      <c r="J334" s="1550"/>
    </row>
    <row r="335" spans="1:10" ht="16.5">
      <c r="A335" s="2298" t="s">
        <v>4507</v>
      </c>
      <c r="B335" s="2299" t="s">
        <v>5816</v>
      </c>
      <c r="C335" s="1586" t="s">
        <v>3861</v>
      </c>
      <c r="D335" s="1558"/>
      <c r="E335" s="1558"/>
      <c r="F335" s="1559">
        <f t="shared" si="10"/>
        <v>0</v>
      </c>
      <c r="G335" s="1560" t="e">
        <f t="shared" si="11"/>
        <v>#DIV/0!</v>
      </c>
      <c r="H335" s="2294">
        <v>0.3957</v>
      </c>
      <c r="I335" s="2296"/>
      <c r="J335" s="1550"/>
    </row>
    <row r="336" spans="1:10" ht="16.5">
      <c r="A336" s="2298" t="s">
        <v>4508</v>
      </c>
      <c r="B336" s="2299" t="s">
        <v>5817</v>
      </c>
      <c r="C336" s="1586" t="s">
        <v>3861</v>
      </c>
      <c r="D336" s="1558"/>
      <c r="E336" s="1558"/>
      <c r="F336" s="1559">
        <f t="shared" si="10"/>
        <v>0</v>
      </c>
      <c r="G336" s="1560" t="e">
        <f t="shared" si="11"/>
        <v>#DIV/0!</v>
      </c>
      <c r="H336" s="2294">
        <v>0.5917</v>
      </c>
      <c r="I336" s="2296"/>
      <c r="J336" s="1550"/>
    </row>
    <row r="337" spans="1:10" ht="16.5">
      <c r="A337" s="2298" t="s">
        <v>4509</v>
      </c>
      <c r="B337" s="2299" t="s">
        <v>5818</v>
      </c>
      <c r="C337" s="1586" t="s">
        <v>3861</v>
      </c>
      <c r="D337" s="1558"/>
      <c r="E337" s="1558"/>
      <c r="F337" s="1559">
        <f t="shared" si="10"/>
        <v>0</v>
      </c>
      <c r="G337" s="1560" t="e">
        <f t="shared" si="11"/>
        <v>#DIV/0!</v>
      </c>
      <c r="H337" s="2294">
        <v>1.1076999999999999</v>
      </c>
      <c r="I337" s="2296"/>
      <c r="J337" s="1550"/>
    </row>
    <row r="338" spans="1:10" ht="16.5">
      <c r="A338" s="2298" t="s">
        <v>4510</v>
      </c>
      <c r="B338" s="2299" t="s">
        <v>5819</v>
      </c>
      <c r="C338" s="1586" t="s">
        <v>3861</v>
      </c>
      <c r="D338" s="1558"/>
      <c r="E338" s="1558"/>
      <c r="F338" s="1559">
        <f t="shared" si="10"/>
        <v>0</v>
      </c>
      <c r="G338" s="1560" t="e">
        <f t="shared" si="11"/>
        <v>#DIV/0!</v>
      </c>
      <c r="H338" s="2294">
        <v>0.94289999999999996</v>
      </c>
      <c r="I338" s="2296"/>
      <c r="J338" s="1550"/>
    </row>
    <row r="339" spans="1:10" ht="16.5">
      <c r="A339" s="2298" t="s">
        <v>4511</v>
      </c>
      <c r="B339" s="2299" t="s">
        <v>5820</v>
      </c>
      <c r="C339" s="1586" t="s">
        <v>3861</v>
      </c>
      <c r="D339" s="1558"/>
      <c r="E339" s="1558"/>
      <c r="F339" s="1559">
        <f t="shared" si="10"/>
        <v>0</v>
      </c>
      <c r="G339" s="1560" t="e">
        <f t="shared" si="11"/>
        <v>#DIV/0!</v>
      </c>
      <c r="H339" s="2294">
        <v>1.1113999999999999</v>
      </c>
      <c r="I339" s="2296"/>
      <c r="J339" s="1550"/>
    </row>
    <row r="340" spans="1:10" ht="16.5">
      <c r="A340" s="2298" t="s">
        <v>4512</v>
      </c>
      <c r="B340" s="2299" t="s">
        <v>5821</v>
      </c>
      <c r="C340" s="1586" t="s">
        <v>3861</v>
      </c>
      <c r="D340" s="1558"/>
      <c r="E340" s="1558"/>
      <c r="F340" s="1559">
        <f t="shared" si="10"/>
        <v>0</v>
      </c>
      <c r="G340" s="1560" t="e">
        <f t="shared" si="11"/>
        <v>#DIV/0!</v>
      </c>
      <c r="H340" s="2294">
        <v>1.3418000000000001</v>
      </c>
      <c r="I340" s="2296"/>
      <c r="J340" s="1550"/>
    </row>
    <row r="341" spans="1:10" ht="16.5">
      <c r="A341" s="2298" t="s">
        <v>4513</v>
      </c>
      <c r="B341" s="2299" t="s">
        <v>5822</v>
      </c>
      <c r="C341" s="1586" t="s">
        <v>3861</v>
      </c>
      <c r="D341" s="1558"/>
      <c r="E341" s="1558"/>
      <c r="F341" s="1559">
        <f t="shared" si="10"/>
        <v>0</v>
      </c>
      <c r="G341" s="1560" t="e">
        <f t="shared" si="11"/>
        <v>#DIV/0!</v>
      </c>
      <c r="H341" s="2294">
        <v>0.1739</v>
      </c>
      <c r="I341" s="2296"/>
      <c r="J341" s="1550"/>
    </row>
    <row r="342" spans="1:10" ht="16.5">
      <c r="A342" s="2298" t="s">
        <v>4514</v>
      </c>
      <c r="B342" s="2299" t="s">
        <v>5823</v>
      </c>
      <c r="C342" s="1586" t="s">
        <v>3861</v>
      </c>
      <c r="D342" s="1558"/>
      <c r="E342" s="1558"/>
      <c r="F342" s="1559">
        <f t="shared" si="10"/>
        <v>0</v>
      </c>
      <c r="G342" s="1560" t="e">
        <f t="shared" si="11"/>
        <v>#DIV/0!</v>
      </c>
      <c r="H342" s="2294">
        <v>0.83360000000000001</v>
      </c>
      <c r="I342" s="2296"/>
      <c r="J342" s="1550"/>
    </row>
    <row r="343" spans="1:10" ht="16.5">
      <c r="A343" s="2298" t="s">
        <v>4515</v>
      </c>
      <c r="B343" s="2299" t="s">
        <v>5824</v>
      </c>
      <c r="C343" s="1586" t="s">
        <v>3861</v>
      </c>
      <c r="D343" s="1558"/>
      <c r="E343" s="1558"/>
      <c r="F343" s="1559">
        <f t="shared" si="10"/>
        <v>0</v>
      </c>
      <c r="G343" s="1560" t="e">
        <f t="shared" si="11"/>
        <v>#DIV/0!</v>
      </c>
      <c r="H343" s="2294">
        <v>1.6724000000000001</v>
      </c>
      <c r="I343" s="2296"/>
      <c r="J343" s="1550"/>
    </row>
    <row r="344" spans="1:10" ht="16.5">
      <c r="A344" s="2298" t="s">
        <v>4516</v>
      </c>
      <c r="B344" s="2299" t="s">
        <v>5825</v>
      </c>
      <c r="C344" s="1586" t="s">
        <v>3861</v>
      </c>
      <c r="D344" s="1558"/>
      <c r="E344" s="1558"/>
      <c r="F344" s="1559">
        <f t="shared" si="10"/>
        <v>0</v>
      </c>
      <c r="G344" s="1560" t="e">
        <f t="shared" si="11"/>
        <v>#DIV/0!</v>
      </c>
      <c r="H344" s="2294">
        <v>0.67159999999999997</v>
      </c>
      <c r="I344" s="2296"/>
      <c r="J344" s="1550"/>
    </row>
    <row r="345" spans="1:10" ht="16.5">
      <c r="A345" s="2298" t="s">
        <v>4517</v>
      </c>
      <c r="B345" s="2299" t="s">
        <v>5826</v>
      </c>
      <c r="C345" s="1586" t="s">
        <v>3861</v>
      </c>
      <c r="D345" s="1558"/>
      <c r="E345" s="1558"/>
      <c r="F345" s="1559">
        <f t="shared" si="10"/>
        <v>0</v>
      </c>
      <c r="G345" s="1560" t="e">
        <f t="shared" si="11"/>
        <v>#DIV/0!</v>
      </c>
      <c r="H345" s="2294">
        <v>0.94369999999999998</v>
      </c>
      <c r="I345" s="2296"/>
      <c r="J345" s="1550"/>
    </row>
    <row r="346" spans="1:10" ht="16.5">
      <c r="A346" s="2298" t="s">
        <v>4518</v>
      </c>
      <c r="B346" s="2299" t="s">
        <v>5827</v>
      </c>
      <c r="C346" s="1586" t="s">
        <v>3861</v>
      </c>
      <c r="D346" s="1558"/>
      <c r="E346" s="1558"/>
      <c r="F346" s="1559">
        <f t="shared" si="10"/>
        <v>0</v>
      </c>
      <c r="G346" s="1560" t="e">
        <f t="shared" si="11"/>
        <v>#DIV/0!</v>
      </c>
      <c r="H346" s="2294">
        <v>1.4153</v>
      </c>
      <c r="I346" s="2296"/>
      <c r="J346" s="1550"/>
    </row>
    <row r="347" spans="1:10" ht="16.5">
      <c r="A347" s="2298" t="s">
        <v>4519</v>
      </c>
      <c r="B347" s="2299" t="s">
        <v>5828</v>
      </c>
      <c r="C347" s="1586" t="s">
        <v>3861</v>
      </c>
      <c r="D347" s="1558"/>
      <c r="E347" s="1558"/>
      <c r="F347" s="1559">
        <f t="shared" si="10"/>
        <v>0</v>
      </c>
      <c r="G347" s="1560" t="e">
        <f t="shared" si="11"/>
        <v>#DIV/0!</v>
      </c>
      <c r="H347" s="2294">
        <v>0.26790000000000003</v>
      </c>
      <c r="I347" s="2296"/>
      <c r="J347" s="1550"/>
    </row>
    <row r="348" spans="1:10" ht="16.5">
      <c r="A348" s="2298" t="s">
        <v>4520</v>
      </c>
      <c r="B348" s="2299" t="s">
        <v>5829</v>
      </c>
      <c r="C348" s="1586" t="s">
        <v>3861</v>
      </c>
      <c r="D348" s="1558"/>
      <c r="E348" s="1558"/>
      <c r="F348" s="1559">
        <f t="shared" si="10"/>
        <v>0</v>
      </c>
      <c r="G348" s="1560" t="e">
        <f t="shared" si="11"/>
        <v>#DIV/0!</v>
      </c>
      <c r="H348" s="2294">
        <v>1.3351999999999999</v>
      </c>
      <c r="I348" s="2296"/>
      <c r="J348" s="1550"/>
    </row>
    <row r="349" spans="1:10" ht="16.5">
      <c r="A349" s="2298" t="s">
        <v>4521</v>
      </c>
      <c r="B349" s="2299" t="s">
        <v>5830</v>
      </c>
      <c r="C349" s="1586" t="s">
        <v>3861</v>
      </c>
      <c r="D349" s="1558"/>
      <c r="E349" s="1558"/>
      <c r="F349" s="1559">
        <f t="shared" si="10"/>
        <v>0</v>
      </c>
      <c r="G349" s="1560" t="e">
        <f t="shared" si="11"/>
        <v>#DIV/0!</v>
      </c>
      <c r="H349" s="2294">
        <v>0.66390000000000005</v>
      </c>
      <c r="I349" s="2296"/>
      <c r="J349" s="1550"/>
    </row>
    <row r="350" spans="1:10" ht="16.5">
      <c r="A350" s="2298" t="s">
        <v>4522</v>
      </c>
      <c r="B350" s="2299" t="s">
        <v>5831</v>
      </c>
      <c r="C350" s="1586" t="s">
        <v>3861</v>
      </c>
      <c r="D350" s="1558"/>
      <c r="E350" s="1558"/>
      <c r="F350" s="1559">
        <f t="shared" si="10"/>
        <v>0</v>
      </c>
      <c r="G350" s="1560" t="e">
        <f t="shared" si="11"/>
        <v>#DIV/0!</v>
      </c>
      <c r="H350" s="2294">
        <v>0.56279999999999997</v>
      </c>
      <c r="I350" s="2296"/>
      <c r="J350" s="1550"/>
    </row>
    <row r="351" spans="1:10" ht="16.5">
      <c r="A351" s="2298" t="s">
        <v>4523</v>
      </c>
      <c r="B351" s="2299" t="s">
        <v>5832</v>
      </c>
      <c r="C351" s="1586" t="s">
        <v>3861</v>
      </c>
      <c r="D351" s="1558"/>
      <c r="E351" s="1558"/>
      <c r="F351" s="1559">
        <f t="shared" si="10"/>
        <v>0</v>
      </c>
      <c r="G351" s="1560" t="e">
        <f t="shared" si="11"/>
        <v>#DIV/0!</v>
      </c>
      <c r="H351" s="2294">
        <v>0.3831</v>
      </c>
      <c r="I351" s="2296"/>
      <c r="J351" s="1550"/>
    </row>
    <row r="352" spans="1:10" ht="16.5">
      <c r="A352" s="2298" t="s">
        <v>4524</v>
      </c>
      <c r="B352" s="2299" t="s">
        <v>5833</v>
      </c>
      <c r="C352" s="1586" t="s">
        <v>3861</v>
      </c>
      <c r="D352" s="1558"/>
      <c r="E352" s="1558"/>
      <c r="F352" s="1559">
        <f t="shared" si="10"/>
        <v>0</v>
      </c>
      <c r="G352" s="1560" t="e">
        <f t="shared" si="11"/>
        <v>#DIV/0!</v>
      </c>
      <c r="H352" s="2294">
        <v>0.48820000000000002</v>
      </c>
      <c r="I352" s="2296"/>
      <c r="J352" s="1550"/>
    </row>
    <row r="353" spans="1:10" ht="16.5">
      <c r="A353" s="2298" t="s">
        <v>4525</v>
      </c>
      <c r="B353" s="2299" t="s">
        <v>5834</v>
      </c>
      <c r="C353" s="1586" t="s">
        <v>3861</v>
      </c>
      <c r="D353" s="1558"/>
      <c r="E353" s="1558"/>
      <c r="F353" s="1559">
        <f t="shared" si="10"/>
        <v>0</v>
      </c>
      <c r="G353" s="1560" t="e">
        <f t="shared" si="11"/>
        <v>#DIV/0!</v>
      </c>
      <c r="H353" s="2294">
        <v>0.82699999999999996</v>
      </c>
      <c r="I353" s="2296"/>
      <c r="J353" s="1550"/>
    </row>
    <row r="354" spans="1:10" ht="16.5">
      <c r="A354" s="2298" t="s">
        <v>4526</v>
      </c>
      <c r="B354" s="2299" t="s">
        <v>5835</v>
      </c>
      <c r="C354" s="1586" t="s">
        <v>3861</v>
      </c>
      <c r="D354" s="1558"/>
      <c r="E354" s="1558"/>
      <c r="F354" s="1559">
        <f t="shared" si="10"/>
        <v>0</v>
      </c>
      <c r="G354" s="1560" t="e">
        <f t="shared" si="11"/>
        <v>#DIV/0!</v>
      </c>
      <c r="H354" s="2294">
        <v>1.1068</v>
      </c>
      <c r="I354" s="2296"/>
      <c r="J354" s="1550"/>
    </row>
    <row r="355" spans="1:10" ht="16.5">
      <c r="A355" s="2298" t="s">
        <v>4527</v>
      </c>
      <c r="B355" s="2299" t="s">
        <v>5836</v>
      </c>
      <c r="C355" s="1586" t="s">
        <v>3861</v>
      </c>
      <c r="D355" s="1558"/>
      <c r="E355" s="1558"/>
      <c r="F355" s="1559">
        <f t="shared" si="10"/>
        <v>0</v>
      </c>
      <c r="G355" s="1560" t="e">
        <f t="shared" si="11"/>
        <v>#DIV/0!</v>
      </c>
      <c r="H355" s="2294">
        <v>0.58979999999999999</v>
      </c>
      <c r="I355" s="2296"/>
      <c r="J355" s="1550"/>
    </row>
    <row r="356" spans="1:10" ht="16.5">
      <c r="A356" s="2298" t="s">
        <v>4528</v>
      </c>
      <c r="B356" s="2299" t="s">
        <v>5837</v>
      </c>
      <c r="C356" s="1586" t="s">
        <v>3861</v>
      </c>
      <c r="D356" s="1558"/>
      <c r="E356" s="1558"/>
      <c r="F356" s="1559">
        <f t="shared" si="10"/>
        <v>0</v>
      </c>
      <c r="G356" s="1560" t="e">
        <f t="shared" si="11"/>
        <v>#DIV/0!</v>
      </c>
      <c r="H356" s="2294">
        <v>0.8417</v>
      </c>
      <c r="I356" s="2296"/>
      <c r="J356" s="1550"/>
    </row>
    <row r="357" spans="1:10" ht="16.5">
      <c r="A357" s="2298" t="s">
        <v>4529</v>
      </c>
      <c r="B357" s="2299" t="s">
        <v>5838</v>
      </c>
      <c r="C357" s="1586" t="s">
        <v>3861</v>
      </c>
      <c r="D357" s="1558"/>
      <c r="E357" s="1558"/>
      <c r="F357" s="1559">
        <f t="shared" si="10"/>
        <v>0</v>
      </c>
      <c r="G357" s="1560" t="e">
        <f t="shared" si="11"/>
        <v>#DIV/0!</v>
      </c>
      <c r="H357" s="2294">
        <v>0.50190000000000001</v>
      </c>
      <c r="I357" s="2296"/>
      <c r="J357" s="1550"/>
    </row>
    <row r="358" spans="1:10" ht="16.5">
      <c r="A358" s="2298" t="s">
        <v>4530</v>
      </c>
      <c r="B358" s="2299" t="s">
        <v>5839</v>
      </c>
      <c r="C358" s="1586" t="s">
        <v>3861</v>
      </c>
      <c r="D358" s="1558"/>
      <c r="E358" s="1558"/>
      <c r="F358" s="1559">
        <f t="shared" si="10"/>
        <v>0</v>
      </c>
      <c r="G358" s="1560" t="e">
        <f t="shared" si="11"/>
        <v>#DIV/0!</v>
      </c>
      <c r="H358" s="2294">
        <v>1.2825</v>
      </c>
      <c r="I358" s="2296"/>
      <c r="J358" s="1550"/>
    </row>
    <row r="359" spans="1:10" ht="16.5">
      <c r="A359" s="2298" t="s">
        <v>4531</v>
      </c>
      <c r="B359" s="2299" t="s">
        <v>5840</v>
      </c>
      <c r="C359" s="1586" t="s">
        <v>3861</v>
      </c>
      <c r="D359" s="1558"/>
      <c r="E359" s="1558"/>
      <c r="F359" s="1559">
        <f t="shared" si="10"/>
        <v>0</v>
      </c>
      <c r="G359" s="1560" t="e">
        <f t="shared" si="11"/>
        <v>#DIV/0!</v>
      </c>
      <c r="H359" s="2294">
        <v>1.0992999999999999</v>
      </c>
      <c r="I359" s="2296"/>
      <c r="J359" s="1550"/>
    </row>
    <row r="360" spans="1:10" ht="16.5">
      <c r="A360" s="2298" t="s">
        <v>4532</v>
      </c>
      <c r="B360" s="2299" t="s">
        <v>5841</v>
      </c>
      <c r="C360" s="1586" t="s">
        <v>3861</v>
      </c>
      <c r="D360" s="1558"/>
      <c r="E360" s="1558"/>
      <c r="F360" s="1559">
        <f t="shared" si="10"/>
        <v>0</v>
      </c>
      <c r="G360" s="1560" t="e">
        <f t="shared" si="11"/>
        <v>#DIV/0!</v>
      </c>
      <c r="H360" s="2294">
        <v>0.31140000000000001</v>
      </c>
      <c r="I360" s="2296"/>
      <c r="J360" s="1550"/>
    </row>
    <row r="361" spans="1:10" ht="16.5">
      <c r="A361" s="2298" t="s">
        <v>4533</v>
      </c>
      <c r="B361" s="2299" t="s">
        <v>5842</v>
      </c>
      <c r="C361" s="1586" t="s">
        <v>3861</v>
      </c>
      <c r="D361" s="1558"/>
      <c r="E361" s="1558"/>
      <c r="F361" s="1559">
        <f t="shared" si="10"/>
        <v>0</v>
      </c>
      <c r="G361" s="1560" t="e">
        <f t="shared" si="11"/>
        <v>#DIV/0!</v>
      </c>
      <c r="H361" s="2294">
        <v>0.94899999999999995</v>
      </c>
      <c r="I361" s="2296"/>
      <c r="J361" s="1550"/>
    </row>
    <row r="362" spans="1:10" ht="16.5">
      <c r="A362" s="2298" t="s">
        <v>4534</v>
      </c>
      <c r="B362" s="2299" t="s">
        <v>5843</v>
      </c>
      <c r="C362" s="1586" t="s">
        <v>3861</v>
      </c>
      <c r="D362" s="1558"/>
      <c r="E362" s="1558"/>
      <c r="F362" s="1559">
        <f t="shared" si="10"/>
        <v>0</v>
      </c>
      <c r="G362" s="1560" t="e">
        <f t="shared" si="11"/>
        <v>#DIV/0!</v>
      </c>
      <c r="H362" s="2294">
        <v>0.14080000000000001</v>
      </c>
      <c r="I362" s="2296"/>
      <c r="J362" s="1550"/>
    </row>
    <row r="363" spans="1:10" ht="16.5">
      <c r="A363" s="2298" t="s">
        <v>4535</v>
      </c>
      <c r="B363" s="2299" t="s">
        <v>5844</v>
      </c>
      <c r="C363" s="1586" t="s">
        <v>3861</v>
      </c>
      <c r="D363" s="1558"/>
      <c r="E363" s="1558"/>
      <c r="F363" s="1559">
        <f t="shared" si="10"/>
        <v>0</v>
      </c>
      <c r="G363" s="1560" t="e">
        <f t="shared" si="11"/>
        <v>#DIV/0!</v>
      </c>
      <c r="H363" s="2294">
        <v>0.71389999999999998</v>
      </c>
      <c r="I363" s="2296"/>
      <c r="J363" s="1550"/>
    </row>
    <row r="364" spans="1:10" ht="16.5">
      <c r="A364" s="2298" t="s">
        <v>4536</v>
      </c>
      <c r="B364" s="2299" t="s">
        <v>5845</v>
      </c>
      <c r="C364" s="1586" t="s">
        <v>3861</v>
      </c>
      <c r="D364" s="1558"/>
      <c r="E364" s="1558"/>
      <c r="F364" s="1559">
        <f t="shared" si="10"/>
        <v>0</v>
      </c>
      <c r="G364" s="1560" t="e">
        <f t="shared" si="11"/>
        <v>#DIV/0!</v>
      </c>
      <c r="H364" s="2294">
        <v>0.71819999999999995</v>
      </c>
      <c r="I364" s="2296"/>
      <c r="J364" s="1550"/>
    </row>
    <row r="365" spans="1:10" ht="16.5">
      <c r="A365" s="2298" t="s">
        <v>4537</v>
      </c>
      <c r="B365" s="2299" t="s">
        <v>5846</v>
      </c>
      <c r="C365" s="1586" t="s">
        <v>3861</v>
      </c>
      <c r="D365" s="1558"/>
      <c r="E365" s="1558"/>
      <c r="F365" s="1559">
        <f t="shared" si="10"/>
        <v>0</v>
      </c>
      <c r="G365" s="1560" t="e">
        <f t="shared" si="11"/>
        <v>#DIV/0!</v>
      </c>
      <c r="H365" s="2294">
        <v>0.63719999999999999</v>
      </c>
      <c r="I365" s="2296"/>
      <c r="J365" s="1550"/>
    </row>
    <row r="366" spans="1:10" ht="16.5">
      <c r="A366" s="2298" t="s">
        <v>4538</v>
      </c>
      <c r="B366" s="2299" t="s">
        <v>5847</v>
      </c>
      <c r="C366" s="1586" t="s">
        <v>3861</v>
      </c>
      <c r="D366" s="1558"/>
      <c r="E366" s="1558"/>
      <c r="F366" s="1559">
        <f t="shared" si="10"/>
        <v>0</v>
      </c>
      <c r="G366" s="1560" t="e">
        <f t="shared" si="11"/>
        <v>#DIV/0!</v>
      </c>
      <c r="H366" s="2294">
        <v>0.37240000000000001</v>
      </c>
      <c r="I366" s="2296"/>
      <c r="J366" s="1550"/>
    </row>
    <row r="367" spans="1:10" ht="16.5">
      <c r="A367" s="2298" t="s">
        <v>4539</v>
      </c>
      <c r="B367" s="2299" t="s">
        <v>5848</v>
      </c>
      <c r="C367" s="1586" t="s">
        <v>3861</v>
      </c>
      <c r="D367" s="1558"/>
      <c r="E367" s="1558"/>
      <c r="F367" s="1559">
        <f t="shared" si="10"/>
        <v>0</v>
      </c>
      <c r="G367" s="1560" t="e">
        <f t="shared" si="11"/>
        <v>#DIV/0!</v>
      </c>
      <c r="H367" s="2294">
        <v>1.31</v>
      </c>
      <c r="I367" s="2296"/>
      <c r="J367" s="1550"/>
    </row>
    <row r="368" spans="1:10" ht="16.5">
      <c r="A368" s="2298" t="s">
        <v>4540</v>
      </c>
      <c r="B368" s="2299" t="s">
        <v>5849</v>
      </c>
      <c r="C368" s="1586" t="s">
        <v>3861</v>
      </c>
      <c r="D368" s="1558"/>
      <c r="E368" s="1558"/>
      <c r="F368" s="1559">
        <f t="shared" si="10"/>
        <v>0</v>
      </c>
      <c r="G368" s="1560" t="e">
        <f t="shared" si="11"/>
        <v>#DIV/0!</v>
      </c>
      <c r="H368" s="2294">
        <v>0.3952</v>
      </c>
      <c r="I368" s="2296"/>
      <c r="J368" s="1550"/>
    </row>
    <row r="369" spans="1:10" ht="16.5">
      <c r="A369" s="2298" t="s">
        <v>4541</v>
      </c>
      <c r="B369" s="2299" t="s">
        <v>5850</v>
      </c>
      <c r="C369" s="1586" t="s">
        <v>3861</v>
      </c>
      <c r="D369" s="1558"/>
      <c r="E369" s="1558"/>
      <c r="F369" s="1559">
        <f t="shared" si="10"/>
        <v>0</v>
      </c>
      <c r="G369" s="1560" t="e">
        <f t="shared" si="11"/>
        <v>#DIV/0!</v>
      </c>
      <c r="H369" s="2294">
        <v>0.38619999999999999</v>
      </c>
      <c r="I369" s="2296"/>
      <c r="J369" s="1550"/>
    </row>
    <row r="370" spans="1:10" ht="16.5">
      <c r="A370" s="2298" t="s">
        <v>4542</v>
      </c>
      <c r="B370" s="2299" t="s">
        <v>5851</v>
      </c>
      <c r="C370" s="1586" t="s">
        <v>3861</v>
      </c>
      <c r="D370" s="1558"/>
      <c r="E370" s="1558"/>
      <c r="F370" s="1559">
        <f t="shared" si="10"/>
        <v>0</v>
      </c>
      <c r="G370" s="1560" t="e">
        <f t="shared" si="11"/>
        <v>#DIV/0!</v>
      </c>
      <c r="H370" s="2294">
        <v>0.51519999999999999</v>
      </c>
      <c r="I370" s="2296"/>
      <c r="J370" s="1550"/>
    </row>
    <row r="371" spans="1:10" ht="16.5">
      <c r="A371" s="2298" t="s">
        <v>4543</v>
      </c>
      <c r="B371" s="2299" t="s">
        <v>5852</v>
      </c>
      <c r="C371" s="1586" t="s">
        <v>3861</v>
      </c>
      <c r="D371" s="1558"/>
      <c r="E371" s="1558"/>
      <c r="F371" s="1559">
        <f t="shared" si="10"/>
        <v>0</v>
      </c>
      <c r="G371" s="1560" t="e">
        <f t="shared" si="11"/>
        <v>#DIV/0!</v>
      </c>
      <c r="H371" s="2294">
        <v>0.77500000000000002</v>
      </c>
      <c r="I371" s="2296"/>
      <c r="J371" s="1550"/>
    </row>
    <row r="372" spans="1:10" ht="16.5">
      <c r="A372" s="2298" t="s">
        <v>4544</v>
      </c>
      <c r="B372" s="2299" t="s">
        <v>5853</v>
      </c>
      <c r="C372" s="1586" t="s">
        <v>3861</v>
      </c>
      <c r="D372" s="1558"/>
      <c r="E372" s="1558"/>
      <c r="F372" s="1559">
        <f t="shared" si="10"/>
        <v>0</v>
      </c>
      <c r="G372" s="1560" t="e">
        <f t="shared" si="11"/>
        <v>#DIV/0!</v>
      </c>
      <c r="H372" s="2294">
        <v>0.23880000000000001</v>
      </c>
      <c r="I372" s="2296"/>
      <c r="J372" s="1550"/>
    </row>
    <row r="373" spans="1:10" ht="16.5">
      <c r="A373" s="2298" t="s">
        <v>4545</v>
      </c>
      <c r="B373" s="2299" t="s">
        <v>5854</v>
      </c>
      <c r="C373" s="1586" t="s">
        <v>3861</v>
      </c>
      <c r="D373" s="1558"/>
      <c r="E373" s="1558"/>
      <c r="F373" s="1559">
        <f t="shared" si="10"/>
        <v>0</v>
      </c>
      <c r="G373" s="1560" t="e">
        <f t="shared" si="11"/>
        <v>#DIV/0!</v>
      </c>
      <c r="H373" s="2294">
        <v>0.78400000000000003</v>
      </c>
      <c r="I373" s="2296"/>
      <c r="J373" s="1550"/>
    </row>
    <row r="374" spans="1:10" ht="16.5">
      <c r="A374" s="2298" t="s">
        <v>4546</v>
      </c>
      <c r="B374" s="2299" t="s">
        <v>5855</v>
      </c>
      <c r="C374" s="1586" t="s">
        <v>3861</v>
      </c>
      <c r="D374" s="1558"/>
      <c r="E374" s="1558"/>
      <c r="F374" s="1559">
        <f t="shared" si="10"/>
        <v>0</v>
      </c>
      <c r="G374" s="1560" t="e">
        <f t="shared" si="11"/>
        <v>#DIV/0!</v>
      </c>
      <c r="H374" s="2294">
        <v>-5.9499999999999997E-2</v>
      </c>
      <c r="I374" s="2296"/>
      <c r="J374" s="1550"/>
    </row>
    <row r="375" spans="1:10" ht="16.5">
      <c r="A375" s="2298" t="s">
        <v>4547</v>
      </c>
      <c r="B375" s="2299" t="s">
        <v>5856</v>
      </c>
      <c r="C375" s="1586" t="s">
        <v>3861</v>
      </c>
      <c r="D375" s="1558"/>
      <c r="E375" s="1558"/>
      <c r="F375" s="1559">
        <f t="shared" si="10"/>
        <v>0</v>
      </c>
      <c r="G375" s="1560" t="e">
        <f t="shared" si="11"/>
        <v>#DIV/0!</v>
      </c>
      <c r="H375" s="2294">
        <v>0.317</v>
      </c>
      <c r="I375" s="2296"/>
      <c r="J375" s="1550"/>
    </row>
    <row r="376" spans="1:10" ht="16.5">
      <c r="A376" s="2298" t="s">
        <v>4548</v>
      </c>
      <c r="B376" s="2299" t="s">
        <v>5857</v>
      </c>
      <c r="C376" s="1586" t="s">
        <v>3861</v>
      </c>
      <c r="D376" s="1558"/>
      <c r="E376" s="1558"/>
      <c r="F376" s="1559">
        <f t="shared" si="10"/>
        <v>0</v>
      </c>
      <c r="G376" s="1560" t="e">
        <f t="shared" si="11"/>
        <v>#DIV/0!</v>
      </c>
      <c r="H376" s="2294">
        <v>1.3078000000000001</v>
      </c>
      <c r="I376" s="2296"/>
      <c r="J376" s="1550"/>
    </row>
    <row r="377" spans="1:10" ht="16.5">
      <c r="A377" s="2298" t="s">
        <v>4549</v>
      </c>
      <c r="B377" s="2299" t="s">
        <v>5858</v>
      </c>
      <c r="C377" s="1586" t="s">
        <v>3861</v>
      </c>
      <c r="D377" s="1558"/>
      <c r="E377" s="1558"/>
      <c r="F377" s="1559">
        <f t="shared" si="10"/>
        <v>0</v>
      </c>
      <c r="G377" s="1560" t="e">
        <f t="shared" si="11"/>
        <v>#DIV/0!</v>
      </c>
      <c r="H377" s="2294">
        <v>0.1598</v>
      </c>
      <c r="I377" s="2296"/>
      <c r="J377" s="1550"/>
    </row>
    <row r="378" spans="1:10" ht="16.5">
      <c r="A378" s="2298" t="s">
        <v>4550</v>
      </c>
      <c r="B378" s="2299" t="s">
        <v>5859</v>
      </c>
      <c r="C378" s="1586" t="s">
        <v>3861</v>
      </c>
      <c r="D378" s="1558"/>
      <c r="E378" s="1558"/>
      <c r="F378" s="1559">
        <f t="shared" si="10"/>
        <v>0</v>
      </c>
      <c r="G378" s="1560" t="e">
        <f t="shared" si="11"/>
        <v>#DIV/0!</v>
      </c>
      <c r="H378" s="2294">
        <v>0.43959999999999999</v>
      </c>
      <c r="I378" s="2296"/>
      <c r="J378" s="1550"/>
    </row>
    <row r="379" spans="1:10" ht="16.5">
      <c r="A379" s="2298" t="s">
        <v>4551</v>
      </c>
      <c r="B379" s="2299" t="s">
        <v>5860</v>
      </c>
      <c r="C379" s="1586" t="s">
        <v>3861</v>
      </c>
      <c r="D379" s="1558"/>
      <c r="E379" s="1558"/>
      <c r="F379" s="1559">
        <f t="shared" si="10"/>
        <v>0</v>
      </c>
      <c r="G379" s="1560" t="e">
        <f t="shared" si="11"/>
        <v>#DIV/0!</v>
      </c>
      <c r="H379" s="2294">
        <v>0.83389999999999997</v>
      </c>
      <c r="I379" s="2296"/>
      <c r="J379" s="1550"/>
    </row>
    <row r="380" spans="1:10" ht="16.5">
      <c r="A380" s="2298" t="s">
        <v>4552</v>
      </c>
      <c r="B380" s="2299" t="s">
        <v>5861</v>
      </c>
      <c r="C380" s="1586" t="s">
        <v>3861</v>
      </c>
      <c r="D380" s="1558"/>
      <c r="E380" s="1558"/>
      <c r="F380" s="1559">
        <f t="shared" si="10"/>
        <v>0</v>
      </c>
      <c r="G380" s="1560" t="e">
        <f t="shared" si="11"/>
        <v>#DIV/0!</v>
      </c>
      <c r="H380" s="2294">
        <v>0.39340000000000003</v>
      </c>
      <c r="I380" s="2296"/>
      <c r="J380" s="1550"/>
    </row>
    <row r="381" spans="1:10" ht="16.5">
      <c r="A381" s="2298" t="s">
        <v>4553</v>
      </c>
      <c r="B381" s="2299" t="s">
        <v>5862</v>
      </c>
      <c r="C381" s="1586" t="s">
        <v>3861</v>
      </c>
      <c r="D381" s="1558"/>
      <c r="E381" s="1558"/>
      <c r="F381" s="1559">
        <f t="shared" si="10"/>
        <v>0</v>
      </c>
      <c r="G381" s="1560" t="e">
        <f t="shared" si="11"/>
        <v>#DIV/0!</v>
      </c>
      <c r="H381" s="2294">
        <v>1.1395</v>
      </c>
      <c r="I381" s="2296"/>
      <c r="J381" s="1550"/>
    </row>
    <row r="382" spans="1:10" ht="16.5">
      <c r="A382" s="2298" t="s">
        <v>4554</v>
      </c>
      <c r="B382" s="2299" t="s">
        <v>5863</v>
      </c>
      <c r="C382" s="1586" t="s">
        <v>3861</v>
      </c>
      <c r="D382" s="1558"/>
      <c r="E382" s="1558"/>
      <c r="F382" s="1559">
        <f t="shared" si="10"/>
        <v>0</v>
      </c>
      <c r="G382" s="1560" t="e">
        <f t="shared" si="11"/>
        <v>#DIV/0!</v>
      </c>
      <c r="H382" s="2294">
        <v>0.61429999999999996</v>
      </c>
      <c r="I382" s="2296"/>
      <c r="J382" s="1550"/>
    </row>
    <row r="383" spans="1:10" ht="16.5">
      <c r="A383" s="2298" t="s">
        <v>4555</v>
      </c>
      <c r="B383" s="2299" t="s">
        <v>5864</v>
      </c>
      <c r="C383" s="1586" t="s">
        <v>3861</v>
      </c>
      <c r="D383" s="1558"/>
      <c r="E383" s="1558"/>
      <c r="F383" s="1559">
        <f t="shared" si="10"/>
        <v>0</v>
      </c>
      <c r="G383" s="1560" t="e">
        <f t="shared" si="11"/>
        <v>#DIV/0!</v>
      </c>
      <c r="H383" s="2294">
        <v>0.64229999999999998</v>
      </c>
      <c r="I383" s="2296"/>
      <c r="J383" s="1550"/>
    </row>
    <row r="384" spans="1:10" ht="16.5">
      <c r="A384" s="2298" t="s">
        <v>4556</v>
      </c>
      <c r="B384" s="2299" t="s">
        <v>5865</v>
      </c>
      <c r="C384" s="1586" t="s">
        <v>3861</v>
      </c>
      <c r="D384" s="1558"/>
      <c r="E384" s="1558"/>
      <c r="F384" s="1559">
        <f t="shared" si="10"/>
        <v>0</v>
      </c>
      <c r="G384" s="1560" t="e">
        <f t="shared" si="11"/>
        <v>#DIV/0!</v>
      </c>
      <c r="H384" s="2294">
        <v>0.57140000000000002</v>
      </c>
      <c r="I384" s="2296"/>
      <c r="J384" s="1550"/>
    </row>
    <row r="385" spans="1:10" ht="16.5">
      <c r="A385" s="2298" t="s">
        <v>4557</v>
      </c>
      <c r="B385" s="2299" t="s">
        <v>5866</v>
      </c>
      <c r="C385" s="1586" t="s">
        <v>3861</v>
      </c>
      <c r="D385" s="1558"/>
      <c r="E385" s="1558"/>
      <c r="F385" s="1559">
        <f t="shared" si="10"/>
        <v>0</v>
      </c>
      <c r="G385" s="1560" t="e">
        <f t="shared" si="11"/>
        <v>#DIV/0!</v>
      </c>
      <c r="H385" s="2294">
        <v>0.69610000000000005</v>
      </c>
      <c r="I385" s="2296"/>
      <c r="J385" s="1550"/>
    </row>
    <row r="386" spans="1:10" ht="16.5">
      <c r="A386" s="2298" t="s">
        <v>4558</v>
      </c>
      <c r="B386" s="2299" t="s">
        <v>5867</v>
      </c>
      <c r="C386" s="1586" t="s">
        <v>3861</v>
      </c>
      <c r="D386" s="1558"/>
      <c r="E386" s="1558"/>
      <c r="F386" s="1559">
        <f t="shared" si="10"/>
        <v>0</v>
      </c>
      <c r="G386" s="1560" t="e">
        <f t="shared" si="11"/>
        <v>#DIV/0!</v>
      </c>
      <c r="H386" s="2294">
        <v>0.1784</v>
      </c>
      <c r="I386" s="2296"/>
      <c r="J386" s="1550"/>
    </row>
    <row r="387" spans="1:10" ht="16.5">
      <c r="A387" s="2298" t="s">
        <v>4559</v>
      </c>
      <c r="B387" s="2299" t="s">
        <v>5868</v>
      </c>
      <c r="C387" s="1586" t="s">
        <v>3861</v>
      </c>
      <c r="D387" s="1558"/>
      <c r="E387" s="1558"/>
      <c r="F387" s="1559">
        <f t="shared" si="10"/>
        <v>0</v>
      </c>
      <c r="G387" s="1560" t="e">
        <f t="shared" si="11"/>
        <v>#DIV/0!</v>
      </c>
      <c r="H387" s="2294">
        <v>1.2981</v>
      </c>
      <c r="I387" s="2296"/>
      <c r="J387" s="1550"/>
    </row>
    <row r="388" spans="1:10" ht="16.5">
      <c r="A388" s="2298" t="s">
        <v>4560</v>
      </c>
      <c r="B388" s="2299" t="s">
        <v>5869</v>
      </c>
      <c r="C388" s="1586" t="s">
        <v>3861</v>
      </c>
      <c r="D388" s="1558"/>
      <c r="E388" s="1558"/>
      <c r="F388" s="1559">
        <f t="shared" si="10"/>
        <v>0</v>
      </c>
      <c r="G388" s="1560" t="e">
        <f t="shared" si="11"/>
        <v>#DIV/0!</v>
      </c>
      <c r="H388" s="2294">
        <v>1.0432999999999999</v>
      </c>
      <c r="I388" s="2296"/>
      <c r="J388" s="1550"/>
    </row>
    <row r="389" spans="1:10" ht="16.5">
      <c r="A389" s="2298" t="s">
        <v>4561</v>
      </c>
      <c r="B389" s="2299" t="s">
        <v>5870</v>
      </c>
      <c r="C389" s="1586" t="s">
        <v>3861</v>
      </c>
      <c r="D389" s="1558"/>
      <c r="E389" s="1558"/>
      <c r="F389" s="1559">
        <f t="shared" ref="F389:F452" si="12">D389*E389</f>
        <v>0</v>
      </c>
      <c r="G389" s="1560" t="e">
        <f t="shared" ref="G389:G452" si="13">F389/$F$1214</f>
        <v>#DIV/0!</v>
      </c>
      <c r="H389" s="2294">
        <v>0.3674</v>
      </c>
      <c r="I389" s="2296"/>
      <c r="J389" s="1550"/>
    </row>
    <row r="390" spans="1:10" ht="16.5">
      <c r="A390" s="2298" t="s">
        <v>4562</v>
      </c>
      <c r="B390" s="2299" t="s">
        <v>5871</v>
      </c>
      <c r="C390" s="1586" t="s">
        <v>3861</v>
      </c>
      <c r="D390" s="1558"/>
      <c r="E390" s="1558"/>
      <c r="F390" s="1559">
        <f t="shared" si="12"/>
        <v>0</v>
      </c>
      <c r="G390" s="1560" t="e">
        <f t="shared" si="13"/>
        <v>#DIV/0!</v>
      </c>
      <c r="H390" s="2294">
        <v>0.20530000000000001</v>
      </c>
      <c r="I390" s="2296"/>
      <c r="J390" s="1550"/>
    </row>
    <row r="391" spans="1:10" ht="16.5">
      <c r="A391" s="2298" t="s">
        <v>4563</v>
      </c>
      <c r="B391" s="2299" t="s">
        <v>5872</v>
      </c>
      <c r="C391" s="1586" t="s">
        <v>3861</v>
      </c>
      <c r="D391" s="1558"/>
      <c r="E391" s="1558"/>
      <c r="F391" s="1559">
        <f t="shared" si="12"/>
        <v>0</v>
      </c>
      <c r="G391" s="1560" t="e">
        <f t="shared" si="13"/>
        <v>#DIV/0!</v>
      </c>
      <c r="H391" s="2294">
        <v>0.49349999999999999</v>
      </c>
      <c r="I391" s="2296"/>
      <c r="J391" s="1550"/>
    </row>
    <row r="392" spans="1:10" ht="16.5">
      <c r="A392" s="2298" t="s">
        <v>4564</v>
      </c>
      <c r="B392" s="2299" t="s">
        <v>5873</v>
      </c>
      <c r="C392" s="1586" t="s">
        <v>3861</v>
      </c>
      <c r="D392" s="1558"/>
      <c r="E392" s="1558"/>
      <c r="F392" s="1559">
        <f t="shared" si="12"/>
        <v>0</v>
      </c>
      <c r="G392" s="1560" t="e">
        <f t="shared" si="13"/>
        <v>#DIV/0!</v>
      </c>
      <c r="H392" s="2294">
        <v>1.2339</v>
      </c>
      <c r="I392" s="2296"/>
      <c r="J392" s="1550"/>
    </row>
    <row r="393" spans="1:10" ht="16.5">
      <c r="A393" s="2298" t="s">
        <v>4565</v>
      </c>
      <c r="B393" s="2299" t="s">
        <v>5874</v>
      </c>
      <c r="C393" s="1586" t="s">
        <v>3861</v>
      </c>
      <c r="D393" s="1558"/>
      <c r="E393" s="1558"/>
      <c r="F393" s="1559">
        <f t="shared" si="12"/>
        <v>0</v>
      </c>
      <c r="G393" s="1560" t="e">
        <f t="shared" si="13"/>
        <v>#DIV/0!</v>
      </c>
      <c r="H393" s="2294">
        <v>1.4766999999999999</v>
      </c>
      <c r="I393" s="2296"/>
      <c r="J393" s="1550"/>
    </row>
    <row r="394" spans="1:10" ht="16.5">
      <c r="A394" s="2298" t="s">
        <v>4566</v>
      </c>
      <c r="B394" s="2299" t="s">
        <v>5875</v>
      </c>
      <c r="C394" s="1586" t="s">
        <v>3861</v>
      </c>
      <c r="D394" s="1558"/>
      <c r="E394" s="1558"/>
      <c r="F394" s="1559">
        <f t="shared" si="12"/>
        <v>0</v>
      </c>
      <c r="G394" s="1560" t="e">
        <f t="shared" si="13"/>
        <v>#DIV/0!</v>
      </c>
      <c r="H394" s="2294">
        <v>1.5397000000000001</v>
      </c>
      <c r="I394" s="2296"/>
      <c r="J394" s="1550"/>
    </row>
    <row r="395" spans="1:10" ht="16.5">
      <c r="A395" s="2298" t="s">
        <v>4567</v>
      </c>
      <c r="B395" s="2299" t="s">
        <v>5876</v>
      </c>
      <c r="C395" s="1586" t="s">
        <v>3861</v>
      </c>
      <c r="D395" s="1558"/>
      <c r="E395" s="1558"/>
      <c r="F395" s="1559">
        <f t="shared" si="12"/>
        <v>0</v>
      </c>
      <c r="G395" s="1560" t="e">
        <f t="shared" si="13"/>
        <v>#DIV/0!</v>
      </c>
      <c r="H395" s="2294">
        <v>0.9012</v>
      </c>
      <c r="I395" s="2296"/>
      <c r="J395" s="1550"/>
    </row>
    <row r="396" spans="1:10" ht="16.5">
      <c r="A396" s="2298" t="s">
        <v>4568</v>
      </c>
      <c r="B396" s="2299" t="s">
        <v>5877</v>
      </c>
      <c r="C396" s="1586" t="s">
        <v>3861</v>
      </c>
      <c r="D396" s="1558"/>
      <c r="E396" s="1558"/>
      <c r="F396" s="1559">
        <f t="shared" si="12"/>
        <v>0</v>
      </c>
      <c r="G396" s="1560" t="e">
        <f t="shared" si="13"/>
        <v>#DIV/0!</v>
      </c>
      <c r="H396" s="2294">
        <v>1.1520999999999999</v>
      </c>
      <c r="I396" s="2296"/>
      <c r="J396" s="1550"/>
    </row>
    <row r="397" spans="1:10" ht="16.5">
      <c r="A397" s="2298" t="s">
        <v>4569</v>
      </c>
      <c r="B397" s="2299" t="s">
        <v>5878</v>
      </c>
      <c r="C397" s="1586" t="s">
        <v>3861</v>
      </c>
      <c r="D397" s="1558"/>
      <c r="E397" s="1558"/>
      <c r="F397" s="1559">
        <f t="shared" si="12"/>
        <v>0</v>
      </c>
      <c r="G397" s="1560" t="e">
        <f t="shared" si="13"/>
        <v>#DIV/0!</v>
      </c>
      <c r="H397" s="2294">
        <v>0.34839999999999999</v>
      </c>
      <c r="I397" s="2296"/>
      <c r="J397" s="1550"/>
    </row>
    <row r="398" spans="1:10" ht="16.5">
      <c r="A398" s="2298" t="s">
        <v>4570</v>
      </c>
      <c r="B398" s="2299" t="s">
        <v>5879</v>
      </c>
      <c r="C398" s="1586" t="s">
        <v>3861</v>
      </c>
      <c r="D398" s="1558"/>
      <c r="E398" s="1558"/>
      <c r="F398" s="1559">
        <f t="shared" si="12"/>
        <v>0</v>
      </c>
      <c r="G398" s="1560" t="e">
        <f t="shared" si="13"/>
        <v>#DIV/0!</v>
      </c>
      <c r="H398" s="2294">
        <v>0.38669999999999999</v>
      </c>
      <c r="I398" s="2296"/>
      <c r="J398" s="1550"/>
    </row>
    <row r="399" spans="1:10" ht="16.5">
      <c r="A399" s="2298" t="s">
        <v>4571</v>
      </c>
      <c r="B399" s="2299" t="s">
        <v>5880</v>
      </c>
      <c r="C399" s="1586" t="s">
        <v>3861</v>
      </c>
      <c r="D399" s="1558"/>
      <c r="E399" s="1558"/>
      <c r="F399" s="1559">
        <f t="shared" si="12"/>
        <v>0</v>
      </c>
      <c r="G399" s="1560" t="e">
        <f t="shared" si="13"/>
        <v>#DIV/0!</v>
      </c>
      <c r="H399" s="2294">
        <v>0.23810000000000001</v>
      </c>
      <c r="I399" s="2296"/>
      <c r="J399" s="1550"/>
    </row>
    <row r="400" spans="1:10" ht="16.5">
      <c r="A400" s="2298" t="s">
        <v>4572</v>
      </c>
      <c r="B400" s="2299" t="s">
        <v>5881</v>
      </c>
      <c r="C400" s="1586" t="s">
        <v>3861</v>
      </c>
      <c r="D400" s="1558"/>
      <c r="E400" s="1558"/>
      <c r="F400" s="1559">
        <f t="shared" si="12"/>
        <v>0</v>
      </c>
      <c r="G400" s="1560" t="e">
        <f t="shared" si="13"/>
        <v>#DIV/0!</v>
      </c>
      <c r="H400" s="2294">
        <v>0.36609999999999998</v>
      </c>
      <c r="I400" s="2296"/>
      <c r="J400" s="1550"/>
    </row>
    <row r="401" spans="1:10" ht="16.5">
      <c r="A401" s="2298" t="s">
        <v>4573</v>
      </c>
      <c r="B401" s="2299" t="s">
        <v>5882</v>
      </c>
      <c r="C401" s="1586" t="s">
        <v>3861</v>
      </c>
      <c r="D401" s="1558"/>
      <c r="E401" s="1558"/>
      <c r="F401" s="1559">
        <f t="shared" si="12"/>
        <v>0</v>
      </c>
      <c r="G401" s="1560" t="e">
        <f t="shared" si="13"/>
        <v>#DIV/0!</v>
      </c>
      <c r="H401" s="2294">
        <v>0.65810000000000002</v>
      </c>
      <c r="I401" s="2296"/>
      <c r="J401" s="1550"/>
    </row>
    <row r="402" spans="1:10" ht="16.5">
      <c r="A402" s="2298" t="s">
        <v>4574</v>
      </c>
      <c r="B402" s="2299" t="s">
        <v>5883</v>
      </c>
      <c r="C402" s="1586" t="s">
        <v>3861</v>
      </c>
      <c r="D402" s="1558"/>
      <c r="E402" s="1558"/>
      <c r="F402" s="1559">
        <f t="shared" si="12"/>
        <v>0</v>
      </c>
      <c r="G402" s="1560" t="e">
        <f t="shared" si="13"/>
        <v>#DIV/0!</v>
      </c>
      <c r="H402" s="2294">
        <v>0.56659999999999999</v>
      </c>
      <c r="I402" s="2296"/>
      <c r="J402" s="1550"/>
    </row>
    <row r="403" spans="1:10" ht="16.5">
      <c r="A403" s="2298" t="s">
        <v>4575</v>
      </c>
      <c r="B403" s="2299" t="s">
        <v>5884</v>
      </c>
      <c r="C403" s="1586" t="s">
        <v>3861</v>
      </c>
      <c r="D403" s="1558"/>
      <c r="E403" s="1558"/>
      <c r="F403" s="1559">
        <f t="shared" si="12"/>
        <v>0</v>
      </c>
      <c r="G403" s="1560" t="e">
        <f t="shared" si="13"/>
        <v>#DIV/0!</v>
      </c>
      <c r="H403" s="2294">
        <v>0.48509999999999998</v>
      </c>
      <c r="I403" s="2296"/>
      <c r="J403" s="1550"/>
    </row>
    <row r="404" spans="1:10" ht="16.5">
      <c r="A404" s="2298" t="s">
        <v>4576</v>
      </c>
      <c r="B404" s="2299" t="s">
        <v>5885</v>
      </c>
      <c r="C404" s="1586" t="s">
        <v>3861</v>
      </c>
      <c r="D404" s="1558"/>
      <c r="E404" s="1558"/>
      <c r="F404" s="1559">
        <f t="shared" si="12"/>
        <v>0</v>
      </c>
      <c r="G404" s="1560" t="e">
        <f t="shared" si="13"/>
        <v>#DIV/0!</v>
      </c>
      <c r="H404" s="2294">
        <v>0.61909999999999998</v>
      </c>
      <c r="I404" s="2296"/>
      <c r="J404" s="1550"/>
    </row>
    <row r="405" spans="1:10" ht="16.5">
      <c r="A405" s="2298" t="s">
        <v>4577</v>
      </c>
      <c r="B405" s="2299" t="s">
        <v>5886</v>
      </c>
      <c r="C405" s="1586" t="s">
        <v>3861</v>
      </c>
      <c r="D405" s="1558"/>
      <c r="E405" s="1558"/>
      <c r="F405" s="1559">
        <f t="shared" si="12"/>
        <v>0</v>
      </c>
      <c r="G405" s="1560" t="e">
        <f t="shared" si="13"/>
        <v>#DIV/0!</v>
      </c>
      <c r="H405" s="2294">
        <v>0.40229999999999999</v>
      </c>
      <c r="I405" s="2296"/>
      <c r="J405" s="1550"/>
    </row>
    <row r="406" spans="1:10" ht="16.5">
      <c r="A406" s="2298" t="s">
        <v>4578</v>
      </c>
      <c r="B406" s="2299" t="s">
        <v>5887</v>
      </c>
      <c r="C406" s="1586" t="s">
        <v>3861</v>
      </c>
      <c r="D406" s="1558"/>
      <c r="E406" s="1558"/>
      <c r="F406" s="1559">
        <f t="shared" si="12"/>
        <v>0</v>
      </c>
      <c r="G406" s="1560" t="e">
        <f t="shared" si="13"/>
        <v>#DIV/0!</v>
      </c>
      <c r="H406" s="2294">
        <v>0.41220000000000001</v>
      </c>
      <c r="I406" s="2296"/>
      <c r="J406" s="1550"/>
    </row>
    <row r="407" spans="1:10" ht="16.5">
      <c r="A407" s="2298" t="s">
        <v>4579</v>
      </c>
      <c r="B407" s="2299" t="s">
        <v>5888</v>
      </c>
      <c r="C407" s="1586" t="s">
        <v>3861</v>
      </c>
      <c r="D407" s="1558"/>
      <c r="E407" s="1558"/>
      <c r="F407" s="1559">
        <f t="shared" si="12"/>
        <v>0</v>
      </c>
      <c r="G407" s="1560" t="e">
        <f t="shared" si="13"/>
        <v>#DIV/0!</v>
      </c>
      <c r="H407" s="2294">
        <v>0.78029999999999999</v>
      </c>
      <c r="I407" s="2296"/>
      <c r="J407" s="1550"/>
    </row>
    <row r="408" spans="1:10" ht="16.5">
      <c r="A408" s="2298" t="s">
        <v>4580</v>
      </c>
      <c r="B408" s="2299" t="s">
        <v>5889</v>
      </c>
      <c r="C408" s="1586" t="s">
        <v>3861</v>
      </c>
      <c r="D408" s="1558"/>
      <c r="E408" s="1558"/>
      <c r="F408" s="1559">
        <f t="shared" si="12"/>
        <v>0</v>
      </c>
      <c r="G408" s="1560" t="e">
        <f t="shared" si="13"/>
        <v>#DIV/0!</v>
      </c>
      <c r="H408" s="2294">
        <v>1.9484999999999999</v>
      </c>
      <c r="I408" s="2296"/>
      <c r="J408" s="1550"/>
    </row>
    <row r="409" spans="1:10" ht="16.5">
      <c r="A409" s="2298" t="s">
        <v>4581</v>
      </c>
      <c r="B409" s="2299" t="s">
        <v>5890</v>
      </c>
      <c r="C409" s="1586" t="s">
        <v>3861</v>
      </c>
      <c r="D409" s="1558"/>
      <c r="E409" s="1558"/>
      <c r="F409" s="1559">
        <f t="shared" si="12"/>
        <v>0</v>
      </c>
      <c r="G409" s="1560" t="e">
        <f t="shared" si="13"/>
        <v>#DIV/0!</v>
      </c>
      <c r="H409" s="2294">
        <v>0.15029999999999999</v>
      </c>
      <c r="I409" s="2296"/>
      <c r="J409" s="1550"/>
    </row>
    <row r="410" spans="1:10" ht="16.5">
      <c r="A410" s="2298" t="s">
        <v>4582</v>
      </c>
      <c r="B410" s="2299" t="s">
        <v>5891</v>
      </c>
      <c r="C410" s="1586" t="s">
        <v>3861</v>
      </c>
      <c r="D410" s="1558"/>
      <c r="E410" s="1558"/>
      <c r="F410" s="1559">
        <f t="shared" si="12"/>
        <v>0</v>
      </c>
      <c r="G410" s="1560" t="e">
        <f t="shared" si="13"/>
        <v>#DIV/0!</v>
      </c>
      <c r="H410" s="2294">
        <v>0.47149999999999997</v>
      </c>
      <c r="I410" s="2296"/>
      <c r="J410" s="1550"/>
    </row>
    <row r="411" spans="1:10" ht="16.5">
      <c r="A411" s="2298" t="s">
        <v>4583</v>
      </c>
      <c r="B411" s="2299" t="s">
        <v>5892</v>
      </c>
      <c r="C411" s="1586" t="s">
        <v>3861</v>
      </c>
      <c r="D411" s="1558"/>
      <c r="E411" s="1558"/>
      <c r="F411" s="1559">
        <f t="shared" si="12"/>
        <v>0</v>
      </c>
      <c r="G411" s="1560" t="e">
        <f t="shared" si="13"/>
        <v>#DIV/0!</v>
      </c>
      <c r="H411" s="2294">
        <v>1.4639</v>
      </c>
      <c r="I411" s="2296"/>
      <c r="J411" s="1550"/>
    </row>
    <row r="412" spans="1:10" ht="16.5">
      <c r="A412" s="2298" t="s">
        <v>4584</v>
      </c>
      <c r="B412" s="2299" t="s">
        <v>5893</v>
      </c>
      <c r="C412" s="1586" t="s">
        <v>3861</v>
      </c>
      <c r="D412" s="1558"/>
      <c r="E412" s="1558"/>
      <c r="F412" s="1559">
        <f t="shared" si="12"/>
        <v>0</v>
      </c>
      <c r="G412" s="1560" t="e">
        <f t="shared" si="13"/>
        <v>#DIV/0!</v>
      </c>
      <c r="H412" s="2294">
        <v>0.66869999999999996</v>
      </c>
      <c r="I412" s="2296"/>
      <c r="J412" s="1550"/>
    </row>
    <row r="413" spans="1:10" ht="16.5">
      <c r="A413" s="2298" t="s">
        <v>4585</v>
      </c>
      <c r="B413" s="2299" t="s">
        <v>5894</v>
      </c>
      <c r="C413" s="1586" t="s">
        <v>3861</v>
      </c>
      <c r="D413" s="1558"/>
      <c r="E413" s="1558"/>
      <c r="F413" s="1559">
        <f t="shared" si="12"/>
        <v>0</v>
      </c>
      <c r="G413" s="1560" t="e">
        <f t="shared" si="13"/>
        <v>#DIV/0!</v>
      </c>
      <c r="H413" s="2294">
        <v>1.0552999999999999</v>
      </c>
      <c r="I413" s="2296"/>
      <c r="J413" s="1550"/>
    </row>
    <row r="414" spans="1:10" ht="16.5">
      <c r="A414" s="2298" t="s">
        <v>4586</v>
      </c>
      <c r="B414" s="2299" t="s">
        <v>5895</v>
      </c>
      <c r="C414" s="1586" t="s">
        <v>3861</v>
      </c>
      <c r="D414" s="1558"/>
      <c r="E414" s="1558"/>
      <c r="F414" s="1559">
        <f t="shared" si="12"/>
        <v>0</v>
      </c>
      <c r="G414" s="1560" t="e">
        <f t="shared" si="13"/>
        <v>#DIV/0!</v>
      </c>
      <c r="H414" s="2294">
        <v>0.15</v>
      </c>
      <c r="I414" s="2296"/>
      <c r="J414" s="1550"/>
    </row>
    <row r="415" spans="1:10" ht="16.5">
      <c r="A415" s="2298" t="s">
        <v>4587</v>
      </c>
      <c r="B415" s="2299" t="s">
        <v>5896</v>
      </c>
      <c r="C415" s="1586" t="s">
        <v>3861</v>
      </c>
      <c r="D415" s="1558"/>
      <c r="E415" s="1558"/>
      <c r="F415" s="1559">
        <f t="shared" si="12"/>
        <v>0</v>
      </c>
      <c r="G415" s="1560" t="e">
        <f t="shared" si="13"/>
        <v>#DIV/0!</v>
      </c>
      <c r="H415" s="2294">
        <v>0.3372</v>
      </c>
      <c r="I415" s="2296"/>
      <c r="J415" s="1550"/>
    </row>
    <row r="416" spans="1:10" ht="16.5">
      <c r="A416" s="2298" t="s">
        <v>4588</v>
      </c>
      <c r="B416" s="2299" t="s">
        <v>5897</v>
      </c>
      <c r="C416" s="1586" t="s">
        <v>3861</v>
      </c>
      <c r="D416" s="1558"/>
      <c r="E416" s="1558"/>
      <c r="F416" s="1559">
        <f t="shared" si="12"/>
        <v>0</v>
      </c>
      <c r="G416" s="1560" t="e">
        <f t="shared" si="13"/>
        <v>#DIV/0!</v>
      </c>
      <c r="H416" s="2294">
        <v>0.49180000000000001</v>
      </c>
      <c r="I416" s="2296"/>
      <c r="J416" s="1550"/>
    </row>
    <row r="417" spans="1:10" ht="16.5">
      <c r="A417" s="2298" t="s">
        <v>4589</v>
      </c>
      <c r="B417" s="2299" t="s">
        <v>5898</v>
      </c>
      <c r="C417" s="1586" t="s">
        <v>3861</v>
      </c>
      <c r="D417" s="1558"/>
      <c r="E417" s="1558"/>
      <c r="F417" s="1559">
        <f t="shared" si="12"/>
        <v>0</v>
      </c>
      <c r="G417" s="1560" t="e">
        <f t="shared" si="13"/>
        <v>#DIV/0!</v>
      </c>
      <c r="H417" s="2294">
        <v>0.92910000000000004</v>
      </c>
      <c r="I417" s="2296"/>
      <c r="J417" s="1550"/>
    </row>
    <row r="418" spans="1:10" ht="16.5">
      <c r="A418" s="2298" t="s">
        <v>4590</v>
      </c>
      <c r="B418" s="2299" t="s">
        <v>5899</v>
      </c>
      <c r="C418" s="1586" t="s">
        <v>3861</v>
      </c>
      <c r="D418" s="1558"/>
      <c r="E418" s="1558"/>
      <c r="F418" s="1559">
        <f t="shared" si="12"/>
        <v>0</v>
      </c>
      <c r="G418" s="1560" t="e">
        <f t="shared" si="13"/>
        <v>#DIV/0!</v>
      </c>
      <c r="H418" s="2294">
        <v>0.60450000000000004</v>
      </c>
      <c r="I418" s="2296"/>
      <c r="J418" s="1550"/>
    </row>
    <row r="419" spans="1:10" ht="16.5">
      <c r="A419" s="2298" t="s">
        <v>4591</v>
      </c>
      <c r="B419" s="2299" t="s">
        <v>5900</v>
      </c>
      <c r="C419" s="1586" t="s">
        <v>3861</v>
      </c>
      <c r="D419" s="1558"/>
      <c r="E419" s="1558"/>
      <c r="F419" s="1559">
        <f t="shared" si="12"/>
        <v>0</v>
      </c>
      <c r="G419" s="1560" t="e">
        <f t="shared" si="13"/>
        <v>#DIV/0!</v>
      </c>
      <c r="H419" s="2294">
        <v>0.57050000000000001</v>
      </c>
      <c r="I419" s="2296"/>
      <c r="J419" s="1550"/>
    </row>
    <row r="420" spans="1:10" ht="16.5">
      <c r="A420" s="2298" t="s">
        <v>4592</v>
      </c>
      <c r="B420" s="2299" t="s">
        <v>5901</v>
      </c>
      <c r="C420" s="1586" t="s">
        <v>3861</v>
      </c>
      <c r="D420" s="1558"/>
      <c r="E420" s="1558"/>
      <c r="F420" s="1559">
        <f t="shared" si="12"/>
        <v>0</v>
      </c>
      <c r="G420" s="1560" t="e">
        <f t="shared" si="13"/>
        <v>#DIV/0!</v>
      </c>
      <c r="H420" s="2294">
        <v>0.55930000000000002</v>
      </c>
      <c r="I420" s="2296"/>
      <c r="J420" s="1550"/>
    </row>
    <row r="421" spans="1:10" ht="16.5">
      <c r="A421" s="2298" t="s">
        <v>4593</v>
      </c>
      <c r="B421" s="2299" t="s">
        <v>5902</v>
      </c>
      <c r="C421" s="1586" t="s">
        <v>3861</v>
      </c>
      <c r="D421" s="1558"/>
      <c r="E421" s="1558"/>
      <c r="F421" s="1559">
        <f t="shared" si="12"/>
        <v>0</v>
      </c>
      <c r="G421" s="1560" t="e">
        <f t="shared" si="13"/>
        <v>#DIV/0!</v>
      </c>
      <c r="H421" s="2294">
        <v>0.29920000000000002</v>
      </c>
      <c r="I421" s="2296"/>
      <c r="J421" s="1550"/>
    </row>
    <row r="422" spans="1:10" ht="16.5">
      <c r="A422" s="2298" t="s">
        <v>4594</v>
      </c>
      <c r="B422" s="2299" t="s">
        <v>5903</v>
      </c>
      <c r="C422" s="1586" t="s">
        <v>3861</v>
      </c>
      <c r="D422" s="1558"/>
      <c r="E422" s="1558"/>
      <c r="F422" s="1559">
        <f t="shared" si="12"/>
        <v>0</v>
      </c>
      <c r="G422" s="1560" t="e">
        <f t="shared" si="13"/>
        <v>#DIV/0!</v>
      </c>
      <c r="H422" s="2294">
        <v>1.7395</v>
      </c>
      <c r="I422" s="2296"/>
      <c r="J422" s="1550"/>
    </row>
    <row r="423" spans="1:10" ht="16.5">
      <c r="A423" s="2298" t="s">
        <v>4595</v>
      </c>
      <c r="B423" s="2299" t="s">
        <v>5904</v>
      </c>
      <c r="C423" s="1586" t="s">
        <v>3861</v>
      </c>
      <c r="D423" s="1558"/>
      <c r="E423" s="1558"/>
      <c r="F423" s="1559">
        <f t="shared" si="12"/>
        <v>0</v>
      </c>
      <c r="G423" s="1560" t="e">
        <f t="shared" si="13"/>
        <v>#DIV/0!</v>
      </c>
      <c r="H423" s="2294">
        <v>0.3528</v>
      </c>
      <c r="I423" s="2296"/>
      <c r="J423" s="1550"/>
    </row>
    <row r="424" spans="1:10" ht="16.5">
      <c r="A424" s="2298" t="s">
        <v>4596</v>
      </c>
      <c r="B424" s="2299" t="s">
        <v>5905</v>
      </c>
      <c r="C424" s="1586" t="s">
        <v>3861</v>
      </c>
      <c r="D424" s="1558"/>
      <c r="E424" s="1558"/>
      <c r="F424" s="1559">
        <f t="shared" si="12"/>
        <v>0</v>
      </c>
      <c r="G424" s="1560" t="e">
        <f t="shared" si="13"/>
        <v>#DIV/0!</v>
      </c>
      <c r="H424" s="2294">
        <v>0.4244</v>
      </c>
      <c r="I424" s="2296"/>
      <c r="J424" s="1550"/>
    </row>
    <row r="425" spans="1:10" ht="16.5">
      <c r="A425" s="2298" t="s">
        <v>4597</v>
      </c>
      <c r="B425" s="2299" t="s">
        <v>5906</v>
      </c>
      <c r="C425" s="1586" t="s">
        <v>3861</v>
      </c>
      <c r="D425" s="1558"/>
      <c r="E425" s="1558"/>
      <c r="F425" s="1559">
        <f t="shared" si="12"/>
        <v>0</v>
      </c>
      <c r="G425" s="1560" t="e">
        <f t="shared" si="13"/>
        <v>#DIV/0!</v>
      </c>
      <c r="H425" s="2294">
        <v>0.17849999999999999</v>
      </c>
      <c r="I425" s="2296"/>
      <c r="J425" s="1550"/>
    </row>
    <row r="426" spans="1:10" ht="16.5">
      <c r="A426" s="2298" t="s">
        <v>4598</v>
      </c>
      <c r="B426" s="2299" t="s">
        <v>5907</v>
      </c>
      <c r="C426" s="1586" t="s">
        <v>3861</v>
      </c>
      <c r="D426" s="1558"/>
      <c r="E426" s="1558"/>
      <c r="F426" s="1559">
        <f t="shared" si="12"/>
        <v>0</v>
      </c>
      <c r="G426" s="1560" t="e">
        <f t="shared" si="13"/>
        <v>#DIV/0!</v>
      </c>
      <c r="H426" s="2294">
        <v>0.22070000000000001</v>
      </c>
      <c r="I426" s="2296"/>
      <c r="J426" s="1550"/>
    </row>
    <row r="427" spans="1:10" ht="16.5">
      <c r="A427" s="2298" t="s">
        <v>4599</v>
      </c>
      <c r="B427" s="2299" t="s">
        <v>5908</v>
      </c>
      <c r="C427" s="1586" t="s">
        <v>3861</v>
      </c>
      <c r="D427" s="1558"/>
      <c r="E427" s="1558"/>
      <c r="F427" s="1559">
        <f t="shared" si="12"/>
        <v>0</v>
      </c>
      <c r="G427" s="1560" t="e">
        <f t="shared" si="13"/>
        <v>#DIV/0!</v>
      </c>
      <c r="H427" s="2294">
        <v>0.96609999999999996</v>
      </c>
      <c r="I427" s="2296"/>
      <c r="J427" s="1550"/>
    </row>
    <row r="428" spans="1:10" ht="16.5">
      <c r="A428" s="2298" t="s">
        <v>4600</v>
      </c>
      <c r="B428" s="2299" t="s">
        <v>5909</v>
      </c>
      <c r="C428" s="1586" t="s">
        <v>3861</v>
      </c>
      <c r="D428" s="1558"/>
      <c r="E428" s="1558"/>
      <c r="F428" s="1559">
        <f t="shared" si="12"/>
        <v>0</v>
      </c>
      <c r="G428" s="1560" t="e">
        <f t="shared" si="13"/>
        <v>#DIV/0!</v>
      </c>
      <c r="H428" s="2294">
        <v>0.5726</v>
      </c>
      <c r="I428" s="2296"/>
      <c r="J428" s="1550"/>
    </row>
    <row r="429" spans="1:10" ht="16.5">
      <c r="A429" s="2298" t="s">
        <v>4601</v>
      </c>
      <c r="B429" s="2299" t="s">
        <v>5910</v>
      </c>
      <c r="C429" s="1586" t="s">
        <v>3861</v>
      </c>
      <c r="D429" s="1558"/>
      <c r="E429" s="1558"/>
      <c r="F429" s="1559">
        <f t="shared" si="12"/>
        <v>0</v>
      </c>
      <c r="G429" s="1560" t="e">
        <f t="shared" si="13"/>
        <v>#DIV/0!</v>
      </c>
      <c r="H429" s="2294">
        <v>0.3468</v>
      </c>
      <c r="I429" s="2296"/>
      <c r="J429" s="1550"/>
    </row>
    <row r="430" spans="1:10" ht="16.5">
      <c r="A430" s="2298" t="s">
        <v>4602</v>
      </c>
      <c r="B430" s="2299" t="s">
        <v>5911</v>
      </c>
      <c r="C430" s="1586" t="s">
        <v>3861</v>
      </c>
      <c r="D430" s="1558"/>
      <c r="E430" s="1558"/>
      <c r="F430" s="1559">
        <f t="shared" si="12"/>
        <v>0</v>
      </c>
      <c r="G430" s="1560" t="e">
        <f t="shared" si="13"/>
        <v>#DIV/0!</v>
      </c>
      <c r="H430" s="2294">
        <v>0.54400000000000004</v>
      </c>
      <c r="I430" s="2296"/>
      <c r="J430" s="1550"/>
    </row>
    <row r="431" spans="1:10" ht="16.5">
      <c r="A431" s="2298" t="s">
        <v>4603</v>
      </c>
      <c r="B431" s="2299" t="s">
        <v>5912</v>
      </c>
      <c r="C431" s="1586" t="s">
        <v>3861</v>
      </c>
      <c r="D431" s="1558"/>
      <c r="E431" s="1558"/>
      <c r="F431" s="1559">
        <f t="shared" si="12"/>
        <v>0</v>
      </c>
      <c r="G431" s="1560" t="e">
        <f t="shared" si="13"/>
        <v>#DIV/0!</v>
      </c>
      <c r="H431" s="2294">
        <v>0.36</v>
      </c>
      <c r="I431" s="2296"/>
      <c r="J431" s="1550"/>
    </row>
    <row r="432" spans="1:10" ht="16.5">
      <c r="A432" s="2298" t="s">
        <v>4604</v>
      </c>
      <c r="B432" s="2299" t="s">
        <v>5913</v>
      </c>
      <c r="C432" s="1586" t="s">
        <v>3861</v>
      </c>
      <c r="D432" s="1558"/>
      <c r="E432" s="1558"/>
      <c r="F432" s="1559">
        <f t="shared" si="12"/>
        <v>0</v>
      </c>
      <c r="G432" s="1560" t="e">
        <f t="shared" si="13"/>
        <v>#DIV/0!</v>
      </c>
      <c r="H432" s="2294">
        <v>0.16109999999999999</v>
      </c>
      <c r="I432" s="2296"/>
      <c r="J432" s="1550"/>
    </row>
    <row r="433" spans="1:10" ht="16.5">
      <c r="A433" s="2298" t="s">
        <v>4605</v>
      </c>
      <c r="B433" s="2299" t="s">
        <v>5914</v>
      </c>
      <c r="C433" s="1586" t="s">
        <v>3861</v>
      </c>
      <c r="D433" s="1558"/>
      <c r="E433" s="1558"/>
      <c r="F433" s="1559">
        <f t="shared" si="12"/>
        <v>0</v>
      </c>
      <c r="G433" s="1560" t="e">
        <f t="shared" si="13"/>
        <v>#DIV/0!</v>
      </c>
      <c r="H433" s="2294">
        <v>0.2954</v>
      </c>
      <c r="I433" s="2296"/>
      <c r="J433" s="1550"/>
    </row>
    <row r="434" spans="1:10" ht="16.5">
      <c r="A434" s="2298" t="s">
        <v>4606</v>
      </c>
      <c r="B434" s="2299" t="s">
        <v>5915</v>
      </c>
      <c r="C434" s="1586" t="s">
        <v>3861</v>
      </c>
      <c r="D434" s="1558"/>
      <c r="E434" s="1558"/>
      <c r="F434" s="1559">
        <f t="shared" si="12"/>
        <v>0</v>
      </c>
      <c r="G434" s="1560" t="e">
        <f t="shared" si="13"/>
        <v>#DIV/0!</v>
      </c>
      <c r="H434" s="2294">
        <v>0.40529999999999999</v>
      </c>
      <c r="I434" s="2296"/>
      <c r="J434" s="1550"/>
    </row>
    <row r="435" spans="1:10" ht="16.5">
      <c r="A435" s="2298" t="s">
        <v>4607</v>
      </c>
      <c r="B435" s="2299" t="s">
        <v>5916</v>
      </c>
      <c r="C435" s="1586" t="s">
        <v>3861</v>
      </c>
      <c r="D435" s="1558"/>
      <c r="E435" s="1558"/>
      <c r="F435" s="1559">
        <f t="shared" si="12"/>
        <v>0</v>
      </c>
      <c r="G435" s="1560" t="e">
        <f t="shared" si="13"/>
        <v>#DIV/0!</v>
      </c>
      <c r="H435" s="2294">
        <v>0.30809999999999998</v>
      </c>
      <c r="I435" s="2296"/>
      <c r="J435" s="1550"/>
    </row>
    <row r="436" spans="1:10" ht="16.5">
      <c r="A436" s="2298" t="s">
        <v>4608</v>
      </c>
      <c r="B436" s="2299" t="s">
        <v>5917</v>
      </c>
      <c r="C436" s="1586" t="s">
        <v>3861</v>
      </c>
      <c r="D436" s="1558"/>
      <c r="E436" s="1558"/>
      <c r="F436" s="1559">
        <f t="shared" si="12"/>
        <v>0</v>
      </c>
      <c r="G436" s="1560" t="e">
        <f t="shared" si="13"/>
        <v>#DIV/0!</v>
      </c>
      <c r="H436" s="2294">
        <v>0.42420000000000002</v>
      </c>
      <c r="I436" s="2296"/>
      <c r="J436" s="1550"/>
    </row>
    <row r="437" spans="1:10" ht="16.5">
      <c r="A437" s="2298" t="s">
        <v>4609</v>
      </c>
      <c r="B437" s="2299" t="s">
        <v>5918</v>
      </c>
      <c r="C437" s="1586" t="s">
        <v>3861</v>
      </c>
      <c r="D437" s="1558"/>
      <c r="E437" s="1558"/>
      <c r="F437" s="1559">
        <f t="shared" si="12"/>
        <v>0</v>
      </c>
      <c r="G437" s="1560" t="e">
        <f t="shared" si="13"/>
        <v>#DIV/0!</v>
      </c>
      <c r="H437" s="2294">
        <v>0.1769</v>
      </c>
      <c r="I437" s="2296"/>
      <c r="J437" s="1550"/>
    </row>
    <row r="438" spans="1:10" ht="16.5">
      <c r="A438" s="2298" t="s">
        <v>4610</v>
      </c>
      <c r="B438" s="2299" t="s">
        <v>5919</v>
      </c>
      <c r="C438" s="1586" t="s">
        <v>3861</v>
      </c>
      <c r="D438" s="1558"/>
      <c r="E438" s="1558"/>
      <c r="F438" s="1559">
        <f t="shared" si="12"/>
        <v>0</v>
      </c>
      <c r="G438" s="1560" t="e">
        <f t="shared" si="13"/>
        <v>#DIV/0!</v>
      </c>
      <c r="H438" s="2294">
        <v>5.9499999999999997E-2</v>
      </c>
      <c r="I438" s="2296"/>
      <c r="J438" s="1550"/>
    </row>
    <row r="439" spans="1:10" ht="16.5">
      <c r="A439" s="2298" t="s">
        <v>4611</v>
      </c>
      <c r="B439" s="2299" t="s">
        <v>5920</v>
      </c>
      <c r="C439" s="1586" t="s">
        <v>3861</v>
      </c>
      <c r="D439" s="1558"/>
      <c r="E439" s="1558"/>
      <c r="F439" s="1559">
        <f t="shared" si="12"/>
        <v>0</v>
      </c>
      <c r="G439" s="1560" t="e">
        <f t="shared" si="13"/>
        <v>#DIV/0!</v>
      </c>
      <c r="H439" s="2294">
        <v>0.42199999999999999</v>
      </c>
      <c r="I439" s="2296"/>
      <c r="J439" s="1550"/>
    </row>
    <row r="440" spans="1:10" ht="16.5">
      <c r="A440" s="2298" t="s">
        <v>4612</v>
      </c>
      <c r="B440" s="2299" t="s">
        <v>5921</v>
      </c>
      <c r="C440" s="1586" t="s">
        <v>3861</v>
      </c>
      <c r="D440" s="1558"/>
      <c r="E440" s="1558"/>
      <c r="F440" s="1559">
        <f t="shared" si="12"/>
        <v>0</v>
      </c>
      <c r="G440" s="1560" t="e">
        <f t="shared" si="13"/>
        <v>#DIV/0!</v>
      </c>
      <c r="H440" s="2294">
        <v>0.45490000000000003</v>
      </c>
      <c r="I440" s="2296"/>
      <c r="J440" s="1550"/>
    </row>
    <row r="441" spans="1:10" ht="16.5">
      <c r="A441" s="2298" t="s">
        <v>4613</v>
      </c>
      <c r="B441" s="2299" t="s">
        <v>5922</v>
      </c>
      <c r="C441" s="1586" t="s">
        <v>3861</v>
      </c>
      <c r="D441" s="1558"/>
      <c r="E441" s="1558"/>
      <c r="F441" s="1559">
        <f t="shared" si="12"/>
        <v>0</v>
      </c>
      <c r="G441" s="1560" t="e">
        <f t="shared" si="13"/>
        <v>#DIV/0!</v>
      </c>
      <c r="H441" s="2294">
        <v>0.2019</v>
      </c>
      <c r="I441" s="2296"/>
      <c r="J441" s="1550"/>
    </row>
    <row r="442" spans="1:10" ht="16.5">
      <c r="A442" s="2298" t="s">
        <v>4614</v>
      </c>
      <c r="B442" s="2299" t="s">
        <v>5923</v>
      </c>
      <c r="C442" s="1586" t="s">
        <v>3861</v>
      </c>
      <c r="D442" s="1558"/>
      <c r="E442" s="1558"/>
      <c r="F442" s="1559">
        <f t="shared" si="12"/>
        <v>0</v>
      </c>
      <c r="G442" s="1560" t="e">
        <f t="shared" si="13"/>
        <v>#DIV/0!</v>
      </c>
      <c r="H442" s="2294">
        <v>9.9299999999999999E-2</v>
      </c>
      <c r="I442" s="2296"/>
      <c r="J442" s="1550"/>
    </row>
    <row r="443" spans="1:10" ht="16.5">
      <c r="A443" s="2298" t="s">
        <v>4615</v>
      </c>
      <c r="B443" s="2299" t="s">
        <v>5924</v>
      </c>
      <c r="C443" s="1586" t="s">
        <v>3861</v>
      </c>
      <c r="D443" s="1558"/>
      <c r="E443" s="1558"/>
      <c r="F443" s="1559">
        <f t="shared" si="12"/>
        <v>0</v>
      </c>
      <c r="G443" s="1560" t="e">
        <f t="shared" si="13"/>
        <v>#DIV/0!</v>
      </c>
      <c r="H443" s="2294">
        <v>0.61650000000000005</v>
      </c>
      <c r="I443" s="2296"/>
      <c r="J443" s="1550"/>
    </row>
    <row r="444" spans="1:10" ht="16.5">
      <c r="A444" s="2298" t="s">
        <v>4616</v>
      </c>
      <c r="B444" s="2299" t="s">
        <v>5925</v>
      </c>
      <c r="C444" s="1586" t="s">
        <v>3861</v>
      </c>
      <c r="D444" s="1558"/>
      <c r="E444" s="1558"/>
      <c r="F444" s="1559">
        <f t="shared" si="12"/>
        <v>0</v>
      </c>
      <c r="G444" s="1560" t="e">
        <f t="shared" si="13"/>
        <v>#DIV/0!</v>
      </c>
      <c r="H444" s="2294">
        <v>0.36659999999999998</v>
      </c>
      <c r="I444" s="2296"/>
      <c r="J444" s="1550"/>
    </row>
    <row r="445" spans="1:10" ht="16.5">
      <c r="A445" s="2298" t="s">
        <v>4617</v>
      </c>
      <c r="B445" s="2299" t="s">
        <v>5926</v>
      </c>
      <c r="C445" s="1586" t="s">
        <v>3861</v>
      </c>
      <c r="D445" s="1558"/>
      <c r="E445" s="1558"/>
      <c r="F445" s="1559">
        <f t="shared" si="12"/>
        <v>0</v>
      </c>
      <c r="G445" s="1560" t="e">
        <f t="shared" si="13"/>
        <v>#DIV/0!</v>
      </c>
      <c r="H445" s="2294">
        <v>0.12790000000000001</v>
      </c>
      <c r="I445" s="2296"/>
      <c r="J445" s="1550"/>
    </row>
    <row r="446" spans="1:10" ht="16.5">
      <c r="A446" s="2298" t="s">
        <v>4618</v>
      </c>
      <c r="B446" s="2299" t="s">
        <v>5927</v>
      </c>
      <c r="C446" s="1586" t="s">
        <v>3861</v>
      </c>
      <c r="D446" s="1558"/>
      <c r="E446" s="1558"/>
      <c r="F446" s="1559">
        <f t="shared" si="12"/>
        <v>0</v>
      </c>
      <c r="G446" s="1560" t="e">
        <f t="shared" si="13"/>
        <v>#DIV/0!</v>
      </c>
      <c r="H446" s="2294">
        <v>0.25929999999999997</v>
      </c>
      <c r="I446" s="2296"/>
      <c r="J446" s="1550"/>
    </row>
    <row r="447" spans="1:10" ht="16.5">
      <c r="A447" s="2298" t="s">
        <v>4619</v>
      </c>
      <c r="B447" s="2299" t="s">
        <v>5928</v>
      </c>
      <c r="C447" s="1586" t="s">
        <v>3861</v>
      </c>
      <c r="D447" s="1558"/>
      <c r="E447" s="1558"/>
      <c r="F447" s="1559">
        <f t="shared" si="12"/>
        <v>0</v>
      </c>
      <c r="G447" s="1560" t="e">
        <f t="shared" si="13"/>
        <v>#DIV/0!</v>
      </c>
      <c r="H447" s="2294">
        <v>0.15260000000000001</v>
      </c>
      <c r="I447" s="2296"/>
      <c r="J447" s="1550"/>
    </row>
    <row r="448" spans="1:10" ht="16.5">
      <c r="A448" s="2298" t="s">
        <v>4620</v>
      </c>
      <c r="B448" s="2299" t="s">
        <v>5929</v>
      </c>
      <c r="C448" s="1586" t="s">
        <v>3861</v>
      </c>
      <c r="D448" s="1558"/>
      <c r="E448" s="1558"/>
      <c r="F448" s="1559">
        <f t="shared" si="12"/>
        <v>0</v>
      </c>
      <c r="G448" s="1560" t="e">
        <f t="shared" si="13"/>
        <v>#DIV/0!</v>
      </c>
      <c r="H448" s="2294">
        <v>0.12809999999999999</v>
      </c>
      <c r="I448" s="2296"/>
      <c r="J448" s="1550"/>
    </row>
    <row r="449" spans="1:10" ht="16.5">
      <c r="A449" s="2298" t="s">
        <v>4621</v>
      </c>
      <c r="B449" s="2299" t="s">
        <v>5930</v>
      </c>
      <c r="C449" s="1586" t="s">
        <v>3861</v>
      </c>
      <c r="D449" s="1558"/>
      <c r="E449" s="1558"/>
      <c r="F449" s="1559">
        <f t="shared" si="12"/>
        <v>0</v>
      </c>
      <c r="G449" s="1560" t="e">
        <f t="shared" si="13"/>
        <v>#DIV/0!</v>
      </c>
      <c r="H449" s="2294">
        <v>0.52500000000000002</v>
      </c>
      <c r="I449" s="2296"/>
      <c r="J449" s="1550"/>
    </row>
    <row r="450" spans="1:10" ht="16.5">
      <c r="A450" s="2298" t="s">
        <v>4622</v>
      </c>
      <c r="B450" s="2299" t="s">
        <v>5931</v>
      </c>
      <c r="C450" s="1586" t="s">
        <v>3861</v>
      </c>
      <c r="D450" s="1558"/>
      <c r="E450" s="1558"/>
      <c r="F450" s="1559">
        <f t="shared" si="12"/>
        <v>0</v>
      </c>
      <c r="G450" s="1560" t="e">
        <f t="shared" si="13"/>
        <v>#DIV/0!</v>
      </c>
      <c r="H450" s="2294">
        <v>0.3488</v>
      </c>
      <c r="I450" s="2296"/>
      <c r="J450" s="1550"/>
    </row>
    <row r="451" spans="1:10" ht="16.5">
      <c r="A451" s="2298" t="s">
        <v>4623</v>
      </c>
      <c r="B451" s="2299" t="s">
        <v>5932</v>
      </c>
      <c r="C451" s="1586" t="s">
        <v>3861</v>
      </c>
      <c r="D451" s="1558"/>
      <c r="E451" s="1558"/>
      <c r="F451" s="1559">
        <f t="shared" si="12"/>
        <v>0</v>
      </c>
      <c r="G451" s="1560" t="e">
        <f t="shared" si="13"/>
        <v>#DIV/0!</v>
      </c>
      <c r="H451" s="2294">
        <v>-5.9200000000000003E-2</v>
      </c>
      <c r="I451" s="2296"/>
      <c r="J451" s="1550"/>
    </row>
    <row r="452" spans="1:10" ht="16.5">
      <c r="A452" s="2298" t="s">
        <v>4624</v>
      </c>
      <c r="B452" s="2299" t="s">
        <v>5933</v>
      </c>
      <c r="C452" s="1586" t="s">
        <v>3861</v>
      </c>
      <c r="D452" s="1558"/>
      <c r="E452" s="1558"/>
      <c r="F452" s="1559">
        <f t="shared" si="12"/>
        <v>0</v>
      </c>
      <c r="G452" s="1560" t="e">
        <f t="shared" si="13"/>
        <v>#DIV/0!</v>
      </c>
      <c r="H452" s="2294">
        <v>0.15690000000000001</v>
      </c>
      <c r="I452" s="2296"/>
      <c r="J452" s="1550"/>
    </row>
    <row r="453" spans="1:10" ht="16.5">
      <c r="A453" s="2298" t="s">
        <v>4625</v>
      </c>
      <c r="B453" s="2299" t="s">
        <v>5934</v>
      </c>
      <c r="C453" s="1586" t="s">
        <v>3861</v>
      </c>
      <c r="D453" s="1558"/>
      <c r="E453" s="1558"/>
      <c r="F453" s="1559">
        <f t="shared" ref="F453:F516" si="14">D453*E453</f>
        <v>0</v>
      </c>
      <c r="G453" s="1560" t="e">
        <f t="shared" ref="G453:G516" si="15">F453/$F$1214</f>
        <v>#DIV/0!</v>
      </c>
      <c r="H453" s="2294">
        <v>0.2636</v>
      </c>
      <c r="I453" s="2296"/>
      <c r="J453" s="1550"/>
    </row>
    <row r="454" spans="1:10" ht="16.5">
      <c r="A454" s="2298" t="s">
        <v>4626</v>
      </c>
      <c r="B454" s="2299" t="s">
        <v>5935</v>
      </c>
      <c r="C454" s="1586" t="s">
        <v>3861</v>
      </c>
      <c r="D454" s="1558"/>
      <c r="E454" s="1558"/>
      <c r="F454" s="1559">
        <f t="shared" si="14"/>
        <v>0</v>
      </c>
      <c r="G454" s="1560" t="e">
        <f t="shared" si="15"/>
        <v>#DIV/0!</v>
      </c>
      <c r="H454" s="2294">
        <v>0.56559999999999999</v>
      </c>
      <c r="I454" s="2296"/>
      <c r="J454" s="1550"/>
    </row>
    <row r="455" spans="1:10" ht="16.5">
      <c r="A455" s="2298" t="s">
        <v>4627</v>
      </c>
      <c r="B455" s="2299" t="s">
        <v>5936</v>
      </c>
      <c r="C455" s="1586" t="s">
        <v>3861</v>
      </c>
      <c r="D455" s="1558"/>
      <c r="E455" s="1558"/>
      <c r="F455" s="1559">
        <f t="shared" si="14"/>
        <v>0</v>
      </c>
      <c r="G455" s="1560" t="e">
        <f t="shared" si="15"/>
        <v>#DIV/0!</v>
      </c>
      <c r="H455" s="2294">
        <v>0.29039999999999999</v>
      </c>
      <c r="I455" s="2296"/>
      <c r="J455" s="1550"/>
    </row>
    <row r="456" spans="1:10" ht="16.5">
      <c r="A456" s="2298" t="s">
        <v>4628</v>
      </c>
      <c r="B456" s="2299" t="s">
        <v>5937</v>
      </c>
      <c r="C456" s="1586" t="s">
        <v>3861</v>
      </c>
      <c r="D456" s="1558"/>
      <c r="E456" s="1558"/>
      <c r="F456" s="1559">
        <f t="shared" si="14"/>
        <v>0</v>
      </c>
      <c r="G456" s="1560" t="e">
        <f t="shared" si="15"/>
        <v>#DIV/0!</v>
      </c>
      <c r="H456" s="2294">
        <v>0.378</v>
      </c>
      <c r="I456" s="2296"/>
      <c r="J456" s="1550"/>
    </row>
    <row r="457" spans="1:10" ht="16.5">
      <c r="A457" s="2298" t="s">
        <v>4629</v>
      </c>
      <c r="B457" s="2299" t="s">
        <v>5938</v>
      </c>
      <c r="C457" s="1586" t="s">
        <v>3861</v>
      </c>
      <c r="D457" s="1558"/>
      <c r="E457" s="1558"/>
      <c r="F457" s="1559">
        <f t="shared" si="14"/>
        <v>0</v>
      </c>
      <c r="G457" s="1560" t="e">
        <f t="shared" si="15"/>
        <v>#DIV/0!</v>
      </c>
      <c r="H457" s="2294">
        <v>0.53159999999999996</v>
      </c>
      <c r="I457" s="2296"/>
      <c r="J457" s="1550"/>
    </row>
    <row r="458" spans="1:10" ht="16.5">
      <c r="A458" s="2298" t="s">
        <v>4630</v>
      </c>
      <c r="B458" s="2299" t="s">
        <v>5939</v>
      </c>
      <c r="C458" s="1586" t="s">
        <v>3861</v>
      </c>
      <c r="D458" s="1558"/>
      <c r="E458" s="1558"/>
      <c r="F458" s="1559">
        <f t="shared" si="14"/>
        <v>0</v>
      </c>
      <c r="G458" s="1560" t="e">
        <f t="shared" si="15"/>
        <v>#DIV/0!</v>
      </c>
      <c r="H458" s="2294">
        <v>1.05</v>
      </c>
      <c r="I458" s="2296"/>
      <c r="J458" s="1550"/>
    </row>
    <row r="459" spans="1:10" ht="16.5">
      <c r="A459" s="2298" t="s">
        <v>4631</v>
      </c>
      <c r="B459" s="2299" t="s">
        <v>5940</v>
      </c>
      <c r="C459" s="1586" t="s">
        <v>3861</v>
      </c>
      <c r="D459" s="1558"/>
      <c r="E459" s="1558"/>
      <c r="F459" s="1559">
        <f t="shared" si="14"/>
        <v>0</v>
      </c>
      <c r="G459" s="1560" t="e">
        <f t="shared" si="15"/>
        <v>#DIV/0!</v>
      </c>
      <c r="H459" s="2294">
        <v>0.48459999999999998</v>
      </c>
      <c r="I459" s="2296"/>
      <c r="J459" s="1550"/>
    </row>
    <row r="460" spans="1:10" ht="16.5">
      <c r="A460" s="2298" t="s">
        <v>4632</v>
      </c>
      <c r="B460" s="2299" t="s">
        <v>5941</v>
      </c>
      <c r="C460" s="1586" t="s">
        <v>3861</v>
      </c>
      <c r="D460" s="1558"/>
      <c r="E460" s="1558"/>
      <c r="F460" s="1559">
        <f t="shared" si="14"/>
        <v>0</v>
      </c>
      <c r="G460" s="1560" t="e">
        <f t="shared" si="15"/>
        <v>#DIV/0!</v>
      </c>
      <c r="H460" s="2294">
        <v>0.55779999999999996</v>
      </c>
      <c r="I460" s="2296"/>
      <c r="J460" s="1550"/>
    </row>
    <row r="461" spans="1:10" ht="16.5">
      <c r="A461" s="2298" t="s">
        <v>4633</v>
      </c>
      <c r="B461" s="2299" t="s">
        <v>5942</v>
      </c>
      <c r="C461" s="1586" t="s">
        <v>3861</v>
      </c>
      <c r="D461" s="1558"/>
      <c r="E461" s="1558"/>
      <c r="F461" s="1559">
        <f t="shared" si="14"/>
        <v>0</v>
      </c>
      <c r="G461" s="1560" t="e">
        <f t="shared" si="15"/>
        <v>#DIV/0!</v>
      </c>
      <c r="H461" s="2294">
        <v>0.23830000000000001</v>
      </c>
      <c r="I461" s="2296"/>
      <c r="J461" s="1550"/>
    </row>
    <row r="462" spans="1:10" ht="16.5">
      <c r="A462" s="2298" t="s">
        <v>4634</v>
      </c>
      <c r="B462" s="2299" t="s">
        <v>5943</v>
      </c>
      <c r="C462" s="1586" t="s">
        <v>3861</v>
      </c>
      <c r="D462" s="1558"/>
      <c r="E462" s="1558"/>
      <c r="F462" s="1559">
        <f t="shared" si="14"/>
        <v>0</v>
      </c>
      <c r="G462" s="1560" t="e">
        <f t="shared" si="15"/>
        <v>#DIV/0!</v>
      </c>
      <c r="H462" s="2294">
        <v>0.31919999999999998</v>
      </c>
      <c r="I462" s="2296"/>
      <c r="J462" s="1550"/>
    </row>
    <row r="463" spans="1:10" ht="16.5">
      <c r="A463" s="2298" t="s">
        <v>4635</v>
      </c>
      <c r="B463" s="2299" t="s">
        <v>5944</v>
      </c>
      <c r="C463" s="1586" t="s">
        <v>3861</v>
      </c>
      <c r="D463" s="1558"/>
      <c r="E463" s="1558"/>
      <c r="F463" s="1559">
        <f t="shared" si="14"/>
        <v>0</v>
      </c>
      <c r="G463" s="1560" t="e">
        <f t="shared" si="15"/>
        <v>#DIV/0!</v>
      </c>
      <c r="H463" s="2294">
        <v>0.58799999999999997</v>
      </c>
      <c r="I463" s="2296"/>
      <c r="J463" s="1550"/>
    </row>
    <row r="464" spans="1:10" ht="16.5">
      <c r="A464" s="2298" t="s">
        <v>4636</v>
      </c>
      <c r="B464" s="2299" t="s">
        <v>5945</v>
      </c>
      <c r="C464" s="1586" t="s">
        <v>3861</v>
      </c>
      <c r="D464" s="1558"/>
      <c r="E464" s="1558"/>
      <c r="F464" s="1559">
        <f t="shared" si="14"/>
        <v>0</v>
      </c>
      <c r="G464" s="1560" t="e">
        <f t="shared" si="15"/>
        <v>#DIV/0!</v>
      </c>
      <c r="H464" s="2294">
        <v>0.43130000000000002</v>
      </c>
      <c r="I464" s="2296"/>
      <c r="J464" s="1550"/>
    </row>
    <row r="465" spans="1:10" ht="16.5">
      <c r="A465" s="2298" t="s">
        <v>4637</v>
      </c>
      <c r="B465" s="2299" t="s">
        <v>5946</v>
      </c>
      <c r="C465" s="1586" t="s">
        <v>3861</v>
      </c>
      <c r="D465" s="1558"/>
      <c r="E465" s="1558"/>
      <c r="F465" s="1559">
        <f t="shared" si="14"/>
        <v>0</v>
      </c>
      <c r="G465" s="1560" t="e">
        <f t="shared" si="15"/>
        <v>#DIV/0!</v>
      </c>
      <c r="H465" s="2294">
        <v>0.17730000000000001</v>
      </c>
      <c r="I465" s="2296"/>
      <c r="J465" s="1550"/>
    </row>
    <row r="466" spans="1:10" ht="16.5">
      <c r="A466" s="2298" t="s">
        <v>4638</v>
      </c>
      <c r="B466" s="2299" t="s">
        <v>5947</v>
      </c>
      <c r="C466" s="1586" t="s">
        <v>3861</v>
      </c>
      <c r="D466" s="1558"/>
      <c r="E466" s="1558"/>
      <c r="F466" s="1559">
        <f t="shared" si="14"/>
        <v>0</v>
      </c>
      <c r="G466" s="1560" t="e">
        <f t="shared" si="15"/>
        <v>#DIV/0!</v>
      </c>
      <c r="H466" s="2294">
        <v>0.60540000000000005</v>
      </c>
      <c r="I466" s="2296"/>
      <c r="J466" s="1550"/>
    </row>
    <row r="467" spans="1:10" ht="16.5">
      <c r="A467" s="2298" t="s">
        <v>4639</v>
      </c>
      <c r="B467" s="2299" t="s">
        <v>5948</v>
      </c>
      <c r="C467" s="1586" t="s">
        <v>3861</v>
      </c>
      <c r="D467" s="1558"/>
      <c r="E467" s="1558"/>
      <c r="F467" s="1559">
        <f t="shared" si="14"/>
        <v>0</v>
      </c>
      <c r="G467" s="1560" t="e">
        <f t="shared" si="15"/>
        <v>#DIV/0!</v>
      </c>
      <c r="H467" s="2294">
        <v>0.24510000000000001</v>
      </c>
      <c r="I467" s="2296"/>
      <c r="J467" s="1550"/>
    </row>
    <row r="468" spans="1:10" ht="16.5">
      <c r="A468" s="2298" t="s">
        <v>4640</v>
      </c>
      <c r="B468" s="2299" t="s">
        <v>5949</v>
      </c>
      <c r="C468" s="1586" t="s">
        <v>3861</v>
      </c>
      <c r="D468" s="1558"/>
      <c r="E468" s="1558"/>
      <c r="F468" s="1559">
        <f t="shared" si="14"/>
        <v>0</v>
      </c>
      <c r="G468" s="1560" t="e">
        <f t="shared" si="15"/>
        <v>#DIV/0!</v>
      </c>
      <c r="H468" s="2294">
        <v>0.26769999999999999</v>
      </c>
      <c r="I468" s="2296"/>
      <c r="J468" s="1550"/>
    </row>
    <row r="469" spans="1:10" ht="16.5">
      <c r="A469" s="2298" t="s">
        <v>4641</v>
      </c>
      <c r="B469" s="2299" t="s">
        <v>5950</v>
      </c>
      <c r="C469" s="1586" t="s">
        <v>3861</v>
      </c>
      <c r="D469" s="1558"/>
      <c r="E469" s="1558"/>
      <c r="F469" s="1559">
        <f t="shared" si="14"/>
        <v>0</v>
      </c>
      <c r="G469" s="1560" t="e">
        <f t="shared" si="15"/>
        <v>#DIV/0!</v>
      </c>
      <c r="H469" s="2294">
        <v>0.22800000000000001</v>
      </c>
      <c r="I469" s="2296"/>
      <c r="J469" s="1550"/>
    </row>
    <row r="470" spans="1:10" ht="16.5">
      <c r="A470" s="2298" t="s">
        <v>4642</v>
      </c>
      <c r="B470" s="2299" t="s">
        <v>5951</v>
      </c>
      <c r="C470" s="1586" t="s">
        <v>3861</v>
      </c>
      <c r="D470" s="1558"/>
      <c r="E470" s="1558"/>
      <c r="F470" s="1559">
        <f t="shared" si="14"/>
        <v>0</v>
      </c>
      <c r="G470" s="1560" t="e">
        <f t="shared" si="15"/>
        <v>#DIV/0!</v>
      </c>
      <c r="H470" s="2294">
        <v>9.8900000000000002E-2</v>
      </c>
      <c r="I470" s="2296"/>
      <c r="J470" s="1550"/>
    </row>
    <row r="471" spans="1:10" ht="16.5">
      <c r="A471" s="2298" t="s">
        <v>4643</v>
      </c>
      <c r="B471" s="2299" t="s">
        <v>5952</v>
      </c>
      <c r="C471" s="1586" t="s">
        <v>3861</v>
      </c>
      <c r="D471" s="1558"/>
      <c r="E471" s="1558"/>
      <c r="F471" s="1559">
        <f t="shared" si="14"/>
        <v>0</v>
      </c>
      <c r="G471" s="1560" t="e">
        <f t="shared" si="15"/>
        <v>#DIV/0!</v>
      </c>
      <c r="H471" s="2294">
        <v>0.6542</v>
      </c>
      <c r="I471" s="2296"/>
      <c r="J471" s="1550"/>
    </row>
    <row r="472" spans="1:10" ht="16.5">
      <c r="A472" s="2298" t="s">
        <v>4644</v>
      </c>
      <c r="B472" s="2299" t="s">
        <v>5953</v>
      </c>
      <c r="C472" s="1586" t="s">
        <v>3861</v>
      </c>
      <c r="D472" s="1558"/>
      <c r="E472" s="1558"/>
      <c r="F472" s="1559">
        <f t="shared" si="14"/>
        <v>0</v>
      </c>
      <c r="G472" s="1560" t="e">
        <f t="shared" si="15"/>
        <v>#DIV/0!</v>
      </c>
      <c r="H472" s="2294">
        <v>0.40079999999999999</v>
      </c>
      <c r="I472" s="2296"/>
      <c r="J472" s="1550"/>
    </row>
    <row r="473" spans="1:10" ht="16.5">
      <c r="A473" s="2298" t="s">
        <v>4645</v>
      </c>
      <c r="B473" s="2299" t="s">
        <v>5954</v>
      </c>
      <c r="C473" s="1586" t="s">
        <v>3861</v>
      </c>
      <c r="D473" s="1558"/>
      <c r="E473" s="1558"/>
      <c r="F473" s="1559">
        <f t="shared" si="14"/>
        <v>0</v>
      </c>
      <c r="G473" s="1560" t="e">
        <f t="shared" si="15"/>
        <v>#DIV/0!</v>
      </c>
      <c r="H473" s="2294">
        <v>0.62129999999999996</v>
      </c>
      <c r="I473" s="2296"/>
      <c r="J473" s="1550"/>
    </row>
    <row r="474" spans="1:10" ht="16.5">
      <c r="A474" s="2298" t="s">
        <v>4646</v>
      </c>
      <c r="B474" s="2299" t="s">
        <v>5955</v>
      </c>
      <c r="C474" s="1586" t="s">
        <v>3861</v>
      </c>
      <c r="D474" s="1558"/>
      <c r="E474" s="1558"/>
      <c r="F474" s="1559">
        <f t="shared" si="14"/>
        <v>0</v>
      </c>
      <c r="G474" s="1560" t="e">
        <f t="shared" si="15"/>
        <v>#DIV/0!</v>
      </c>
      <c r="H474" s="2294">
        <v>0.3483</v>
      </c>
      <c r="I474" s="2296"/>
      <c r="J474" s="1550"/>
    </row>
    <row r="475" spans="1:10" ht="16.5">
      <c r="A475" s="2298" t="s">
        <v>4647</v>
      </c>
      <c r="B475" s="2299" t="s">
        <v>5956</v>
      </c>
      <c r="C475" s="1586" t="s">
        <v>3861</v>
      </c>
      <c r="D475" s="1558"/>
      <c r="E475" s="1558"/>
      <c r="F475" s="1559">
        <f t="shared" si="14"/>
        <v>0</v>
      </c>
      <c r="G475" s="1560" t="e">
        <f t="shared" si="15"/>
        <v>#DIV/0!</v>
      </c>
      <c r="H475" s="2294">
        <v>0.18590000000000001</v>
      </c>
      <c r="I475" s="2296"/>
      <c r="J475" s="1550"/>
    </row>
    <row r="476" spans="1:10" ht="16.5">
      <c r="A476" s="2298" t="s">
        <v>4648</v>
      </c>
      <c r="B476" s="2299" t="s">
        <v>5957</v>
      </c>
      <c r="C476" s="1586" t="s">
        <v>3861</v>
      </c>
      <c r="D476" s="1558"/>
      <c r="E476" s="1558"/>
      <c r="F476" s="1559">
        <f t="shared" si="14"/>
        <v>0</v>
      </c>
      <c r="G476" s="1560" t="e">
        <f t="shared" si="15"/>
        <v>#DIV/0!</v>
      </c>
      <c r="H476" s="2294">
        <v>0.43840000000000001</v>
      </c>
      <c r="I476" s="2296"/>
      <c r="J476" s="1550"/>
    </row>
    <row r="477" spans="1:10" ht="16.5">
      <c r="A477" s="2298" t="s">
        <v>4649</v>
      </c>
      <c r="B477" s="2299" t="s">
        <v>5958</v>
      </c>
      <c r="C477" s="1586" t="s">
        <v>3861</v>
      </c>
      <c r="D477" s="1558"/>
      <c r="E477" s="1558"/>
      <c r="F477" s="1559">
        <f t="shared" si="14"/>
        <v>0</v>
      </c>
      <c r="G477" s="1560" t="e">
        <f t="shared" si="15"/>
        <v>#DIV/0!</v>
      </c>
      <c r="H477" s="2294">
        <v>0.40960000000000002</v>
      </c>
      <c r="I477" s="2296"/>
      <c r="J477" s="1550"/>
    </row>
    <row r="478" spans="1:10" ht="16.5">
      <c r="A478" s="2298" t="s">
        <v>4650</v>
      </c>
      <c r="B478" s="2299" t="s">
        <v>5959</v>
      </c>
      <c r="C478" s="1586" t="s">
        <v>3861</v>
      </c>
      <c r="D478" s="1558"/>
      <c r="E478" s="1558"/>
      <c r="F478" s="1559">
        <f t="shared" si="14"/>
        <v>0</v>
      </c>
      <c r="G478" s="1560" t="e">
        <f t="shared" si="15"/>
        <v>#DIV/0!</v>
      </c>
      <c r="H478" s="2294">
        <v>0.2185</v>
      </c>
      <c r="I478" s="2296"/>
      <c r="J478" s="1550"/>
    </row>
    <row r="479" spans="1:10" ht="16.5">
      <c r="A479" s="2298" t="s">
        <v>4651</v>
      </c>
      <c r="B479" s="2299" t="s">
        <v>5960</v>
      </c>
      <c r="C479" s="1586" t="s">
        <v>3861</v>
      </c>
      <c r="D479" s="1558"/>
      <c r="E479" s="1558"/>
      <c r="F479" s="1559">
        <f t="shared" si="14"/>
        <v>0</v>
      </c>
      <c r="G479" s="1560" t="e">
        <f t="shared" si="15"/>
        <v>#DIV/0!</v>
      </c>
      <c r="H479" s="2294">
        <v>0.1066</v>
      </c>
      <c r="I479" s="2296"/>
      <c r="J479" s="1550"/>
    </row>
    <row r="480" spans="1:10" ht="16.5">
      <c r="A480" s="2298" t="s">
        <v>4652</v>
      </c>
      <c r="B480" s="2299" t="s">
        <v>5961</v>
      </c>
      <c r="C480" s="1586" t="s">
        <v>3861</v>
      </c>
      <c r="D480" s="1558"/>
      <c r="E480" s="1558"/>
      <c r="F480" s="1559">
        <f t="shared" si="14"/>
        <v>0</v>
      </c>
      <c r="G480" s="1560" t="e">
        <f t="shared" si="15"/>
        <v>#DIV/0!</v>
      </c>
      <c r="H480" s="2294">
        <v>0.74619999999999997</v>
      </c>
      <c r="I480" s="2296"/>
      <c r="J480" s="1550"/>
    </row>
    <row r="481" spans="1:10" ht="16.5">
      <c r="A481" s="2298" t="s">
        <v>4653</v>
      </c>
      <c r="B481" s="2299" t="s">
        <v>5962</v>
      </c>
      <c r="C481" s="1586" t="s">
        <v>3861</v>
      </c>
      <c r="D481" s="1558"/>
      <c r="E481" s="1558"/>
      <c r="F481" s="1559">
        <f t="shared" si="14"/>
        <v>0</v>
      </c>
      <c r="G481" s="1560" t="e">
        <f t="shared" si="15"/>
        <v>#DIV/0!</v>
      </c>
      <c r="H481" s="2294">
        <v>0.1353</v>
      </c>
      <c r="I481" s="2296"/>
      <c r="J481" s="1550"/>
    </row>
    <row r="482" spans="1:10" ht="16.5">
      <c r="A482" s="2298" t="s">
        <v>4654</v>
      </c>
      <c r="B482" s="2299" t="s">
        <v>5963</v>
      </c>
      <c r="C482" s="1586" t="s">
        <v>3861</v>
      </c>
      <c r="D482" s="1558"/>
      <c r="E482" s="1558"/>
      <c r="F482" s="1559">
        <f t="shared" si="14"/>
        <v>0</v>
      </c>
      <c r="G482" s="1560" t="e">
        <f t="shared" si="15"/>
        <v>#DIV/0!</v>
      </c>
      <c r="H482" s="2294">
        <v>0.10390000000000001</v>
      </c>
      <c r="I482" s="2296"/>
      <c r="J482" s="1550"/>
    </row>
    <row r="483" spans="1:10" ht="16.5">
      <c r="A483" s="2298" t="s">
        <v>4655</v>
      </c>
      <c r="B483" s="2299" t="s">
        <v>5964</v>
      </c>
      <c r="C483" s="1586" t="s">
        <v>3861</v>
      </c>
      <c r="D483" s="1558"/>
      <c r="E483" s="1558"/>
      <c r="F483" s="1559">
        <f t="shared" si="14"/>
        <v>0</v>
      </c>
      <c r="G483" s="1560" t="e">
        <f t="shared" si="15"/>
        <v>#DIV/0!</v>
      </c>
      <c r="H483" s="2294">
        <v>0.1837</v>
      </c>
      <c r="I483" s="2296"/>
      <c r="J483" s="1550"/>
    </row>
    <row r="484" spans="1:10" ht="16.5">
      <c r="A484" s="2298" t="s">
        <v>4656</v>
      </c>
      <c r="B484" s="2299" t="s">
        <v>5965</v>
      </c>
      <c r="C484" s="1586" t="s">
        <v>3861</v>
      </c>
      <c r="D484" s="1558"/>
      <c r="E484" s="1558"/>
      <c r="F484" s="1559">
        <f t="shared" si="14"/>
        <v>0</v>
      </c>
      <c r="G484" s="1560" t="e">
        <f t="shared" si="15"/>
        <v>#DIV/0!</v>
      </c>
      <c r="H484" s="2294">
        <v>0.30620000000000003</v>
      </c>
      <c r="I484" s="2296"/>
      <c r="J484" s="1550"/>
    </row>
    <row r="485" spans="1:10" ht="16.5">
      <c r="A485" s="2298" t="s">
        <v>4657</v>
      </c>
      <c r="B485" s="2299" t="s">
        <v>5966</v>
      </c>
      <c r="C485" s="1586" t="s">
        <v>3861</v>
      </c>
      <c r="D485" s="1558"/>
      <c r="E485" s="1558"/>
      <c r="F485" s="1559">
        <f t="shared" si="14"/>
        <v>0</v>
      </c>
      <c r="G485" s="1560" t="e">
        <f t="shared" si="15"/>
        <v>#DIV/0!</v>
      </c>
      <c r="H485" s="2294">
        <v>-0.1139</v>
      </c>
      <c r="I485" s="2296"/>
      <c r="J485" s="1550"/>
    </row>
    <row r="486" spans="1:10" ht="16.5">
      <c r="A486" s="2298" t="s">
        <v>4658</v>
      </c>
      <c r="B486" s="2299" t="s">
        <v>5967</v>
      </c>
      <c r="C486" s="1586" t="s">
        <v>3861</v>
      </c>
      <c r="D486" s="1558"/>
      <c r="E486" s="1558"/>
      <c r="F486" s="1559">
        <f t="shared" si="14"/>
        <v>0</v>
      </c>
      <c r="G486" s="1560" t="e">
        <f t="shared" si="15"/>
        <v>#DIV/0!</v>
      </c>
      <c r="H486" s="2294">
        <v>4.9599999999999998E-2</v>
      </c>
      <c r="I486" s="2296"/>
      <c r="J486" s="1550"/>
    </row>
    <row r="487" spans="1:10" ht="16.5">
      <c r="A487" s="2298" t="s">
        <v>4659</v>
      </c>
      <c r="B487" s="2299" t="s">
        <v>5968</v>
      </c>
      <c r="C487" s="1586" t="s">
        <v>3861</v>
      </c>
      <c r="D487" s="1558"/>
      <c r="E487" s="1558"/>
      <c r="F487" s="1559">
        <f t="shared" si="14"/>
        <v>0</v>
      </c>
      <c r="G487" s="1560" t="e">
        <f t="shared" si="15"/>
        <v>#DIV/0!</v>
      </c>
      <c r="H487" s="2294">
        <v>1.0980000000000001</v>
      </c>
      <c r="I487" s="2296"/>
      <c r="J487" s="1550"/>
    </row>
    <row r="488" spans="1:10" ht="16.5">
      <c r="A488" s="2298" t="s">
        <v>4660</v>
      </c>
      <c r="B488" s="2299" t="s">
        <v>5969</v>
      </c>
      <c r="C488" s="1586" t="s">
        <v>3861</v>
      </c>
      <c r="D488" s="1558"/>
      <c r="E488" s="1558"/>
      <c r="F488" s="1559">
        <f t="shared" si="14"/>
        <v>0</v>
      </c>
      <c r="G488" s="1560" t="e">
        <f t="shared" si="15"/>
        <v>#DIV/0!</v>
      </c>
      <c r="H488" s="2294">
        <v>0.5514</v>
      </c>
      <c r="I488" s="2296"/>
      <c r="J488" s="1550"/>
    </row>
    <row r="489" spans="1:10" ht="16.5">
      <c r="A489" s="2298" t="s">
        <v>4661</v>
      </c>
      <c r="B489" s="2299" t="s">
        <v>5970</v>
      </c>
      <c r="C489" s="1586" t="s">
        <v>3861</v>
      </c>
      <c r="D489" s="1558"/>
      <c r="E489" s="1558"/>
      <c r="F489" s="1559">
        <f t="shared" si="14"/>
        <v>0</v>
      </c>
      <c r="G489" s="1560" t="e">
        <f t="shared" si="15"/>
        <v>#DIV/0!</v>
      </c>
      <c r="H489" s="2294">
        <v>0.33239999999999997</v>
      </c>
      <c r="I489" s="2296"/>
      <c r="J489" s="1550"/>
    </row>
    <row r="490" spans="1:10" ht="16.5">
      <c r="A490" s="2298" t="s">
        <v>4662</v>
      </c>
      <c r="B490" s="2299" t="s">
        <v>5971</v>
      </c>
      <c r="C490" s="1586" t="s">
        <v>3861</v>
      </c>
      <c r="D490" s="1558"/>
      <c r="E490" s="1558"/>
      <c r="F490" s="1559">
        <f t="shared" si="14"/>
        <v>0</v>
      </c>
      <c r="G490" s="1560" t="e">
        <f t="shared" si="15"/>
        <v>#DIV/0!</v>
      </c>
      <c r="H490" s="2294">
        <v>0.2233</v>
      </c>
      <c r="I490" s="2296"/>
      <c r="J490" s="1550"/>
    </row>
    <row r="491" spans="1:10" ht="16.5">
      <c r="A491" s="2298" t="s">
        <v>4663</v>
      </c>
      <c r="B491" s="2299" t="s">
        <v>5972</v>
      </c>
      <c r="C491" s="1586" t="s">
        <v>3861</v>
      </c>
      <c r="D491" s="1558"/>
      <c r="E491" s="1558"/>
      <c r="F491" s="1559">
        <f t="shared" si="14"/>
        <v>0</v>
      </c>
      <c r="G491" s="1560" t="e">
        <f t="shared" si="15"/>
        <v>#DIV/0!</v>
      </c>
      <c r="H491" s="2294">
        <v>0.26650000000000001</v>
      </c>
      <c r="I491" s="2296"/>
      <c r="J491" s="1550"/>
    </row>
    <row r="492" spans="1:10" ht="16.5">
      <c r="A492" s="2298" t="s">
        <v>4664</v>
      </c>
      <c r="B492" s="2299" t="s">
        <v>5973</v>
      </c>
      <c r="C492" s="1586" t="s">
        <v>3861</v>
      </c>
      <c r="D492" s="1558"/>
      <c r="E492" s="1558"/>
      <c r="F492" s="1559">
        <f t="shared" si="14"/>
        <v>0</v>
      </c>
      <c r="G492" s="1560" t="e">
        <f t="shared" si="15"/>
        <v>#DIV/0!</v>
      </c>
      <c r="H492" s="2294">
        <v>0.50049999999999994</v>
      </c>
      <c r="I492" s="2296"/>
      <c r="J492" s="1550"/>
    </row>
    <row r="493" spans="1:10" ht="16.5">
      <c r="A493" s="2298" t="s">
        <v>4665</v>
      </c>
      <c r="B493" s="2299" t="s">
        <v>5974</v>
      </c>
      <c r="C493" s="1586" t="s">
        <v>3861</v>
      </c>
      <c r="D493" s="1558"/>
      <c r="E493" s="1558"/>
      <c r="F493" s="1559">
        <f t="shared" si="14"/>
        <v>0</v>
      </c>
      <c r="G493" s="1560" t="e">
        <f t="shared" si="15"/>
        <v>#DIV/0!</v>
      </c>
      <c r="H493" s="2294">
        <v>0.50800000000000001</v>
      </c>
      <c r="I493" s="2296"/>
      <c r="J493" s="1550"/>
    </row>
    <row r="494" spans="1:10" ht="16.5">
      <c r="A494" s="2298" t="s">
        <v>4666</v>
      </c>
      <c r="B494" s="2299" t="s">
        <v>5975</v>
      </c>
      <c r="C494" s="1586" t="s">
        <v>3861</v>
      </c>
      <c r="D494" s="1558"/>
      <c r="E494" s="1558"/>
      <c r="F494" s="1559">
        <f t="shared" si="14"/>
        <v>0</v>
      </c>
      <c r="G494" s="1560" t="e">
        <f t="shared" si="15"/>
        <v>#DIV/0!</v>
      </c>
      <c r="H494" s="2294">
        <v>0.32869999999999999</v>
      </c>
      <c r="I494" s="2296"/>
      <c r="J494" s="1550"/>
    </row>
    <row r="495" spans="1:10" ht="16.5">
      <c r="A495" s="2298" t="s">
        <v>4667</v>
      </c>
      <c r="B495" s="2299" t="s">
        <v>5976</v>
      </c>
      <c r="C495" s="1586" t="s">
        <v>3861</v>
      </c>
      <c r="D495" s="1558"/>
      <c r="E495" s="1558"/>
      <c r="F495" s="1559">
        <f t="shared" si="14"/>
        <v>0</v>
      </c>
      <c r="G495" s="1560" t="e">
        <f t="shared" si="15"/>
        <v>#DIV/0!</v>
      </c>
      <c r="H495" s="2294">
        <v>0.26090000000000002</v>
      </c>
      <c r="I495" s="2296"/>
      <c r="J495" s="1550"/>
    </row>
    <row r="496" spans="1:10" ht="16.5">
      <c r="A496" s="2298" t="s">
        <v>4668</v>
      </c>
      <c r="B496" s="2299" t="s">
        <v>5977</v>
      </c>
      <c r="C496" s="1586" t="s">
        <v>3861</v>
      </c>
      <c r="D496" s="1558"/>
      <c r="E496" s="1558"/>
      <c r="F496" s="1559">
        <f t="shared" si="14"/>
        <v>0</v>
      </c>
      <c r="G496" s="1560" t="e">
        <f t="shared" si="15"/>
        <v>#DIV/0!</v>
      </c>
      <c r="H496" s="2294">
        <v>8.6199999999999999E-2</v>
      </c>
      <c r="I496" s="2296"/>
      <c r="J496" s="1550"/>
    </row>
    <row r="497" spans="1:10" ht="16.5">
      <c r="A497" s="2298" t="s">
        <v>4669</v>
      </c>
      <c r="B497" s="2299" t="s">
        <v>5978</v>
      </c>
      <c r="C497" s="1586" t="s">
        <v>3861</v>
      </c>
      <c r="D497" s="1558"/>
      <c r="E497" s="1558"/>
      <c r="F497" s="1559">
        <f t="shared" si="14"/>
        <v>0</v>
      </c>
      <c r="G497" s="1560" t="e">
        <f t="shared" si="15"/>
        <v>#DIV/0!</v>
      </c>
      <c r="H497" s="2294">
        <v>0.75560000000000005</v>
      </c>
      <c r="I497" s="2296"/>
      <c r="J497" s="1550"/>
    </row>
    <row r="498" spans="1:10" ht="16.5">
      <c r="A498" s="2298" t="s">
        <v>4670</v>
      </c>
      <c r="B498" s="2299" t="s">
        <v>5979</v>
      </c>
      <c r="C498" s="1586" t="s">
        <v>3861</v>
      </c>
      <c r="D498" s="1558"/>
      <c r="E498" s="1558"/>
      <c r="F498" s="1559">
        <f t="shared" si="14"/>
        <v>0</v>
      </c>
      <c r="G498" s="1560" t="e">
        <f t="shared" si="15"/>
        <v>#DIV/0!</v>
      </c>
      <c r="H498" s="2294">
        <v>0.125</v>
      </c>
      <c r="I498" s="2296"/>
      <c r="J498" s="1550"/>
    </row>
    <row r="499" spans="1:10" ht="16.5">
      <c r="A499" s="2298" t="s">
        <v>4671</v>
      </c>
      <c r="B499" s="2299" t="s">
        <v>5980</v>
      </c>
      <c r="C499" s="1586" t="s">
        <v>3861</v>
      </c>
      <c r="D499" s="1558"/>
      <c r="E499" s="1558"/>
      <c r="F499" s="1559">
        <f t="shared" si="14"/>
        <v>0</v>
      </c>
      <c r="G499" s="1560" t="e">
        <f t="shared" si="15"/>
        <v>#DIV/0!</v>
      </c>
      <c r="H499" s="2294">
        <v>0.50639999999999996</v>
      </c>
      <c r="I499" s="2296"/>
      <c r="J499" s="1550"/>
    </row>
    <row r="500" spans="1:10" ht="16.5">
      <c r="A500" s="2298" t="s">
        <v>4672</v>
      </c>
      <c r="B500" s="2299" t="s">
        <v>5981</v>
      </c>
      <c r="C500" s="1586" t="s">
        <v>3861</v>
      </c>
      <c r="D500" s="1558"/>
      <c r="E500" s="1558"/>
      <c r="F500" s="1559">
        <f t="shared" si="14"/>
        <v>0</v>
      </c>
      <c r="G500" s="1560" t="e">
        <f t="shared" si="15"/>
        <v>#DIV/0!</v>
      </c>
      <c r="H500" s="2294">
        <v>0.26619999999999999</v>
      </c>
      <c r="I500" s="2296"/>
      <c r="J500" s="1550"/>
    </row>
    <row r="501" spans="1:10" ht="16.5">
      <c r="A501" s="2298" t="s">
        <v>4673</v>
      </c>
      <c r="B501" s="2299" t="s">
        <v>5982</v>
      </c>
      <c r="C501" s="1586" t="s">
        <v>3861</v>
      </c>
      <c r="D501" s="1558"/>
      <c r="E501" s="1558"/>
      <c r="F501" s="1559">
        <f t="shared" si="14"/>
        <v>0</v>
      </c>
      <c r="G501" s="1560" t="e">
        <f t="shared" si="15"/>
        <v>#DIV/0!</v>
      </c>
      <c r="H501" s="2294">
        <v>0.40139999999999998</v>
      </c>
      <c r="I501" s="2296"/>
      <c r="J501" s="1550"/>
    </row>
    <row r="502" spans="1:10" ht="16.5">
      <c r="A502" s="2298" t="s">
        <v>4674</v>
      </c>
      <c r="B502" s="2299" t="s">
        <v>5983</v>
      </c>
      <c r="C502" s="1586" t="s">
        <v>3861</v>
      </c>
      <c r="D502" s="1558"/>
      <c r="E502" s="1558"/>
      <c r="F502" s="1559">
        <f t="shared" si="14"/>
        <v>0</v>
      </c>
      <c r="G502" s="1560" t="e">
        <f t="shared" si="15"/>
        <v>#DIV/0!</v>
      </c>
      <c r="H502" s="2294">
        <v>0.33879999999999999</v>
      </c>
      <c r="I502" s="2296"/>
      <c r="J502" s="1550"/>
    </row>
    <row r="503" spans="1:10" ht="16.5">
      <c r="A503" s="2298" t="s">
        <v>4675</v>
      </c>
      <c r="B503" s="2299" t="s">
        <v>5984</v>
      </c>
      <c r="C503" s="1586" t="s">
        <v>3861</v>
      </c>
      <c r="D503" s="1558"/>
      <c r="E503" s="1558"/>
      <c r="F503" s="1559">
        <f t="shared" si="14"/>
        <v>0</v>
      </c>
      <c r="G503" s="1560" t="e">
        <f t="shared" si="15"/>
        <v>#DIV/0!</v>
      </c>
      <c r="H503" s="2294">
        <v>0.4254</v>
      </c>
      <c r="I503" s="2296"/>
      <c r="J503" s="1550"/>
    </row>
    <row r="504" spans="1:10" ht="16.5">
      <c r="A504" s="2298" t="s">
        <v>4676</v>
      </c>
      <c r="B504" s="2299" t="s">
        <v>5985</v>
      </c>
      <c r="C504" s="1586" t="s">
        <v>3861</v>
      </c>
      <c r="D504" s="1558"/>
      <c r="E504" s="1558"/>
      <c r="F504" s="1559">
        <f t="shared" si="14"/>
        <v>0</v>
      </c>
      <c r="G504" s="1560" t="e">
        <f t="shared" si="15"/>
        <v>#DIV/0!</v>
      </c>
      <c r="H504" s="2294">
        <v>0.54730000000000001</v>
      </c>
      <c r="I504" s="2296"/>
      <c r="J504" s="1550"/>
    </row>
    <row r="505" spans="1:10" ht="16.5">
      <c r="A505" s="2298" t="s">
        <v>4677</v>
      </c>
      <c r="B505" s="2299" t="s">
        <v>5986</v>
      </c>
      <c r="C505" s="1586" t="s">
        <v>3861</v>
      </c>
      <c r="D505" s="1558"/>
      <c r="E505" s="1558"/>
      <c r="F505" s="1559">
        <f t="shared" si="14"/>
        <v>0</v>
      </c>
      <c r="G505" s="1560" t="e">
        <f t="shared" si="15"/>
        <v>#DIV/0!</v>
      </c>
      <c r="H505" s="2294">
        <v>0.27010000000000001</v>
      </c>
      <c r="I505" s="2296"/>
      <c r="J505" s="1550"/>
    </row>
    <row r="506" spans="1:10" ht="16.5">
      <c r="A506" s="2298" t="s">
        <v>4678</v>
      </c>
      <c r="B506" s="2299" t="s">
        <v>5987</v>
      </c>
      <c r="C506" s="1586" t="s">
        <v>3861</v>
      </c>
      <c r="D506" s="1558"/>
      <c r="E506" s="1558"/>
      <c r="F506" s="1559">
        <f t="shared" si="14"/>
        <v>0</v>
      </c>
      <c r="G506" s="1560" t="e">
        <f t="shared" si="15"/>
        <v>#DIV/0!</v>
      </c>
      <c r="H506" s="2294">
        <v>0.17519999999999999</v>
      </c>
      <c r="I506" s="2296"/>
      <c r="J506" s="1550"/>
    </row>
    <row r="507" spans="1:10" ht="16.5">
      <c r="A507" s="2298" t="s">
        <v>4679</v>
      </c>
      <c r="B507" s="2299" t="s">
        <v>5988</v>
      </c>
      <c r="C507" s="1586" t="s">
        <v>3861</v>
      </c>
      <c r="D507" s="1558"/>
      <c r="E507" s="1558"/>
      <c r="F507" s="1559">
        <f t="shared" si="14"/>
        <v>0</v>
      </c>
      <c r="G507" s="1560" t="e">
        <f t="shared" si="15"/>
        <v>#DIV/0!</v>
      </c>
      <c r="H507" s="2294">
        <v>0.3483</v>
      </c>
      <c r="I507" s="2296"/>
      <c r="J507" s="1550"/>
    </row>
    <row r="508" spans="1:10" ht="16.5">
      <c r="A508" s="2298" t="s">
        <v>4680</v>
      </c>
      <c r="B508" s="2299" t="s">
        <v>5989</v>
      </c>
      <c r="C508" s="1586" t="s">
        <v>3861</v>
      </c>
      <c r="D508" s="1558"/>
      <c r="E508" s="1558"/>
      <c r="F508" s="1559">
        <f t="shared" si="14"/>
        <v>0</v>
      </c>
      <c r="G508" s="1560" t="e">
        <f t="shared" si="15"/>
        <v>#DIV/0!</v>
      </c>
      <c r="H508" s="2294">
        <v>0.49399999999999999</v>
      </c>
      <c r="I508" s="2296"/>
      <c r="J508" s="1550"/>
    </row>
    <row r="509" spans="1:10" ht="16.5">
      <c r="A509" s="2298" t="s">
        <v>4681</v>
      </c>
      <c r="B509" s="2299" t="s">
        <v>5990</v>
      </c>
      <c r="C509" s="1586" t="s">
        <v>3861</v>
      </c>
      <c r="D509" s="1558"/>
      <c r="E509" s="1558"/>
      <c r="F509" s="1559">
        <f t="shared" si="14"/>
        <v>0</v>
      </c>
      <c r="G509" s="1560" t="e">
        <f t="shared" si="15"/>
        <v>#DIV/0!</v>
      </c>
      <c r="H509" s="2294">
        <v>0.6109</v>
      </c>
      <c r="I509" s="2296"/>
      <c r="J509" s="1550"/>
    </row>
    <row r="510" spans="1:10" ht="16.5">
      <c r="A510" s="2298" t="s">
        <v>4682</v>
      </c>
      <c r="B510" s="2299" t="s">
        <v>5991</v>
      </c>
      <c r="C510" s="1586" t="s">
        <v>3861</v>
      </c>
      <c r="D510" s="1558"/>
      <c r="E510" s="1558"/>
      <c r="F510" s="1559">
        <f t="shared" si="14"/>
        <v>0</v>
      </c>
      <c r="G510" s="1560" t="e">
        <f t="shared" si="15"/>
        <v>#DIV/0!</v>
      </c>
      <c r="H510" s="2294">
        <v>0.55910000000000004</v>
      </c>
      <c r="I510" s="2296"/>
      <c r="J510" s="1550"/>
    </row>
    <row r="511" spans="1:10" ht="16.5">
      <c r="A511" s="2298" t="s">
        <v>4683</v>
      </c>
      <c r="B511" s="2299" t="s">
        <v>5992</v>
      </c>
      <c r="C511" s="1586" t="s">
        <v>3861</v>
      </c>
      <c r="D511" s="1558"/>
      <c r="E511" s="1558"/>
      <c r="F511" s="1559">
        <f t="shared" si="14"/>
        <v>0</v>
      </c>
      <c r="G511" s="1560" t="e">
        <f t="shared" si="15"/>
        <v>#DIV/0!</v>
      </c>
      <c r="H511" s="2294">
        <v>0.7087</v>
      </c>
      <c r="I511" s="2296"/>
      <c r="J511" s="1550"/>
    </row>
    <row r="512" spans="1:10" ht="16.5">
      <c r="A512" s="2298" t="s">
        <v>4684</v>
      </c>
      <c r="B512" s="2299" t="s">
        <v>5993</v>
      </c>
      <c r="C512" s="1586" t="s">
        <v>3861</v>
      </c>
      <c r="D512" s="1558"/>
      <c r="E512" s="1558"/>
      <c r="F512" s="1559">
        <f t="shared" si="14"/>
        <v>0</v>
      </c>
      <c r="G512" s="1560" t="e">
        <f t="shared" si="15"/>
        <v>#DIV/0!</v>
      </c>
      <c r="H512" s="2294">
        <v>0.81469999999999998</v>
      </c>
      <c r="I512" s="2296"/>
      <c r="J512" s="1550"/>
    </row>
    <row r="513" spans="1:10" ht="16.5">
      <c r="A513" s="2298" t="s">
        <v>4685</v>
      </c>
      <c r="B513" s="2299" t="s">
        <v>5994</v>
      </c>
      <c r="C513" s="1586" t="s">
        <v>3861</v>
      </c>
      <c r="D513" s="1558"/>
      <c r="E513" s="1558"/>
      <c r="F513" s="1559">
        <f t="shared" si="14"/>
        <v>0</v>
      </c>
      <c r="G513" s="1560" t="e">
        <f t="shared" si="15"/>
        <v>#DIV/0!</v>
      </c>
      <c r="H513" s="2294">
        <v>0.70369999999999999</v>
      </c>
      <c r="I513" s="2296"/>
      <c r="J513" s="1550"/>
    </row>
    <row r="514" spans="1:10" ht="16.5">
      <c r="A514" s="2298" t="s">
        <v>4686</v>
      </c>
      <c r="B514" s="2299" t="s">
        <v>5995</v>
      </c>
      <c r="C514" s="1586" t="s">
        <v>3861</v>
      </c>
      <c r="D514" s="1558"/>
      <c r="E514" s="1558"/>
      <c r="F514" s="1559">
        <f t="shared" si="14"/>
        <v>0</v>
      </c>
      <c r="G514" s="1560" t="e">
        <f t="shared" si="15"/>
        <v>#DIV/0!</v>
      </c>
      <c r="H514" s="2294">
        <v>0.49259999999999998</v>
      </c>
      <c r="I514" s="2296"/>
      <c r="J514" s="1550"/>
    </row>
    <row r="515" spans="1:10" ht="16.5">
      <c r="A515" s="2298" t="s">
        <v>4687</v>
      </c>
      <c r="B515" s="2299" t="s">
        <v>5996</v>
      </c>
      <c r="C515" s="1586" t="s">
        <v>3861</v>
      </c>
      <c r="D515" s="1558"/>
      <c r="E515" s="1558"/>
      <c r="F515" s="1559">
        <f t="shared" si="14"/>
        <v>0</v>
      </c>
      <c r="G515" s="1560" t="e">
        <f t="shared" si="15"/>
        <v>#DIV/0!</v>
      </c>
      <c r="H515" s="2294">
        <v>0.7228</v>
      </c>
      <c r="I515" s="2296"/>
      <c r="J515" s="1550"/>
    </row>
    <row r="516" spans="1:10" ht="16.5">
      <c r="A516" s="2298" t="s">
        <v>4688</v>
      </c>
      <c r="B516" s="2299" t="s">
        <v>5997</v>
      </c>
      <c r="C516" s="1586" t="s">
        <v>3861</v>
      </c>
      <c r="D516" s="1558"/>
      <c r="E516" s="1558"/>
      <c r="F516" s="1559">
        <f t="shared" si="14"/>
        <v>0</v>
      </c>
      <c r="G516" s="1560" t="e">
        <f t="shared" si="15"/>
        <v>#DIV/0!</v>
      </c>
      <c r="H516" s="2294">
        <v>0.45079999999999998</v>
      </c>
      <c r="I516" s="2296"/>
      <c r="J516" s="1550"/>
    </row>
    <row r="517" spans="1:10" ht="16.5">
      <c r="A517" s="2298" t="s">
        <v>4689</v>
      </c>
      <c r="B517" s="2299" t="s">
        <v>5998</v>
      </c>
      <c r="C517" s="1586" t="s">
        <v>3861</v>
      </c>
      <c r="D517" s="1558"/>
      <c r="E517" s="1558"/>
      <c r="F517" s="1559">
        <f t="shared" ref="F517:F580" si="16">D517*E517</f>
        <v>0</v>
      </c>
      <c r="G517" s="1560" t="e">
        <f t="shared" ref="G517:G580" si="17">F517/$F$1214</f>
        <v>#DIV/0!</v>
      </c>
      <c r="H517" s="2294">
        <v>0.45400000000000001</v>
      </c>
      <c r="I517" s="2296"/>
      <c r="J517" s="1550"/>
    </row>
    <row r="518" spans="1:10" ht="16.5">
      <c r="A518" s="2298" t="s">
        <v>4690</v>
      </c>
      <c r="B518" s="2299" t="s">
        <v>5999</v>
      </c>
      <c r="C518" s="1586" t="s">
        <v>3861</v>
      </c>
      <c r="D518" s="1558"/>
      <c r="E518" s="1558"/>
      <c r="F518" s="1559">
        <f t="shared" si="16"/>
        <v>0</v>
      </c>
      <c r="G518" s="1560" t="e">
        <f t="shared" si="17"/>
        <v>#DIV/0!</v>
      </c>
      <c r="H518" s="2294">
        <v>1.0130999999999999</v>
      </c>
      <c r="I518" s="2296"/>
      <c r="J518" s="1550"/>
    </row>
    <row r="519" spans="1:10" ht="16.5">
      <c r="A519" s="2298" t="s">
        <v>4691</v>
      </c>
      <c r="B519" s="2299" t="s">
        <v>6000</v>
      </c>
      <c r="C519" s="1586" t="s">
        <v>3861</v>
      </c>
      <c r="D519" s="1558"/>
      <c r="E519" s="1558"/>
      <c r="F519" s="1559">
        <f t="shared" si="16"/>
        <v>0</v>
      </c>
      <c r="G519" s="1560" t="e">
        <f t="shared" si="17"/>
        <v>#DIV/0!</v>
      </c>
      <c r="H519" s="2294">
        <v>0.29220000000000002</v>
      </c>
      <c r="I519" s="2296"/>
      <c r="J519" s="1550"/>
    </row>
    <row r="520" spans="1:10" ht="16.5">
      <c r="A520" s="2298" t="s">
        <v>4692</v>
      </c>
      <c r="B520" s="2299" t="s">
        <v>6001</v>
      </c>
      <c r="C520" s="1586" t="s">
        <v>3861</v>
      </c>
      <c r="D520" s="1558"/>
      <c r="E520" s="1558"/>
      <c r="F520" s="1559">
        <f t="shared" si="16"/>
        <v>0</v>
      </c>
      <c r="G520" s="1560" t="e">
        <f t="shared" si="17"/>
        <v>#DIV/0!</v>
      </c>
      <c r="H520" s="2294">
        <v>0.64510000000000001</v>
      </c>
      <c r="I520" s="2296"/>
      <c r="J520" s="1550"/>
    </row>
    <row r="521" spans="1:10" ht="16.5">
      <c r="A521" s="2298" t="s">
        <v>4693</v>
      </c>
      <c r="B521" s="2299" t="s">
        <v>6002</v>
      </c>
      <c r="C521" s="1586" t="s">
        <v>3861</v>
      </c>
      <c r="D521" s="1558"/>
      <c r="E521" s="1558"/>
      <c r="F521" s="1559">
        <f t="shared" si="16"/>
        <v>0</v>
      </c>
      <c r="G521" s="1560" t="e">
        <f t="shared" si="17"/>
        <v>#DIV/0!</v>
      </c>
      <c r="H521" s="2294">
        <v>0.59860000000000002</v>
      </c>
      <c r="I521" s="2296"/>
      <c r="J521" s="1550"/>
    </row>
    <row r="522" spans="1:10" ht="16.5">
      <c r="A522" s="2298" t="s">
        <v>4694</v>
      </c>
      <c r="B522" s="2299" t="s">
        <v>6003</v>
      </c>
      <c r="C522" s="1586" t="s">
        <v>3861</v>
      </c>
      <c r="D522" s="1558"/>
      <c r="E522" s="1558"/>
      <c r="F522" s="1559">
        <f t="shared" si="16"/>
        <v>0</v>
      </c>
      <c r="G522" s="1560" t="e">
        <f t="shared" si="17"/>
        <v>#DIV/0!</v>
      </c>
      <c r="H522" s="2294">
        <v>0.43769999999999998</v>
      </c>
      <c r="I522" s="2296"/>
      <c r="J522" s="1550"/>
    </row>
    <row r="523" spans="1:10" ht="16.5">
      <c r="A523" s="2298" t="s">
        <v>4695</v>
      </c>
      <c r="B523" s="2299" t="s">
        <v>6004</v>
      </c>
      <c r="C523" s="1586" t="s">
        <v>3861</v>
      </c>
      <c r="D523" s="1558"/>
      <c r="E523" s="1558"/>
      <c r="F523" s="1559">
        <f t="shared" si="16"/>
        <v>0</v>
      </c>
      <c r="G523" s="1560" t="e">
        <f t="shared" si="17"/>
        <v>#DIV/0!</v>
      </c>
      <c r="H523" s="2294">
        <v>0.35199999999999998</v>
      </c>
      <c r="I523" s="2296"/>
      <c r="J523" s="1550"/>
    </row>
    <row r="524" spans="1:10" ht="16.5">
      <c r="A524" s="2298" t="s">
        <v>4696</v>
      </c>
      <c r="B524" s="2299" t="s">
        <v>6005</v>
      </c>
      <c r="C524" s="1586" t="s">
        <v>3861</v>
      </c>
      <c r="D524" s="1558"/>
      <c r="E524" s="1558"/>
      <c r="F524" s="1559">
        <f t="shared" si="16"/>
        <v>0</v>
      </c>
      <c r="G524" s="1560" t="e">
        <f t="shared" si="17"/>
        <v>#DIV/0!</v>
      </c>
      <c r="H524" s="2294">
        <v>9.7900000000000001E-2</v>
      </c>
      <c r="I524" s="2296"/>
      <c r="J524" s="1550"/>
    </row>
    <row r="525" spans="1:10" ht="16.5">
      <c r="A525" s="2298" t="s">
        <v>4697</v>
      </c>
      <c r="B525" s="2299" t="s">
        <v>6006</v>
      </c>
      <c r="C525" s="1586" t="s">
        <v>3861</v>
      </c>
      <c r="D525" s="1558"/>
      <c r="E525" s="1558"/>
      <c r="F525" s="1559">
        <f t="shared" si="16"/>
        <v>0</v>
      </c>
      <c r="G525" s="1560" t="e">
        <f t="shared" si="17"/>
        <v>#DIV/0!</v>
      </c>
      <c r="H525" s="2294">
        <v>0.19550000000000001</v>
      </c>
      <c r="I525" s="2296"/>
      <c r="J525" s="1550"/>
    </row>
    <row r="526" spans="1:10" ht="16.5">
      <c r="A526" s="2298" t="s">
        <v>4698</v>
      </c>
      <c r="B526" s="2299" t="s">
        <v>6007</v>
      </c>
      <c r="C526" s="1586" t="s">
        <v>3861</v>
      </c>
      <c r="D526" s="1558"/>
      <c r="E526" s="1558"/>
      <c r="F526" s="1559">
        <f t="shared" si="16"/>
        <v>0</v>
      </c>
      <c r="G526" s="1560" t="e">
        <f t="shared" si="17"/>
        <v>#DIV/0!</v>
      </c>
      <c r="H526" s="2294">
        <v>4.6699999999999998E-2</v>
      </c>
      <c r="I526" s="2296"/>
      <c r="J526" s="1550"/>
    </row>
    <row r="527" spans="1:10" ht="16.5">
      <c r="A527" s="2298" t="s">
        <v>4699</v>
      </c>
      <c r="B527" s="2299" t="s">
        <v>6008</v>
      </c>
      <c r="C527" s="1586" t="s">
        <v>3861</v>
      </c>
      <c r="D527" s="1558"/>
      <c r="E527" s="1558"/>
      <c r="F527" s="1559">
        <f t="shared" si="16"/>
        <v>0</v>
      </c>
      <c r="G527" s="1560" t="e">
        <f t="shared" si="17"/>
        <v>#DIV/0!</v>
      </c>
      <c r="H527" s="2294">
        <v>0.53690000000000004</v>
      </c>
      <c r="I527" s="2296"/>
      <c r="J527" s="1550"/>
    </row>
    <row r="528" spans="1:10" ht="16.5">
      <c r="A528" s="2298" t="s">
        <v>4700</v>
      </c>
      <c r="B528" s="2299" t="s">
        <v>6009</v>
      </c>
      <c r="C528" s="1586" t="s">
        <v>3861</v>
      </c>
      <c r="D528" s="1558"/>
      <c r="E528" s="1558"/>
      <c r="F528" s="1559">
        <f t="shared" si="16"/>
        <v>0</v>
      </c>
      <c r="G528" s="1560" t="e">
        <f t="shared" si="17"/>
        <v>#DIV/0!</v>
      </c>
      <c r="H528" s="2294">
        <v>8.5599999999999996E-2</v>
      </c>
      <c r="I528" s="2296"/>
      <c r="J528" s="1550"/>
    </row>
    <row r="529" spans="1:10" ht="16.5">
      <c r="A529" s="2298" t="s">
        <v>4701</v>
      </c>
      <c r="B529" s="2299" t="s">
        <v>6010</v>
      </c>
      <c r="C529" s="1586" t="s">
        <v>3861</v>
      </c>
      <c r="D529" s="1558"/>
      <c r="E529" s="1558"/>
      <c r="F529" s="1559">
        <f t="shared" si="16"/>
        <v>0</v>
      </c>
      <c r="G529" s="1560" t="e">
        <f t="shared" si="17"/>
        <v>#DIV/0!</v>
      </c>
      <c r="H529" s="2294">
        <v>0.28989999999999999</v>
      </c>
      <c r="I529" s="2296"/>
      <c r="J529" s="1550"/>
    </row>
    <row r="530" spans="1:10" ht="16.5">
      <c r="A530" s="2298" t="s">
        <v>4702</v>
      </c>
      <c r="B530" s="2299" t="s">
        <v>6011</v>
      </c>
      <c r="C530" s="1586" t="s">
        <v>3861</v>
      </c>
      <c r="D530" s="1558"/>
      <c r="E530" s="1558"/>
      <c r="F530" s="1559">
        <f t="shared" si="16"/>
        <v>0</v>
      </c>
      <c r="G530" s="1560" t="e">
        <f t="shared" si="17"/>
        <v>#DIV/0!</v>
      </c>
      <c r="H530" s="2294">
        <v>0.44869999999999999</v>
      </c>
      <c r="I530" s="2296"/>
      <c r="J530" s="1550"/>
    </row>
    <row r="531" spans="1:10" ht="16.5">
      <c r="A531" s="2298" t="s">
        <v>4703</v>
      </c>
      <c r="B531" s="2299" t="s">
        <v>6012</v>
      </c>
      <c r="C531" s="1586" t="s">
        <v>3861</v>
      </c>
      <c r="D531" s="1558"/>
      <c r="E531" s="1558"/>
      <c r="F531" s="1559">
        <f t="shared" si="16"/>
        <v>0</v>
      </c>
      <c r="G531" s="1560" t="e">
        <f t="shared" si="17"/>
        <v>#DIV/0!</v>
      </c>
      <c r="H531" s="2294">
        <v>0.30170000000000002</v>
      </c>
      <c r="I531" s="2296"/>
      <c r="J531" s="1550"/>
    </row>
    <row r="532" spans="1:10" ht="16.5">
      <c r="A532" s="2298" t="s">
        <v>4704</v>
      </c>
      <c r="B532" s="2299" t="s">
        <v>6013</v>
      </c>
      <c r="C532" s="1586" t="s">
        <v>3861</v>
      </c>
      <c r="D532" s="1558"/>
      <c r="E532" s="1558"/>
      <c r="F532" s="1559">
        <f t="shared" si="16"/>
        <v>0</v>
      </c>
      <c r="G532" s="1560" t="e">
        <f t="shared" si="17"/>
        <v>#DIV/0!</v>
      </c>
      <c r="H532" s="2294">
        <v>0.6835</v>
      </c>
      <c r="I532" s="2296"/>
      <c r="J532" s="1550"/>
    </row>
    <row r="533" spans="1:10" ht="16.5">
      <c r="A533" s="2298" t="s">
        <v>4705</v>
      </c>
      <c r="B533" s="2299" t="s">
        <v>6014</v>
      </c>
      <c r="C533" s="1586" t="s">
        <v>3861</v>
      </c>
      <c r="D533" s="1558"/>
      <c r="E533" s="1558"/>
      <c r="F533" s="1559">
        <f t="shared" si="16"/>
        <v>0</v>
      </c>
      <c r="G533" s="1560" t="e">
        <f t="shared" si="17"/>
        <v>#DIV/0!</v>
      </c>
      <c r="H533" s="2294">
        <v>0.22070000000000001</v>
      </c>
      <c r="I533" s="2296"/>
      <c r="J533" s="1550"/>
    </row>
    <row r="534" spans="1:10" ht="16.5">
      <c r="A534" s="2298" t="s">
        <v>4706</v>
      </c>
      <c r="B534" s="2299" t="s">
        <v>6015</v>
      </c>
      <c r="C534" s="1586" t="s">
        <v>3861</v>
      </c>
      <c r="D534" s="1558"/>
      <c r="E534" s="1558"/>
      <c r="F534" s="1559">
        <f t="shared" si="16"/>
        <v>0</v>
      </c>
      <c r="G534" s="1560" t="e">
        <f t="shared" si="17"/>
        <v>#DIV/0!</v>
      </c>
      <c r="H534" s="2294">
        <v>0.68220000000000003</v>
      </c>
      <c r="I534" s="2296"/>
      <c r="J534" s="1550"/>
    </row>
    <row r="535" spans="1:10" ht="16.5">
      <c r="A535" s="2298" t="s">
        <v>4707</v>
      </c>
      <c r="B535" s="2299" t="s">
        <v>6016</v>
      </c>
      <c r="C535" s="1586" t="s">
        <v>3861</v>
      </c>
      <c r="D535" s="1558"/>
      <c r="E535" s="1558"/>
      <c r="F535" s="1559">
        <f t="shared" si="16"/>
        <v>0</v>
      </c>
      <c r="G535" s="1560" t="e">
        <f t="shared" si="17"/>
        <v>#DIV/0!</v>
      </c>
      <c r="H535" s="2294">
        <v>1.0244</v>
      </c>
      <c r="I535" s="2296"/>
      <c r="J535" s="1550"/>
    </row>
    <row r="536" spans="1:10" ht="16.5">
      <c r="A536" s="2298" t="s">
        <v>4708</v>
      </c>
      <c r="B536" s="2299" t="s">
        <v>6017</v>
      </c>
      <c r="C536" s="1586" t="s">
        <v>3861</v>
      </c>
      <c r="D536" s="1558"/>
      <c r="E536" s="1558"/>
      <c r="F536" s="1559">
        <f t="shared" si="16"/>
        <v>0</v>
      </c>
      <c r="G536" s="1560" t="e">
        <f t="shared" si="17"/>
        <v>#DIV/0!</v>
      </c>
      <c r="H536" s="2294">
        <v>0.72799999999999998</v>
      </c>
      <c r="I536" s="2296"/>
      <c r="J536" s="1550"/>
    </row>
    <row r="537" spans="1:10" ht="16.5">
      <c r="A537" s="2298" t="s">
        <v>4709</v>
      </c>
      <c r="B537" s="2299" t="s">
        <v>6018</v>
      </c>
      <c r="C537" s="1586" t="s">
        <v>3861</v>
      </c>
      <c r="D537" s="1558"/>
      <c r="E537" s="1558"/>
      <c r="F537" s="1559">
        <f t="shared" si="16"/>
        <v>0</v>
      </c>
      <c r="G537" s="1560" t="e">
        <f t="shared" si="17"/>
        <v>#DIV/0!</v>
      </c>
      <c r="H537" s="2294">
        <v>0.1288</v>
      </c>
      <c r="I537" s="2296"/>
      <c r="J537" s="1550"/>
    </row>
    <row r="538" spans="1:10" ht="16.5">
      <c r="A538" s="2298" t="s">
        <v>4710</v>
      </c>
      <c r="B538" s="2299" t="s">
        <v>6019</v>
      </c>
      <c r="C538" s="1586" t="s">
        <v>3861</v>
      </c>
      <c r="D538" s="1558"/>
      <c r="E538" s="1558"/>
      <c r="F538" s="1559">
        <f t="shared" si="16"/>
        <v>0</v>
      </c>
      <c r="G538" s="1560" t="e">
        <f t="shared" si="17"/>
        <v>#DIV/0!</v>
      </c>
      <c r="H538" s="2294">
        <v>0.84940000000000004</v>
      </c>
      <c r="I538" s="2296"/>
      <c r="J538" s="1550"/>
    </row>
    <row r="539" spans="1:10" ht="16.5">
      <c r="A539" s="2298" t="s">
        <v>4711</v>
      </c>
      <c r="B539" s="2299" t="s">
        <v>6020</v>
      </c>
      <c r="C539" s="1586" t="s">
        <v>3861</v>
      </c>
      <c r="D539" s="1558"/>
      <c r="E539" s="1558"/>
      <c r="F539" s="1559">
        <f t="shared" si="16"/>
        <v>0</v>
      </c>
      <c r="G539" s="1560" t="e">
        <f t="shared" si="17"/>
        <v>#DIV/0!</v>
      </c>
      <c r="H539" s="2294">
        <v>0.22</v>
      </c>
      <c r="I539" s="2296"/>
      <c r="J539" s="1550"/>
    </row>
    <row r="540" spans="1:10" ht="16.5">
      <c r="A540" s="2298" t="s">
        <v>4712</v>
      </c>
      <c r="B540" s="2299" t="s">
        <v>6021</v>
      </c>
      <c r="C540" s="1586" t="s">
        <v>3861</v>
      </c>
      <c r="D540" s="1558"/>
      <c r="E540" s="1558"/>
      <c r="F540" s="1559">
        <f t="shared" si="16"/>
        <v>0</v>
      </c>
      <c r="G540" s="1560" t="e">
        <f t="shared" si="17"/>
        <v>#DIV/0!</v>
      </c>
      <c r="H540" s="2294">
        <v>0.88759999999999994</v>
      </c>
      <c r="I540" s="2296"/>
      <c r="J540" s="1550"/>
    </row>
    <row r="541" spans="1:10" ht="16.5">
      <c r="A541" s="2298" t="s">
        <v>4713</v>
      </c>
      <c r="B541" s="2299" t="s">
        <v>6022</v>
      </c>
      <c r="C541" s="1586" t="s">
        <v>3861</v>
      </c>
      <c r="D541" s="1558"/>
      <c r="E541" s="1558"/>
      <c r="F541" s="1559">
        <f t="shared" si="16"/>
        <v>0</v>
      </c>
      <c r="G541" s="1560" t="e">
        <f t="shared" si="17"/>
        <v>#DIV/0!</v>
      </c>
      <c r="H541" s="2294">
        <v>0.58309999999999995</v>
      </c>
      <c r="I541" s="2296"/>
      <c r="J541" s="1550"/>
    </row>
    <row r="542" spans="1:10" ht="16.5">
      <c r="A542" s="2298" t="s">
        <v>4714</v>
      </c>
      <c r="B542" s="2299" t="s">
        <v>6023</v>
      </c>
      <c r="C542" s="1586" t="s">
        <v>3861</v>
      </c>
      <c r="D542" s="1558"/>
      <c r="E542" s="1558"/>
      <c r="F542" s="1559">
        <f t="shared" si="16"/>
        <v>0</v>
      </c>
      <c r="G542" s="1560" t="e">
        <f t="shared" si="17"/>
        <v>#DIV/0!</v>
      </c>
      <c r="H542" s="2294">
        <v>0.46889999999999998</v>
      </c>
      <c r="I542" s="2296"/>
      <c r="J542" s="1550"/>
    </row>
    <row r="543" spans="1:10" ht="16.5">
      <c r="A543" s="2298" t="s">
        <v>4715</v>
      </c>
      <c r="B543" s="2299" t="s">
        <v>6024</v>
      </c>
      <c r="C543" s="1586" t="s">
        <v>3861</v>
      </c>
      <c r="D543" s="1558"/>
      <c r="E543" s="1558"/>
      <c r="F543" s="1559">
        <f t="shared" si="16"/>
        <v>0</v>
      </c>
      <c r="G543" s="1560" t="e">
        <f t="shared" si="17"/>
        <v>#DIV/0!</v>
      </c>
      <c r="H543" s="2294">
        <v>0.94830000000000003</v>
      </c>
      <c r="I543" s="2296"/>
      <c r="J543" s="1550"/>
    </row>
    <row r="544" spans="1:10" ht="16.5">
      <c r="A544" s="2298" t="s">
        <v>4716</v>
      </c>
      <c r="B544" s="2299" t="s">
        <v>6025</v>
      </c>
      <c r="C544" s="1586" t="s">
        <v>3861</v>
      </c>
      <c r="D544" s="1558"/>
      <c r="E544" s="1558"/>
      <c r="F544" s="1559">
        <f t="shared" si="16"/>
        <v>0</v>
      </c>
      <c r="G544" s="1560" t="e">
        <f t="shared" si="17"/>
        <v>#DIV/0!</v>
      </c>
      <c r="H544" s="2294">
        <v>2.2277</v>
      </c>
      <c r="I544" s="2296"/>
      <c r="J544" s="1550"/>
    </row>
    <row r="545" spans="1:10" ht="16.5">
      <c r="A545" s="2298" t="s">
        <v>4717</v>
      </c>
      <c r="B545" s="2299" t="s">
        <v>6026</v>
      </c>
      <c r="C545" s="1586" t="s">
        <v>3861</v>
      </c>
      <c r="D545" s="1558"/>
      <c r="E545" s="1558"/>
      <c r="F545" s="1559">
        <f t="shared" si="16"/>
        <v>0</v>
      </c>
      <c r="G545" s="1560" t="e">
        <f t="shared" si="17"/>
        <v>#DIV/0!</v>
      </c>
      <c r="H545" s="2294">
        <v>0.42070000000000002</v>
      </c>
      <c r="I545" s="2296"/>
      <c r="J545" s="1550"/>
    </row>
    <row r="546" spans="1:10" ht="16.5">
      <c r="A546" s="2298" t="s">
        <v>4718</v>
      </c>
      <c r="B546" s="2299" t="s">
        <v>6027</v>
      </c>
      <c r="C546" s="1586" t="s">
        <v>3861</v>
      </c>
      <c r="D546" s="1558"/>
      <c r="E546" s="1558"/>
      <c r="F546" s="1559">
        <f t="shared" si="16"/>
        <v>0</v>
      </c>
      <c r="G546" s="1560" t="e">
        <f t="shared" si="17"/>
        <v>#DIV/0!</v>
      </c>
      <c r="H546" s="2294">
        <v>0.63329999999999997</v>
      </c>
      <c r="I546" s="2296"/>
      <c r="J546" s="1550"/>
    </row>
    <row r="547" spans="1:10" ht="16.5">
      <c r="A547" s="2298" t="s">
        <v>4719</v>
      </c>
      <c r="B547" s="2299" t="s">
        <v>6028</v>
      </c>
      <c r="C547" s="1586" t="s">
        <v>3861</v>
      </c>
      <c r="D547" s="1558"/>
      <c r="E547" s="1558"/>
      <c r="F547" s="1559">
        <f t="shared" si="16"/>
        <v>0</v>
      </c>
      <c r="G547" s="1560" t="e">
        <f t="shared" si="17"/>
        <v>#DIV/0!</v>
      </c>
      <c r="H547" s="2294">
        <v>0.56369999999999998</v>
      </c>
      <c r="I547" s="2296"/>
      <c r="J547" s="1550"/>
    </row>
    <row r="548" spans="1:10" ht="16.5">
      <c r="A548" s="2298" t="s">
        <v>4720</v>
      </c>
      <c r="B548" s="2299" t="s">
        <v>6029</v>
      </c>
      <c r="C548" s="1586" t="s">
        <v>3861</v>
      </c>
      <c r="D548" s="1558"/>
      <c r="E548" s="1558"/>
      <c r="F548" s="1559">
        <f t="shared" si="16"/>
        <v>0</v>
      </c>
      <c r="G548" s="1560" t="e">
        <f t="shared" si="17"/>
        <v>#DIV/0!</v>
      </c>
      <c r="H548" s="2294">
        <v>0.6956</v>
      </c>
      <c r="I548" s="2296"/>
      <c r="J548" s="1550"/>
    </row>
    <row r="549" spans="1:10" ht="16.5">
      <c r="A549" s="2298" t="s">
        <v>4721</v>
      </c>
      <c r="B549" s="2299" t="s">
        <v>6030</v>
      </c>
      <c r="C549" s="1586" t="s">
        <v>3861</v>
      </c>
      <c r="D549" s="1558"/>
      <c r="E549" s="1558"/>
      <c r="F549" s="1559">
        <f t="shared" si="16"/>
        <v>0</v>
      </c>
      <c r="G549" s="1560" t="e">
        <f t="shared" si="17"/>
        <v>#DIV/0!</v>
      </c>
      <c r="H549" s="2294">
        <v>0.42359999999999998</v>
      </c>
      <c r="I549" s="2296"/>
      <c r="J549" s="1550"/>
    </row>
    <row r="550" spans="1:10" ht="16.5">
      <c r="A550" s="2298" t="s">
        <v>4722</v>
      </c>
      <c r="B550" s="2299" t="s">
        <v>6031</v>
      </c>
      <c r="C550" s="1586" t="s">
        <v>3861</v>
      </c>
      <c r="D550" s="1558"/>
      <c r="E550" s="1558"/>
      <c r="F550" s="1559">
        <f t="shared" si="16"/>
        <v>0</v>
      </c>
      <c r="G550" s="1560" t="e">
        <f t="shared" si="17"/>
        <v>#DIV/0!</v>
      </c>
      <c r="H550" s="2294">
        <v>1.5674999999999999</v>
      </c>
      <c r="I550" s="2296"/>
      <c r="J550" s="1550"/>
    </row>
    <row r="551" spans="1:10" ht="16.5">
      <c r="A551" s="2298" t="s">
        <v>4723</v>
      </c>
      <c r="B551" s="2299" t="s">
        <v>6032</v>
      </c>
      <c r="C551" s="1586" t="s">
        <v>3861</v>
      </c>
      <c r="D551" s="1558"/>
      <c r="E551" s="1558"/>
      <c r="F551" s="1559">
        <f t="shared" si="16"/>
        <v>0</v>
      </c>
      <c r="G551" s="1560" t="e">
        <f t="shared" si="17"/>
        <v>#DIV/0!</v>
      </c>
      <c r="H551" s="2294">
        <v>1.4528000000000001</v>
      </c>
      <c r="I551" s="2296"/>
      <c r="J551" s="1550"/>
    </row>
    <row r="552" spans="1:10" ht="16.5">
      <c r="A552" s="2298" t="s">
        <v>4724</v>
      </c>
      <c r="B552" s="2299" t="s">
        <v>6033</v>
      </c>
      <c r="C552" s="1586" t="s">
        <v>3861</v>
      </c>
      <c r="D552" s="1558"/>
      <c r="E552" s="1558"/>
      <c r="F552" s="1559">
        <f t="shared" si="16"/>
        <v>0</v>
      </c>
      <c r="G552" s="1560" t="e">
        <f t="shared" si="17"/>
        <v>#DIV/0!</v>
      </c>
      <c r="H552" s="2294">
        <v>0.74670000000000003</v>
      </c>
      <c r="I552" s="2296"/>
      <c r="J552" s="1550"/>
    </row>
    <row r="553" spans="1:10" ht="16.5">
      <c r="A553" s="2298" t="s">
        <v>4725</v>
      </c>
      <c r="B553" s="2299" t="s">
        <v>6034</v>
      </c>
      <c r="C553" s="1586" t="s">
        <v>3861</v>
      </c>
      <c r="D553" s="1558"/>
      <c r="E553" s="1558"/>
      <c r="F553" s="1559">
        <f t="shared" si="16"/>
        <v>0</v>
      </c>
      <c r="G553" s="1560" t="e">
        <f t="shared" si="17"/>
        <v>#DIV/0!</v>
      </c>
      <c r="H553" s="2294">
        <v>1.3232999999999999</v>
      </c>
      <c r="I553" s="2296"/>
      <c r="J553" s="1550"/>
    </row>
    <row r="554" spans="1:10" ht="16.5">
      <c r="A554" s="2298" t="s">
        <v>4726</v>
      </c>
      <c r="B554" s="2299" t="s">
        <v>6035</v>
      </c>
      <c r="C554" s="1586" t="s">
        <v>3861</v>
      </c>
      <c r="D554" s="1558"/>
      <c r="E554" s="1558"/>
      <c r="F554" s="1559">
        <f t="shared" si="16"/>
        <v>0</v>
      </c>
      <c r="G554" s="1560" t="e">
        <f t="shared" si="17"/>
        <v>#DIV/0!</v>
      </c>
      <c r="H554" s="2294">
        <v>0.23830000000000001</v>
      </c>
      <c r="I554" s="2296"/>
      <c r="J554" s="1550"/>
    </row>
    <row r="555" spans="1:10" ht="16.5">
      <c r="A555" s="2298" t="s">
        <v>4727</v>
      </c>
      <c r="B555" s="2299" t="s">
        <v>6036</v>
      </c>
      <c r="C555" s="1586" t="s">
        <v>3861</v>
      </c>
      <c r="D555" s="1558"/>
      <c r="E555" s="1558"/>
      <c r="F555" s="1559">
        <f t="shared" si="16"/>
        <v>0</v>
      </c>
      <c r="G555" s="1560" t="e">
        <f t="shared" si="17"/>
        <v>#DIV/0!</v>
      </c>
      <c r="H555" s="2294">
        <v>0.46750000000000003</v>
      </c>
      <c r="I555" s="2296"/>
      <c r="J555" s="1550"/>
    </row>
    <row r="556" spans="1:10" ht="16.5">
      <c r="A556" s="2298" t="s">
        <v>4728</v>
      </c>
      <c r="B556" s="2299" t="s">
        <v>6037</v>
      </c>
      <c r="C556" s="1586" t="s">
        <v>3861</v>
      </c>
      <c r="D556" s="1558"/>
      <c r="E556" s="1558"/>
      <c r="F556" s="1559">
        <f t="shared" si="16"/>
        <v>0</v>
      </c>
      <c r="G556" s="1560" t="e">
        <f t="shared" si="17"/>
        <v>#DIV/0!</v>
      </c>
      <c r="H556" s="2294">
        <v>0.72960000000000003</v>
      </c>
      <c r="I556" s="2296"/>
      <c r="J556" s="1550"/>
    </row>
    <row r="557" spans="1:10" ht="16.5">
      <c r="A557" s="2298" t="s">
        <v>4729</v>
      </c>
      <c r="B557" s="2299" t="s">
        <v>6038</v>
      </c>
      <c r="C557" s="1586" t="s">
        <v>3861</v>
      </c>
      <c r="D557" s="1558"/>
      <c r="E557" s="1558"/>
      <c r="F557" s="1559">
        <f t="shared" si="16"/>
        <v>0</v>
      </c>
      <c r="G557" s="1560" t="e">
        <f t="shared" si="17"/>
        <v>#DIV/0!</v>
      </c>
      <c r="H557" s="2294">
        <v>0.26829999999999998</v>
      </c>
      <c r="I557" s="2296"/>
      <c r="J557" s="1550"/>
    </row>
    <row r="558" spans="1:10" ht="16.5">
      <c r="A558" s="2298" t="s">
        <v>4730</v>
      </c>
      <c r="B558" s="2299" t="s">
        <v>6039</v>
      </c>
      <c r="C558" s="1586" t="s">
        <v>3861</v>
      </c>
      <c r="D558" s="1558"/>
      <c r="E558" s="1558"/>
      <c r="F558" s="1559">
        <f t="shared" si="16"/>
        <v>0</v>
      </c>
      <c r="G558" s="1560" t="e">
        <f t="shared" si="17"/>
        <v>#DIV/0!</v>
      </c>
      <c r="H558" s="2294">
        <v>1.3050999999999999</v>
      </c>
      <c r="I558" s="2296"/>
      <c r="J558" s="1550"/>
    </row>
    <row r="559" spans="1:10" ht="16.5">
      <c r="A559" s="2298" t="s">
        <v>4731</v>
      </c>
      <c r="B559" s="2299" t="s">
        <v>6040</v>
      </c>
      <c r="C559" s="1586" t="s">
        <v>3861</v>
      </c>
      <c r="D559" s="1558"/>
      <c r="E559" s="1558"/>
      <c r="F559" s="1559">
        <f t="shared" si="16"/>
        <v>0</v>
      </c>
      <c r="G559" s="1560" t="e">
        <f t="shared" si="17"/>
        <v>#DIV/0!</v>
      </c>
      <c r="H559" s="2294">
        <v>1.2487999999999999</v>
      </c>
      <c r="I559" s="2296"/>
      <c r="J559" s="1550"/>
    </row>
    <row r="560" spans="1:10" ht="16.5">
      <c r="A560" s="2298" t="s">
        <v>4732</v>
      </c>
      <c r="B560" s="2299" t="s">
        <v>6041</v>
      </c>
      <c r="C560" s="1586" t="s">
        <v>3861</v>
      </c>
      <c r="D560" s="1558"/>
      <c r="E560" s="1558"/>
      <c r="F560" s="1559">
        <f t="shared" si="16"/>
        <v>0</v>
      </c>
      <c r="G560" s="1560" t="e">
        <f t="shared" si="17"/>
        <v>#DIV/0!</v>
      </c>
      <c r="H560" s="2294">
        <v>0.47249999999999998</v>
      </c>
      <c r="I560" s="2296"/>
      <c r="J560" s="1550"/>
    </row>
    <row r="561" spans="1:10" ht="16.5">
      <c r="A561" s="2298" t="s">
        <v>4733</v>
      </c>
      <c r="B561" s="2299" t="s">
        <v>6042</v>
      </c>
      <c r="C561" s="1586" t="s">
        <v>3861</v>
      </c>
      <c r="D561" s="1558"/>
      <c r="E561" s="1558"/>
      <c r="F561" s="1559">
        <f t="shared" si="16"/>
        <v>0</v>
      </c>
      <c r="G561" s="1560" t="e">
        <f t="shared" si="17"/>
        <v>#DIV/0!</v>
      </c>
      <c r="H561" s="2294">
        <v>0.22420000000000001</v>
      </c>
      <c r="I561" s="2296"/>
      <c r="J561" s="1550"/>
    </row>
    <row r="562" spans="1:10" ht="16.5">
      <c r="A562" s="2298" t="s">
        <v>4734</v>
      </c>
      <c r="B562" s="2299" t="s">
        <v>6043</v>
      </c>
      <c r="C562" s="1586" t="s">
        <v>3861</v>
      </c>
      <c r="D562" s="1558"/>
      <c r="E562" s="1558"/>
      <c r="F562" s="1559">
        <f t="shared" si="16"/>
        <v>0</v>
      </c>
      <c r="G562" s="1560" t="e">
        <f t="shared" si="17"/>
        <v>#DIV/0!</v>
      </c>
      <c r="H562" s="2294">
        <v>0.97230000000000005</v>
      </c>
      <c r="I562" s="2296"/>
      <c r="J562" s="1550"/>
    </row>
    <row r="563" spans="1:10" ht="16.5">
      <c r="A563" s="2298" t="s">
        <v>4735</v>
      </c>
      <c r="B563" s="2299" t="s">
        <v>6044</v>
      </c>
      <c r="C563" s="1586" t="s">
        <v>3861</v>
      </c>
      <c r="D563" s="1558"/>
      <c r="E563" s="1558"/>
      <c r="F563" s="1559">
        <f t="shared" si="16"/>
        <v>0</v>
      </c>
      <c r="G563" s="1560" t="e">
        <f t="shared" si="17"/>
        <v>#DIV/0!</v>
      </c>
      <c r="H563" s="2294">
        <v>0.56359999999999999</v>
      </c>
      <c r="I563" s="2296"/>
      <c r="J563" s="1550"/>
    </row>
    <row r="564" spans="1:10" ht="16.5">
      <c r="A564" s="2298" t="s">
        <v>4736</v>
      </c>
      <c r="B564" s="2299" t="s">
        <v>6045</v>
      </c>
      <c r="C564" s="1586" t="s">
        <v>3861</v>
      </c>
      <c r="D564" s="1558"/>
      <c r="E564" s="1558"/>
      <c r="F564" s="1559">
        <f t="shared" si="16"/>
        <v>0</v>
      </c>
      <c r="G564" s="1560" t="e">
        <f t="shared" si="17"/>
        <v>#DIV/0!</v>
      </c>
      <c r="H564" s="2294">
        <v>0.59219999999999995</v>
      </c>
      <c r="I564" s="2296"/>
      <c r="J564" s="1550"/>
    </row>
    <row r="565" spans="1:10" ht="16.5">
      <c r="A565" s="2298" t="s">
        <v>4737</v>
      </c>
      <c r="B565" s="2299" t="s">
        <v>6046</v>
      </c>
      <c r="C565" s="1586" t="s">
        <v>3861</v>
      </c>
      <c r="D565" s="1558"/>
      <c r="E565" s="1558"/>
      <c r="F565" s="1559">
        <f t="shared" si="16"/>
        <v>0</v>
      </c>
      <c r="G565" s="1560" t="e">
        <f t="shared" si="17"/>
        <v>#DIV/0!</v>
      </c>
      <c r="H565" s="2294">
        <v>0.50890000000000002</v>
      </c>
      <c r="I565" s="2296"/>
      <c r="J565" s="1550"/>
    </row>
    <row r="566" spans="1:10" ht="16.5">
      <c r="A566" s="2298" t="s">
        <v>4738</v>
      </c>
      <c r="B566" s="2299" t="s">
        <v>6047</v>
      </c>
      <c r="C566" s="1586" t="s">
        <v>3861</v>
      </c>
      <c r="D566" s="1558"/>
      <c r="E566" s="1558"/>
      <c r="F566" s="1559">
        <f t="shared" si="16"/>
        <v>0</v>
      </c>
      <c r="G566" s="1560" t="e">
        <f t="shared" si="17"/>
        <v>#DIV/0!</v>
      </c>
      <c r="H566" s="2294">
        <v>0.25969999999999999</v>
      </c>
      <c r="I566" s="2296"/>
      <c r="J566" s="1550"/>
    </row>
    <row r="567" spans="1:10" ht="16.5">
      <c r="A567" s="2298" t="s">
        <v>4739</v>
      </c>
      <c r="B567" s="2299" t="s">
        <v>6048</v>
      </c>
      <c r="C567" s="1586" t="s">
        <v>3861</v>
      </c>
      <c r="D567" s="1558"/>
      <c r="E567" s="1558"/>
      <c r="F567" s="1559">
        <f t="shared" si="16"/>
        <v>0</v>
      </c>
      <c r="G567" s="1560" t="e">
        <f t="shared" si="17"/>
        <v>#DIV/0!</v>
      </c>
      <c r="H567" s="2294">
        <v>1.9658</v>
      </c>
      <c r="I567" s="2296"/>
      <c r="J567" s="1550"/>
    </row>
    <row r="568" spans="1:10" ht="16.5">
      <c r="A568" s="2298" t="s">
        <v>4740</v>
      </c>
      <c r="B568" s="2299" t="s">
        <v>6049</v>
      </c>
      <c r="C568" s="1586" t="s">
        <v>3861</v>
      </c>
      <c r="D568" s="1558"/>
      <c r="E568" s="1558"/>
      <c r="F568" s="1559">
        <f t="shared" si="16"/>
        <v>0</v>
      </c>
      <c r="G568" s="1560" t="e">
        <f t="shared" si="17"/>
        <v>#DIV/0!</v>
      </c>
      <c r="H568" s="2294">
        <v>1.4879</v>
      </c>
      <c r="I568" s="2296"/>
      <c r="J568" s="1550"/>
    </row>
    <row r="569" spans="1:10" ht="16.5">
      <c r="A569" s="2298" t="s">
        <v>4741</v>
      </c>
      <c r="B569" s="2299" t="s">
        <v>6050</v>
      </c>
      <c r="C569" s="1586" t="s">
        <v>3861</v>
      </c>
      <c r="D569" s="1558"/>
      <c r="E569" s="1558"/>
      <c r="F569" s="1559">
        <f t="shared" si="16"/>
        <v>0</v>
      </c>
      <c r="G569" s="1560" t="e">
        <f t="shared" si="17"/>
        <v>#DIV/0!</v>
      </c>
      <c r="H569" s="2294">
        <v>0.3362</v>
      </c>
      <c r="I569" s="2296"/>
      <c r="J569" s="1550"/>
    </row>
    <row r="570" spans="1:10" ht="16.5">
      <c r="A570" s="2298" t="s">
        <v>4742</v>
      </c>
      <c r="B570" s="2299" t="s">
        <v>6051</v>
      </c>
      <c r="C570" s="1586" t="s">
        <v>3861</v>
      </c>
      <c r="D570" s="1558"/>
      <c r="E570" s="1558"/>
      <c r="F570" s="1559">
        <f t="shared" si="16"/>
        <v>0</v>
      </c>
      <c r="G570" s="1560" t="e">
        <f t="shared" si="17"/>
        <v>#DIV/0!</v>
      </c>
      <c r="H570" s="2294">
        <v>1.6960999999999999</v>
      </c>
      <c r="I570" s="2296"/>
      <c r="J570" s="1550"/>
    </row>
    <row r="571" spans="1:10" ht="16.5">
      <c r="A571" s="2298" t="s">
        <v>4743</v>
      </c>
      <c r="B571" s="2299" t="s">
        <v>6052</v>
      </c>
      <c r="C571" s="1586" t="s">
        <v>3861</v>
      </c>
      <c r="D571" s="1558"/>
      <c r="E571" s="1558"/>
      <c r="F571" s="1559">
        <f t="shared" si="16"/>
        <v>0</v>
      </c>
      <c r="G571" s="1560" t="e">
        <f t="shared" si="17"/>
        <v>#DIV/0!</v>
      </c>
      <c r="H571" s="2294">
        <v>0.89410000000000001</v>
      </c>
      <c r="I571" s="2296"/>
      <c r="J571" s="1550"/>
    </row>
    <row r="572" spans="1:10" ht="16.5">
      <c r="A572" s="2298" t="s">
        <v>4744</v>
      </c>
      <c r="B572" s="2299" t="s">
        <v>6053</v>
      </c>
      <c r="C572" s="1586" t="s">
        <v>3861</v>
      </c>
      <c r="D572" s="1558"/>
      <c r="E572" s="1558"/>
      <c r="F572" s="1559">
        <f t="shared" si="16"/>
        <v>0</v>
      </c>
      <c r="G572" s="1560" t="e">
        <f t="shared" si="17"/>
        <v>#DIV/0!</v>
      </c>
      <c r="H572" s="2294">
        <v>0.222</v>
      </c>
      <c r="I572" s="2296"/>
      <c r="J572" s="1550"/>
    </row>
    <row r="573" spans="1:10" ht="16.5">
      <c r="A573" s="2298" t="s">
        <v>4745</v>
      </c>
      <c r="B573" s="2299" t="s">
        <v>6054</v>
      </c>
      <c r="C573" s="1586" t="s">
        <v>3861</v>
      </c>
      <c r="D573" s="1558"/>
      <c r="E573" s="1558"/>
      <c r="F573" s="1559">
        <f t="shared" si="16"/>
        <v>0</v>
      </c>
      <c r="G573" s="1560" t="e">
        <f t="shared" si="17"/>
        <v>#DIV/0!</v>
      </c>
      <c r="H573" s="2294">
        <v>0.91779999999999995</v>
      </c>
      <c r="I573" s="2296"/>
      <c r="J573" s="1550"/>
    </row>
    <row r="574" spans="1:10" ht="16.5">
      <c r="A574" s="2298" t="s">
        <v>4746</v>
      </c>
      <c r="B574" s="2299" t="s">
        <v>6055</v>
      </c>
      <c r="C574" s="1586" t="s">
        <v>3861</v>
      </c>
      <c r="D574" s="1558"/>
      <c r="E574" s="1558"/>
      <c r="F574" s="1559">
        <f t="shared" si="16"/>
        <v>0</v>
      </c>
      <c r="G574" s="1560" t="e">
        <f t="shared" si="17"/>
        <v>#DIV/0!</v>
      </c>
      <c r="H574" s="2294">
        <v>0.624</v>
      </c>
      <c r="I574" s="2296"/>
      <c r="J574" s="1550"/>
    </row>
    <row r="575" spans="1:10" ht="16.5">
      <c r="A575" s="2298" t="s">
        <v>4747</v>
      </c>
      <c r="B575" s="2299" t="s">
        <v>6056</v>
      </c>
      <c r="C575" s="1586" t="s">
        <v>3861</v>
      </c>
      <c r="D575" s="1558"/>
      <c r="E575" s="1558"/>
      <c r="F575" s="1559">
        <f t="shared" si="16"/>
        <v>0</v>
      </c>
      <c r="G575" s="1560" t="e">
        <f t="shared" si="17"/>
        <v>#DIV/0!</v>
      </c>
      <c r="H575" s="2294">
        <v>-1.3299999999999999E-2</v>
      </c>
      <c r="I575" s="2296"/>
      <c r="J575" s="1550"/>
    </row>
    <row r="576" spans="1:10" ht="16.5">
      <c r="A576" s="2298" t="s">
        <v>4748</v>
      </c>
      <c r="B576" s="2299" t="s">
        <v>6057</v>
      </c>
      <c r="C576" s="1586" t="s">
        <v>3861</v>
      </c>
      <c r="D576" s="1558"/>
      <c r="E576" s="1558"/>
      <c r="F576" s="1559">
        <f t="shared" si="16"/>
        <v>0</v>
      </c>
      <c r="G576" s="1560" t="e">
        <f t="shared" si="17"/>
        <v>#DIV/0!</v>
      </c>
      <c r="H576" s="2294">
        <v>0.59499999999999997</v>
      </c>
      <c r="I576" s="2296"/>
      <c r="J576" s="1550"/>
    </row>
    <row r="577" spans="1:10" ht="16.5">
      <c r="A577" s="2298" t="s">
        <v>4749</v>
      </c>
      <c r="B577" s="2299" t="s">
        <v>6058</v>
      </c>
      <c r="C577" s="1586" t="s">
        <v>3861</v>
      </c>
      <c r="D577" s="1558"/>
      <c r="E577" s="1558"/>
      <c r="F577" s="1559">
        <f t="shared" si="16"/>
        <v>0</v>
      </c>
      <c r="G577" s="1560" t="e">
        <f t="shared" si="17"/>
        <v>#DIV/0!</v>
      </c>
      <c r="H577" s="2294">
        <v>0.14410000000000001</v>
      </c>
      <c r="I577" s="2296"/>
      <c r="J577" s="1550"/>
    </row>
    <row r="578" spans="1:10" ht="16.5">
      <c r="A578" s="2298" t="s">
        <v>4750</v>
      </c>
      <c r="B578" s="2299" t="s">
        <v>6059</v>
      </c>
      <c r="C578" s="1586" t="s">
        <v>3861</v>
      </c>
      <c r="D578" s="1558"/>
      <c r="E578" s="1558"/>
      <c r="F578" s="1559">
        <f t="shared" si="16"/>
        <v>0</v>
      </c>
      <c r="G578" s="1560" t="e">
        <f t="shared" si="17"/>
        <v>#DIV/0!</v>
      </c>
      <c r="H578" s="2294">
        <v>0.47449999999999998</v>
      </c>
      <c r="I578" s="2296"/>
      <c r="J578" s="1550"/>
    </row>
    <row r="579" spans="1:10" ht="16.5">
      <c r="A579" s="2298" t="s">
        <v>4751</v>
      </c>
      <c r="B579" s="2299" t="s">
        <v>6060</v>
      </c>
      <c r="C579" s="1586" t="s">
        <v>3861</v>
      </c>
      <c r="D579" s="1558"/>
      <c r="E579" s="1558"/>
      <c r="F579" s="1559">
        <f t="shared" si="16"/>
        <v>0</v>
      </c>
      <c r="G579" s="1560" t="e">
        <f t="shared" si="17"/>
        <v>#DIV/0!</v>
      </c>
      <c r="H579" s="2294">
        <v>0.93559999999999999</v>
      </c>
      <c r="I579" s="2296"/>
      <c r="J579" s="1550"/>
    </row>
    <row r="580" spans="1:10" ht="16.5">
      <c r="A580" s="2298" t="s">
        <v>4752</v>
      </c>
      <c r="B580" s="2299" t="s">
        <v>6061</v>
      </c>
      <c r="C580" s="1586" t="s">
        <v>3861</v>
      </c>
      <c r="D580" s="1558"/>
      <c r="E580" s="1558"/>
      <c r="F580" s="1559">
        <f t="shared" si="16"/>
        <v>0</v>
      </c>
      <c r="G580" s="1560" t="e">
        <f t="shared" si="17"/>
        <v>#DIV/0!</v>
      </c>
      <c r="H580" s="2294">
        <v>0.377</v>
      </c>
      <c r="I580" s="2296"/>
      <c r="J580" s="1550"/>
    </row>
    <row r="581" spans="1:10" ht="16.5">
      <c r="A581" s="2298" t="s">
        <v>4753</v>
      </c>
      <c r="B581" s="2299" t="s">
        <v>6062</v>
      </c>
      <c r="C581" s="1586" t="s">
        <v>3861</v>
      </c>
      <c r="D581" s="1558"/>
      <c r="E581" s="1558"/>
      <c r="F581" s="1559">
        <f t="shared" ref="F581:F644" si="18">D581*E581</f>
        <v>0</v>
      </c>
      <c r="G581" s="1560" t="e">
        <f t="shared" ref="G581:G644" si="19">F581/$F$1214</f>
        <v>#DIV/0!</v>
      </c>
      <c r="H581" s="2294">
        <v>1.2601</v>
      </c>
      <c r="I581" s="2296"/>
      <c r="J581" s="1550"/>
    </row>
    <row r="582" spans="1:10" ht="16.5">
      <c r="A582" s="2298" t="s">
        <v>4754</v>
      </c>
      <c r="B582" s="2299" t="s">
        <v>6063</v>
      </c>
      <c r="C582" s="1586" t="s">
        <v>3861</v>
      </c>
      <c r="D582" s="1558"/>
      <c r="E582" s="1558"/>
      <c r="F582" s="1559">
        <f t="shared" si="18"/>
        <v>0</v>
      </c>
      <c r="G582" s="1560" t="e">
        <f t="shared" si="19"/>
        <v>#DIV/0!</v>
      </c>
      <c r="H582" s="2294">
        <v>0.39810000000000001</v>
      </c>
      <c r="I582" s="2296"/>
      <c r="J582" s="1550"/>
    </row>
    <row r="583" spans="1:10" ht="16.5">
      <c r="A583" s="2298" t="s">
        <v>4755</v>
      </c>
      <c r="B583" s="2299" t="s">
        <v>6064</v>
      </c>
      <c r="C583" s="1586" t="s">
        <v>3861</v>
      </c>
      <c r="D583" s="1558"/>
      <c r="E583" s="1558"/>
      <c r="F583" s="1559">
        <f t="shared" si="18"/>
        <v>0</v>
      </c>
      <c r="G583" s="1560" t="e">
        <f t="shared" si="19"/>
        <v>#DIV/0!</v>
      </c>
      <c r="H583" s="2294">
        <v>0.2492</v>
      </c>
      <c r="I583" s="2296"/>
      <c r="J583" s="1550"/>
    </row>
    <row r="584" spans="1:10" ht="16.5">
      <c r="A584" s="2298" t="s">
        <v>4756</v>
      </c>
      <c r="B584" s="2299" t="s">
        <v>6065</v>
      </c>
      <c r="C584" s="1586" t="s">
        <v>3861</v>
      </c>
      <c r="D584" s="1558"/>
      <c r="E584" s="1558"/>
      <c r="F584" s="1559">
        <f t="shared" si="18"/>
        <v>0</v>
      </c>
      <c r="G584" s="1560" t="e">
        <f t="shared" si="19"/>
        <v>#DIV/0!</v>
      </c>
      <c r="H584" s="2294">
        <v>0.13980000000000001</v>
      </c>
      <c r="I584" s="2296"/>
      <c r="J584" s="1550"/>
    </row>
    <row r="585" spans="1:10" ht="16.5">
      <c r="A585" s="2298" t="s">
        <v>4757</v>
      </c>
      <c r="B585" s="2299" t="s">
        <v>6066</v>
      </c>
      <c r="C585" s="1586" t="s">
        <v>3861</v>
      </c>
      <c r="D585" s="1558"/>
      <c r="E585" s="1558"/>
      <c r="F585" s="1559">
        <f t="shared" si="18"/>
        <v>0</v>
      </c>
      <c r="G585" s="1560" t="e">
        <f t="shared" si="19"/>
        <v>#DIV/0!</v>
      </c>
      <c r="H585" s="2294">
        <v>-8.8800000000000004E-2</v>
      </c>
      <c r="I585" s="2296"/>
      <c r="J585" s="1550"/>
    </row>
    <row r="586" spans="1:10" ht="16.5">
      <c r="A586" s="2298" t="s">
        <v>4758</v>
      </c>
      <c r="B586" s="2299" t="s">
        <v>6067</v>
      </c>
      <c r="C586" s="1586" t="s">
        <v>3861</v>
      </c>
      <c r="D586" s="1558"/>
      <c r="E586" s="1558"/>
      <c r="F586" s="1559">
        <f t="shared" si="18"/>
        <v>0</v>
      </c>
      <c r="G586" s="1560" t="e">
        <f t="shared" si="19"/>
        <v>#DIV/0!</v>
      </c>
      <c r="H586" s="2294">
        <v>0.19520000000000001</v>
      </c>
      <c r="I586" s="2296"/>
      <c r="J586" s="1550"/>
    </row>
    <row r="587" spans="1:10" ht="16.5">
      <c r="A587" s="2298" t="s">
        <v>4759</v>
      </c>
      <c r="B587" s="2299" t="s">
        <v>6068</v>
      </c>
      <c r="C587" s="1586" t="s">
        <v>3861</v>
      </c>
      <c r="D587" s="1558"/>
      <c r="E587" s="1558"/>
      <c r="F587" s="1559">
        <f t="shared" si="18"/>
        <v>0</v>
      </c>
      <c r="G587" s="1560" t="e">
        <f t="shared" si="19"/>
        <v>#DIV/0!</v>
      </c>
      <c r="H587" s="2294">
        <v>0.42059999999999997</v>
      </c>
      <c r="I587" s="2296"/>
      <c r="J587" s="1550"/>
    </row>
    <row r="588" spans="1:10" ht="16.5">
      <c r="A588" s="2298" t="s">
        <v>4760</v>
      </c>
      <c r="B588" s="2299" t="s">
        <v>6069</v>
      </c>
      <c r="C588" s="1586" t="s">
        <v>3861</v>
      </c>
      <c r="D588" s="1558"/>
      <c r="E588" s="1558"/>
      <c r="F588" s="1559">
        <f t="shared" si="18"/>
        <v>0</v>
      </c>
      <c r="G588" s="1560" t="e">
        <f t="shared" si="19"/>
        <v>#DIV/0!</v>
      </c>
      <c r="H588" s="2294">
        <v>0.38500000000000001</v>
      </c>
      <c r="I588" s="2296"/>
      <c r="J588" s="1550"/>
    </row>
    <row r="589" spans="1:10" ht="16.5">
      <c r="A589" s="2298" t="s">
        <v>4761</v>
      </c>
      <c r="B589" s="2299" t="s">
        <v>6070</v>
      </c>
      <c r="C589" s="1586" t="s">
        <v>3861</v>
      </c>
      <c r="D589" s="1558"/>
      <c r="E589" s="1558"/>
      <c r="F589" s="1559">
        <f t="shared" si="18"/>
        <v>0</v>
      </c>
      <c r="G589" s="1560" t="e">
        <f t="shared" si="19"/>
        <v>#DIV/0!</v>
      </c>
      <c r="H589" s="2294">
        <v>0.23150000000000001</v>
      </c>
      <c r="I589" s="2296"/>
      <c r="J589" s="1550"/>
    </row>
    <row r="590" spans="1:10" ht="16.5">
      <c r="A590" s="2298" t="s">
        <v>4762</v>
      </c>
      <c r="B590" s="2299" t="s">
        <v>6071</v>
      </c>
      <c r="C590" s="1586" t="s">
        <v>3861</v>
      </c>
      <c r="D590" s="1558"/>
      <c r="E590" s="1558"/>
      <c r="F590" s="1559">
        <f t="shared" si="18"/>
        <v>0</v>
      </c>
      <c r="G590" s="1560" t="e">
        <f t="shared" si="19"/>
        <v>#DIV/0!</v>
      </c>
      <c r="H590" s="2294">
        <v>1.1469</v>
      </c>
      <c r="I590" s="2296"/>
      <c r="J590" s="1550"/>
    </row>
    <row r="591" spans="1:10" ht="16.5">
      <c r="A591" s="2298" t="s">
        <v>4763</v>
      </c>
      <c r="B591" s="2299" t="s">
        <v>6072</v>
      </c>
      <c r="C591" s="1586" t="s">
        <v>3861</v>
      </c>
      <c r="D591" s="1558"/>
      <c r="E591" s="1558"/>
      <c r="F591" s="1559">
        <f t="shared" si="18"/>
        <v>0</v>
      </c>
      <c r="G591" s="1560" t="e">
        <f t="shared" si="19"/>
        <v>#DIV/0!</v>
      </c>
      <c r="H591" s="2294">
        <v>0.9365</v>
      </c>
      <c r="I591" s="2296"/>
      <c r="J591" s="1550"/>
    </row>
    <row r="592" spans="1:10" ht="16.5">
      <c r="A592" s="2298" t="s">
        <v>4764</v>
      </c>
      <c r="B592" s="2299" t="s">
        <v>6073</v>
      </c>
      <c r="C592" s="1586" t="s">
        <v>3861</v>
      </c>
      <c r="D592" s="1558"/>
      <c r="E592" s="1558"/>
      <c r="F592" s="1559">
        <f t="shared" si="18"/>
        <v>0</v>
      </c>
      <c r="G592" s="1560" t="e">
        <f t="shared" si="19"/>
        <v>#DIV/0!</v>
      </c>
      <c r="H592" s="2294">
        <v>1.1619999999999999</v>
      </c>
      <c r="I592" s="2296"/>
      <c r="J592" s="1550"/>
    </row>
    <row r="593" spans="1:10" ht="16.5">
      <c r="A593" s="2298" t="s">
        <v>4765</v>
      </c>
      <c r="B593" s="2299" t="s">
        <v>6074</v>
      </c>
      <c r="C593" s="1586" t="s">
        <v>3861</v>
      </c>
      <c r="D593" s="1558"/>
      <c r="E593" s="1558"/>
      <c r="F593" s="1559">
        <f t="shared" si="18"/>
        <v>0</v>
      </c>
      <c r="G593" s="1560" t="e">
        <f t="shared" si="19"/>
        <v>#DIV/0!</v>
      </c>
      <c r="H593" s="2294">
        <v>0.94669999999999999</v>
      </c>
      <c r="I593" s="2296"/>
      <c r="J593" s="1550"/>
    </row>
    <row r="594" spans="1:10" ht="16.5">
      <c r="A594" s="2298" t="s">
        <v>4766</v>
      </c>
      <c r="B594" s="2299" t="s">
        <v>6075</v>
      </c>
      <c r="C594" s="1586" t="s">
        <v>3861</v>
      </c>
      <c r="D594" s="1558"/>
      <c r="E594" s="1558"/>
      <c r="F594" s="1559">
        <f t="shared" si="18"/>
        <v>0</v>
      </c>
      <c r="G594" s="1560" t="e">
        <f t="shared" si="19"/>
        <v>#DIV/0!</v>
      </c>
      <c r="H594" s="2294">
        <v>0.61929999999999996</v>
      </c>
      <c r="I594" s="2296"/>
      <c r="J594" s="1550"/>
    </row>
    <row r="595" spans="1:10" ht="16.5">
      <c r="A595" s="2298" t="s">
        <v>4767</v>
      </c>
      <c r="B595" s="2299" t="s">
        <v>6076</v>
      </c>
      <c r="C595" s="1586" t="s">
        <v>3861</v>
      </c>
      <c r="D595" s="1558"/>
      <c r="E595" s="1558"/>
      <c r="F595" s="1559">
        <f t="shared" si="18"/>
        <v>0</v>
      </c>
      <c r="G595" s="1560" t="e">
        <f t="shared" si="19"/>
        <v>#DIV/0!</v>
      </c>
      <c r="H595" s="2294">
        <v>0.2457</v>
      </c>
      <c r="I595" s="2296"/>
      <c r="J595" s="1550"/>
    </row>
    <row r="596" spans="1:10" ht="16.5">
      <c r="A596" s="2298" t="s">
        <v>4768</v>
      </c>
      <c r="B596" s="2299" t="s">
        <v>6077</v>
      </c>
      <c r="C596" s="1586" t="s">
        <v>3861</v>
      </c>
      <c r="D596" s="1558"/>
      <c r="E596" s="1558"/>
      <c r="F596" s="1559">
        <f t="shared" si="18"/>
        <v>0</v>
      </c>
      <c r="G596" s="1560" t="e">
        <f t="shared" si="19"/>
        <v>#DIV/0!</v>
      </c>
      <c r="H596" s="2294">
        <v>0.90849999999999997</v>
      </c>
      <c r="I596" s="2296"/>
      <c r="J596" s="1550"/>
    </row>
    <row r="597" spans="1:10" ht="16.5">
      <c r="A597" s="2298" t="s">
        <v>4769</v>
      </c>
      <c r="B597" s="2299" t="s">
        <v>6078</v>
      </c>
      <c r="C597" s="1586" t="s">
        <v>3861</v>
      </c>
      <c r="D597" s="1558"/>
      <c r="E597" s="1558"/>
      <c r="F597" s="1559">
        <f t="shared" si="18"/>
        <v>0</v>
      </c>
      <c r="G597" s="1560" t="e">
        <f t="shared" si="19"/>
        <v>#DIV/0!</v>
      </c>
      <c r="H597" s="2294">
        <v>0.29339999999999999</v>
      </c>
      <c r="I597" s="2296"/>
      <c r="J597" s="1550"/>
    </row>
    <row r="598" spans="1:10" ht="16.5">
      <c r="A598" s="2298" t="s">
        <v>4770</v>
      </c>
      <c r="B598" s="2299" t="s">
        <v>6079</v>
      </c>
      <c r="C598" s="1586" t="s">
        <v>3861</v>
      </c>
      <c r="D598" s="1558"/>
      <c r="E598" s="1558"/>
      <c r="F598" s="1559">
        <f t="shared" si="18"/>
        <v>0</v>
      </c>
      <c r="G598" s="1560" t="e">
        <f t="shared" si="19"/>
        <v>#DIV/0!</v>
      </c>
      <c r="H598" s="2294">
        <v>0.56440000000000001</v>
      </c>
      <c r="I598" s="2296"/>
      <c r="J598" s="1550"/>
    </row>
    <row r="599" spans="1:10" ht="16.5">
      <c r="A599" s="2298" t="s">
        <v>4771</v>
      </c>
      <c r="B599" s="2299" t="s">
        <v>6080</v>
      </c>
      <c r="C599" s="1586" t="s">
        <v>3861</v>
      </c>
      <c r="D599" s="1558"/>
      <c r="E599" s="1558"/>
      <c r="F599" s="1559">
        <f t="shared" si="18"/>
        <v>0</v>
      </c>
      <c r="G599" s="1560" t="e">
        <f t="shared" si="19"/>
        <v>#DIV/0!</v>
      </c>
      <c r="H599" s="2294">
        <v>1.2567999999999999</v>
      </c>
      <c r="I599" s="2296"/>
      <c r="J599" s="1550"/>
    </row>
    <row r="600" spans="1:10" ht="16.5">
      <c r="A600" s="2298" t="s">
        <v>4772</v>
      </c>
      <c r="B600" s="2299" t="s">
        <v>6081</v>
      </c>
      <c r="C600" s="1586" t="s">
        <v>3861</v>
      </c>
      <c r="D600" s="1558"/>
      <c r="E600" s="1558"/>
      <c r="F600" s="1559">
        <f t="shared" si="18"/>
        <v>0</v>
      </c>
      <c r="G600" s="1560" t="e">
        <f t="shared" si="19"/>
        <v>#DIV/0!</v>
      </c>
      <c r="H600" s="2294">
        <v>0.37309999999999999</v>
      </c>
      <c r="I600" s="2296"/>
      <c r="J600" s="1550"/>
    </row>
    <row r="601" spans="1:10" ht="16.5">
      <c r="A601" s="2298" t="s">
        <v>4773</v>
      </c>
      <c r="B601" s="2299" t="s">
        <v>6082</v>
      </c>
      <c r="C601" s="1586" t="s">
        <v>3861</v>
      </c>
      <c r="D601" s="1558"/>
      <c r="E601" s="1558"/>
      <c r="F601" s="1559">
        <f t="shared" si="18"/>
        <v>0</v>
      </c>
      <c r="G601" s="1560" t="e">
        <f t="shared" si="19"/>
        <v>#DIV/0!</v>
      </c>
      <c r="H601" s="2294">
        <v>0.67449999999999999</v>
      </c>
      <c r="I601" s="2296"/>
      <c r="J601" s="1550"/>
    </row>
    <row r="602" spans="1:10" ht="16.5">
      <c r="A602" s="2298" t="s">
        <v>4774</v>
      </c>
      <c r="B602" s="2299" t="s">
        <v>6083</v>
      </c>
      <c r="C602" s="1586" t="s">
        <v>3861</v>
      </c>
      <c r="D602" s="1558"/>
      <c r="E602" s="1558"/>
      <c r="F602" s="1559">
        <f t="shared" si="18"/>
        <v>0</v>
      </c>
      <c r="G602" s="1560" t="e">
        <f t="shared" si="19"/>
        <v>#DIV/0!</v>
      </c>
      <c r="H602" s="2294">
        <v>0.7903</v>
      </c>
      <c r="I602" s="2296"/>
      <c r="J602" s="1550"/>
    </row>
    <row r="603" spans="1:10" ht="16.5">
      <c r="A603" s="2298" t="s">
        <v>4775</v>
      </c>
      <c r="B603" s="2299" t="s">
        <v>6084</v>
      </c>
      <c r="C603" s="1586" t="s">
        <v>3861</v>
      </c>
      <c r="D603" s="1558"/>
      <c r="E603" s="1558"/>
      <c r="F603" s="1559">
        <f t="shared" si="18"/>
        <v>0</v>
      </c>
      <c r="G603" s="1560" t="e">
        <f t="shared" si="19"/>
        <v>#DIV/0!</v>
      </c>
      <c r="H603" s="2294">
        <v>0.69359999999999999</v>
      </c>
      <c r="I603" s="2296"/>
      <c r="J603" s="1550"/>
    </row>
    <row r="604" spans="1:10" ht="16.5">
      <c r="A604" s="2298" t="s">
        <v>4776</v>
      </c>
      <c r="B604" s="2299" t="s">
        <v>6085</v>
      </c>
      <c r="C604" s="1586" t="s">
        <v>3861</v>
      </c>
      <c r="D604" s="1558"/>
      <c r="E604" s="1558"/>
      <c r="F604" s="1559">
        <f t="shared" si="18"/>
        <v>0</v>
      </c>
      <c r="G604" s="1560" t="e">
        <f t="shared" si="19"/>
        <v>#DIV/0!</v>
      </c>
      <c r="H604" s="2294">
        <v>0.50970000000000004</v>
      </c>
      <c r="I604" s="2296"/>
      <c r="J604" s="1550"/>
    </row>
    <row r="605" spans="1:10" ht="16.5">
      <c r="A605" s="2298" t="s">
        <v>4777</v>
      </c>
      <c r="B605" s="2299" t="s">
        <v>6086</v>
      </c>
      <c r="C605" s="1586" t="s">
        <v>3861</v>
      </c>
      <c r="D605" s="1558"/>
      <c r="E605" s="1558"/>
      <c r="F605" s="1559">
        <f t="shared" si="18"/>
        <v>0</v>
      </c>
      <c r="G605" s="1560" t="e">
        <f t="shared" si="19"/>
        <v>#DIV/0!</v>
      </c>
      <c r="H605" s="2294">
        <v>0.3448</v>
      </c>
      <c r="I605" s="2296"/>
      <c r="J605" s="1550"/>
    </row>
    <row r="606" spans="1:10" ht="16.5">
      <c r="A606" s="2298" t="s">
        <v>4778</v>
      </c>
      <c r="B606" s="2299" t="s">
        <v>6087</v>
      </c>
      <c r="C606" s="1586" t="s">
        <v>3861</v>
      </c>
      <c r="D606" s="1558"/>
      <c r="E606" s="1558"/>
      <c r="F606" s="1559">
        <f t="shared" si="18"/>
        <v>0</v>
      </c>
      <c r="G606" s="1560" t="e">
        <f t="shared" si="19"/>
        <v>#DIV/0!</v>
      </c>
      <c r="H606" s="2294">
        <v>0.2535</v>
      </c>
      <c r="I606" s="2296"/>
      <c r="J606" s="1550"/>
    </row>
    <row r="607" spans="1:10" ht="16.5">
      <c r="A607" s="2298" t="s">
        <v>4779</v>
      </c>
      <c r="B607" s="2299" t="s">
        <v>6088</v>
      </c>
      <c r="C607" s="1586" t="s">
        <v>3861</v>
      </c>
      <c r="D607" s="1558"/>
      <c r="E607" s="1558"/>
      <c r="F607" s="1559">
        <f t="shared" si="18"/>
        <v>0</v>
      </c>
      <c r="G607" s="1560" t="e">
        <f t="shared" si="19"/>
        <v>#DIV/0!</v>
      </c>
      <c r="H607" s="2294">
        <v>0.36109999999999998</v>
      </c>
      <c r="I607" s="2296"/>
      <c r="J607" s="1550"/>
    </row>
    <row r="608" spans="1:10" ht="16.5">
      <c r="A608" s="2298" t="s">
        <v>4780</v>
      </c>
      <c r="B608" s="2299" t="s">
        <v>6089</v>
      </c>
      <c r="C608" s="1586" t="s">
        <v>3861</v>
      </c>
      <c r="D608" s="1558"/>
      <c r="E608" s="1558"/>
      <c r="F608" s="1559">
        <f t="shared" si="18"/>
        <v>0</v>
      </c>
      <c r="G608" s="1560" t="e">
        <f t="shared" si="19"/>
        <v>#DIV/0!</v>
      </c>
      <c r="H608" s="2294">
        <v>0.53549999999999998</v>
      </c>
      <c r="I608" s="2296"/>
      <c r="J608" s="1550"/>
    </row>
    <row r="609" spans="1:10" ht="16.5">
      <c r="A609" s="2298" t="s">
        <v>4781</v>
      </c>
      <c r="B609" s="2299" t="s">
        <v>6090</v>
      </c>
      <c r="C609" s="1586" t="s">
        <v>3861</v>
      </c>
      <c r="D609" s="1558"/>
      <c r="E609" s="1558"/>
      <c r="F609" s="1559">
        <f t="shared" si="18"/>
        <v>0</v>
      </c>
      <c r="G609" s="1560" t="e">
        <f t="shared" si="19"/>
        <v>#DIV/0!</v>
      </c>
      <c r="H609" s="2294">
        <v>0.56279999999999997</v>
      </c>
      <c r="I609" s="2296"/>
      <c r="J609" s="1550"/>
    </row>
    <row r="610" spans="1:10" ht="16.5">
      <c r="A610" s="2298" t="s">
        <v>4782</v>
      </c>
      <c r="B610" s="2299" t="s">
        <v>6091</v>
      </c>
      <c r="C610" s="1586" t="s">
        <v>3861</v>
      </c>
      <c r="D610" s="1558"/>
      <c r="E610" s="1558"/>
      <c r="F610" s="1559">
        <f t="shared" si="18"/>
        <v>0</v>
      </c>
      <c r="G610" s="1560" t="e">
        <f t="shared" si="19"/>
        <v>#DIV/0!</v>
      </c>
      <c r="H610" s="2294">
        <v>0.37830000000000003</v>
      </c>
      <c r="I610" s="2296"/>
      <c r="J610" s="1550"/>
    </row>
    <row r="611" spans="1:10" ht="16.5">
      <c r="A611" s="2298" t="s">
        <v>4783</v>
      </c>
      <c r="B611" s="2299" t="s">
        <v>6092</v>
      </c>
      <c r="C611" s="1586" t="s">
        <v>3861</v>
      </c>
      <c r="D611" s="1558"/>
      <c r="E611" s="1558"/>
      <c r="F611" s="1559">
        <f t="shared" si="18"/>
        <v>0</v>
      </c>
      <c r="G611" s="1560" t="e">
        <f t="shared" si="19"/>
        <v>#DIV/0!</v>
      </c>
      <c r="H611" s="2294">
        <v>1.7350000000000001</v>
      </c>
      <c r="I611" s="2296"/>
      <c r="J611" s="1550"/>
    </row>
    <row r="612" spans="1:10" ht="16.5">
      <c r="A612" s="2298" t="s">
        <v>4784</v>
      </c>
      <c r="B612" s="2299" t="s">
        <v>6093</v>
      </c>
      <c r="C612" s="1586" t="s">
        <v>3861</v>
      </c>
      <c r="D612" s="1558"/>
      <c r="E612" s="1558"/>
      <c r="F612" s="1559">
        <f t="shared" si="18"/>
        <v>0</v>
      </c>
      <c r="G612" s="1560" t="e">
        <f t="shared" si="19"/>
        <v>#DIV/0!</v>
      </c>
      <c r="H612" s="2294">
        <v>0.97370000000000001</v>
      </c>
      <c r="I612" s="2296"/>
      <c r="J612" s="1550"/>
    </row>
    <row r="613" spans="1:10" ht="16.5">
      <c r="A613" s="2298" t="s">
        <v>4785</v>
      </c>
      <c r="B613" s="2299" t="s">
        <v>6094</v>
      </c>
      <c r="C613" s="1586" t="s">
        <v>3861</v>
      </c>
      <c r="D613" s="1558"/>
      <c r="E613" s="1558"/>
      <c r="F613" s="1559">
        <f t="shared" si="18"/>
        <v>0</v>
      </c>
      <c r="G613" s="1560" t="e">
        <f t="shared" si="19"/>
        <v>#DIV/0!</v>
      </c>
      <c r="H613" s="2294">
        <v>0.70840000000000003</v>
      </c>
      <c r="I613" s="2296"/>
      <c r="J613" s="1550"/>
    </row>
    <row r="614" spans="1:10" ht="16.5">
      <c r="A614" s="2298" t="s">
        <v>4786</v>
      </c>
      <c r="B614" s="2299" t="s">
        <v>6095</v>
      </c>
      <c r="C614" s="1586" t="s">
        <v>3861</v>
      </c>
      <c r="D614" s="1558"/>
      <c r="E614" s="1558"/>
      <c r="F614" s="1559">
        <f t="shared" si="18"/>
        <v>0</v>
      </c>
      <c r="G614" s="1560" t="e">
        <f t="shared" si="19"/>
        <v>#DIV/0!</v>
      </c>
      <c r="H614" s="2294">
        <v>1.2045999999999999</v>
      </c>
      <c r="I614" s="2296"/>
      <c r="J614" s="1550"/>
    </row>
    <row r="615" spans="1:10" ht="16.5">
      <c r="A615" s="2298" t="s">
        <v>4787</v>
      </c>
      <c r="B615" s="2299" t="s">
        <v>6096</v>
      </c>
      <c r="C615" s="1586" t="s">
        <v>3861</v>
      </c>
      <c r="D615" s="1558"/>
      <c r="E615" s="1558"/>
      <c r="F615" s="1559">
        <f t="shared" si="18"/>
        <v>0</v>
      </c>
      <c r="G615" s="1560" t="e">
        <f t="shared" si="19"/>
        <v>#DIV/0!</v>
      </c>
      <c r="H615" s="2294">
        <v>0.96919999999999995</v>
      </c>
      <c r="I615" s="2296"/>
      <c r="J615" s="1550"/>
    </row>
    <row r="616" spans="1:10" ht="16.5">
      <c r="A616" s="2298" t="s">
        <v>4788</v>
      </c>
      <c r="B616" s="2299" t="s">
        <v>6097</v>
      </c>
      <c r="C616" s="1586" t="s">
        <v>3861</v>
      </c>
      <c r="D616" s="1558"/>
      <c r="E616" s="1558"/>
      <c r="F616" s="1559">
        <f t="shared" si="18"/>
        <v>0</v>
      </c>
      <c r="G616" s="1560" t="e">
        <f t="shared" si="19"/>
        <v>#DIV/0!</v>
      </c>
      <c r="H616" s="2294">
        <v>0.15740000000000001</v>
      </c>
      <c r="I616" s="2296"/>
      <c r="J616" s="1550"/>
    </row>
    <row r="617" spans="1:10" ht="16.5">
      <c r="A617" s="2298" t="s">
        <v>4789</v>
      </c>
      <c r="B617" s="2299" t="s">
        <v>6098</v>
      </c>
      <c r="C617" s="1586" t="s">
        <v>3861</v>
      </c>
      <c r="D617" s="1558"/>
      <c r="E617" s="1558"/>
      <c r="F617" s="1559">
        <f t="shared" si="18"/>
        <v>0</v>
      </c>
      <c r="G617" s="1560" t="e">
        <f t="shared" si="19"/>
        <v>#DIV/0!</v>
      </c>
      <c r="H617" s="2294">
        <v>2.8317000000000001</v>
      </c>
      <c r="I617" s="2296"/>
      <c r="J617" s="1550"/>
    </row>
    <row r="618" spans="1:10" ht="16.5">
      <c r="A618" s="2298" t="s">
        <v>4790</v>
      </c>
      <c r="B618" s="2299" t="s">
        <v>6099</v>
      </c>
      <c r="C618" s="1586" t="s">
        <v>3861</v>
      </c>
      <c r="D618" s="1558"/>
      <c r="E618" s="1558"/>
      <c r="F618" s="1559">
        <f t="shared" si="18"/>
        <v>0</v>
      </c>
      <c r="G618" s="1560" t="e">
        <f t="shared" si="19"/>
        <v>#DIV/0!</v>
      </c>
      <c r="H618" s="2294">
        <v>1.9449000000000001</v>
      </c>
      <c r="I618" s="2296"/>
      <c r="J618" s="1550"/>
    </row>
    <row r="619" spans="1:10" ht="16.5">
      <c r="A619" s="2298" t="s">
        <v>4791</v>
      </c>
      <c r="B619" s="2299" t="s">
        <v>6100</v>
      </c>
      <c r="C619" s="1586" t="s">
        <v>3861</v>
      </c>
      <c r="D619" s="1558"/>
      <c r="E619" s="1558"/>
      <c r="F619" s="1559">
        <f t="shared" si="18"/>
        <v>0</v>
      </c>
      <c r="G619" s="1560" t="e">
        <f t="shared" si="19"/>
        <v>#DIV/0!</v>
      </c>
      <c r="H619" s="2294">
        <v>6.93E-2</v>
      </c>
      <c r="I619" s="2296"/>
      <c r="J619" s="1550"/>
    </row>
    <row r="620" spans="1:10" ht="16.5">
      <c r="A620" s="2298" t="s">
        <v>4792</v>
      </c>
      <c r="B620" s="2299" t="s">
        <v>6101</v>
      </c>
      <c r="C620" s="1586" t="s">
        <v>3861</v>
      </c>
      <c r="D620" s="1558"/>
      <c r="E620" s="1558"/>
      <c r="F620" s="1559">
        <f t="shared" si="18"/>
        <v>0</v>
      </c>
      <c r="G620" s="1560" t="e">
        <f t="shared" si="19"/>
        <v>#DIV/0!</v>
      </c>
      <c r="H620" s="2294">
        <v>1.0916999999999999</v>
      </c>
      <c r="I620" s="2296"/>
      <c r="J620" s="1550"/>
    </row>
    <row r="621" spans="1:10" ht="16.5">
      <c r="A621" s="2298" t="s">
        <v>4793</v>
      </c>
      <c r="B621" s="2299" t="s">
        <v>6102</v>
      </c>
      <c r="C621" s="1586" t="s">
        <v>3861</v>
      </c>
      <c r="D621" s="1558"/>
      <c r="E621" s="1558"/>
      <c r="F621" s="1559">
        <f t="shared" si="18"/>
        <v>0</v>
      </c>
      <c r="G621" s="1560" t="e">
        <f t="shared" si="19"/>
        <v>#DIV/0!</v>
      </c>
      <c r="H621" s="2294">
        <v>0.30270000000000002</v>
      </c>
      <c r="I621" s="2296"/>
      <c r="J621" s="1550"/>
    </row>
    <row r="622" spans="1:10" ht="16.5">
      <c r="A622" s="2298" t="s">
        <v>4794</v>
      </c>
      <c r="B622" s="2299" t="s">
        <v>6103</v>
      </c>
      <c r="C622" s="1586" t="s">
        <v>3861</v>
      </c>
      <c r="D622" s="1558"/>
      <c r="E622" s="1558"/>
      <c r="F622" s="1559">
        <f t="shared" si="18"/>
        <v>0</v>
      </c>
      <c r="G622" s="1560" t="e">
        <f t="shared" si="19"/>
        <v>#DIV/0!</v>
      </c>
      <c r="H622" s="2294">
        <v>1.0472999999999999</v>
      </c>
      <c r="I622" s="2296"/>
      <c r="J622" s="1550"/>
    </row>
    <row r="623" spans="1:10" ht="16.5">
      <c r="A623" s="2298" t="s">
        <v>4795</v>
      </c>
      <c r="B623" s="2299" t="s">
        <v>6104</v>
      </c>
      <c r="C623" s="1586" t="s">
        <v>3861</v>
      </c>
      <c r="D623" s="1558"/>
      <c r="E623" s="1558"/>
      <c r="F623" s="1559">
        <f t="shared" si="18"/>
        <v>0</v>
      </c>
      <c r="G623" s="1560" t="e">
        <f t="shared" si="19"/>
        <v>#DIV/0!</v>
      </c>
      <c r="H623" s="2294">
        <v>1.3931</v>
      </c>
      <c r="I623" s="2296"/>
      <c r="J623" s="1550"/>
    </row>
    <row r="624" spans="1:10" ht="16.5">
      <c r="A624" s="2298" t="s">
        <v>4796</v>
      </c>
      <c r="B624" s="2299" t="s">
        <v>6105</v>
      </c>
      <c r="C624" s="1586" t="s">
        <v>3861</v>
      </c>
      <c r="D624" s="1558"/>
      <c r="E624" s="1558"/>
      <c r="F624" s="1559">
        <f t="shared" si="18"/>
        <v>0</v>
      </c>
      <c r="G624" s="1560" t="e">
        <f t="shared" si="19"/>
        <v>#DIV/0!</v>
      </c>
      <c r="H624" s="2294">
        <v>1.1521999999999999</v>
      </c>
      <c r="I624" s="2296"/>
      <c r="J624" s="1550"/>
    </row>
    <row r="625" spans="1:10" ht="16.5">
      <c r="A625" s="2298" t="s">
        <v>4797</v>
      </c>
      <c r="B625" s="2299" t="s">
        <v>6106</v>
      </c>
      <c r="C625" s="1586" t="s">
        <v>3861</v>
      </c>
      <c r="D625" s="1558"/>
      <c r="E625" s="1558"/>
      <c r="F625" s="1559">
        <f t="shared" si="18"/>
        <v>0</v>
      </c>
      <c r="G625" s="1560" t="e">
        <f t="shared" si="19"/>
        <v>#DIV/0!</v>
      </c>
      <c r="H625" s="2294">
        <v>0.7792</v>
      </c>
      <c r="I625" s="2296"/>
      <c r="J625" s="1550"/>
    </row>
    <row r="626" spans="1:10" ht="16.5">
      <c r="A626" s="2298" t="s">
        <v>4798</v>
      </c>
      <c r="B626" s="2299" t="s">
        <v>6107</v>
      </c>
      <c r="C626" s="1586" t="s">
        <v>3861</v>
      </c>
      <c r="D626" s="1558"/>
      <c r="E626" s="1558"/>
      <c r="F626" s="1559">
        <f t="shared" si="18"/>
        <v>0</v>
      </c>
      <c r="G626" s="1560" t="e">
        <f t="shared" si="19"/>
        <v>#DIV/0!</v>
      </c>
      <c r="H626" s="2294">
        <v>1.2433000000000001</v>
      </c>
      <c r="I626" s="2296"/>
      <c r="J626" s="1550"/>
    </row>
    <row r="627" spans="1:10" ht="16.5">
      <c r="A627" s="2298" t="s">
        <v>4799</v>
      </c>
      <c r="B627" s="2299" t="s">
        <v>6108</v>
      </c>
      <c r="C627" s="1586" t="s">
        <v>3861</v>
      </c>
      <c r="D627" s="1558"/>
      <c r="E627" s="1558"/>
      <c r="F627" s="1559">
        <f t="shared" si="18"/>
        <v>0</v>
      </c>
      <c r="G627" s="1560" t="e">
        <f t="shared" si="19"/>
        <v>#DIV/0!</v>
      </c>
      <c r="H627" s="2294">
        <v>-1.7299999999999999E-2</v>
      </c>
      <c r="I627" s="2296"/>
      <c r="J627" s="1550"/>
    </row>
    <row r="628" spans="1:10" ht="16.5">
      <c r="A628" s="2298" t="s">
        <v>4800</v>
      </c>
      <c r="B628" s="2299" t="s">
        <v>6109</v>
      </c>
      <c r="C628" s="1586" t="s">
        <v>3861</v>
      </c>
      <c r="D628" s="1558"/>
      <c r="E628" s="1558"/>
      <c r="F628" s="1559">
        <f t="shared" si="18"/>
        <v>0</v>
      </c>
      <c r="G628" s="1560" t="e">
        <f t="shared" si="19"/>
        <v>#DIV/0!</v>
      </c>
      <c r="H628" s="2294">
        <v>0.44369999999999998</v>
      </c>
      <c r="I628" s="2296"/>
      <c r="J628" s="1550"/>
    </row>
    <row r="629" spans="1:10" ht="16.5">
      <c r="A629" s="2298" t="s">
        <v>4801</v>
      </c>
      <c r="B629" s="2299" t="s">
        <v>6110</v>
      </c>
      <c r="C629" s="1586" t="s">
        <v>3861</v>
      </c>
      <c r="D629" s="1558"/>
      <c r="E629" s="1558"/>
      <c r="F629" s="1559">
        <f t="shared" si="18"/>
        <v>0</v>
      </c>
      <c r="G629" s="1560" t="e">
        <f t="shared" si="19"/>
        <v>#DIV/0!</v>
      </c>
      <c r="H629" s="2294">
        <v>1.4608000000000001</v>
      </c>
      <c r="I629" s="2296"/>
      <c r="J629" s="1550"/>
    </row>
    <row r="630" spans="1:10" ht="16.5">
      <c r="A630" s="2298" t="s">
        <v>4802</v>
      </c>
      <c r="B630" s="2299" t="s">
        <v>6111</v>
      </c>
      <c r="C630" s="1586" t="s">
        <v>3861</v>
      </c>
      <c r="D630" s="1558"/>
      <c r="E630" s="1558"/>
      <c r="F630" s="1559">
        <f t="shared" si="18"/>
        <v>0</v>
      </c>
      <c r="G630" s="1560" t="e">
        <f t="shared" si="19"/>
        <v>#DIV/0!</v>
      </c>
      <c r="H630" s="2294">
        <v>0.78200000000000003</v>
      </c>
      <c r="I630" s="2296"/>
      <c r="J630" s="1550"/>
    </row>
    <row r="631" spans="1:10" ht="16.5">
      <c r="A631" s="2298" t="s">
        <v>4803</v>
      </c>
      <c r="B631" s="2299" t="s">
        <v>6112</v>
      </c>
      <c r="C631" s="1586" t="s">
        <v>3861</v>
      </c>
      <c r="D631" s="1558"/>
      <c r="E631" s="1558"/>
      <c r="F631" s="1559">
        <f t="shared" si="18"/>
        <v>0</v>
      </c>
      <c r="G631" s="1560" t="e">
        <f t="shared" si="19"/>
        <v>#DIV/0!</v>
      </c>
      <c r="H631" s="2294">
        <v>0.66910000000000003</v>
      </c>
      <c r="I631" s="2296"/>
      <c r="J631" s="1550"/>
    </row>
    <row r="632" spans="1:10" ht="16.5">
      <c r="A632" s="2298" t="s">
        <v>4804</v>
      </c>
      <c r="B632" s="2299" t="s">
        <v>6113</v>
      </c>
      <c r="C632" s="1586" t="s">
        <v>3861</v>
      </c>
      <c r="D632" s="1558"/>
      <c r="E632" s="1558"/>
      <c r="F632" s="1559">
        <f t="shared" si="18"/>
        <v>0</v>
      </c>
      <c r="G632" s="1560" t="e">
        <f t="shared" si="19"/>
        <v>#DIV/0!</v>
      </c>
      <c r="H632" s="2294">
        <v>5.6099999999999997E-2</v>
      </c>
      <c r="I632" s="2296"/>
      <c r="J632" s="1550"/>
    </row>
    <row r="633" spans="1:10" ht="16.5">
      <c r="A633" s="2298" t="s">
        <v>4805</v>
      </c>
      <c r="B633" s="2299" t="s">
        <v>6114</v>
      </c>
      <c r="C633" s="1586" t="s">
        <v>3861</v>
      </c>
      <c r="D633" s="1558"/>
      <c r="E633" s="1558"/>
      <c r="F633" s="1559">
        <f t="shared" si="18"/>
        <v>0</v>
      </c>
      <c r="G633" s="1560" t="e">
        <f t="shared" si="19"/>
        <v>#DIV/0!</v>
      </c>
      <c r="H633" s="2294">
        <v>0.88500000000000001</v>
      </c>
      <c r="I633" s="2296"/>
      <c r="J633" s="1550"/>
    </row>
    <row r="634" spans="1:10" ht="16.5">
      <c r="A634" s="2298" t="s">
        <v>4806</v>
      </c>
      <c r="B634" s="2299" t="s">
        <v>6115</v>
      </c>
      <c r="C634" s="1586" t="s">
        <v>3861</v>
      </c>
      <c r="D634" s="1558"/>
      <c r="E634" s="1558"/>
      <c r="F634" s="1559">
        <f t="shared" si="18"/>
        <v>0</v>
      </c>
      <c r="G634" s="1560" t="e">
        <f t="shared" si="19"/>
        <v>#DIV/0!</v>
      </c>
      <c r="H634" s="2294">
        <v>1.2442</v>
      </c>
      <c r="I634" s="2296"/>
      <c r="J634" s="1550"/>
    </row>
    <row r="635" spans="1:10" ht="16.5">
      <c r="A635" s="2298" t="s">
        <v>4807</v>
      </c>
      <c r="B635" s="2299" t="s">
        <v>6116</v>
      </c>
      <c r="C635" s="1586" t="s">
        <v>3861</v>
      </c>
      <c r="D635" s="1558"/>
      <c r="E635" s="1558"/>
      <c r="F635" s="1559">
        <f t="shared" si="18"/>
        <v>0</v>
      </c>
      <c r="G635" s="1560" t="e">
        <f t="shared" si="19"/>
        <v>#DIV/0!</v>
      </c>
      <c r="H635" s="2294">
        <v>0.92969999999999997</v>
      </c>
      <c r="I635" s="2296"/>
      <c r="J635" s="1550"/>
    </row>
    <row r="636" spans="1:10" ht="16.5">
      <c r="A636" s="2298" t="s">
        <v>4808</v>
      </c>
      <c r="B636" s="2299" t="s">
        <v>6117</v>
      </c>
      <c r="C636" s="1586" t="s">
        <v>3861</v>
      </c>
      <c r="D636" s="1558"/>
      <c r="E636" s="1558"/>
      <c r="F636" s="1559">
        <f t="shared" si="18"/>
        <v>0</v>
      </c>
      <c r="G636" s="1560" t="e">
        <f t="shared" si="19"/>
        <v>#DIV/0!</v>
      </c>
      <c r="H636" s="2294">
        <v>0.78859999999999997</v>
      </c>
      <c r="I636" s="2296"/>
      <c r="J636" s="1550"/>
    </row>
    <row r="637" spans="1:10" ht="16.5">
      <c r="A637" s="2298" t="s">
        <v>4809</v>
      </c>
      <c r="B637" s="2299" t="s">
        <v>6118</v>
      </c>
      <c r="C637" s="1586" t="s">
        <v>3861</v>
      </c>
      <c r="D637" s="1558"/>
      <c r="E637" s="1558"/>
      <c r="F637" s="1559">
        <f t="shared" si="18"/>
        <v>0</v>
      </c>
      <c r="G637" s="1560" t="e">
        <f t="shared" si="19"/>
        <v>#DIV/0!</v>
      </c>
      <c r="H637" s="2294">
        <v>0.1105</v>
      </c>
      <c r="I637" s="2296"/>
      <c r="J637" s="1550"/>
    </row>
    <row r="638" spans="1:10" ht="16.5">
      <c r="A638" s="2298" t="s">
        <v>4810</v>
      </c>
      <c r="B638" s="2299" t="s">
        <v>6119</v>
      </c>
      <c r="C638" s="1586" t="s">
        <v>3861</v>
      </c>
      <c r="D638" s="1558"/>
      <c r="E638" s="1558"/>
      <c r="F638" s="1559">
        <f t="shared" si="18"/>
        <v>0</v>
      </c>
      <c r="G638" s="1560" t="e">
        <f t="shared" si="19"/>
        <v>#DIV/0!</v>
      </c>
      <c r="H638" s="2294">
        <v>1.0490999999999999</v>
      </c>
      <c r="I638" s="2296"/>
      <c r="J638" s="1550"/>
    </row>
    <row r="639" spans="1:10" ht="16.5">
      <c r="A639" s="2298" t="s">
        <v>4811</v>
      </c>
      <c r="B639" s="2299" t="s">
        <v>6120</v>
      </c>
      <c r="C639" s="1586" t="s">
        <v>3861</v>
      </c>
      <c r="D639" s="1558"/>
      <c r="E639" s="1558"/>
      <c r="F639" s="1559">
        <f t="shared" si="18"/>
        <v>0</v>
      </c>
      <c r="G639" s="1560" t="e">
        <f t="shared" si="19"/>
        <v>#DIV/0!</v>
      </c>
      <c r="H639" s="2294">
        <v>0.39029999999999998</v>
      </c>
      <c r="I639" s="2296"/>
      <c r="J639" s="1550"/>
    </row>
    <row r="640" spans="1:10" ht="16.5">
      <c r="A640" s="2298" t="s">
        <v>4812</v>
      </c>
      <c r="B640" s="2299" t="s">
        <v>6121</v>
      </c>
      <c r="C640" s="1586" t="s">
        <v>3861</v>
      </c>
      <c r="D640" s="1558"/>
      <c r="E640" s="1558"/>
      <c r="F640" s="1559">
        <f t="shared" si="18"/>
        <v>0</v>
      </c>
      <c r="G640" s="1560" t="e">
        <f t="shared" si="19"/>
        <v>#DIV/0!</v>
      </c>
      <c r="H640" s="2294">
        <v>0.29189999999999999</v>
      </c>
      <c r="I640" s="2296"/>
      <c r="J640" s="1550"/>
    </row>
    <row r="641" spans="1:10" ht="16.5">
      <c r="A641" s="2298" t="s">
        <v>4813</v>
      </c>
      <c r="B641" s="2299" t="s">
        <v>6122</v>
      </c>
      <c r="C641" s="1586" t="s">
        <v>3861</v>
      </c>
      <c r="D641" s="1558"/>
      <c r="E641" s="1558"/>
      <c r="F641" s="1559">
        <f t="shared" si="18"/>
        <v>0</v>
      </c>
      <c r="G641" s="1560" t="e">
        <f t="shared" si="19"/>
        <v>#DIV/0!</v>
      </c>
      <c r="H641" s="2294">
        <v>1</v>
      </c>
      <c r="I641" s="2296" t="s">
        <v>5703</v>
      </c>
      <c r="J641" s="1550"/>
    </row>
    <row r="642" spans="1:10" ht="16.5">
      <c r="A642" s="2298" t="s">
        <v>4814</v>
      </c>
      <c r="B642" s="2299" t="s">
        <v>6123</v>
      </c>
      <c r="C642" s="1586" t="s">
        <v>3861</v>
      </c>
      <c r="D642" s="1558"/>
      <c r="E642" s="1558"/>
      <c r="F642" s="1559">
        <f t="shared" si="18"/>
        <v>0</v>
      </c>
      <c r="G642" s="1560" t="e">
        <f t="shared" si="19"/>
        <v>#DIV/0!</v>
      </c>
      <c r="H642" s="2294">
        <v>0.89890000000000003</v>
      </c>
      <c r="I642" s="2296"/>
      <c r="J642" s="1550"/>
    </row>
    <row r="643" spans="1:10" ht="16.5">
      <c r="A643" s="2298" t="s">
        <v>4815</v>
      </c>
      <c r="B643" s="2299" t="s">
        <v>6124</v>
      </c>
      <c r="C643" s="1586" t="s">
        <v>3861</v>
      </c>
      <c r="D643" s="1558"/>
      <c r="E643" s="1558"/>
      <c r="F643" s="1559">
        <f t="shared" si="18"/>
        <v>0</v>
      </c>
      <c r="G643" s="1560" t="e">
        <f t="shared" si="19"/>
        <v>#DIV/0!</v>
      </c>
      <c r="H643" s="2294">
        <v>1.5920000000000001</v>
      </c>
      <c r="I643" s="2296"/>
      <c r="J643" s="1550"/>
    </row>
    <row r="644" spans="1:10" ht="16.5">
      <c r="A644" s="2298" t="s">
        <v>4816</v>
      </c>
      <c r="B644" s="2299" t="s">
        <v>6125</v>
      </c>
      <c r="C644" s="1586" t="s">
        <v>3861</v>
      </c>
      <c r="D644" s="1558"/>
      <c r="E644" s="1558"/>
      <c r="F644" s="1559">
        <f t="shared" si="18"/>
        <v>0</v>
      </c>
      <c r="G644" s="1560" t="e">
        <f t="shared" si="19"/>
        <v>#DIV/0!</v>
      </c>
      <c r="H644" s="2294">
        <v>0.74980000000000002</v>
      </c>
      <c r="I644" s="2296"/>
      <c r="J644" s="1550"/>
    </row>
    <row r="645" spans="1:10" ht="16.5">
      <c r="A645" s="2298" t="s">
        <v>4817</v>
      </c>
      <c r="B645" s="2299" t="s">
        <v>6126</v>
      </c>
      <c r="C645" s="1586" t="s">
        <v>3861</v>
      </c>
      <c r="D645" s="1558"/>
      <c r="E645" s="1558"/>
      <c r="F645" s="1559">
        <f t="shared" ref="F645:F708" si="20">D645*E645</f>
        <v>0</v>
      </c>
      <c r="G645" s="1560" t="e">
        <f t="shared" ref="G645:G708" si="21">F645/$F$1214</f>
        <v>#DIV/0!</v>
      </c>
      <c r="H645" s="2294">
        <v>0.77280000000000004</v>
      </c>
      <c r="I645" s="2296"/>
      <c r="J645" s="1550"/>
    </row>
    <row r="646" spans="1:10" ht="16.5">
      <c r="A646" s="2298" t="s">
        <v>4818</v>
      </c>
      <c r="B646" s="2299" t="s">
        <v>6127</v>
      </c>
      <c r="C646" s="1586" t="s">
        <v>3861</v>
      </c>
      <c r="D646" s="1558"/>
      <c r="E646" s="1558"/>
      <c r="F646" s="1559">
        <f t="shared" si="20"/>
        <v>0</v>
      </c>
      <c r="G646" s="1560" t="e">
        <f t="shared" si="21"/>
        <v>#DIV/0!</v>
      </c>
      <c r="H646" s="2294">
        <v>-7.17E-2</v>
      </c>
      <c r="I646" s="2296"/>
      <c r="J646" s="1550"/>
    </row>
    <row r="647" spans="1:10" ht="16.5">
      <c r="A647" s="2298" t="s">
        <v>4819</v>
      </c>
      <c r="B647" s="2299" t="s">
        <v>6128</v>
      </c>
      <c r="C647" s="1586" t="s">
        <v>3861</v>
      </c>
      <c r="D647" s="1558"/>
      <c r="E647" s="1558"/>
      <c r="F647" s="1559">
        <f t="shared" si="20"/>
        <v>0</v>
      </c>
      <c r="G647" s="1560" t="e">
        <f t="shared" si="21"/>
        <v>#DIV/0!</v>
      </c>
      <c r="H647" s="2294">
        <v>0.93159999999999998</v>
      </c>
      <c r="I647" s="2296"/>
      <c r="J647" s="1550"/>
    </row>
    <row r="648" spans="1:10" ht="16.5">
      <c r="A648" s="2298" t="s">
        <v>4820</v>
      </c>
      <c r="B648" s="2299" t="s">
        <v>6129</v>
      </c>
      <c r="C648" s="1586" t="s">
        <v>3861</v>
      </c>
      <c r="D648" s="1558"/>
      <c r="E648" s="1558"/>
      <c r="F648" s="1559">
        <f t="shared" si="20"/>
        <v>0</v>
      </c>
      <c r="G648" s="1560" t="e">
        <f t="shared" si="21"/>
        <v>#DIV/0!</v>
      </c>
      <c r="H648" s="2294">
        <v>0.86060000000000003</v>
      </c>
      <c r="I648" s="2296"/>
      <c r="J648" s="1550"/>
    </row>
    <row r="649" spans="1:10" ht="16.5">
      <c r="A649" s="2298" t="s">
        <v>4821</v>
      </c>
      <c r="B649" s="2299" t="s">
        <v>6130</v>
      </c>
      <c r="C649" s="1586" t="s">
        <v>3861</v>
      </c>
      <c r="D649" s="1558"/>
      <c r="E649" s="1558"/>
      <c r="F649" s="1559">
        <f t="shared" si="20"/>
        <v>0</v>
      </c>
      <c r="G649" s="1560" t="e">
        <f t="shared" si="21"/>
        <v>#DIV/0!</v>
      </c>
      <c r="H649" s="2294">
        <v>0.75739999999999996</v>
      </c>
      <c r="I649" s="2296"/>
      <c r="J649" s="1550"/>
    </row>
    <row r="650" spans="1:10" ht="16.5">
      <c r="A650" s="2298" t="s">
        <v>4822</v>
      </c>
      <c r="B650" s="2299" t="s">
        <v>6131</v>
      </c>
      <c r="C650" s="1586" t="s">
        <v>3861</v>
      </c>
      <c r="D650" s="1558"/>
      <c r="E650" s="1558"/>
      <c r="F650" s="1559">
        <f t="shared" si="20"/>
        <v>0</v>
      </c>
      <c r="G650" s="1560" t="e">
        <f t="shared" si="21"/>
        <v>#DIV/0!</v>
      </c>
      <c r="H650" s="2294">
        <v>0.42299999999999999</v>
      </c>
      <c r="I650" s="2296"/>
      <c r="J650" s="1550"/>
    </row>
    <row r="651" spans="1:10" ht="16.5">
      <c r="A651" s="2298" t="s">
        <v>4823</v>
      </c>
      <c r="B651" s="2299" t="s">
        <v>6132</v>
      </c>
      <c r="C651" s="1586" t="s">
        <v>3861</v>
      </c>
      <c r="D651" s="1558"/>
      <c r="E651" s="1558"/>
      <c r="F651" s="1559">
        <f t="shared" si="20"/>
        <v>0</v>
      </c>
      <c r="G651" s="1560" t="e">
        <f t="shared" si="21"/>
        <v>#DIV/0!</v>
      </c>
      <c r="H651" s="2294">
        <v>0.66779999999999995</v>
      </c>
      <c r="I651" s="2296"/>
      <c r="J651" s="1550"/>
    </row>
    <row r="652" spans="1:10" ht="16.5">
      <c r="A652" s="2298" t="s">
        <v>4824</v>
      </c>
      <c r="B652" s="2299" t="s">
        <v>6133</v>
      </c>
      <c r="C652" s="1586" t="s">
        <v>3861</v>
      </c>
      <c r="D652" s="1558"/>
      <c r="E652" s="1558"/>
      <c r="F652" s="1559">
        <f t="shared" si="20"/>
        <v>0</v>
      </c>
      <c r="G652" s="1560" t="e">
        <f t="shared" si="21"/>
        <v>#DIV/0!</v>
      </c>
      <c r="H652" s="2294">
        <v>1.2005999999999999</v>
      </c>
      <c r="I652" s="2296"/>
      <c r="J652" s="1550"/>
    </row>
    <row r="653" spans="1:10" ht="16.5">
      <c r="A653" s="2298" t="s">
        <v>4825</v>
      </c>
      <c r="B653" s="2299" t="s">
        <v>6134</v>
      </c>
      <c r="C653" s="1586" t="s">
        <v>3861</v>
      </c>
      <c r="D653" s="1558"/>
      <c r="E653" s="1558"/>
      <c r="F653" s="1559">
        <f t="shared" si="20"/>
        <v>0</v>
      </c>
      <c r="G653" s="1560" t="e">
        <f t="shared" si="21"/>
        <v>#DIV/0!</v>
      </c>
      <c r="H653" s="2294">
        <v>1.7282999999999999</v>
      </c>
      <c r="I653" s="2296"/>
      <c r="J653" s="1550"/>
    </row>
    <row r="654" spans="1:10" ht="16.5">
      <c r="A654" s="2298" t="s">
        <v>4826</v>
      </c>
      <c r="B654" s="2299" t="s">
        <v>6135</v>
      </c>
      <c r="C654" s="1586" t="s">
        <v>3861</v>
      </c>
      <c r="D654" s="1558"/>
      <c r="E654" s="1558"/>
      <c r="F654" s="1559">
        <f t="shared" si="20"/>
        <v>0</v>
      </c>
      <c r="G654" s="1560" t="e">
        <f t="shared" si="21"/>
        <v>#DIV/0!</v>
      </c>
      <c r="H654" s="2294">
        <v>0.76380000000000003</v>
      </c>
      <c r="I654" s="2296"/>
      <c r="J654" s="1550"/>
    </row>
    <row r="655" spans="1:10" ht="16.5">
      <c r="A655" s="2298" t="s">
        <v>4827</v>
      </c>
      <c r="B655" s="2299" t="s">
        <v>6136</v>
      </c>
      <c r="C655" s="1586" t="s">
        <v>3861</v>
      </c>
      <c r="D655" s="1558"/>
      <c r="E655" s="1558"/>
      <c r="F655" s="1559">
        <f t="shared" si="20"/>
        <v>0</v>
      </c>
      <c r="G655" s="1560" t="e">
        <f t="shared" si="21"/>
        <v>#DIV/0!</v>
      </c>
      <c r="H655" s="2294">
        <v>0.81200000000000006</v>
      </c>
      <c r="I655" s="2296"/>
      <c r="J655" s="1550"/>
    </row>
    <row r="656" spans="1:10" ht="16.5">
      <c r="A656" s="2298" t="s">
        <v>4828</v>
      </c>
      <c r="B656" s="2299" t="s">
        <v>6137</v>
      </c>
      <c r="C656" s="1586" t="s">
        <v>3861</v>
      </c>
      <c r="D656" s="1558"/>
      <c r="E656" s="1558"/>
      <c r="F656" s="1559">
        <f t="shared" si="20"/>
        <v>0</v>
      </c>
      <c r="G656" s="1560" t="e">
        <f t="shared" si="21"/>
        <v>#DIV/0!</v>
      </c>
      <c r="H656" s="2294">
        <v>0.35589999999999999</v>
      </c>
      <c r="I656" s="2296"/>
      <c r="J656" s="1550"/>
    </row>
    <row r="657" spans="1:10" ht="16.5">
      <c r="A657" s="2298" t="s">
        <v>4829</v>
      </c>
      <c r="B657" s="2299" t="s">
        <v>2063</v>
      </c>
      <c r="C657" s="1586" t="s">
        <v>3861</v>
      </c>
      <c r="D657" s="1558"/>
      <c r="E657" s="1558"/>
      <c r="F657" s="1559">
        <f t="shared" si="20"/>
        <v>0</v>
      </c>
      <c r="G657" s="1560" t="e">
        <f t="shared" si="21"/>
        <v>#DIV/0!</v>
      </c>
      <c r="H657" s="2294">
        <v>1.0177</v>
      </c>
      <c r="I657" s="2296"/>
      <c r="J657" s="1550"/>
    </row>
    <row r="658" spans="1:10" ht="16.5">
      <c r="A658" s="2298" t="s">
        <v>4830</v>
      </c>
      <c r="B658" s="2299" t="s">
        <v>6138</v>
      </c>
      <c r="C658" s="1586" t="s">
        <v>3861</v>
      </c>
      <c r="D658" s="1558"/>
      <c r="E658" s="1558"/>
      <c r="F658" s="1559">
        <f t="shared" si="20"/>
        <v>0</v>
      </c>
      <c r="G658" s="1560" t="e">
        <f t="shared" si="21"/>
        <v>#DIV/0!</v>
      </c>
      <c r="H658" s="2294">
        <v>0.56989999999999996</v>
      </c>
      <c r="I658" s="2296"/>
      <c r="J658" s="1550"/>
    </row>
    <row r="659" spans="1:10" ht="16.5">
      <c r="A659" s="2298" t="s">
        <v>4831</v>
      </c>
      <c r="B659" s="2299" t="s">
        <v>6139</v>
      </c>
      <c r="C659" s="1586" t="s">
        <v>3861</v>
      </c>
      <c r="D659" s="1558"/>
      <c r="E659" s="1558"/>
      <c r="F659" s="1559">
        <f t="shared" si="20"/>
        <v>0</v>
      </c>
      <c r="G659" s="1560" t="e">
        <f t="shared" si="21"/>
        <v>#DIV/0!</v>
      </c>
      <c r="H659" s="2294">
        <v>0.55740000000000001</v>
      </c>
      <c r="I659" s="2296"/>
      <c r="J659" s="1550"/>
    </row>
    <row r="660" spans="1:10" ht="16.5">
      <c r="A660" s="2298" t="s">
        <v>4832</v>
      </c>
      <c r="B660" s="2299" t="s">
        <v>6140</v>
      </c>
      <c r="C660" s="1586" t="s">
        <v>3861</v>
      </c>
      <c r="D660" s="1558"/>
      <c r="E660" s="1558"/>
      <c r="F660" s="1559">
        <f t="shared" si="20"/>
        <v>0</v>
      </c>
      <c r="G660" s="1560" t="e">
        <f t="shared" si="21"/>
        <v>#DIV/0!</v>
      </c>
      <c r="H660" s="2294">
        <v>-7.5899999999999995E-2</v>
      </c>
      <c r="I660" s="2296"/>
      <c r="J660" s="1550"/>
    </row>
    <row r="661" spans="1:10" ht="16.5">
      <c r="A661" s="2298" t="s">
        <v>4833</v>
      </c>
      <c r="B661" s="2299" t="s">
        <v>6141</v>
      </c>
      <c r="C661" s="1586" t="s">
        <v>3861</v>
      </c>
      <c r="D661" s="1558"/>
      <c r="E661" s="1558"/>
      <c r="F661" s="1559">
        <f t="shared" si="20"/>
        <v>0</v>
      </c>
      <c r="G661" s="1560" t="e">
        <f t="shared" si="21"/>
        <v>#DIV/0!</v>
      </c>
      <c r="H661" s="2294">
        <v>0.72019999999999995</v>
      </c>
      <c r="I661" s="2296"/>
      <c r="J661" s="1550"/>
    </row>
    <row r="662" spans="1:10" ht="16.5">
      <c r="A662" s="2298" t="s">
        <v>4834</v>
      </c>
      <c r="B662" s="2299" t="s">
        <v>6142</v>
      </c>
      <c r="C662" s="1586" t="s">
        <v>3861</v>
      </c>
      <c r="D662" s="1558"/>
      <c r="E662" s="1558"/>
      <c r="F662" s="1559">
        <f t="shared" si="20"/>
        <v>0</v>
      </c>
      <c r="G662" s="1560" t="e">
        <f t="shared" si="21"/>
        <v>#DIV/0!</v>
      </c>
      <c r="H662" s="2294">
        <v>1.0002</v>
      </c>
      <c r="I662" s="2296"/>
      <c r="J662" s="1550"/>
    </row>
    <row r="663" spans="1:10" ht="16.5">
      <c r="A663" s="2298" t="s">
        <v>4835</v>
      </c>
      <c r="B663" s="2299" t="s">
        <v>6143</v>
      </c>
      <c r="C663" s="1586" t="s">
        <v>3861</v>
      </c>
      <c r="D663" s="1558"/>
      <c r="E663" s="1558"/>
      <c r="F663" s="1559">
        <f t="shared" si="20"/>
        <v>0</v>
      </c>
      <c r="G663" s="1560" t="e">
        <f t="shared" si="21"/>
        <v>#DIV/0!</v>
      </c>
      <c r="H663" s="2294">
        <v>5.9999999999999995E-4</v>
      </c>
      <c r="I663" s="2296"/>
      <c r="J663" s="1550"/>
    </row>
    <row r="664" spans="1:10" ht="16.5">
      <c r="A664" s="2298" t="s">
        <v>4836</v>
      </c>
      <c r="B664" s="2299" t="s">
        <v>6144</v>
      </c>
      <c r="C664" s="1586" t="s">
        <v>3861</v>
      </c>
      <c r="D664" s="1558"/>
      <c r="E664" s="1558"/>
      <c r="F664" s="1559">
        <f t="shared" si="20"/>
        <v>0</v>
      </c>
      <c r="G664" s="1560" t="e">
        <f t="shared" si="21"/>
        <v>#DIV/0!</v>
      </c>
      <c r="H664" s="2294">
        <v>0.48759999999999998</v>
      </c>
      <c r="I664" s="2296"/>
      <c r="J664" s="1550"/>
    </row>
    <row r="665" spans="1:10" ht="16.5">
      <c r="A665" s="2298" t="s">
        <v>4837</v>
      </c>
      <c r="B665" s="2299" t="s">
        <v>6145</v>
      </c>
      <c r="C665" s="1586" t="s">
        <v>3861</v>
      </c>
      <c r="D665" s="1558"/>
      <c r="E665" s="1558"/>
      <c r="F665" s="1559">
        <f t="shared" si="20"/>
        <v>0</v>
      </c>
      <c r="G665" s="1560" t="e">
        <f t="shared" si="21"/>
        <v>#DIV/0!</v>
      </c>
      <c r="H665" s="2294">
        <v>0.18240000000000001</v>
      </c>
      <c r="I665" s="2296"/>
      <c r="J665" s="1550"/>
    </row>
    <row r="666" spans="1:10" ht="16.5">
      <c r="A666" s="2298" t="s">
        <v>4838</v>
      </c>
      <c r="B666" s="2299" t="s">
        <v>6146</v>
      </c>
      <c r="C666" s="1586" t="s">
        <v>3861</v>
      </c>
      <c r="D666" s="1558"/>
      <c r="E666" s="1558"/>
      <c r="F666" s="1559">
        <f t="shared" si="20"/>
        <v>0</v>
      </c>
      <c r="G666" s="1560" t="e">
        <f t="shared" si="21"/>
        <v>#DIV/0!</v>
      </c>
      <c r="H666" s="2294">
        <v>1.1520999999999999</v>
      </c>
      <c r="I666" s="2296"/>
      <c r="J666" s="1550"/>
    </row>
    <row r="667" spans="1:10" ht="16.5">
      <c r="A667" s="2298" t="s">
        <v>4839</v>
      </c>
      <c r="B667" s="2299" t="s">
        <v>6147</v>
      </c>
      <c r="C667" s="1586" t="s">
        <v>3861</v>
      </c>
      <c r="D667" s="1558"/>
      <c r="E667" s="1558"/>
      <c r="F667" s="1559">
        <f t="shared" si="20"/>
        <v>0</v>
      </c>
      <c r="G667" s="1560" t="e">
        <f t="shared" si="21"/>
        <v>#DIV/0!</v>
      </c>
      <c r="H667" s="2294">
        <v>0.2056</v>
      </c>
      <c r="I667" s="2296"/>
      <c r="J667" s="1550"/>
    </row>
    <row r="668" spans="1:10" ht="16.5">
      <c r="A668" s="2298" t="s">
        <v>4840</v>
      </c>
      <c r="B668" s="2299" t="s">
        <v>6148</v>
      </c>
      <c r="C668" s="1586" t="s">
        <v>3861</v>
      </c>
      <c r="D668" s="1558"/>
      <c r="E668" s="1558"/>
      <c r="F668" s="1559">
        <f t="shared" si="20"/>
        <v>0</v>
      </c>
      <c r="G668" s="1560" t="e">
        <f t="shared" si="21"/>
        <v>#DIV/0!</v>
      </c>
      <c r="H668" s="2294">
        <v>0.47310000000000002</v>
      </c>
      <c r="I668" s="2296"/>
      <c r="J668" s="1550"/>
    </row>
    <row r="669" spans="1:10" ht="16.5">
      <c r="A669" s="2298" t="s">
        <v>4841</v>
      </c>
      <c r="B669" s="2299" t="s">
        <v>6149</v>
      </c>
      <c r="C669" s="1586" t="s">
        <v>3861</v>
      </c>
      <c r="D669" s="1558"/>
      <c r="E669" s="1558"/>
      <c r="F669" s="1559">
        <f t="shared" si="20"/>
        <v>0</v>
      </c>
      <c r="G669" s="1560" t="e">
        <f t="shared" si="21"/>
        <v>#DIV/0!</v>
      </c>
      <c r="H669" s="2294">
        <v>1.0295000000000001</v>
      </c>
      <c r="I669" s="2296"/>
      <c r="J669" s="1550"/>
    </row>
    <row r="670" spans="1:10" ht="16.5">
      <c r="A670" s="2298" t="s">
        <v>4842</v>
      </c>
      <c r="B670" s="2299" t="s">
        <v>6150</v>
      </c>
      <c r="C670" s="1586" t="s">
        <v>3861</v>
      </c>
      <c r="D670" s="1558"/>
      <c r="E670" s="1558"/>
      <c r="F670" s="1559">
        <f t="shared" si="20"/>
        <v>0</v>
      </c>
      <c r="G670" s="1560" t="e">
        <f t="shared" si="21"/>
        <v>#DIV/0!</v>
      </c>
      <c r="H670" s="2294">
        <v>1.6011</v>
      </c>
      <c r="I670" s="2296"/>
      <c r="J670" s="1550"/>
    </row>
    <row r="671" spans="1:10" ht="16.5">
      <c r="A671" s="2298" t="s">
        <v>4843</v>
      </c>
      <c r="B671" s="2299" t="s">
        <v>6151</v>
      </c>
      <c r="C671" s="1586" t="s">
        <v>3861</v>
      </c>
      <c r="D671" s="1558"/>
      <c r="E671" s="1558"/>
      <c r="F671" s="1559">
        <f t="shared" si="20"/>
        <v>0</v>
      </c>
      <c r="G671" s="1560" t="e">
        <f t="shared" si="21"/>
        <v>#DIV/0!</v>
      </c>
      <c r="H671" s="2294">
        <v>0.96519999999999995</v>
      </c>
      <c r="I671" s="2296"/>
      <c r="J671" s="1550"/>
    </row>
    <row r="672" spans="1:10" ht="16.5">
      <c r="A672" s="2298" t="s">
        <v>4844</v>
      </c>
      <c r="B672" s="2299" t="s">
        <v>6152</v>
      </c>
      <c r="C672" s="1586" t="s">
        <v>3861</v>
      </c>
      <c r="D672" s="1558"/>
      <c r="E672" s="1558"/>
      <c r="F672" s="1559">
        <f t="shared" si="20"/>
        <v>0</v>
      </c>
      <c r="G672" s="1560" t="e">
        <f t="shared" si="21"/>
        <v>#DIV/0!</v>
      </c>
      <c r="H672" s="2294">
        <v>0.15740000000000001</v>
      </c>
      <c r="I672" s="2296"/>
      <c r="J672" s="1550"/>
    </row>
    <row r="673" spans="1:10" ht="16.5">
      <c r="A673" s="2298" t="s">
        <v>4845</v>
      </c>
      <c r="B673" s="2299" t="s">
        <v>6153</v>
      </c>
      <c r="C673" s="1586" t="s">
        <v>3861</v>
      </c>
      <c r="D673" s="1558"/>
      <c r="E673" s="1558"/>
      <c r="F673" s="1559">
        <f t="shared" si="20"/>
        <v>0</v>
      </c>
      <c r="G673" s="1560" t="e">
        <f t="shared" si="21"/>
        <v>#DIV/0!</v>
      </c>
      <c r="H673" s="2294">
        <v>0.29499999999999998</v>
      </c>
      <c r="I673" s="2296"/>
      <c r="J673" s="1550"/>
    </row>
    <row r="674" spans="1:10" ht="16.5">
      <c r="A674" s="2298" t="s">
        <v>4846</v>
      </c>
      <c r="B674" s="2299" t="s">
        <v>6154</v>
      </c>
      <c r="C674" s="1586" t="s">
        <v>3861</v>
      </c>
      <c r="D674" s="1558"/>
      <c r="E674" s="1558"/>
      <c r="F674" s="1559">
        <f t="shared" si="20"/>
        <v>0</v>
      </c>
      <c r="G674" s="1560" t="e">
        <f t="shared" si="21"/>
        <v>#DIV/0!</v>
      </c>
      <c r="H674" s="2294">
        <v>0.26179999999999998</v>
      </c>
      <c r="I674" s="2296"/>
      <c r="J674" s="1550"/>
    </row>
    <row r="675" spans="1:10" ht="16.5">
      <c r="A675" s="2298" t="s">
        <v>4847</v>
      </c>
      <c r="B675" s="2299" t="s">
        <v>6155</v>
      </c>
      <c r="C675" s="1586" t="s">
        <v>3861</v>
      </c>
      <c r="D675" s="1558"/>
      <c r="E675" s="1558"/>
      <c r="F675" s="1559">
        <f t="shared" si="20"/>
        <v>0</v>
      </c>
      <c r="G675" s="1560" t="e">
        <f t="shared" si="21"/>
        <v>#DIV/0!</v>
      </c>
      <c r="H675" s="2294">
        <v>0.22220000000000001</v>
      </c>
      <c r="I675" s="2296"/>
      <c r="J675" s="1550"/>
    </row>
    <row r="676" spans="1:10" ht="16.5">
      <c r="A676" s="2298" t="s">
        <v>4848</v>
      </c>
      <c r="B676" s="2299" t="s">
        <v>6156</v>
      </c>
      <c r="C676" s="1586" t="s">
        <v>3861</v>
      </c>
      <c r="D676" s="1558"/>
      <c r="E676" s="1558"/>
      <c r="F676" s="1559">
        <f t="shared" si="20"/>
        <v>0</v>
      </c>
      <c r="G676" s="1560" t="e">
        <f t="shared" si="21"/>
        <v>#DIV/0!</v>
      </c>
      <c r="H676" s="2294">
        <v>0.3538</v>
      </c>
      <c r="I676" s="2296"/>
      <c r="J676" s="1550"/>
    </row>
    <row r="677" spans="1:10" ht="16.5">
      <c r="A677" s="2298" t="s">
        <v>4849</v>
      </c>
      <c r="B677" s="2299" t="s">
        <v>6157</v>
      </c>
      <c r="C677" s="1586" t="s">
        <v>3861</v>
      </c>
      <c r="D677" s="1558"/>
      <c r="E677" s="1558"/>
      <c r="F677" s="1559">
        <f t="shared" si="20"/>
        <v>0</v>
      </c>
      <c r="G677" s="1560" t="e">
        <f t="shared" si="21"/>
        <v>#DIV/0!</v>
      </c>
      <c r="H677" s="2294">
        <v>0.77110000000000001</v>
      </c>
      <c r="I677" s="2296"/>
      <c r="J677" s="1550"/>
    </row>
    <row r="678" spans="1:10" ht="16.5">
      <c r="A678" s="2298" t="s">
        <v>4850</v>
      </c>
      <c r="B678" s="2299" t="s">
        <v>6158</v>
      </c>
      <c r="C678" s="1586" t="s">
        <v>3861</v>
      </c>
      <c r="D678" s="1558"/>
      <c r="E678" s="1558"/>
      <c r="F678" s="1559">
        <f t="shared" si="20"/>
        <v>0</v>
      </c>
      <c r="G678" s="1560" t="e">
        <f t="shared" si="21"/>
        <v>#DIV/0!</v>
      </c>
      <c r="H678" s="2294">
        <v>0.27400000000000002</v>
      </c>
      <c r="I678" s="2296"/>
      <c r="J678" s="1550"/>
    </row>
    <row r="679" spans="1:10" ht="16.5">
      <c r="A679" s="2298" t="s">
        <v>4851</v>
      </c>
      <c r="B679" s="2299" t="s">
        <v>6159</v>
      </c>
      <c r="C679" s="1586" t="s">
        <v>3861</v>
      </c>
      <c r="D679" s="1558"/>
      <c r="E679" s="1558"/>
      <c r="F679" s="1559">
        <f t="shared" si="20"/>
        <v>0</v>
      </c>
      <c r="G679" s="1560" t="e">
        <f t="shared" si="21"/>
        <v>#DIV/0!</v>
      </c>
      <c r="H679" s="2294">
        <v>0.2218</v>
      </c>
      <c r="I679" s="2296"/>
      <c r="J679" s="1550"/>
    </row>
    <row r="680" spans="1:10" ht="16.5">
      <c r="A680" s="2298" t="s">
        <v>4852</v>
      </c>
      <c r="B680" s="2299" t="s">
        <v>6160</v>
      </c>
      <c r="C680" s="1586" t="s">
        <v>3861</v>
      </c>
      <c r="D680" s="1558"/>
      <c r="E680" s="1558"/>
      <c r="F680" s="1559">
        <f t="shared" si="20"/>
        <v>0</v>
      </c>
      <c r="G680" s="1560" t="e">
        <f t="shared" si="21"/>
        <v>#DIV/0!</v>
      </c>
      <c r="H680" s="2294">
        <v>0.37590000000000001</v>
      </c>
      <c r="I680" s="2296"/>
      <c r="J680" s="1550"/>
    </row>
    <row r="681" spans="1:10" ht="16.5">
      <c r="A681" s="2298" t="s">
        <v>4853</v>
      </c>
      <c r="B681" s="2299" t="s">
        <v>6161</v>
      </c>
      <c r="C681" s="1586" t="s">
        <v>3861</v>
      </c>
      <c r="D681" s="1558"/>
      <c r="E681" s="1558"/>
      <c r="F681" s="1559">
        <f t="shared" si="20"/>
        <v>0</v>
      </c>
      <c r="G681" s="1560" t="e">
        <f t="shared" si="21"/>
        <v>#DIV/0!</v>
      </c>
      <c r="H681" s="2294">
        <v>0.1545</v>
      </c>
      <c r="I681" s="2296"/>
      <c r="J681" s="1550"/>
    </row>
    <row r="682" spans="1:10" ht="16.5">
      <c r="A682" s="2298" t="s">
        <v>4854</v>
      </c>
      <c r="B682" s="2299" t="s">
        <v>6162</v>
      </c>
      <c r="C682" s="1586" t="s">
        <v>3861</v>
      </c>
      <c r="D682" s="1558"/>
      <c r="E682" s="1558"/>
      <c r="F682" s="1559">
        <f t="shared" si="20"/>
        <v>0</v>
      </c>
      <c r="G682" s="1560" t="e">
        <f t="shared" si="21"/>
        <v>#DIV/0!</v>
      </c>
      <c r="H682" s="2294">
        <v>0.4703</v>
      </c>
      <c r="I682" s="2296"/>
      <c r="J682" s="1550"/>
    </row>
    <row r="683" spans="1:10" ht="16.5">
      <c r="A683" s="2298" t="s">
        <v>4855</v>
      </c>
      <c r="B683" s="2299" t="s">
        <v>6163</v>
      </c>
      <c r="C683" s="1586" t="s">
        <v>3861</v>
      </c>
      <c r="D683" s="1558"/>
      <c r="E683" s="1558"/>
      <c r="F683" s="1559">
        <f t="shared" si="20"/>
        <v>0</v>
      </c>
      <c r="G683" s="1560" t="e">
        <f t="shared" si="21"/>
        <v>#DIV/0!</v>
      </c>
      <c r="H683" s="2294">
        <v>0.43530000000000002</v>
      </c>
      <c r="I683" s="2296"/>
      <c r="J683" s="1550"/>
    </row>
    <row r="684" spans="1:10" ht="16.5">
      <c r="A684" s="2298" t="s">
        <v>4856</v>
      </c>
      <c r="B684" s="2299" t="s">
        <v>6164</v>
      </c>
      <c r="C684" s="1586" t="s">
        <v>3861</v>
      </c>
      <c r="D684" s="1558"/>
      <c r="E684" s="1558"/>
      <c r="F684" s="1559">
        <f t="shared" si="20"/>
        <v>0</v>
      </c>
      <c r="G684" s="1560" t="e">
        <f t="shared" si="21"/>
        <v>#DIV/0!</v>
      </c>
      <c r="H684" s="2294">
        <v>0.78979999999999995</v>
      </c>
      <c r="I684" s="2296"/>
      <c r="J684" s="1550"/>
    </row>
    <row r="685" spans="1:10" ht="16.5">
      <c r="A685" s="2298" t="s">
        <v>4857</v>
      </c>
      <c r="B685" s="2299" t="s">
        <v>6165</v>
      </c>
      <c r="C685" s="1586" t="s">
        <v>3861</v>
      </c>
      <c r="D685" s="1558"/>
      <c r="E685" s="1558"/>
      <c r="F685" s="1559">
        <f t="shared" si="20"/>
        <v>0</v>
      </c>
      <c r="G685" s="1560" t="e">
        <f t="shared" si="21"/>
        <v>#DIV/0!</v>
      </c>
      <c r="H685" s="2294">
        <v>0.48659999999999998</v>
      </c>
      <c r="I685" s="2296"/>
      <c r="J685" s="1550"/>
    </row>
    <row r="686" spans="1:10" ht="16.5">
      <c r="A686" s="2298" t="s">
        <v>4858</v>
      </c>
      <c r="B686" s="2299" t="s">
        <v>6166</v>
      </c>
      <c r="C686" s="1586" t="s">
        <v>3861</v>
      </c>
      <c r="D686" s="1558"/>
      <c r="E686" s="1558"/>
      <c r="F686" s="1559">
        <f t="shared" si="20"/>
        <v>0</v>
      </c>
      <c r="G686" s="1560" t="e">
        <f t="shared" si="21"/>
        <v>#DIV/0!</v>
      </c>
      <c r="H686" s="2294">
        <v>0.47639999999999999</v>
      </c>
      <c r="I686" s="2296"/>
      <c r="J686" s="1550"/>
    </row>
    <row r="687" spans="1:10" ht="16.5">
      <c r="A687" s="2298" t="s">
        <v>4859</v>
      </c>
      <c r="B687" s="2299" t="s">
        <v>6167</v>
      </c>
      <c r="C687" s="1586" t="s">
        <v>3861</v>
      </c>
      <c r="D687" s="1558"/>
      <c r="E687" s="1558"/>
      <c r="F687" s="1559">
        <f t="shared" si="20"/>
        <v>0</v>
      </c>
      <c r="G687" s="1560" t="e">
        <f t="shared" si="21"/>
        <v>#DIV/0!</v>
      </c>
      <c r="H687" s="2294">
        <v>1.153</v>
      </c>
      <c r="I687" s="2296"/>
      <c r="J687" s="1550"/>
    </row>
    <row r="688" spans="1:10" ht="16.5">
      <c r="A688" s="2298" t="s">
        <v>4860</v>
      </c>
      <c r="B688" s="2299" t="s">
        <v>6168</v>
      </c>
      <c r="C688" s="1586" t="s">
        <v>3861</v>
      </c>
      <c r="D688" s="1558"/>
      <c r="E688" s="1558"/>
      <c r="F688" s="1559">
        <f t="shared" si="20"/>
        <v>0</v>
      </c>
      <c r="G688" s="1560" t="e">
        <f t="shared" si="21"/>
        <v>#DIV/0!</v>
      </c>
      <c r="H688" s="2294">
        <v>0.16520000000000001</v>
      </c>
      <c r="I688" s="2296"/>
      <c r="J688" s="1550"/>
    </row>
    <row r="689" spans="1:10" ht="16.5">
      <c r="A689" s="2298" t="s">
        <v>4861</v>
      </c>
      <c r="B689" s="2299" t="s">
        <v>6169</v>
      </c>
      <c r="C689" s="1586" t="s">
        <v>3861</v>
      </c>
      <c r="D689" s="1558"/>
      <c r="E689" s="1558"/>
      <c r="F689" s="1559">
        <f t="shared" si="20"/>
        <v>0</v>
      </c>
      <c r="G689" s="1560" t="e">
        <f t="shared" si="21"/>
        <v>#DIV/0!</v>
      </c>
      <c r="H689" s="2294">
        <v>1</v>
      </c>
      <c r="I689" s="2296" t="s">
        <v>5703</v>
      </c>
      <c r="J689" s="1550"/>
    </row>
    <row r="690" spans="1:10" ht="16.5">
      <c r="A690" s="2298" t="s">
        <v>4862</v>
      </c>
      <c r="B690" s="2299" t="s">
        <v>6170</v>
      </c>
      <c r="C690" s="1586" t="s">
        <v>3861</v>
      </c>
      <c r="D690" s="1558"/>
      <c r="E690" s="1558"/>
      <c r="F690" s="1559">
        <f t="shared" si="20"/>
        <v>0</v>
      </c>
      <c r="G690" s="1560" t="e">
        <f t="shared" si="21"/>
        <v>#DIV/0!</v>
      </c>
      <c r="H690" s="2294">
        <v>0.53649999999999998</v>
      </c>
      <c r="I690" s="2296"/>
      <c r="J690" s="1550"/>
    </row>
    <row r="691" spans="1:10" ht="16.5">
      <c r="A691" s="2298" t="s">
        <v>4863</v>
      </c>
      <c r="B691" s="2299" t="s">
        <v>6171</v>
      </c>
      <c r="C691" s="1586" t="s">
        <v>3861</v>
      </c>
      <c r="D691" s="1558"/>
      <c r="E691" s="1558"/>
      <c r="F691" s="1559">
        <f t="shared" si="20"/>
        <v>0</v>
      </c>
      <c r="G691" s="1560" t="e">
        <f t="shared" si="21"/>
        <v>#DIV/0!</v>
      </c>
      <c r="H691" s="2294">
        <v>0.4496</v>
      </c>
      <c r="I691" s="2296"/>
      <c r="J691" s="1550"/>
    </row>
    <row r="692" spans="1:10" ht="16.5">
      <c r="A692" s="2298" t="s">
        <v>4864</v>
      </c>
      <c r="B692" s="2299" t="s">
        <v>6172</v>
      </c>
      <c r="C692" s="1586" t="s">
        <v>3861</v>
      </c>
      <c r="D692" s="1558"/>
      <c r="E692" s="1558"/>
      <c r="F692" s="1559">
        <f t="shared" si="20"/>
        <v>0</v>
      </c>
      <c r="G692" s="1560" t="e">
        <f t="shared" si="21"/>
        <v>#DIV/0!</v>
      </c>
      <c r="H692" s="2294">
        <v>0.73709999999999998</v>
      </c>
      <c r="I692" s="2296"/>
      <c r="J692" s="1550"/>
    </row>
    <row r="693" spans="1:10" ht="16.5">
      <c r="A693" s="2298" t="s">
        <v>4865</v>
      </c>
      <c r="B693" s="2299" t="s">
        <v>6173</v>
      </c>
      <c r="C693" s="1586" t="s">
        <v>3861</v>
      </c>
      <c r="D693" s="1558"/>
      <c r="E693" s="1558"/>
      <c r="F693" s="1559">
        <f t="shared" si="20"/>
        <v>0</v>
      </c>
      <c r="G693" s="1560" t="e">
        <f t="shared" si="21"/>
        <v>#DIV/0!</v>
      </c>
      <c r="H693" s="2294">
        <v>1.5887</v>
      </c>
      <c r="I693" s="2296"/>
      <c r="J693" s="1550"/>
    </row>
    <row r="694" spans="1:10" ht="16.5">
      <c r="A694" s="2298" t="s">
        <v>4866</v>
      </c>
      <c r="B694" s="2299" t="s">
        <v>6174</v>
      </c>
      <c r="C694" s="1586" t="s">
        <v>3861</v>
      </c>
      <c r="D694" s="1558"/>
      <c r="E694" s="1558"/>
      <c r="F694" s="1559">
        <f t="shared" si="20"/>
        <v>0</v>
      </c>
      <c r="G694" s="1560" t="e">
        <f t="shared" si="21"/>
        <v>#DIV/0!</v>
      </c>
      <c r="H694" s="2294">
        <v>0.26019999999999999</v>
      </c>
      <c r="I694" s="2296"/>
      <c r="J694" s="1550"/>
    </row>
    <row r="695" spans="1:10" ht="16.5">
      <c r="A695" s="2298" t="s">
        <v>4867</v>
      </c>
      <c r="B695" s="2299" t="s">
        <v>6175</v>
      </c>
      <c r="C695" s="1586" t="s">
        <v>3861</v>
      </c>
      <c r="D695" s="1558"/>
      <c r="E695" s="1558"/>
      <c r="F695" s="1559">
        <f t="shared" si="20"/>
        <v>0</v>
      </c>
      <c r="G695" s="1560" t="e">
        <f t="shared" si="21"/>
        <v>#DIV/0!</v>
      </c>
      <c r="H695" s="2294">
        <v>0.97840000000000005</v>
      </c>
      <c r="I695" s="2296"/>
      <c r="J695" s="1550"/>
    </row>
    <row r="696" spans="1:10" ht="16.5">
      <c r="A696" s="2298" t="s">
        <v>4868</v>
      </c>
      <c r="B696" s="2299" t="s">
        <v>6176</v>
      </c>
      <c r="C696" s="1586" t="s">
        <v>3861</v>
      </c>
      <c r="D696" s="1558"/>
      <c r="E696" s="1558"/>
      <c r="F696" s="1559">
        <f t="shared" si="20"/>
        <v>0</v>
      </c>
      <c r="G696" s="1560" t="e">
        <f t="shared" si="21"/>
        <v>#DIV/0!</v>
      </c>
      <c r="H696" s="2294">
        <v>0.86360000000000003</v>
      </c>
      <c r="I696" s="2296"/>
      <c r="J696" s="1550"/>
    </row>
    <row r="697" spans="1:10" ht="16.5">
      <c r="A697" s="2298" t="s">
        <v>4869</v>
      </c>
      <c r="B697" s="2299" t="s">
        <v>6177</v>
      </c>
      <c r="C697" s="1586" t="s">
        <v>3861</v>
      </c>
      <c r="D697" s="1558"/>
      <c r="E697" s="1558"/>
      <c r="F697" s="1559">
        <f t="shared" si="20"/>
        <v>0</v>
      </c>
      <c r="G697" s="1560" t="e">
        <f t="shared" si="21"/>
        <v>#DIV/0!</v>
      </c>
      <c r="H697" s="2294">
        <v>0.29260000000000003</v>
      </c>
      <c r="I697" s="2296"/>
      <c r="J697" s="1550"/>
    </row>
    <row r="698" spans="1:10" ht="16.5">
      <c r="A698" s="2298" t="s">
        <v>4870</v>
      </c>
      <c r="B698" s="2299" t="s">
        <v>6178</v>
      </c>
      <c r="C698" s="1586" t="s">
        <v>3861</v>
      </c>
      <c r="D698" s="1558"/>
      <c r="E698" s="1558"/>
      <c r="F698" s="1559">
        <f t="shared" si="20"/>
        <v>0</v>
      </c>
      <c r="G698" s="1560" t="e">
        <f t="shared" si="21"/>
        <v>#DIV/0!</v>
      </c>
      <c r="H698" s="2294">
        <v>0.23930000000000001</v>
      </c>
      <c r="I698" s="2296"/>
      <c r="J698" s="1550"/>
    </row>
    <row r="699" spans="1:10" ht="16.5">
      <c r="A699" s="2298" t="s">
        <v>4871</v>
      </c>
      <c r="B699" s="2299" t="s">
        <v>6179</v>
      </c>
      <c r="C699" s="1586" t="s">
        <v>3861</v>
      </c>
      <c r="D699" s="1558"/>
      <c r="E699" s="1558"/>
      <c r="F699" s="1559">
        <f t="shared" si="20"/>
        <v>0</v>
      </c>
      <c r="G699" s="1560" t="e">
        <f t="shared" si="21"/>
        <v>#DIV/0!</v>
      </c>
      <c r="H699" s="2294">
        <v>0.38929999999999998</v>
      </c>
      <c r="I699" s="2296"/>
      <c r="J699" s="1550"/>
    </row>
    <row r="700" spans="1:10" ht="16.5">
      <c r="A700" s="2298" t="s">
        <v>4872</v>
      </c>
      <c r="B700" s="2299" t="s">
        <v>6180</v>
      </c>
      <c r="C700" s="1586" t="s">
        <v>3861</v>
      </c>
      <c r="D700" s="1558"/>
      <c r="E700" s="1558"/>
      <c r="F700" s="1559">
        <f t="shared" si="20"/>
        <v>0</v>
      </c>
      <c r="G700" s="1560" t="e">
        <f t="shared" si="21"/>
        <v>#DIV/0!</v>
      </c>
      <c r="H700" s="2294">
        <v>-2.2499999999999999E-2</v>
      </c>
      <c r="I700" s="2296"/>
      <c r="J700" s="1550"/>
    </row>
    <row r="701" spans="1:10" ht="16.5">
      <c r="A701" s="2298" t="s">
        <v>4873</v>
      </c>
      <c r="B701" s="2299" t="s">
        <v>6181</v>
      </c>
      <c r="C701" s="1586" t="s">
        <v>3861</v>
      </c>
      <c r="D701" s="1558"/>
      <c r="E701" s="1558"/>
      <c r="F701" s="1559">
        <f t="shared" si="20"/>
        <v>0</v>
      </c>
      <c r="G701" s="1560" t="e">
        <f t="shared" si="21"/>
        <v>#DIV/0!</v>
      </c>
      <c r="H701" s="2294">
        <v>1</v>
      </c>
      <c r="I701" s="2296" t="s">
        <v>5703</v>
      </c>
      <c r="J701" s="1550"/>
    </row>
    <row r="702" spans="1:10" ht="16.5">
      <c r="A702" s="2298" t="s">
        <v>4874</v>
      </c>
      <c r="B702" s="2299" t="s">
        <v>6182</v>
      </c>
      <c r="C702" s="1586" t="s">
        <v>3861</v>
      </c>
      <c r="D702" s="1558"/>
      <c r="E702" s="1558"/>
      <c r="F702" s="1559">
        <f t="shared" si="20"/>
        <v>0</v>
      </c>
      <c r="G702" s="1560" t="e">
        <f t="shared" si="21"/>
        <v>#DIV/0!</v>
      </c>
      <c r="H702" s="2294">
        <v>0.64890000000000003</v>
      </c>
      <c r="I702" s="2296"/>
      <c r="J702" s="1550"/>
    </row>
    <row r="703" spans="1:10" ht="16.5">
      <c r="A703" s="2298" t="s">
        <v>4875</v>
      </c>
      <c r="B703" s="2299" t="s">
        <v>6183</v>
      </c>
      <c r="C703" s="1586" t="s">
        <v>3861</v>
      </c>
      <c r="D703" s="1558"/>
      <c r="E703" s="1558"/>
      <c r="F703" s="1559">
        <f t="shared" si="20"/>
        <v>0</v>
      </c>
      <c r="G703" s="1560" t="e">
        <f t="shared" si="21"/>
        <v>#DIV/0!</v>
      </c>
      <c r="H703" s="2294">
        <v>1</v>
      </c>
      <c r="I703" s="2296" t="s">
        <v>5703</v>
      </c>
      <c r="J703" s="1550"/>
    </row>
    <row r="704" spans="1:10" ht="16.5">
      <c r="A704" s="2298" t="s">
        <v>4876</v>
      </c>
      <c r="B704" s="2299" t="s">
        <v>6184</v>
      </c>
      <c r="C704" s="1586" t="s">
        <v>3861</v>
      </c>
      <c r="D704" s="1558"/>
      <c r="E704" s="1558"/>
      <c r="F704" s="1559">
        <f t="shared" si="20"/>
        <v>0</v>
      </c>
      <c r="G704" s="1560" t="e">
        <f t="shared" si="21"/>
        <v>#DIV/0!</v>
      </c>
      <c r="H704" s="2294">
        <v>1</v>
      </c>
      <c r="I704" s="2296" t="s">
        <v>5703</v>
      </c>
      <c r="J704" s="1550"/>
    </row>
    <row r="705" spans="1:10" ht="16.5">
      <c r="A705" s="2298" t="s">
        <v>4877</v>
      </c>
      <c r="B705" s="2299" t="s">
        <v>6185</v>
      </c>
      <c r="C705" s="1586" t="s">
        <v>3861</v>
      </c>
      <c r="D705" s="1558"/>
      <c r="E705" s="1558"/>
      <c r="F705" s="1559">
        <f t="shared" si="20"/>
        <v>0</v>
      </c>
      <c r="G705" s="1560" t="e">
        <f t="shared" si="21"/>
        <v>#DIV/0!</v>
      </c>
      <c r="H705" s="2294">
        <v>1</v>
      </c>
      <c r="I705" s="2296" t="s">
        <v>5703</v>
      </c>
      <c r="J705" s="1550"/>
    </row>
    <row r="706" spans="1:10" ht="16.5">
      <c r="A706" s="2298" t="s">
        <v>4878</v>
      </c>
      <c r="B706" s="2299" t="s">
        <v>6186</v>
      </c>
      <c r="C706" s="1586" t="s">
        <v>3861</v>
      </c>
      <c r="D706" s="1558"/>
      <c r="E706" s="1558"/>
      <c r="F706" s="1559">
        <f t="shared" si="20"/>
        <v>0</v>
      </c>
      <c r="G706" s="1560" t="e">
        <f t="shared" si="21"/>
        <v>#DIV/0!</v>
      </c>
      <c r="H706" s="2294">
        <v>0.29709999999999998</v>
      </c>
      <c r="I706" s="2296"/>
      <c r="J706" s="1550"/>
    </row>
    <row r="707" spans="1:10" ht="16.5">
      <c r="A707" s="2298" t="s">
        <v>4879</v>
      </c>
      <c r="B707" s="2299" t="s">
        <v>6187</v>
      </c>
      <c r="C707" s="1586" t="s">
        <v>3861</v>
      </c>
      <c r="D707" s="1558"/>
      <c r="E707" s="1558"/>
      <c r="F707" s="1559">
        <f t="shared" si="20"/>
        <v>0</v>
      </c>
      <c r="G707" s="1560" t="e">
        <f t="shared" si="21"/>
        <v>#DIV/0!</v>
      </c>
      <c r="H707" s="2294">
        <v>0.25719999999999998</v>
      </c>
      <c r="I707" s="2296"/>
      <c r="J707" s="1550"/>
    </row>
    <row r="708" spans="1:10" ht="16.5">
      <c r="A708" s="2298" t="s">
        <v>4880</v>
      </c>
      <c r="B708" s="2299" t="s">
        <v>6188</v>
      </c>
      <c r="C708" s="1586" t="s">
        <v>3861</v>
      </c>
      <c r="D708" s="1558"/>
      <c r="E708" s="1558"/>
      <c r="F708" s="1559">
        <f t="shared" si="20"/>
        <v>0</v>
      </c>
      <c r="G708" s="1560" t="e">
        <f t="shared" si="21"/>
        <v>#DIV/0!</v>
      </c>
      <c r="H708" s="2294">
        <v>1.0382</v>
      </c>
      <c r="I708" s="2296"/>
      <c r="J708" s="1550"/>
    </row>
    <row r="709" spans="1:10" ht="16.5">
      <c r="A709" s="2298" t="s">
        <v>4881</v>
      </c>
      <c r="B709" s="2299" t="s">
        <v>6189</v>
      </c>
      <c r="C709" s="1586" t="s">
        <v>3861</v>
      </c>
      <c r="D709" s="1558"/>
      <c r="E709" s="1558"/>
      <c r="F709" s="1559">
        <f t="shared" ref="F709:F772" si="22">D709*E709</f>
        <v>0</v>
      </c>
      <c r="G709" s="1560" t="e">
        <f t="shared" ref="G709:G772" si="23">F709/$F$1214</f>
        <v>#DIV/0!</v>
      </c>
      <c r="H709" s="2294">
        <v>0.19289999999999999</v>
      </c>
      <c r="I709" s="2296"/>
      <c r="J709" s="1550"/>
    </row>
    <row r="710" spans="1:10" ht="16.5">
      <c r="A710" s="2298" t="s">
        <v>4882</v>
      </c>
      <c r="B710" s="2299" t="s">
        <v>6190</v>
      </c>
      <c r="C710" s="1586" t="s">
        <v>3861</v>
      </c>
      <c r="D710" s="1558"/>
      <c r="E710" s="1558"/>
      <c r="F710" s="1559">
        <f t="shared" si="22"/>
        <v>0</v>
      </c>
      <c r="G710" s="1560" t="e">
        <f t="shared" si="23"/>
        <v>#DIV/0!</v>
      </c>
      <c r="H710" s="2294">
        <v>1.1679999999999999</v>
      </c>
      <c r="I710" s="2296"/>
      <c r="J710" s="1550"/>
    </row>
    <row r="711" spans="1:10" ht="16.5">
      <c r="A711" s="2298" t="s">
        <v>4883</v>
      </c>
      <c r="B711" s="2299" t="s">
        <v>6191</v>
      </c>
      <c r="C711" s="1586" t="s">
        <v>3861</v>
      </c>
      <c r="D711" s="1558"/>
      <c r="E711" s="1558"/>
      <c r="F711" s="1559">
        <f t="shared" si="22"/>
        <v>0</v>
      </c>
      <c r="G711" s="1560" t="e">
        <f t="shared" si="23"/>
        <v>#DIV/0!</v>
      </c>
      <c r="H711" s="2294">
        <v>0.59740000000000004</v>
      </c>
      <c r="I711" s="2296"/>
      <c r="J711" s="1550"/>
    </row>
    <row r="712" spans="1:10" ht="16.5">
      <c r="A712" s="2298" t="s">
        <v>4884</v>
      </c>
      <c r="B712" s="2299" t="s">
        <v>6192</v>
      </c>
      <c r="C712" s="1586" t="s">
        <v>3861</v>
      </c>
      <c r="D712" s="1558"/>
      <c r="E712" s="1558"/>
      <c r="F712" s="1559">
        <f t="shared" si="22"/>
        <v>0</v>
      </c>
      <c r="G712" s="1560" t="e">
        <f t="shared" si="23"/>
        <v>#DIV/0!</v>
      </c>
      <c r="H712" s="2294">
        <v>0.26029999999999998</v>
      </c>
      <c r="I712" s="2296"/>
      <c r="J712" s="1550"/>
    </row>
    <row r="713" spans="1:10" ht="16.5">
      <c r="A713" s="2298" t="s">
        <v>4885</v>
      </c>
      <c r="B713" s="2299" t="s">
        <v>6193</v>
      </c>
      <c r="C713" s="1586" t="s">
        <v>3861</v>
      </c>
      <c r="D713" s="1558"/>
      <c r="E713" s="1558"/>
      <c r="F713" s="1559">
        <f t="shared" si="22"/>
        <v>0</v>
      </c>
      <c r="G713" s="1560" t="e">
        <f t="shared" si="23"/>
        <v>#DIV/0!</v>
      </c>
      <c r="H713" s="2294">
        <v>0.1845</v>
      </c>
      <c r="I713" s="2296"/>
      <c r="J713" s="1550"/>
    </row>
    <row r="714" spans="1:10" ht="16.5">
      <c r="A714" s="2298" t="s">
        <v>4886</v>
      </c>
      <c r="B714" s="2299" t="s">
        <v>6194</v>
      </c>
      <c r="C714" s="1586" t="s">
        <v>3861</v>
      </c>
      <c r="D714" s="1558"/>
      <c r="E714" s="1558"/>
      <c r="F714" s="1559">
        <f t="shared" si="22"/>
        <v>0</v>
      </c>
      <c r="G714" s="1560" t="e">
        <f t="shared" si="23"/>
        <v>#DIV/0!</v>
      </c>
      <c r="H714" s="2294">
        <v>0.315</v>
      </c>
      <c r="I714" s="2296"/>
      <c r="J714" s="1550"/>
    </row>
    <row r="715" spans="1:10" ht="16.5">
      <c r="A715" s="2298" t="s">
        <v>4887</v>
      </c>
      <c r="B715" s="2299" t="s">
        <v>6195</v>
      </c>
      <c r="C715" s="1586" t="s">
        <v>3861</v>
      </c>
      <c r="D715" s="1558"/>
      <c r="E715" s="1558"/>
      <c r="F715" s="1559">
        <f t="shared" si="22"/>
        <v>0</v>
      </c>
      <c r="G715" s="1560" t="e">
        <f t="shared" si="23"/>
        <v>#DIV/0!</v>
      </c>
      <c r="H715" s="2294">
        <v>0.58499999999999996</v>
      </c>
      <c r="I715" s="2296"/>
      <c r="J715" s="1550"/>
    </row>
    <row r="716" spans="1:10" ht="16.5">
      <c r="A716" s="2298" t="s">
        <v>4888</v>
      </c>
      <c r="B716" s="2299" t="s">
        <v>6196</v>
      </c>
      <c r="C716" s="1586" t="s">
        <v>3861</v>
      </c>
      <c r="D716" s="1558"/>
      <c r="E716" s="1558"/>
      <c r="F716" s="1559">
        <f t="shared" si="22"/>
        <v>0</v>
      </c>
      <c r="G716" s="1560" t="e">
        <f t="shared" si="23"/>
        <v>#DIV/0!</v>
      </c>
      <c r="H716" s="2294">
        <v>0.54949999999999999</v>
      </c>
      <c r="I716" s="2296"/>
      <c r="J716" s="1550"/>
    </row>
    <row r="717" spans="1:10" ht="16.5">
      <c r="A717" s="2298" t="s">
        <v>4889</v>
      </c>
      <c r="B717" s="2299" t="s">
        <v>6197</v>
      </c>
      <c r="C717" s="1586" t="s">
        <v>3861</v>
      </c>
      <c r="D717" s="1558"/>
      <c r="E717" s="1558"/>
      <c r="F717" s="1559">
        <f t="shared" si="22"/>
        <v>0</v>
      </c>
      <c r="G717" s="1560" t="e">
        <f t="shared" si="23"/>
        <v>#DIV/0!</v>
      </c>
      <c r="H717" s="2294">
        <v>0.3659</v>
      </c>
      <c r="I717" s="2296"/>
      <c r="J717" s="1550"/>
    </row>
    <row r="718" spans="1:10" ht="16.5">
      <c r="A718" s="2298" t="s">
        <v>4890</v>
      </c>
      <c r="B718" s="2299" t="s">
        <v>6198</v>
      </c>
      <c r="C718" s="1586" t="s">
        <v>3861</v>
      </c>
      <c r="D718" s="1558"/>
      <c r="E718" s="1558"/>
      <c r="F718" s="1559">
        <f t="shared" si="22"/>
        <v>0</v>
      </c>
      <c r="G718" s="1560" t="e">
        <f t="shared" si="23"/>
        <v>#DIV/0!</v>
      </c>
      <c r="H718" s="2294">
        <v>0.95220000000000005</v>
      </c>
      <c r="I718" s="2296"/>
      <c r="J718" s="1550"/>
    </row>
    <row r="719" spans="1:10" ht="16.5">
      <c r="A719" s="2298" t="s">
        <v>4891</v>
      </c>
      <c r="B719" s="2299" t="s">
        <v>6199</v>
      </c>
      <c r="C719" s="1586" t="s">
        <v>3861</v>
      </c>
      <c r="D719" s="1558"/>
      <c r="E719" s="1558"/>
      <c r="F719" s="1559">
        <f t="shared" si="22"/>
        <v>0</v>
      </c>
      <c r="G719" s="1560" t="e">
        <f t="shared" si="23"/>
        <v>#DIV/0!</v>
      </c>
      <c r="H719" s="2294">
        <v>0.98109999999999997</v>
      </c>
      <c r="I719" s="2296"/>
      <c r="J719" s="1550"/>
    </row>
    <row r="720" spans="1:10" ht="16.5">
      <c r="A720" s="2298" t="s">
        <v>4892</v>
      </c>
      <c r="B720" s="2299" t="s">
        <v>6200</v>
      </c>
      <c r="C720" s="1586" t="s">
        <v>3861</v>
      </c>
      <c r="D720" s="1558"/>
      <c r="E720" s="1558"/>
      <c r="F720" s="1559">
        <f t="shared" si="22"/>
        <v>0</v>
      </c>
      <c r="G720" s="1560" t="e">
        <f t="shared" si="23"/>
        <v>#DIV/0!</v>
      </c>
      <c r="H720" s="2294">
        <v>1.3401000000000001</v>
      </c>
      <c r="I720" s="2296"/>
      <c r="J720" s="1550"/>
    </row>
    <row r="721" spans="1:10" ht="16.5">
      <c r="A721" s="2298" t="s">
        <v>4893</v>
      </c>
      <c r="B721" s="2299" t="s">
        <v>6201</v>
      </c>
      <c r="C721" s="1586" t="s">
        <v>3861</v>
      </c>
      <c r="D721" s="1558"/>
      <c r="E721" s="1558"/>
      <c r="F721" s="1559">
        <f t="shared" si="22"/>
        <v>0</v>
      </c>
      <c r="G721" s="1560" t="e">
        <f t="shared" si="23"/>
        <v>#DIV/0!</v>
      </c>
      <c r="H721" s="2294">
        <v>0.70389999999999997</v>
      </c>
      <c r="I721" s="2296"/>
      <c r="J721" s="1550"/>
    </row>
    <row r="722" spans="1:10" ht="16.5">
      <c r="A722" s="2298" t="s">
        <v>4894</v>
      </c>
      <c r="B722" s="2299" t="s">
        <v>6202</v>
      </c>
      <c r="C722" s="1586" t="s">
        <v>3861</v>
      </c>
      <c r="D722" s="1558"/>
      <c r="E722" s="1558"/>
      <c r="F722" s="1559">
        <f t="shared" si="22"/>
        <v>0</v>
      </c>
      <c r="G722" s="1560" t="e">
        <f t="shared" si="23"/>
        <v>#DIV/0!</v>
      </c>
      <c r="H722" s="2294">
        <v>1.3030999999999999</v>
      </c>
      <c r="I722" s="2296"/>
      <c r="J722" s="1550"/>
    </row>
    <row r="723" spans="1:10" ht="16.5">
      <c r="A723" s="2298" t="s">
        <v>4895</v>
      </c>
      <c r="B723" s="2299" t="s">
        <v>6203</v>
      </c>
      <c r="C723" s="1586" t="s">
        <v>3861</v>
      </c>
      <c r="D723" s="1558"/>
      <c r="E723" s="1558"/>
      <c r="F723" s="1559">
        <f t="shared" si="22"/>
        <v>0</v>
      </c>
      <c r="G723" s="1560" t="e">
        <f t="shared" si="23"/>
        <v>#DIV/0!</v>
      </c>
      <c r="H723" s="2294">
        <v>1.0508999999999999</v>
      </c>
      <c r="I723" s="2296"/>
      <c r="J723" s="1550"/>
    </row>
    <row r="724" spans="1:10" ht="16.5">
      <c r="A724" s="2298" t="s">
        <v>4896</v>
      </c>
      <c r="B724" s="2299" t="s">
        <v>6204</v>
      </c>
      <c r="C724" s="1586" t="s">
        <v>3861</v>
      </c>
      <c r="D724" s="1558"/>
      <c r="E724" s="1558"/>
      <c r="F724" s="1559">
        <f t="shared" si="22"/>
        <v>0</v>
      </c>
      <c r="G724" s="1560" t="e">
        <f t="shared" si="23"/>
        <v>#DIV/0!</v>
      </c>
      <c r="H724" s="2294">
        <v>0.3095</v>
      </c>
      <c r="I724" s="2296"/>
      <c r="J724" s="1550"/>
    </row>
    <row r="725" spans="1:10" ht="16.5">
      <c r="A725" s="2298" t="s">
        <v>4897</v>
      </c>
      <c r="B725" s="2299" t="s">
        <v>6205</v>
      </c>
      <c r="C725" s="1586" t="s">
        <v>3861</v>
      </c>
      <c r="D725" s="1558"/>
      <c r="E725" s="1558"/>
      <c r="F725" s="1559">
        <f t="shared" si="22"/>
        <v>0</v>
      </c>
      <c r="G725" s="1560" t="e">
        <f t="shared" si="23"/>
        <v>#DIV/0!</v>
      </c>
      <c r="H725" s="2294">
        <v>0.2074</v>
      </c>
      <c r="I725" s="2296"/>
      <c r="J725" s="1550"/>
    </row>
    <row r="726" spans="1:10" ht="16.5">
      <c r="A726" s="2298" t="s">
        <v>4898</v>
      </c>
      <c r="B726" s="2299" t="s">
        <v>6206</v>
      </c>
      <c r="C726" s="1586" t="s">
        <v>3861</v>
      </c>
      <c r="D726" s="1558"/>
      <c r="E726" s="1558"/>
      <c r="F726" s="1559">
        <f t="shared" si="22"/>
        <v>0</v>
      </c>
      <c r="G726" s="1560" t="e">
        <f t="shared" si="23"/>
        <v>#DIV/0!</v>
      </c>
      <c r="H726" s="2294">
        <v>-9.4899999999999998E-2</v>
      </c>
      <c r="I726" s="2296"/>
      <c r="J726" s="1550"/>
    </row>
    <row r="727" spans="1:10" ht="16.5">
      <c r="A727" s="2298" t="s">
        <v>4899</v>
      </c>
      <c r="B727" s="2299" t="s">
        <v>6207</v>
      </c>
      <c r="C727" s="1586" t="s">
        <v>3861</v>
      </c>
      <c r="D727" s="1558"/>
      <c r="E727" s="1558"/>
      <c r="F727" s="1559">
        <f t="shared" si="22"/>
        <v>0</v>
      </c>
      <c r="G727" s="1560" t="e">
        <f t="shared" si="23"/>
        <v>#DIV/0!</v>
      </c>
      <c r="H727" s="2294">
        <v>1.0467</v>
      </c>
      <c r="I727" s="2296"/>
      <c r="J727" s="1550"/>
    </row>
    <row r="728" spans="1:10" ht="16.5">
      <c r="A728" s="2298" t="s">
        <v>4900</v>
      </c>
      <c r="B728" s="2299" t="s">
        <v>6208</v>
      </c>
      <c r="C728" s="1586" t="s">
        <v>3861</v>
      </c>
      <c r="D728" s="1558"/>
      <c r="E728" s="1558"/>
      <c r="F728" s="1559">
        <f t="shared" si="22"/>
        <v>0</v>
      </c>
      <c r="G728" s="1560" t="e">
        <f t="shared" si="23"/>
        <v>#DIV/0!</v>
      </c>
      <c r="H728" s="2294">
        <v>1.1119000000000001</v>
      </c>
      <c r="I728" s="2296"/>
      <c r="J728" s="1550"/>
    </row>
    <row r="729" spans="1:10" ht="16.5">
      <c r="A729" s="2298" t="s">
        <v>4901</v>
      </c>
      <c r="B729" s="2299" t="s">
        <v>6209</v>
      </c>
      <c r="C729" s="1586" t="s">
        <v>3861</v>
      </c>
      <c r="D729" s="1558"/>
      <c r="E729" s="1558"/>
      <c r="F729" s="1559">
        <f t="shared" si="22"/>
        <v>0</v>
      </c>
      <c r="G729" s="1560" t="e">
        <f t="shared" si="23"/>
        <v>#DIV/0!</v>
      </c>
      <c r="H729" s="2294">
        <v>1.7039</v>
      </c>
      <c r="I729" s="2296"/>
      <c r="J729" s="1550"/>
    </row>
    <row r="730" spans="1:10" ht="16.5">
      <c r="A730" s="2298" t="s">
        <v>4902</v>
      </c>
      <c r="B730" s="2299" t="s">
        <v>6210</v>
      </c>
      <c r="C730" s="1586" t="s">
        <v>3861</v>
      </c>
      <c r="D730" s="1558"/>
      <c r="E730" s="1558"/>
      <c r="F730" s="1559">
        <f t="shared" si="22"/>
        <v>0</v>
      </c>
      <c r="G730" s="1560" t="e">
        <f t="shared" si="23"/>
        <v>#DIV/0!</v>
      </c>
      <c r="H730" s="2294">
        <v>0.84550000000000003</v>
      </c>
      <c r="I730" s="2296"/>
      <c r="J730" s="1550"/>
    </row>
    <row r="731" spans="1:10" ht="16.5">
      <c r="A731" s="2298" t="s">
        <v>4903</v>
      </c>
      <c r="B731" s="2299" t="s">
        <v>6211</v>
      </c>
      <c r="C731" s="1586" t="s">
        <v>3861</v>
      </c>
      <c r="D731" s="1558"/>
      <c r="E731" s="1558"/>
      <c r="F731" s="1559">
        <f t="shared" si="22"/>
        <v>0</v>
      </c>
      <c r="G731" s="1560" t="e">
        <f t="shared" si="23"/>
        <v>#DIV/0!</v>
      </c>
      <c r="H731" s="2294">
        <v>0.92810000000000004</v>
      </c>
      <c r="I731" s="2296"/>
      <c r="J731" s="1550"/>
    </row>
    <row r="732" spans="1:10" ht="16.5">
      <c r="A732" s="2298" t="s">
        <v>4904</v>
      </c>
      <c r="B732" s="2299" t="s">
        <v>6212</v>
      </c>
      <c r="C732" s="1586" t="s">
        <v>3861</v>
      </c>
      <c r="D732" s="1558"/>
      <c r="E732" s="1558"/>
      <c r="F732" s="1559">
        <f t="shared" si="22"/>
        <v>0</v>
      </c>
      <c r="G732" s="1560" t="e">
        <f t="shared" si="23"/>
        <v>#DIV/0!</v>
      </c>
      <c r="H732" s="2294">
        <v>1.9106000000000001</v>
      </c>
      <c r="I732" s="2296"/>
      <c r="J732" s="1550"/>
    </row>
    <row r="733" spans="1:10" ht="16.5">
      <c r="A733" s="2298" t="s">
        <v>4905</v>
      </c>
      <c r="B733" s="2299" t="s">
        <v>6213</v>
      </c>
      <c r="C733" s="1586" t="s">
        <v>3861</v>
      </c>
      <c r="D733" s="1558"/>
      <c r="E733" s="1558"/>
      <c r="F733" s="1559">
        <f t="shared" si="22"/>
        <v>0</v>
      </c>
      <c r="G733" s="1560" t="e">
        <f t="shared" si="23"/>
        <v>#DIV/0!</v>
      </c>
      <c r="H733" s="2294">
        <v>0.82379999999999998</v>
      </c>
      <c r="I733" s="2296"/>
      <c r="J733" s="1550"/>
    </row>
    <row r="734" spans="1:10" ht="16.5">
      <c r="A734" s="2298" t="s">
        <v>4906</v>
      </c>
      <c r="B734" s="2299" t="s">
        <v>6214</v>
      </c>
      <c r="C734" s="1586" t="s">
        <v>3861</v>
      </c>
      <c r="D734" s="1558"/>
      <c r="E734" s="1558"/>
      <c r="F734" s="1559">
        <f t="shared" si="22"/>
        <v>0</v>
      </c>
      <c r="G734" s="1560" t="e">
        <f t="shared" si="23"/>
        <v>#DIV/0!</v>
      </c>
      <c r="H734" s="2294">
        <v>1.3440000000000001</v>
      </c>
      <c r="I734" s="2296"/>
      <c r="J734" s="1550"/>
    </row>
    <row r="735" spans="1:10" ht="16.5">
      <c r="A735" s="2298" t="s">
        <v>4907</v>
      </c>
      <c r="B735" s="2299" t="s">
        <v>6215</v>
      </c>
      <c r="C735" s="1586" t="s">
        <v>3861</v>
      </c>
      <c r="D735" s="1558"/>
      <c r="E735" s="1558"/>
      <c r="F735" s="1559">
        <f t="shared" si="22"/>
        <v>0</v>
      </c>
      <c r="G735" s="1560" t="e">
        <f t="shared" si="23"/>
        <v>#DIV/0!</v>
      </c>
      <c r="H735" s="2294">
        <v>1</v>
      </c>
      <c r="I735" s="2296" t="s">
        <v>5703</v>
      </c>
      <c r="J735" s="1550"/>
    </row>
    <row r="736" spans="1:10" ht="16.5">
      <c r="A736" s="2298" t="s">
        <v>4908</v>
      </c>
      <c r="B736" s="2299" t="s">
        <v>6216</v>
      </c>
      <c r="C736" s="1586" t="s">
        <v>3861</v>
      </c>
      <c r="D736" s="1558"/>
      <c r="E736" s="1558"/>
      <c r="F736" s="1559">
        <f t="shared" si="22"/>
        <v>0</v>
      </c>
      <c r="G736" s="1560" t="e">
        <f t="shared" si="23"/>
        <v>#DIV/0!</v>
      </c>
      <c r="H736" s="2294">
        <v>1.1942999999999999</v>
      </c>
      <c r="I736" s="2296"/>
      <c r="J736" s="1550"/>
    </row>
    <row r="737" spans="1:10" ht="16.5">
      <c r="A737" s="2298" t="s">
        <v>4909</v>
      </c>
      <c r="B737" s="2299" t="s">
        <v>6217</v>
      </c>
      <c r="C737" s="1586" t="s">
        <v>3861</v>
      </c>
      <c r="D737" s="1558"/>
      <c r="E737" s="1558"/>
      <c r="F737" s="1559">
        <f t="shared" si="22"/>
        <v>0</v>
      </c>
      <c r="G737" s="1560" t="e">
        <f t="shared" si="23"/>
        <v>#DIV/0!</v>
      </c>
      <c r="H737" s="2294">
        <v>1.3456999999999999</v>
      </c>
      <c r="I737" s="2296"/>
      <c r="J737" s="1550"/>
    </row>
    <row r="738" spans="1:10" ht="16.5">
      <c r="A738" s="2298" t="s">
        <v>4910</v>
      </c>
      <c r="B738" s="2299" t="s">
        <v>6218</v>
      </c>
      <c r="C738" s="1586" t="s">
        <v>3861</v>
      </c>
      <c r="D738" s="1558"/>
      <c r="E738" s="1558"/>
      <c r="F738" s="1559">
        <f t="shared" si="22"/>
        <v>0</v>
      </c>
      <c r="G738" s="1560" t="e">
        <f t="shared" si="23"/>
        <v>#DIV/0!</v>
      </c>
      <c r="H738" s="2294">
        <v>1.2318</v>
      </c>
      <c r="I738" s="2296"/>
      <c r="J738" s="1550"/>
    </row>
    <row r="739" spans="1:10" ht="16.5">
      <c r="A739" s="2298" t="s">
        <v>4911</v>
      </c>
      <c r="B739" s="2299" t="s">
        <v>6219</v>
      </c>
      <c r="C739" s="1586" t="s">
        <v>3861</v>
      </c>
      <c r="D739" s="1558"/>
      <c r="E739" s="1558"/>
      <c r="F739" s="1559">
        <f t="shared" si="22"/>
        <v>0</v>
      </c>
      <c r="G739" s="1560" t="e">
        <f t="shared" si="23"/>
        <v>#DIV/0!</v>
      </c>
      <c r="H739" s="2294">
        <v>1.3764000000000001</v>
      </c>
      <c r="I739" s="2296"/>
      <c r="J739" s="1550"/>
    </row>
    <row r="740" spans="1:10" ht="16.5">
      <c r="A740" s="2298" t="s">
        <v>4912</v>
      </c>
      <c r="B740" s="2299" t="s">
        <v>6220</v>
      </c>
      <c r="C740" s="1586" t="s">
        <v>3861</v>
      </c>
      <c r="D740" s="1558"/>
      <c r="E740" s="1558"/>
      <c r="F740" s="1559">
        <f t="shared" si="22"/>
        <v>0</v>
      </c>
      <c r="G740" s="1560" t="e">
        <f t="shared" si="23"/>
        <v>#DIV/0!</v>
      </c>
      <c r="H740" s="2294">
        <v>0.33090000000000003</v>
      </c>
      <c r="I740" s="2296"/>
      <c r="J740" s="1550"/>
    </row>
    <row r="741" spans="1:10" ht="16.5">
      <c r="A741" s="2298" t="s">
        <v>4913</v>
      </c>
      <c r="B741" s="2299" t="s">
        <v>6221</v>
      </c>
      <c r="C741" s="1586" t="s">
        <v>3861</v>
      </c>
      <c r="D741" s="1558"/>
      <c r="E741" s="1558"/>
      <c r="F741" s="1559">
        <f t="shared" si="22"/>
        <v>0</v>
      </c>
      <c r="G741" s="1560" t="e">
        <f t="shared" si="23"/>
        <v>#DIV/0!</v>
      </c>
      <c r="H741" s="2294">
        <v>0.66259999999999997</v>
      </c>
      <c r="I741" s="2296"/>
      <c r="J741" s="1550"/>
    </row>
    <row r="742" spans="1:10" ht="16.5">
      <c r="A742" s="2298" t="s">
        <v>4914</v>
      </c>
      <c r="B742" s="2299" t="s">
        <v>6222</v>
      </c>
      <c r="C742" s="1586" t="s">
        <v>3861</v>
      </c>
      <c r="D742" s="1558"/>
      <c r="E742" s="1558"/>
      <c r="F742" s="1559">
        <f t="shared" si="22"/>
        <v>0</v>
      </c>
      <c r="G742" s="1560" t="e">
        <f t="shared" si="23"/>
        <v>#DIV/0!</v>
      </c>
      <c r="H742" s="2294">
        <v>0.25609999999999999</v>
      </c>
      <c r="I742" s="2296"/>
      <c r="J742" s="1550"/>
    </row>
    <row r="743" spans="1:10" ht="16.5">
      <c r="A743" s="2298" t="s">
        <v>4915</v>
      </c>
      <c r="B743" s="2299" t="s">
        <v>6223</v>
      </c>
      <c r="C743" s="1586" t="s">
        <v>3861</v>
      </c>
      <c r="D743" s="1558"/>
      <c r="E743" s="1558"/>
      <c r="F743" s="1559">
        <f t="shared" si="22"/>
        <v>0</v>
      </c>
      <c r="G743" s="1560" t="e">
        <f t="shared" si="23"/>
        <v>#DIV/0!</v>
      </c>
      <c r="H743" s="2294">
        <v>0.55400000000000005</v>
      </c>
      <c r="I743" s="2296"/>
      <c r="J743" s="1550"/>
    </row>
    <row r="744" spans="1:10" ht="16.5">
      <c r="A744" s="2298" t="s">
        <v>4916</v>
      </c>
      <c r="B744" s="2299" t="s">
        <v>6224</v>
      </c>
      <c r="C744" s="1586" t="s">
        <v>3861</v>
      </c>
      <c r="D744" s="1558"/>
      <c r="E744" s="1558"/>
      <c r="F744" s="1559">
        <f t="shared" si="22"/>
        <v>0</v>
      </c>
      <c r="G744" s="1560" t="e">
        <f t="shared" si="23"/>
        <v>#DIV/0!</v>
      </c>
      <c r="H744" s="2294">
        <v>0.4708</v>
      </c>
      <c r="I744" s="2296"/>
      <c r="J744" s="1550"/>
    </row>
    <row r="745" spans="1:10" ht="16.5">
      <c r="A745" s="2298" t="s">
        <v>4917</v>
      </c>
      <c r="B745" s="2299" t="s">
        <v>6225</v>
      </c>
      <c r="C745" s="1586" t="s">
        <v>3861</v>
      </c>
      <c r="D745" s="1558"/>
      <c r="E745" s="1558"/>
      <c r="F745" s="1559">
        <f t="shared" si="22"/>
        <v>0</v>
      </c>
      <c r="G745" s="1560" t="e">
        <f t="shared" si="23"/>
        <v>#DIV/0!</v>
      </c>
      <c r="H745" s="2294">
        <v>0.82389999999999997</v>
      </c>
      <c r="I745" s="2296"/>
      <c r="J745" s="1550"/>
    </row>
    <row r="746" spans="1:10" ht="16.5">
      <c r="A746" s="2298" t="s">
        <v>4918</v>
      </c>
      <c r="B746" s="2299" t="s">
        <v>6226</v>
      </c>
      <c r="C746" s="1586" t="s">
        <v>3861</v>
      </c>
      <c r="D746" s="1558"/>
      <c r="E746" s="1558"/>
      <c r="F746" s="1559">
        <f t="shared" si="22"/>
        <v>0</v>
      </c>
      <c r="G746" s="1560" t="e">
        <f t="shared" si="23"/>
        <v>#DIV/0!</v>
      </c>
      <c r="H746" s="2294">
        <v>0.71099999999999997</v>
      </c>
      <c r="I746" s="2296"/>
      <c r="J746" s="1550"/>
    </row>
    <row r="747" spans="1:10" ht="16.5">
      <c r="A747" s="2298" t="s">
        <v>4919</v>
      </c>
      <c r="B747" s="2299" t="s">
        <v>6227</v>
      </c>
      <c r="C747" s="1586" t="s">
        <v>3861</v>
      </c>
      <c r="D747" s="1558"/>
      <c r="E747" s="1558"/>
      <c r="F747" s="1559">
        <f t="shared" si="22"/>
        <v>0</v>
      </c>
      <c r="G747" s="1560" t="e">
        <f t="shared" si="23"/>
        <v>#DIV/0!</v>
      </c>
      <c r="H747" s="2294">
        <v>1.0229999999999999</v>
      </c>
      <c r="I747" s="2296"/>
      <c r="J747" s="1550"/>
    </row>
    <row r="748" spans="1:10" ht="16.5">
      <c r="A748" s="2298" t="s">
        <v>4920</v>
      </c>
      <c r="B748" s="2299" t="s">
        <v>6228</v>
      </c>
      <c r="C748" s="1586" t="s">
        <v>3861</v>
      </c>
      <c r="D748" s="1558"/>
      <c r="E748" s="1558"/>
      <c r="F748" s="1559">
        <f t="shared" si="22"/>
        <v>0</v>
      </c>
      <c r="G748" s="1560" t="e">
        <f t="shared" si="23"/>
        <v>#DIV/0!</v>
      </c>
      <c r="H748" s="2294">
        <v>0.73450000000000004</v>
      </c>
      <c r="I748" s="2296"/>
      <c r="J748" s="1550"/>
    </row>
    <row r="749" spans="1:10" ht="16.5">
      <c r="A749" s="2298" t="s">
        <v>4921</v>
      </c>
      <c r="B749" s="2299" t="s">
        <v>6229</v>
      </c>
      <c r="C749" s="1586" t="s">
        <v>3861</v>
      </c>
      <c r="D749" s="1558"/>
      <c r="E749" s="1558"/>
      <c r="F749" s="1559">
        <f t="shared" si="22"/>
        <v>0</v>
      </c>
      <c r="G749" s="1560" t="e">
        <f t="shared" si="23"/>
        <v>#DIV/0!</v>
      </c>
      <c r="H749" s="2294">
        <v>0.86509999999999998</v>
      </c>
      <c r="I749" s="2296"/>
      <c r="J749" s="1550"/>
    </row>
    <row r="750" spans="1:10" ht="16.5">
      <c r="A750" s="2298" t="s">
        <v>4922</v>
      </c>
      <c r="B750" s="2299" t="s">
        <v>6230</v>
      </c>
      <c r="C750" s="1586" t="s">
        <v>3861</v>
      </c>
      <c r="D750" s="1558"/>
      <c r="E750" s="1558"/>
      <c r="F750" s="1559">
        <f t="shared" si="22"/>
        <v>0</v>
      </c>
      <c r="G750" s="1560" t="e">
        <f t="shared" si="23"/>
        <v>#DIV/0!</v>
      </c>
      <c r="H750" s="2294">
        <v>0.92630000000000001</v>
      </c>
      <c r="I750" s="2296"/>
      <c r="J750" s="1550"/>
    </row>
    <row r="751" spans="1:10" ht="16.5">
      <c r="A751" s="2298" t="s">
        <v>4923</v>
      </c>
      <c r="B751" s="2299" t="s">
        <v>6231</v>
      </c>
      <c r="C751" s="1586" t="s">
        <v>3861</v>
      </c>
      <c r="D751" s="1558"/>
      <c r="E751" s="1558"/>
      <c r="F751" s="1559">
        <f t="shared" si="22"/>
        <v>0</v>
      </c>
      <c r="G751" s="1560" t="e">
        <f t="shared" si="23"/>
        <v>#DIV/0!</v>
      </c>
      <c r="H751" s="2294">
        <v>1</v>
      </c>
      <c r="I751" s="2296" t="s">
        <v>5703</v>
      </c>
      <c r="J751" s="1550"/>
    </row>
    <row r="752" spans="1:10" ht="16.5">
      <c r="A752" s="2298" t="s">
        <v>4924</v>
      </c>
      <c r="B752" s="2299" t="s">
        <v>2062</v>
      </c>
      <c r="C752" s="1586" t="s">
        <v>3861</v>
      </c>
      <c r="D752" s="1558"/>
      <c r="E752" s="1558"/>
      <c r="F752" s="1559">
        <f t="shared" si="22"/>
        <v>0</v>
      </c>
      <c r="G752" s="1560" t="e">
        <f t="shared" si="23"/>
        <v>#DIV/0!</v>
      </c>
      <c r="H752" s="2294">
        <v>0.36220000000000002</v>
      </c>
      <c r="I752" s="2296"/>
      <c r="J752" s="1550"/>
    </row>
    <row r="753" spans="1:10" ht="16.5">
      <c r="A753" s="2298" t="s">
        <v>4925</v>
      </c>
      <c r="B753" s="2299" t="s">
        <v>6232</v>
      </c>
      <c r="C753" s="1586" t="s">
        <v>3861</v>
      </c>
      <c r="D753" s="1558"/>
      <c r="E753" s="1558"/>
      <c r="F753" s="1559">
        <f t="shared" si="22"/>
        <v>0</v>
      </c>
      <c r="G753" s="1560" t="e">
        <f t="shared" si="23"/>
        <v>#DIV/0!</v>
      </c>
      <c r="H753" s="2294">
        <v>0.35709999999999997</v>
      </c>
      <c r="I753" s="2296"/>
    </row>
    <row r="754" spans="1:10" ht="16.5">
      <c r="A754" s="2298" t="s">
        <v>4926</v>
      </c>
      <c r="B754" s="2299" t="s">
        <v>6233</v>
      </c>
      <c r="C754" s="1586" t="s">
        <v>3861</v>
      </c>
      <c r="D754" s="1558"/>
      <c r="E754" s="1558"/>
      <c r="F754" s="1559">
        <f t="shared" si="22"/>
        <v>0</v>
      </c>
      <c r="G754" s="1560" t="e">
        <f t="shared" si="23"/>
        <v>#DIV/0!</v>
      </c>
      <c r="H754" s="2294">
        <v>0.80089999999999995</v>
      </c>
      <c r="I754" s="2296"/>
      <c r="J754" s="1550"/>
    </row>
    <row r="755" spans="1:10" ht="16.5">
      <c r="A755" s="2298" t="s">
        <v>4927</v>
      </c>
      <c r="B755" s="2299" t="s">
        <v>6234</v>
      </c>
      <c r="C755" s="1586" t="s">
        <v>3861</v>
      </c>
      <c r="D755" s="1558"/>
      <c r="E755" s="1558"/>
      <c r="F755" s="1559">
        <f t="shared" si="22"/>
        <v>0</v>
      </c>
      <c r="G755" s="1560" t="e">
        <f t="shared" si="23"/>
        <v>#DIV/0!</v>
      </c>
      <c r="H755" s="2294">
        <v>0.67610000000000003</v>
      </c>
      <c r="I755" s="2296"/>
      <c r="J755" s="1550"/>
    </row>
    <row r="756" spans="1:10" ht="16.5">
      <c r="A756" s="2298" t="s">
        <v>4928</v>
      </c>
      <c r="B756" s="2299" t="s">
        <v>6235</v>
      </c>
      <c r="C756" s="1586" t="s">
        <v>3861</v>
      </c>
      <c r="D756" s="1558"/>
      <c r="E756" s="1558"/>
      <c r="F756" s="1559">
        <f t="shared" si="22"/>
        <v>0</v>
      </c>
      <c r="G756" s="1560" t="e">
        <f t="shared" si="23"/>
        <v>#DIV/0!</v>
      </c>
      <c r="H756" s="2294">
        <v>0.67710000000000004</v>
      </c>
      <c r="I756" s="2296"/>
      <c r="J756" s="1550"/>
    </row>
    <row r="757" spans="1:10" ht="16.5">
      <c r="A757" s="2298" t="s">
        <v>4929</v>
      </c>
      <c r="B757" s="2299" t="s">
        <v>6236</v>
      </c>
      <c r="C757" s="1586" t="s">
        <v>3861</v>
      </c>
      <c r="D757" s="1558"/>
      <c r="E757" s="1558"/>
      <c r="F757" s="1559">
        <f t="shared" si="22"/>
        <v>0</v>
      </c>
      <c r="G757" s="1560" t="e">
        <f t="shared" si="23"/>
        <v>#DIV/0!</v>
      </c>
      <c r="H757" s="2294">
        <v>0.63400000000000001</v>
      </c>
      <c r="I757" s="2296"/>
      <c r="J757" s="1550"/>
    </row>
    <row r="758" spans="1:10" ht="16.5">
      <c r="A758" s="2298" t="s">
        <v>4930</v>
      </c>
      <c r="B758" s="2299" t="s">
        <v>6237</v>
      </c>
      <c r="C758" s="1586" t="s">
        <v>3861</v>
      </c>
      <c r="D758" s="1558"/>
      <c r="E758" s="1558"/>
      <c r="F758" s="1559">
        <f t="shared" si="22"/>
        <v>0</v>
      </c>
      <c r="G758" s="1560" t="e">
        <f t="shared" si="23"/>
        <v>#DIV/0!</v>
      </c>
      <c r="H758" s="2294">
        <v>1.1341000000000001</v>
      </c>
      <c r="I758" s="2296"/>
      <c r="J758" s="1550"/>
    </row>
    <row r="759" spans="1:10" ht="16.5">
      <c r="A759" s="2298" t="s">
        <v>4931</v>
      </c>
      <c r="B759" s="2299" t="s">
        <v>6238</v>
      </c>
      <c r="C759" s="1586" t="s">
        <v>3861</v>
      </c>
      <c r="D759" s="1558"/>
      <c r="E759" s="1558"/>
      <c r="F759" s="1559">
        <f t="shared" si="22"/>
        <v>0</v>
      </c>
      <c r="G759" s="1560" t="e">
        <f t="shared" si="23"/>
        <v>#DIV/0!</v>
      </c>
      <c r="H759" s="2294">
        <v>0.54959999999999998</v>
      </c>
      <c r="I759" s="2296"/>
      <c r="J759" s="1550"/>
    </row>
    <row r="760" spans="1:10" ht="16.5">
      <c r="A760" s="2298" t="s">
        <v>4932</v>
      </c>
      <c r="B760" s="2299" t="s">
        <v>6239</v>
      </c>
      <c r="C760" s="1586" t="s">
        <v>3861</v>
      </c>
      <c r="D760" s="1558"/>
      <c r="E760" s="1558"/>
      <c r="F760" s="1559">
        <f t="shared" si="22"/>
        <v>0</v>
      </c>
      <c r="G760" s="1560" t="e">
        <f t="shared" si="23"/>
        <v>#DIV/0!</v>
      </c>
      <c r="H760" s="2294">
        <v>0.29470000000000002</v>
      </c>
      <c r="I760" s="2296"/>
      <c r="J760" s="1550"/>
    </row>
    <row r="761" spans="1:10" ht="16.5">
      <c r="A761" s="2298" t="s">
        <v>4933</v>
      </c>
      <c r="B761" s="2299" t="s">
        <v>6240</v>
      </c>
      <c r="C761" s="1586" t="s">
        <v>3861</v>
      </c>
      <c r="D761" s="1558"/>
      <c r="E761" s="1558"/>
      <c r="F761" s="1559">
        <f t="shared" si="22"/>
        <v>0</v>
      </c>
      <c r="G761" s="1560" t="e">
        <f t="shared" si="23"/>
        <v>#DIV/0!</v>
      </c>
      <c r="H761" s="2294">
        <v>8.8099999999999998E-2</v>
      </c>
      <c r="I761" s="2296"/>
      <c r="J761" s="1550"/>
    </row>
    <row r="762" spans="1:10" ht="16.5">
      <c r="A762" s="2298" t="s">
        <v>4934</v>
      </c>
      <c r="B762" s="2299" t="s">
        <v>6241</v>
      </c>
      <c r="C762" s="1586" t="s">
        <v>3861</v>
      </c>
      <c r="D762" s="1558"/>
      <c r="E762" s="1558"/>
      <c r="F762" s="1559">
        <f t="shared" si="22"/>
        <v>0</v>
      </c>
      <c r="G762" s="1560" t="e">
        <f t="shared" si="23"/>
        <v>#DIV/0!</v>
      </c>
      <c r="H762" s="2294">
        <v>0.20880000000000001</v>
      </c>
      <c r="I762" s="2296"/>
      <c r="J762" s="1550"/>
    </row>
    <row r="763" spans="1:10" ht="16.5">
      <c r="A763" s="2298" t="s">
        <v>4935</v>
      </c>
      <c r="B763" s="2299" t="s">
        <v>6242</v>
      </c>
      <c r="C763" s="1586" t="s">
        <v>3861</v>
      </c>
      <c r="D763" s="1558"/>
      <c r="E763" s="1558"/>
      <c r="F763" s="1559">
        <f t="shared" si="22"/>
        <v>0</v>
      </c>
      <c r="G763" s="1560" t="e">
        <f t="shared" si="23"/>
        <v>#DIV/0!</v>
      </c>
      <c r="H763" s="2294">
        <v>0.45639999999999997</v>
      </c>
      <c r="I763" s="2296"/>
      <c r="J763" s="1550"/>
    </row>
    <row r="764" spans="1:10" ht="16.5">
      <c r="A764" s="2298" t="s">
        <v>4936</v>
      </c>
      <c r="B764" s="2299" t="s">
        <v>6243</v>
      </c>
      <c r="C764" s="1586" t="s">
        <v>3861</v>
      </c>
      <c r="D764" s="1558"/>
      <c r="E764" s="1558"/>
      <c r="F764" s="1559">
        <f t="shared" si="22"/>
        <v>0</v>
      </c>
      <c r="G764" s="1560" t="e">
        <f t="shared" si="23"/>
        <v>#DIV/0!</v>
      </c>
      <c r="H764" s="2294">
        <v>0.4345</v>
      </c>
      <c r="I764" s="2296"/>
      <c r="J764" s="1550"/>
    </row>
    <row r="765" spans="1:10" ht="16.5">
      <c r="A765" s="2298" t="s">
        <v>4937</v>
      </c>
      <c r="B765" s="2299" t="s">
        <v>6244</v>
      </c>
      <c r="C765" s="1586" t="s">
        <v>3861</v>
      </c>
      <c r="D765" s="1558"/>
      <c r="E765" s="1558"/>
      <c r="F765" s="1559">
        <f t="shared" si="22"/>
        <v>0</v>
      </c>
      <c r="G765" s="1560" t="e">
        <f t="shared" si="23"/>
        <v>#DIV/0!</v>
      </c>
      <c r="H765" s="2294">
        <v>0.29370000000000002</v>
      </c>
      <c r="I765" s="2296"/>
      <c r="J765" s="1550"/>
    </row>
    <row r="766" spans="1:10" ht="16.5">
      <c r="A766" s="2298" t="s">
        <v>4938</v>
      </c>
      <c r="B766" s="2299" t="s">
        <v>6245</v>
      </c>
      <c r="C766" s="1586" t="s">
        <v>3861</v>
      </c>
      <c r="D766" s="1558"/>
      <c r="E766" s="1558"/>
      <c r="F766" s="1559">
        <f t="shared" si="22"/>
        <v>0</v>
      </c>
      <c r="G766" s="1560" t="e">
        <f t="shared" si="23"/>
        <v>#DIV/0!</v>
      </c>
      <c r="H766" s="2294">
        <v>0.4274</v>
      </c>
      <c r="I766" s="2296"/>
      <c r="J766" s="1550"/>
    </row>
    <row r="767" spans="1:10" ht="16.5">
      <c r="A767" s="2298" t="s">
        <v>4939</v>
      </c>
      <c r="B767" s="2299" t="s">
        <v>6246</v>
      </c>
      <c r="C767" s="1586" t="s">
        <v>3861</v>
      </c>
      <c r="D767" s="1558"/>
      <c r="E767" s="1558"/>
      <c r="F767" s="1559">
        <f t="shared" si="22"/>
        <v>0</v>
      </c>
      <c r="G767" s="1560" t="e">
        <f t="shared" si="23"/>
        <v>#DIV/0!</v>
      </c>
      <c r="H767" s="2294">
        <v>0.25979999999999998</v>
      </c>
      <c r="I767" s="2296"/>
      <c r="J767" s="1550"/>
    </row>
    <row r="768" spans="1:10" ht="16.5">
      <c r="A768" s="2298" t="s">
        <v>4940</v>
      </c>
      <c r="B768" s="2299" t="s">
        <v>6247</v>
      </c>
      <c r="C768" s="1586" t="s">
        <v>3861</v>
      </c>
      <c r="D768" s="1558"/>
      <c r="E768" s="1558"/>
      <c r="F768" s="1559">
        <f t="shared" si="22"/>
        <v>0</v>
      </c>
      <c r="G768" s="1560" t="e">
        <f t="shared" si="23"/>
        <v>#DIV/0!</v>
      </c>
      <c r="H768" s="2294">
        <v>0.30259999999999998</v>
      </c>
      <c r="I768" s="2296"/>
      <c r="J768" s="1550"/>
    </row>
    <row r="769" spans="1:10" ht="16.5">
      <c r="A769" s="2298" t="s">
        <v>4941</v>
      </c>
      <c r="B769" s="2299" t="s">
        <v>6248</v>
      </c>
      <c r="C769" s="1586" t="s">
        <v>3861</v>
      </c>
      <c r="D769" s="1558"/>
      <c r="E769" s="1558"/>
      <c r="F769" s="1559">
        <f t="shared" si="22"/>
        <v>0</v>
      </c>
      <c r="G769" s="1560" t="e">
        <f t="shared" si="23"/>
        <v>#DIV/0!</v>
      </c>
      <c r="H769" s="2294">
        <v>0.59060000000000001</v>
      </c>
      <c r="I769" s="2296"/>
      <c r="J769" s="1550"/>
    </row>
    <row r="770" spans="1:10" ht="16.5">
      <c r="A770" s="2298" t="s">
        <v>4942</v>
      </c>
      <c r="B770" s="2299" t="s">
        <v>6249</v>
      </c>
      <c r="C770" s="1586" t="s">
        <v>3861</v>
      </c>
      <c r="D770" s="1558"/>
      <c r="E770" s="1558"/>
      <c r="F770" s="1559">
        <f t="shared" si="22"/>
        <v>0</v>
      </c>
      <c r="G770" s="1560" t="e">
        <f t="shared" si="23"/>
        <v>#DIV/0!</v>
      </c>
      <c r="H770" s="2294">
        <v>1.41E-2</v>
      </c>
      <c r="I770" s="2296"/>
      <c r="J770" s="1550"/>
    </row>
    <row r="771" spans="1:10" ht="16.5">
      <c r="A771" s="2298" t="s">
        <v>4943</v>
      </c>
      <c r="B771" s="2299" t="s">
        <v>6250</v>
      </c>
      <c r="C771" s="1586" t="s">
        <v>3861</v>
      </c>
      <c r="D771" s="1558"/>
      <c r="E771" s="1558"/>
      <c r="F771" s="1559">
        <f t="shared" si="22"/>
        <v>0</v>
      </c>
      <c r="G771" s="1560" t="e">
        <f t="shared" si="23"/>
        <v>#DIV/0!</v>
      </c>
      <c r="H771" s="2294">
        <v>0.32040000000000002</v>
      </c>
      <c r="I771" s="2296"/>
      <c r="J771" s="1550"/>
    </row>
    <row r="772" spans="1:10" ht="16.5">
      <c r="A772" s="2298" t="s">
        <v>4944</v>
      </c>
      <c r="B772" s="2299" t="s">
        <v>6251</v>
      </c>
      <c r="C772" s="1586" t="s">
        <v>3861</v>
      </c>
      <c r="D772" s="1558"/>
      <c r="E772" s="1558"/>
      <c r="F772" s="1559">
        <f t="shared" si="22"/>
        <v>0</v>
      </c>
      <c r="G772" s="1560" t="e">
        <f t="shared" si="23"/>
        <v>#DIV/0!</v>
      </c>
      <c r="H772" s="2294">
        <v>0.2311</v>
      </c>
      <c r="I772" s="2296"/>
      <c r="J772" s="1550"/>
    </row>
    <row r="773" spans="1:10" ht="16.5">
      <c r="A773" s="2298" t="s">
        <v>4945</v>
      </c>
      <c r="B773" s="2299" t="s">
        <v>6252</v>
      </c>
      <c r="C773" s="1586" t="s">
        <v>3861</v>
      </c>
      <c r="D773" s="1558"/>
      <c r="E773" s="1558"/>
      <c r="F773" s="1559">
        <f t="shared" ref="F773:F836" si="24">D773*E773</f>
        <v>0</v>
      </c>
      <c r="G773" s="1560" t="e">
        <f t="shared" ref="G773:G836" si="25">F773/$F$1214</f>
        <v>#DIV/0!</v>
      </c>
      <c r="H773" s="2294">
        <v>1.2951999999999999</v>
      </c>
      <c r="I773" s="2296"/>
      <c r="J773" s="1550"/>
    </row>
    <row r="774" spans="1:10" ht="16.5">
      <c r="A774" s="2298" t="s">
        <v>4946</v>
      </c>
      <c r="B774" s="2299" t="s">
        <v>6253</v>
      </c>
      <c r="C774" s="1586" t="s">
        <v>3861</v>
      </c>
      <c r="D774" s="1558"/>
      <c r="E774" s="1558"/>
      <c r="F774" s="1559">
        <f t="shared" si="24"/>
        <v>0</v>
      </c>
      <c r="G774" s="1560" t="e">
        <f t="shared" si="25"/>
        <v>#DIV/0!</v>
      </c>
      <c r="H774" s="2294">
        <v>0.66180000000000005</v>
      </c>
      <c r="I774" s="2296"/>
      <c r="J774" s="1550"/>
    </row>
    <row r="775" spans="1:10" ht="16.5">
      <c r="A775" s="2298" t="s">
        <v>4947</v>
      </c>
      <c r="B775" s="2299" t="s">
        <v>6254</v>
      </c>
      <c r="C775" s="1586" t="s">
        <v>3861</v>
      </c>
      <c r="D775" s="1558"/>
      <c r="E775" s="1558"/>
      <c r="F775" s="1559">
        <f t="shared" si="24"/>
        <v>0</v>
      </c>
      <c r="G775" s="1560" t="e">
        <f t="shared" si="25"/>
        <v>#DIV/0!</v>
      </c>
      <c r="H775" s="2294">
        <v>0.46889999999999998</v>
      </c>
      <c r="I775" s="2296"/>
      <c r="J775" s="1550"/>
    </row>
    <row r="776" spans="1:10" ht="16.5">
      <c r="A776" s="2298" t="s">
        <v>4948</v>
      </c>
      <c r="B776" s="2299" t="s">
        <v>6255</v>
      </c>
      <c r="C776" s="1586" t="s">
        <v>3861</v>
      </c>
      <c r="D776" s="1558"/>
      <c r="E776" s="1558"/>
      <c r="F776" s="1559">
        <f t="shared" si="24"/>
        <v>0</v>
      </c>
      <c r="G776" s="1560" t="e">
        <f t="shared" si="25"/>
        <v>#DIV/0!</v>
      </c>
      <c r="H776" s="2294">
        <v>5.0700000000000002E-2</v>
      </c>
      <c r="I776" s="2296"/>
      <c r="J776" s="1550"/>
    </row>
    <row r="777" spans="1:10" ht="16.5">
      <c r="A777" s="2298" t="s">
        <v>4949</v>
      </c>
      <c r="B777" s="2299" t="s">
        <v>6256</v>
      </c>
      <c r="C777" s="1586" t="s">
        <v>3861</v>
      </c>
      <c r="D777" s="1558"/>
      <c r="E777" s="1558"/>
      <c r="F777" s="1559">
        <f t="shared" si="24"/>
        <v>0</v>
      </c>
      <c r="G777" s="1560" t="e">
        <f t="shared" si="25"/>
        <v>#DIV/0!</v>
      </c>
      <c r="H777" s="2294">
        <v>0.45590000000000003</v>
      </c>
      <c r="I777" s="2296"/>
      <c r="J777" s="1550"/>
    </row>
    <row r="778" spans="1:10" ht="16.5">
      <c r="A778" s="2298" t="s">
        <v>4950</v>
      </c>
      <c r="B778" s="2299" t="s">
        <v>6257</v>
      </c>
      <c r="C778" s="1586" t="s">
        <v>3861</v>
      </c>
      <c r="D778" s="1558"/>
      <c r="E778" s="1558"/>
      <c r="F778" s="1559">
        <f t="shared" si="24"/>
        <v>0</v>
      </c>
      <c r="G778" s="1560" t="e">
        <f t="shared" si="25"/>
        <v>#DIV/0!</v>
      </c>
      <c r="H778" s="2294">
        <v>0.37940000000000002</v>
      </c>
      <c r="I778" s="2296"/>
      <c r="J778" s="1550"/>
    </row>
    <row r="779" spans="1:10" ht="16.5">
      <c r="A779" s="2298" t="s">
        <v>4951</v>
      </c>
      <c r="B779" s="2299" t="s">
        <v>6258</v>
      </c>
      <c r="C779" s="1586" t="s">
        <v>3861</v>
      </c>
      <c r="D779" s="1558"/>
      <c r="E779" s="1558"/>
      <c r="F779" s="1559">
        <f t="shared" si="24"/>
        <v>0</v>
      </c>
      <c r="G779" s="1560" t="e">
        <f t="shared" si="25"/>
        <v>#DIV/0!</v>
      </c>
      <c r="H779" s="2294">
        <v>0.25180000000000002</v>
      </c>
      <c r="I779" s="2296"/>
      <c r="J779" s="1550"/>
    </row>
    <row r="780" spans="1:10" ht="16.5">
      <c r="A780" s="2298" t="s">
        <v>4952</v>
      </c>
      <c r="B780" s="2299" t="s">
        <v>6259</v>
      </c>
      <c r="C780" s="1586" t="s">
        <v>3861</v>
      </c>
      <c r="D780" s="1558"/>
      <c r="E780" s="1558"/>
      <c r="F780" s="1559">
        <f t="shared" si="24"/>
        <v>0</v>
      </c>
      <c r="G780" s="1560" t="e">
        <f t="shared" si="25"/>
        <v>#DIV/0!</v>
      </c>
      <c r="H780" s="2294">
        <v>0.53159999999999996</v>
      </c>
      <c r="I780" s="2296"/>
      <c r="J780" s="1550"/>
    </row>
    <row r="781" spans="1:10" ht="16.5">
      <c r="A781" s="2298" t="s">
        <v>4953</v>
      </c>
      <c r="B781" s="2299" t="s">
        <v>6260</v>
      </c>
      <c r="C781" s="1586" t="s">
        <v>3861</v>
      </c>
      <c r="D781" s="1558"/>
      <c r="E781" s="1558"/>
      <c r="F781" s="1559">
        <f t="shared" si="24"/>
        <v>0</v>
      </c>
      <c r="G781" s="1560" t="e">
        <f t="shared" si="25"/>
        <v>#DIV/0!</v>
      </c>
      <c r="H781" s="2294">
        <v>0.37469999999999998</v>
      </c>
      <c r="I781" s="2296"/>
      <c r="J781" s="1550"/>
    </row>
    <row r="782" spans="1:10" ht="16.5">
      <c r="A782" s="2298" t="s">
        <v>4954</v>
      </c>
      <c r="B782" s="2299" t="s">
        <v>6261</v>
      </c>
      <c r="C782" s="1586" t="s">
        <v>3861</v>
      </c>
      <c r="D782" s="1558"/>
      <c r="E782" s="1558"/>
      <c r="F782" s="1559">
        <f t="shared" si="24"/>
        <v>0</v>
      </c>
      <c r="G782" s="1560" t="e">
        <f t="shared" si="25"/>
        <v>#DIV/0!</v>
      </c>
      <c r="H782" s="2294">
        <v>0.16020000000000001</v>
      </c>
      <c r="I782" s="2296"/>
      <c r="J782" s="1550"/>
    </row>
    <row r="783" spans="1:10" ht="16.5">
      <c r="A783" s="2298" t="s">
        <v>4955</v>
      </c>
      <c r="B783" s="2299" t="s">
        <v>6262</v>
      </c>
      <c r="C783" s="1586" t="s">
        <v>3861</v>
      </c>
      <c r="D783" s="1558"/>
      <c r="E783" s="1558"/>
      <c r="F783" s="1559">
        <f t="shared" si="24"/>
        <v>0</v>
      </c>
      <c r="G783" s="1560" t="e">
        <f t="shared" si="25"/>
        <v>#DIV/0!</v>
      </c>
      <c r="H783" s="2294">
        <v>0.9385</v>
      </c>
      <c r="I783" s="2296"/>
      <c r="J783" s="1550"/>
    </row>
    <row r="784" spans="1:10" ht="16.5">
      <c r="A784" s="2298" t="s">
        <v>4956</v>
      </c>
      <c r="B784" s="2299" t="s">
        <v>6263</v>
      </c>
      <c r="C784" s="1586" t="s">
        <v>3861</v>
      </c>
      <c r="D784" s="1558"/>
      <c r="E784" s="1558"/>
      <c r="F784" s="1559">
        <f t="shared" si="24"/>
        <v>0</v>
      </c>
      <c r="G784" s="1560" t="e">
        <f t="shared" si="25"/>
        <v>#DIV/0!</v>
      </c>
      <c r="H784" s="2294">
        <v>2.6700000000000002E-2</v>
      </c>
      <c r="I784" s="2296"/>
      <c r="J784" s="1550"/>
    </row>
    <row r="785" spans="1:10" ht="16.5">
      <c r="A785" s="2298" t="s">
        <v>4957</v>
      </c>
      <c r="B785" s="2299" t="s">
        <v>6264</v>
      </c>
      <c r="C785" s="1586" t="s">
        <v>3861</v>
      </c>
      <c r="D785" s="1558"/>
      <c r="E785" s="1558"/>
      <c r="F785" s="1559">
        <f t="shared" si="24"/>
        <v>0</v>
      </c>
      <c r="G785" s="1560" t="e">
        <f t="shared" si="25"/>
        <v>#DIV/0!</v>
      </c>
      <c r="H785" s="2294">
        <v>1.1597999999999999</v>
      </c>
      <c r="I785" s="2296"/>
      <c r="J785" s="1550"/>
    </row>
    <row r="786" spans="1:10" ht="16.5">
      <c r="A786" s="2298" t="s">
        <v>4958</v>
      </c>
      <c r="B786" s="2299" t="s">
        <v>6265</v>
      </c>
      <c r="C786" s="1586" t="s">
        <v>3861</v>
      </c>
      <c r="D786" s="1558"/>
      <c r="E786" s="1558"/>
      <c r="F786" s="1559">
        <f t="shared" si="24"/>
        <v>0</v>
      </c>
      <c r="G786" s="1560" t="e">
        <f t="shared" si="25"/>
        <v>#DIV/0!</v>
      </c>
      <c r="H786" s="2294">
        <v>0.19489999999999999</v>
      </c>
      <c r="I786" s="2296"/>
      <c r="J786" s="1550"/>
    </row>
    <row r="787" spans="1:10" ht="16.5">
      <c r="A787" s="2298" t="s">
        <v>4959</v>
      </c>
      <c r="B787" s="2299" t="s">
        <v>6266</v>
      </c>
      <c r="C787" s="1586" t="s">
        <v>3861</v>
      </c>
      <c r="D787" s="1558"/>
      <c r="E787" s="1558"/>
      <c r="F787" s="1559">
        <f t="shared" si="24"/>
        <v>0</v>
      </c>
      <c r="G787" s="1560" t="e">
        <f t="shared" si="25"/>
        <v>#DIV/0!</v>
      </c>
      <c r="H787" s="2294">
        <v>-0.8216</v>
      </c>
      <c r="I787" s="2296"/>
      <c r="J787" s="1550"/>
    </row>
    <row r="788" spans="1:10" ht="16.5">
      <c r="A788" s="2298" t="s">
        <v>4960</v>
      </c>
      <c r="B788" s="2299" t="s">
        <v>6267</v>
      </c>
      <c r="C788" s="1586" t="s">
        <v>3861</v>
      </c>
      <c r="D788" s="1558"/>
      <c r="E788" s="1558"/>
      <c r="F788" s="1559">
        <f t="shared" si="24"/>
        <v>0</v>
      </c>
      <c r="G788" s="1560" t="e">
        <f t="shared" si="25"/>
        <v>#DIV/0!</v>
      </c>
      <c r="H788" s="2294">
        <v>0.1183</v>
      </c>
      <c r="I788" s="2296"/>
      <c r="J788" s="1550"/>
    </row>
    <row r="789" spans="1:10" ht="16.5">
      <c r="A789" s="2298" t="s">
        <v>4961</v>
      </c>
      <c r="B789" s="2299" t="s">
        <v>6268</v>
      </c>
      <c r="C789" s="1586" t="s">
        <v>3861</v>
      </c>
      <c r="D789" s="1558"/>
      <c r="E789" s="1558"/>
      <c r="F789" s="1559">
        <f t="shared" si="24"/>
        <v>0</v>
      </c>
      <c r="G789" s="1560" t="e">
        <f t="shared" si="25"/>
        <v>#DIV/0!</v>
      </c>
      <c r="H789" s="2294">
        <v>0.25390000000000001</v>
      </c>
      <c r="I789" s="2296"/>
      <c r="J789" s="1550"/>
    </row>
    <row r="790" spans="1:10" ht="16.5">
      <c r="A790" s="2298" t="s">
        <v>4962</v>
      </c>
      <c r="B790" s="2299" t="s">
        <v>6269</v>
      </c>
      <c r="C790" s="1586" t="s">
        <v>3861</v>
      </c>
      <c r="D790" s="1558"/>
      <c r="E790" s="1558"/>
      <c r="F790" s="1559">
        <f t="shared" si="24"/>
        <v>0</v>
      </c>
      <c r="G790" s="1560" t="e">
        <f t="shared" si="25"/>
        <v>#DIV/0!</v>
      </c>
      <c r="H790" s="2294">
        <v>0.4425</v>
      </c>
      <c r="I790" s="2296"/>
      <c r="J790" s="1550"/>
    </row>
    <row r="791" spans="1:10" ht="16.5">
      <c r="A791" s="2298" t="s">
        <v>4963</v>
      </c>
      <c r="B791" s="2299" t="s">
        <v>6270</v>
      </c>
      <c r="C791" s="1586" t="s">
        <v>3861</v>
      </c>
      <c r="D791" s="1558"/>
      <c r="E791" s="1558"/>
      <c r="F791" s="1559">
        <f t="shared" si="24"/>
        <v>0</v>
      </c>
      <c r="G791" s="1560" t="e">
        <f t="shared" si="25"/>
        <v>#DIV/0!</v>
      </c>
      <c r="H791" s="2294">
        <v>0.73129999999999995</v>
      </c>
      <c r="I791" s="2296"/>
      <c r="J791" s="1550"/>
    </row>
    <row r="792" spans="1:10" ht="16.5">
      <c r="A792" s="2298" t="s">
        <v>4964</v>
      </c>
      <c r="B792" s="2299" t="s">
        <v>6271</v>
      </c>
      <c r="C792" s="1586" t="s">
        <v>3861</v>
      </c>
      <c r="D792" s="1558"/>
      <c r="E792" s="1558"/>
      <c r="F792" s="1559">
        <f t="shared" si="24"/>
        <v>0</v>
      </c>
      <c r="G792" s="1560" t="e">
        <f t="shared" si="25"/>
        <v>#DIV/0!</v>
      </c>
      <c r="H792" s="2294">
        <v>0.48520000000000002</v>
      </c>
      <c r="I792" s="2296"/>
      <c r="J792" s="1550"/>
    </row>
    <row r="793" spans="1:10" ht="16.5">
      <c r="A793" s="2298" t="s">
        <v>4965</v>
      </c>
      <c r="B793" s="2299" t="s">
        <v>6272</v>
      </c>
      <c r="C793" s="1586" t="s">
        <v>3861</v>
      </c>
      <c r="D793" s="1558"/>
      <c r="E793" s="1558"/>
      <c r="F793" s="1559">
        <f t="shared" si="24"/>
        <v>0</v>
      </c>
      <c r="G793" s="1560" t="e">
        <f t="shared" si="25"/>
        <v>#DIV/0!</v>
      </c>
      <c r="H793" s="2294">
        <v>1.3123</v>
      </c>
      <c r="I793" s="2296"/>
      <c r="J793" s="1550"/>
    </row>
    <row r="794" spans="1:10" ht="16.5">
      <c r="A794" s="2298" t="s">
        <v>4966</v>
      </c>
      <c r="B794" s="2299" t="s">
        <v>6273</v>
      </c>
      <c r="C794" s="1586" t="s">
        <v>3861</v>
      </c>
      <c r="D794" s="1558"/>
      <c r="E794" s="1558"/>
      <c r="F794" s="1559">
        <f t="shared" si="24"/>
        <v>0</v>
      </c>
      <c r="G794" s="1560" t="e">
        <f t="shared" si="25"/>
        <v>#DIV/0!</v>
      </c>
      <c r="H794" s="2294">
        <v>1.2031000000000001</v>
      </c>
      <c r="I794" s="2296"/>
      <c r="J794" s="1550"/>
    </row>
    <row r="795" spans="1:10" ht="16.5">
      <c r="A795" s="2298" t="s">
        <v>4967</v>
      </c>
      <c r="B795" s="2299" t="s">
        <v>6274</v>
      </c>
      <c r="C795" s="1586" t="s">
        <v>3861</v>
      </c>
      <c r="D795" s="1558"/>
      <c r="E795" s="1558"/>
      <c r="F795" s="1559">
        <f t="shared" si="24"/>
        <v>0</v>
      </c>
      <c r="G795" s="1560" t="e">
        <f t="shared" si="25"/>
        <v>#DIV/0!</v>
      </c>
      <c r="H795" s="2294">
        <v>0.85319999999999996</v>
      </c>
      <c r="I795" s="2296"/>
      <c r="J795" s="1550"/>
    </row>
    <row r="796" spans="1:10" ht="16.5">
      <c r="A796" s="2298" t="s">
        <v>4968</v>
      </c>
      <c r="B796" s="2299" t="s">
        <v>6275</v>
      </c>
      <c r="C796" s="1586" t="s">
        <v>3861</v>
      </c>
      <c r="D796" s="1558"/>
      <c r="E796" s="1558"/>
      <c r="F796" s="1559">
        <f t="shared" si="24"/>
        <v>0</v>
      </c>
      <c r="G796" s="1560" t="e">
        <f t="shared" si="25"/>
        <v>#DIV/0!</v>
      </c>
      <c r="H796" s="2294">
        <v>0.34050000000000002</v>
      </c>
      <c r="I796" s="2296"/>
      <c r="J796" s="1550"/>
    </row>
    <row r="797" spans="1:10" ht="16.5">
      <c r="A797" s="2298" t="s">
        <v>4969</v>
      </c>
      <c r="B797" s="2299" t="s">
        <v>6276</v>
      </c>
      <c r="C797" s="1586" t="s">
        <v>3861</v>
      </c>
      <c r="D797" s="1558"/>
      <c r="E797" s="1558"/>
      <c r="F797" s="1559">
        <f t="shared" si="24"/>
        <v>0</v>
      </c>
      <c r="G797" s="1560" t="e">
        <f t="shared" si="25"/>
        <v>#DIV/0!</v>
      </c>
      <c r="H797" s="2294">
        <v>-0.30180000000000001</v>
      </c>
      <c r="I797" s="2296"/>
      <c r="J797" s="1550"/>
    </row>
    <row r="798" spans="1:10" ht="16.5">
      <c r="A798" s="2298" t="s">
        <v>4970</v>
      </c>
      <c r="B798" s="2299" t="s">
        <v>6277</v>
      </c>
      <c r="C798" s="1586" t="s">
        <v>3861</v>
      </c>
      <c r="D798" s="1558"/>
      <c r="E798" s="1558"/>
      <c r="F798" s="1559">
        <f t="shared" si="24"/>
        <v>0</v>
      </c>
      <c r="G798" s="1560" t="e">
        <f t="shared" si="25"/>
        <v>#DIV/0!</v>
      </c>
      <c r="H798" s="2294">
        <v>0.94899999999999995</v>
      </c>
      <c r="I798" s="2296"/>
      <c r="J798" s="1550"/>
    </row>
    <row r="799" spans="1:10" ht="16.5">
      <c r="A799" s="2298" t="s">
        <v>4971</v>
      </c>
      <c r="B799" s="2299" t="s">
        <v>6278</v>
      </c>
      <c r="C799" s="1586" t="s">
        <v>3861</v>
      </c>
      <c r="D799" s="1558"/>
      <c r="E799" s="1558"/>
      <c r="F799" s="1559">
        <f t="shared" si="24"/>
        <v>0</v>
      </c>
      <c r="G799" s="1560" t="e">
        <f t="shared" si="25"/>
        <v>#DIV/0!</v>
      </c>
      <c r="H799" s="2294">
        <v>0.8831</v>
      </c>
      <c r="I799" s="2296"/>
      <c r="J799" s="1550"/>
    </row>
    <row r="800" spans="1:10" ht="16.5">
      <c r="A800" s="2298" t="s">
        <v>4972</v>
      </c>
      <c r="B800" s="2299" t="s">
        <v>6279</v>
      </c>
      <c r="C800" s="1586" t="s">
        <v>3861</v>
      </c>
      <c r="D800" s="1558"/>
      <c r="E800" s="1558"/>
      <c r="F800" s="1559">
        <f t="shared" si="24"/>
        <v>0</v>
      </c>
      <c r="G800" s="1560" t="e">
        <f t="shared" si="25"/>
        <v>#DIV/0!</v>
      </c>
      <c r="H800" s="2294">
        <v>0.70150000000000001</v>
      </c>
      <c r="I800" s="2296"/>
      <c r="J800" s="1550"/>
    </row>
    <row r="801" spans="1:10" ht="16.5">
      <c r="A801" s="2298" t="s">
        <v>4973</v>
      </c>
      <c r="B801" s="2299" t="s">
        <v>6280</v>
      </c>
      <c r="C801" s="1586" t="s">
        <v>3861</v>
      </c>
      <c r="D801" s="1558"/>
      <c r="E801" s="1558"/>
      <c r="F801" s="1559">
        <f t="shared" si="24"/>
        <v>0</v>
      </c>
      <c r="G801" s="1560" t="e">
        <f t="shared" si="25"/>
        <v>#DIV/0!</v>
      </c>
      <c r="H801" s="2294">
        <v>0.86329999999999996</v>
      </c>
      <c r="I801" s="2296"/>
      <c r="J801" s="1550"/>
    </row>
    <row r="802" spans="1:10" ht="16.5">
      <c r="A802" s="2298" t="s">
        <v>4974</v>
      </c>
      <c r="B802" s="2299" t="s">
        <v>6281</v>
      </c>
      <c r="C802" s="1586" t="s">
        <v>3861</v>
      </c>
      <c r="D802" s="1558"/>
      <c r="E802" s="1558"/>
      <c r="F802" s="1559">
        <f t="shared" si="24"/>
        <v>0</v>
      </c>
      <c r="G802" s="1560" t="e">
        <f t="shared" si="25"/>
        <v>#DIV/0!</v>
      </c>
      <c r="H802" s="2294">
        <v>0.27629999999999999</v>
      </c>
      <c r="I802" s="2296"/>
      <c r="J802" s="1550"/>
    </row>
    <row r="803" spans="1:10" ht="16.5">
      <c r="A803" s="2298" t="s">
        <v>4975</v>
      </c>
      <c r="B803" s="2299" t="s">
        <v>6282</v>
      </c>
      <c r="C803" s="1586" t="s">
        <v>3861</v>
      </c>
      <c r="D803" s="1558"/>
      <c r="E803" s="1558"/>
      <c r="F803" s="1559">
        <f t="shared" si="24"/>
        <v>0</v>
      </c>
      <c r="G803" s="1560" t="e">
        <f t="shared" si="25"/>
        <v>#DIV/0!</v>
      </c>
      <c r="H803" s="2294">
        <v>0.21879999999999999</v>
      </c>
      <c r="I803" s="2296"/>
      <c r="J803" s="1550"/>
    </row>
    <row r="804" spans="1:10" ht="16.5">
      <c r="A804" s="2298" t="s">
        <v>4976</v>
      </c>
      <c r="B804" s="2299" t="s">
        <v>6283</v>
      </c>
      <c r="C804" s="1586" t="s">
        <v>3861</v>
      </c>
      <c r="D804" s="1558"/>
      <c r="E804" s="1558"/>
      <c r="F804" s="1559">
        <f t="shared" si="24"/>
        <v>0</v>
      </c>
      <c r="G804" s="1560" t="e">
        <f t="shared" si="25"/>
        <v>#DIV/0!</v>
      </c>
      <c r="H804" s="2294">
        <v>0.1827</v>
      </c>
      <c r="I804" s="2296"/>
      <c r="J804" s="1550"/>
    </row>
    <row r="805" spans="1:10" ht="16.5">
      <c r="A805" s="2298" t="s">
        <v>4977</v>
      </c>
      <c r="B805" s="2299" t="s">
        <v>6284</v>
      </c>
      <c r="C805" s="1586" t="s">
        <v>3861</v>
      </c>
      <c r="D805" s="1558"/>
      <c r="E805" s="1558"/>
      <c r="F805" s="1559">
        <f t="shared" si="24"/>
        <v>0</v>
      </c>
      <c r="G805" s="1560" t="e">
        <f t="shared" si="25"/>
        <v>#DIV/0!</v>
      </c>
      <c r="H805" s="2294">
        <v>0.21729999999999999</v>
      </c>
      <c r="I805" s="2296"/>
      <c r="J805" s="1550"/>
    </row>
    <row r="806" spans="1:10" ht="16.5">
      <c r="A806" s="2298" t="s">
        <v>4978</v>
      </c>
      <c r="B806" s="2299" t="s">
        <v>6285</v>
      </c>
      <c r="C806" s="1586" t="s">
        <v>3861</v>
      </c>
      <c r="D806" s="1558"/>
      <c r="E806" s="1558"/>
      <c r="F806" s="1559">
        <f t="shared" si="24"/>
        <v>0</v>
      </c>
      <c r="G806" s="1560" t="e">
        <f t="shared" si="25"/>
        <v>#DIV/0!</v>
      </c>
      <c r="H806" s="2294">
        <v>1.0371999999999999</v>
      </c>
      <c r="I806" s="2296"/>
      <c r="J806" s="1550"/>
    </row>
    <row r="807" spans="1:10" ht="16.5">
      <c r="A807" s="2298" t="s">
        <v>4979</v>
      </c>
      <c r="B807" s="2299" t="s">
        <v>6286</v>
      </c>
      <c r="C807" s="1586" t="s">
        <v>3861</v>
      </c>
      <c r="D807" s="1558"/>
      <c r="E807" s="1558"/>
      <c r="F807" s="1559">
        <f t="shared" si="24"/>
        <v>0</v>
      </c>
      <c r="G807" s="1560" t="e">
        <f t="shared" si="25"/>
        <v>#DIV/0!</v>
      </c>
      <c r="H807" s="2294">
        <v>0.71430000000000005</v>
      </c>
      <c r="I807" s="2296"/>
      <c r="J807" s="1550"/>
    </row>
    <row r="808" spans="1:10" ht="16.5">
      <c r="A808" s="2298" t="s">
        <v>4980</v>
      </c>
      <c r="B808" s="2299" t="s">
        <v>6287</v>
      </c>
      <c r="C808" s="1586" t="s">
        <v>3861</v>
      </c>
      <c r="D808" s="1558"/>
      <c r="E808" s="1558"/>
      <c r="F808" s="1559">
        <f t="shared" si="24"/>
        <v>0</v>
      </c>
      <c r="G808" s="1560" t="e">
        <f t="shared" si="25"/>
        <v>#DIV/0!</v>
      </c>
      <c r="H808" s="2294">
        <v>1.3621000000000001</v>
      </c>
      <c r="I808" s="2296"/>
      <c r="J808" s="1550"/>
    </row>
    <row r="809" spans="1:10" ht="16.5">
      <c r="A809" s="2298" t="s">
        <v>4981</v>
      </c>
      <c r="B809" s="2299" t="s">
        <v>6288</v>
      </c>
      <c r="C809" s="1586" t="s">
        <v>3861</v>
      </c>
      <c r="D809" s="1558"/>
      <c r="E809" s="1558"/>
      <c r="F809" s="1559">
        <f t="shared" si="24"/>
        <v>0</v>
      </c>
      <c r="G809" s="1560" t="e">
        <f t="shared" si="25"/>
        <v>#DIV/0!</v>
      </c>
      <c r="H809" s="2294">
        <v>0.58120000000000005</v>
      </c>
      <c r="I809" s="2296"/>
      <c r="J809" s="1550"/>
    </row>
    <row r="810" spans="1:10" ht="16.5">
      <c r="A810" s="2298" t="s">
        <v>4982</v>
      </c>
      <c r="B810" s="2299" t="s">
        <v>6289</v>
      </c>
      <c r="C810" s="1586" t="s">
        <v>3861</v>
      </c>
      <c r="D810" s="1558"/>
      <c r="E810" s="1558"/>
      <c r="F810" s="1559">
        <f t="shared" si="24"/>
        <v>0</v>
      </c>
      <c r="G810" s="1560" t="e">
        <f t="shared" si="25"/>
        <v>#DIV/0!</v>
      </c>
      <c r="H810" s="2294">
        <v>0.1406</v>
      </c>
      <c r="I810" s="2296"/>
      <c r="J810" s="1550"/>
    </row>
    <row r="811" spans="1:10" ht="16.5">
      <c r="A811" s="2298" t="s">
        <v>4983</v>
      </c>
      <c r="B811" s="2299" t="s">
        <v>6290</v>
      </c>
      <c r="C811" s="1586" t="s">
        <v>3861</v>
      </c>
      <c r="D811" s="1558"/>
      <c r="E811" s="1558"/>
      <c r="F811" s="1559">
        <f t="shared" si="24"/>
        <v>0</v>
      </c>
      <c r="G811" s="1560" t="e">
        <f t="shared" si="25"/>
        <v>#DIV/0!</v>
      </c>
      <c r="H811" s="2294">
        <v>0.71209999999999996</v>
      </c>
      <c r="I811" s="2296"/>
      <c r="J811" s="1550"/>
    </row>
    <row r="812" spans="1:10" ht="16.5">
      <c r="A812" s="2298" t="s">
        <v>4984</v>
      </c>
      <c r="B812" s="2299" t="s">
        <v>6291</v>
      </c>
      <c r="C812" s="1586" t="s">
        <v>3861</v>
      </c>
      <c r="D812" s="1558"/>
      <c r="E812" s="1558"/>
      <c r="F812" s="1559">
        <f t="shared" si="24"/>
        <v>0</v>
      </c>
      <c r="G812" s="1560" t="e">
        <f t="shared" si="25"/>
        <v>#DIV/0!</v>
      </c>
      <c r="H812" s="2294">
        <v>0.44819999999999999</v>
      </c>
      <c r="I812" s="2296"/>
      <c r="J812" s="1550"/>
    </row>
    <row r="813" spans="1:10" ht="16.5">
      <c r="A813" s="2298" t="s">
        <v>4985</v>
      </c>
      <c r="B813" s="2299" t="s">
        <v>6292</v>
      </c>
      <c r="C813" s="1586" t="s">
        <v>3861</v>
      </c>
      <c r="D813" s="1558"/>
      <c r="E813" s="1558"/>
      <c r="F813" s="1559">
        <f t="shared" si="24"/>
        <v>0</v>
      </c>
      <c r="G813" s="1560" t="e">
        <f t="shared" si="25"/>
        <v>#DIV/0!</v>
      </c>
      <c r="H813" s="2294">
        <v>0.39750000000000002</v>
      </c>
      <c r="I813" s="2296"/>
      <c r="J813" s="1550"/>
    </row>
    <row r="814" spans="1:10" ht="16.5">
      <c r="A814" s="2298" t="s">
        <v>4986</v>
      </c>
      <c r="B814" s="2299" t="s">
        <v>6293</v>
      </c>
      <c r="C814" s="1586" t="s">
        <v>3861</v>
      </c>
      <c r="D814" s="1558"/>
      <c r="E814" s="1558"/>
      <c r="F814" s="1559">
        <f t="shared" si="24"/>
        <v>0</v>
      </c>
      <c r="G814" s="1560" t="e">
        <f t="shared" si="25"/>
        <v>#DIV/0!</v>
      </c>
      <c r="H814" s="2294">
        <v>1.2859</v>
      </c>
      <c r="I814" s="2296"/>
      <c r="J814" s="1550"/>
    </row>
    <row r="815" spans="1:10" ht="16.5">
      <c r="A815" s="2298" t="s">
        <v>4987</v>
      </c>
      <c r="B815" s="2299" t="s">
        <v>6294</v>
      </c>
      <c r="C815" s="1586" t="s">
        <v>3861</v>
      </c>
      <c r="D815" s="1558"/>
      <c r="E815" s="1558"/>
      <c r="F815" s="1559">
        <f t="shared" si="24"/>
        <v>0</v>
      </c>
      <c r="G815" s="1560" t="e">
        <f t="shared" si="25"/>
        <v>#DIV/0!</v>
      </c>
      <c r="H815" s="2294">
        <v>1.607</v>
      </c>
      <c r="I815" s="2296"/>
      <c r="J815" s="1550"/>
    </row>
    <row r="816" spans="1:10" ht="16.5">
      <c r="A816" s="2298" t="s">
        <v>4988</v>
      </c>
      <c r="B816" s="2299" t="s">
        <v>6295</v>
      </c>
      <c r="C816" s="1586" t="s">
        <v>3861</v>
      </c>
      <c r="D816" s="1558"/>
      <c r="E816" s="1558"/>
      <c r="F816" s="1559">
        <f t="shared" si="24"/>
        <v>0</v>
      </c>
      <c r="G816" s="1560" t="e">
        <f t="shared" si="25"/>
        <v>#DIV/0!</v>
      </c>
      <c r="H816" s="2294">
        <v>0.34510000000000002</v>
      </c>
      <c r="I816" s="2296"/>
      <c r="J816" s="1550"/>
    </row>
    <row r="817" spans="1:10" ht="16.5">
      <c r="A817" s="2298" t="s">
        <v>4989</v>
      </c>
      <c r="B817" s="2299" t="s">
        <v>6296</v>
      </c>
      <c r="C817" s="1586" t="s">
        <v>3861</v>
      </c>
      <c r="D817" s="1558"/>
      <c r="E817" s="1558"/>
      <c r="F817" s="1559">
        <f t="shared" si="24"/>
        <v>0</v>
      </c>
      <c r="G817" s="1560" t="e">
        <f t="shared" si="25"/>
        <v>#DIV/0!</v>
      </c>
      <c r="H817" s="2294">
        <v>1.1839999999999999</v>
      </c>
      <c r="I817" s="2296"/>
      <c r="J817" s="1550"/>
    </row>
    <row r="818" spans="1:10" ht="16.5">
      <c r="A818" s="2298" t="s">
        <v>4990</v>
      </c>
      <c r="B818" s="2299" t="s">
        <v>6297</v>
      </c>
      <c r="C818" s="1586" t="s">
        <v>3861</v>
      </c>
      <c r="D818" s="1558"/>
      <c r="E818" s="1558"/>
      <c r="F818" s="1559">
        <f t="shared" si="24"/>
        <v>0</v>
      </c>
      <c r="G818" s="1560" t="e">
        <f t="shared" si="25"/>
        <v>#DIV/0!</v>
      </c>
      <c r="H818" s="2294">
        <v>0.14649999999999999</v>
      </c>
      <c r="I818" s="2296"/>
      <c r="J818" s="1550"/>
    </row>
    <row r="819" spans="1:10" ht="16.5">
      <c r="A819" s="2298" t="s">
        <v>4991</v>
      </c>
      <c r="B819" s="2299" t="s">
        <v>6298</v>
      </c>
      <c r="C819" s="1586" t="s">
        <v>3861</v>
      </c>
      <c r="D819" s="1558"/>
      <c r="E819" s="1558"/>
      <c r="F819" s="1559">
        <f t="shared" si="24"/>
        <v>0</v>
      </c>
      <c r="G819" s="1560" t="e">
        <f t="shared" si="25"/>
        <v>#DIV/0!</v>
      </c>
      <c r="H819" s="2294">
        <v>0.60209999999999997</v>
      </c>
      <c r="I819" s="2296"/>
      <c r="J819" s="1550"/>
    </row>
    <row r="820" spans="1:10" ht="16.5">
      <c r="A820" s="2298" t="s">
        <v>4992</v>
      </c>
      <c r="B820" s="2299" t="s">
        <v>6299</v>
      </c>
      <c r="C820" s="1586" t="s">
        <v>3861</v>
      </c>
      <c r="D820" s="1558"/>
      <c r="E820" s="1558"/>
      <c r="F820" s="1559">
        <f t="shared" si="24"/>
        <v>0</v>
      </c>
      <c r="G820" s="1560" t="e">
        <f t="shared" si="25"/>
        <v>#DIV/0!</v>
      </c>
      <c r="H820" s="2294">
        <v>-0.63070000000000004</v>
      </c>
      <c r="I820" s="2296"/>
      <c r="J820" s="1550"/>
    </row>
    <row r="821" spans="1:10" ht="16.5">
      <c r="A821" s="2298" t="s">
        <v>4993</v>
      </c>
      <c r="B821" s="2299" t="s">
        <v>6300</v>
      </c>
      <c r="C821" s="1586" t="s">
        <v>3861</v>
      </c>
      <c r="D821" s="1558"/>
      <c r="E821" s="1558"/>
      <c r="F821" s="1559">
        <f t="shared" si="24"/>
        <v>0</v>
      </c>
      <c r="G821" s="1560" t="e">
        <f t="shared" si="25"/>
        <v>#DIV/0!</v>
      </c>
      <c r="H821" s="2294">
        <v>0.33750000000000002</v>
      </c>
      <c r="I821" s="2296"/>
      <c r="J821" s="1550"/>
    </row>
    <row r="822" spans="1:10" ht="16.5">
      <c r="A822" s="2298" t="s">
        <v>4994</v>
      </c>
      <c r="B822" s="2299" t="s">
        <v>6301</v>
      </c>
      <c r="C822" s="1586" t="s">
        <v>3861</v>
      </c>
      <c r="D822" s="1558"/>
      <c r="E822" s="1558"/>
      <c r="F822" s="1559">
        <f t="shared" si="24"/>
        <v>0</v>
      </c>
      <c r="G822" s="1560" t="e">
        <f t="shared" si="25"/>
        <v>#DIV/0!</v>
      </c>
      <c r="H822" s="2294">
        <v>1.0831999999999999</v>
      </c>
      <c r="I822" s="2296"/>
      <c r="J822" s="1550"/>
    </row>
    <row r="823" spans="1:10" ht="16.5">
      <c r="A823" s="2298" t="s">
        <v>4995</v>
      </c>
      <c r="B823" s="2299" t="s">
        <v>6302</v>
      </c>
      <c r="C823" s="1586" t="s">
        <v>3861</v>
      </c>
      <c r="D823" s="1558"/>
      <c r="E823" s="1558"/>
      <c r="F823" s="1559">
        <f t="shared" si="24"/>
        <v>0</v>
      </c>
      <c r="G823" s="1560" t="e">
        <f t="shared" si="25"/>
        <v>#DIV/0!</v>
      </c>
      <c r="H823" s="2294">
        <v>0.82389999999999997</v>
      </c>
      <c r="I823" s="2296"/>
      <c r="J823" s="1550"/>
    </row>
    <row r="824" spans="1:10" ht="16.5">
      <c r="A824" s="2298" t="s">
        <v>4996</v>
      </c>
      <c r="B824" s="2299" t="s">
        <v>6303</v>
      </c>
      <c r="C824" s="1586" t="s">
        <v>3861</v>
      </c>
      <c r="D824" s="1558"/>
      <c r="E824" s="1558"/>
      <c r="F824" s="1559">
        <f t="shared" si="24"/>
        <v>0</v>
      </c>
      <c r="G824" s="1560" t="e">
        <f t="shared" si="25"/>
        <v>#DIV/0!</v>
      </c>
      <c r="H824" s="2294">
        <v>0.96179999999999999</v>
      </c>
      <c r="I824" s="2296"/>
      <c r="J824" s="1550"/>
    </row>
    <row r="825" spans="1:10" ht="16.5">
      <c r="A825" s="2298" t="s">
        <v>4997</v>
      </c>
      <c r="B825" s="2299" t="s">
        <v>6304</v>
      </c>
      <c r="C825" s="1586" t="s">
        <v>3861</v>
      </c>
      <c r="D825" s="1558"/>
      <c r="E825" s="1558"/>
      <c r="F825" s="1559">
        <f t="shared" si="24"/>
        <v>0</v>
      </c>
      <c r="G825" s="1560" t="e">
        <f t="shared" si="25"/>
        <v>#DIV/0!</v>
      </c>
      <c r="H825" s="2294">
        <v>0.52990000000000004</v>
      </c>
      <c r="I825" s="2296"/>
      <c r="J825" s="1550"/>
    </row>
    <row r="826" spans="1:10" ht="16.5">
      <c r="A826" s="2298" t="s">
        <v>4998</v>
      </c>
      <c r="B826" s="2299" t="s">
        <v>6305</v>
      </c>
      <c r="C826" s="1586" t="s">
        <v>3861</v>
      </c>
      <c r="D826" s="1558"/>
      <c r="E826" s="1558"/>
      <c r="F826" s="1559">
        <f t="shared" si="24"/>
        <v>0</v>
      </c>
      <c r="G826" s="1560" t="e">
        <f t="shared" si="25"/>
        <v>#DIV/0!</v>
      </c>
      <c r="H826" s="2294">
        <v>0.75539999999999996</v>
      </c>
      <c r="I826" s="2296"/>
      <c r="J826" s="1550"/>
    </row>
    <row r="827" spans="1:10" ht="16.5">
      <c r="A827" s="2298" t="s">
        <v>4999</v>
      </c>
      <c r="B827" s="2299" t="s">
        <v>6306</v>
      </c>
      <c r="C827" s="1586" t="s">
        <v>3861</v>
      </c>
      <c r="D827" s="1558"/>
      <c r="E827" s="1558"/>
      <c r="F827" s="1559">
        <f t="shared" si="24"/>
        <v>0</v>
      </c>
      <c r="G827" s="1560" t="e">
        <f t="shared" si="25"/>
        <v>#DIV/0!</v>
      </c>
      <c r="H827" s="2294">
        <v>1.0383</v>
      </c>
      <c r="I827" s="2296"/>
      <c r="J827" s="1550"/>
    </row>
    <row r="828" spans="1:10" ht="16.5">
      <c r="A828" s="2298" t="s">
        <v>5000</v>
      </c>
      <c r="B828" s="2299" t="s">
        <v>6307</v>
      </c>
      <c r="C828" s="1586" t="s">
        <v>3861</v>
      </c>
      <c r="D828" s="1558"/>
      <c r="E828" s="1558"/>
      <c r="F828" s="1559">
        <f t="shared" si="24"/>
        <v>0</v>
      </c>
      <c r="G828" s="1560" t="e">
        <f t="shared" si="25"/>
        <v>#DIV/0!</v>
      </c>
      <c r="H828" s="2294">
        <v>1.3315999999999999</v>
      </c>
      <c r="I828" s="2296"/>
      <c r="J828" s="1550"/>
    </row>
    <row r="829" spans="1:10" ht="16.5">
      <c r="A829" s="2298" t="s">
        <v>5001</v>
      </c>
      <c r="B829" s="2299" t="s">
        <v>6308</v>
      </c>
      <c r="C829" s="1586" t="s">
        <v>3861</v>
      </c>
      <c r="D829" s="1558"/>
      <c r="E829" s="1558"/>
      <c r="F829" s="1559">
        <f t="shared" si="24"/>
        <v>0</v>
      </c>
      <c r="G829" s="1560" t="e">
        <f t="shared" si="25"/>
        <v>#DIV/0!</v>
      </c>
      <c r="H829" s="2294">
        <v>0.94320000000000004</v>
      </c>
      <c r="I829" s="2296"/>
      <c r="J829" s="1550"/>
    </row>
    <row r="830" spans="1:10" ht="16.5">
      <c r="A830" s="2298" t="s">
        <v>1644</v>
      </c>
      <c r="B830" s="2299" t="s">
        <v>6309</v>
      </c>
      <c r="C830" s="1586" t="s">
        <v>3861</v>
      </c>
      <c r="D830" s="1558"/>
      <c r="E830" s="1558"/>
      <c r="F830" s="1559">
        <f t="shared" si="24"/>
        <v>0</v>
      </c>
      <c r="G830" s="1560" t="e">
        <f t="shared" si="25"/>
        <v>#DIV/0!</v>
      </c>
      <c r="H830" s="2294">
        <v>0.4158</v>
      </c>
      <c r="I830" s="2296"/>
      <c r="J830" s="1550"/>
    </row>
    <row r="831" spans="1:10" ht="16.5">
      <c r="A831" s="2298" t="s">
        <v>5002</v>
      </c>
      <c r="B831" s="2299" t="s">
        <v>6310</v>
      </c>
      <c r="C831" s="1586" t="s">
        <v>3861</v>
      </c>
      <c r="D831" s="1558"/>
      <c r="E831" s="1558"/>
      <c r="F831" s="1559">
        <f t="shared" si="24"/>
        <v>0</v>
      </c>
      <c r="G831" s="1560" t="e">
        <f t="shared" si="25"/>
        <v>#DIV/0!</v>
      </c>
      <c r="H831" s="2294">
        <v>1.3686</v>
      </c>
      <c r="I831" s="2296"/>
      <c r="J831" s="1550"/>
    </row>
    <row r="832" spans="1:10" ht="16.5">
      <c r="A832" s="2298" t="s">
        <v>5003</v>
      </c>
      <c r="B832" s="2299" t="s">
        <v>6311</v>
      </c>
      <c r="C832" s="1586" t="s">
        <v>3861</v>
      </c>
      <c r="D832" s="1558"/>
      <c r="E832" s="1558"/>
      <c r="F832" s="1559">
        <f t="shared" si="24"/>
        <v>0</v>
      </c>
      <c r="G832" s="1560" t="e">
        <f t="shared" si="25"/>
        <v>#DIV/0!</v>
      </c>
      <c r="H832" s="2294">
        <v>0.1171</v>
      </c>
      <c r="I832" s="2296"/>
      <c r="J832" s="1550"/>
    </row>
    <row r="833" spans="1:10" ht="16.5">
      <c r="A833" s="2298" t="s">
        <v>5004</v>
      </c>
      <c r="B833" s="2299" t="s">
        <v>6312</v>
      </c>
      <c r="C833" s="1586" t="s">
        <v>3861</v>
      </c>
      <c r="D833" s="1558"/>
      <c r="E833" s="1558"/>
      <c r="F833" s="1559">
        <f t="shared" si="24"/>
        <v>0</v>
      </c>
      <c r="G833" s="1560" t="e">
        <f t="shared" si="25"/>
        <v>#DIV/0!</v>
      </c>
      <c r="H833" s="2294">
        <v>0.80500000000000005</v>
      </c>
      <c r="I833" s="2296"/>
      <c r="J833" s="1550"/>
    </row>
    <row r="834" spans="1:10" ht="16.5">
      <c r="A834" s="2298" t="s">
        <v>5005</v>
      </c>
      <c r="B834" s="2299" t="s">
        <v>6313</v>
      </c>
      <c r="C834" s="1586" t="s">
        <v>3861</v>
      </c>
      <c r="D834" s="1558"/>
      <c r="E834" s="1558"/>
      <c r="F834" s="1559">
        <f t="shared" si="24"/>
        <v>0</v>
      </c>
      <c r="G834" s="1560" t="e">
        <f t="shared" si="25"/>
        <v>#DIV/0!</v>
      </c>
      <c r="H834" s="2294">
        <v>0.51500000000000001</v>
      </c>
      <c r="I834" s="2296"/>
      <c r="J834" s="1550"/>
    </row>
    <row r="835" spans="1:10" ht="16.5">
      <c r="A835" s="2298" t="s">
        <v>5006</v>
      </c>
      <c r="B835" s="2299" t="s">
        <v>6314</v>
      </c>
      <c r="C835" s="1586" t="s">
        <v>3861</v>
      </c>
      <c r="D835" s="1558"/>
      <c r="E835" s="1558"/>
      <c r="F835" s="1559">
        <f t="shared" si="24"/>
        <v>0</v>
      </c>
      <c r="G835" s="1560" t="e">
        <f t="shared" si="25"/>
        <v>#DIV/0!</v>
      </c>
      <c r="H835" s="2294">
        <v>0.46200000000000002</v>
      </c>
      <c r="I835" s="2296"/>
      <c r="J835" s="1550"/>
    </row>
    <row r="836" spans="1:10" ht="16.5">
      <c r="A836" s="2298" t="s">
        <v>5007</v>
      </c>
      <c r="B836" s="2299" t="s">
        <v>6315</v>
      </c>
      <c r="C836" s="1586" t="s">
        <v>3861</v>
      </c>
      <c r="D836" s="1558"/>
      <c r="E836" s="1558"/>
      <c r="F836" s="1559">
        <f t="shared" si="24"/>
        <v>0</v>
      </c>
      <c r="G836" s="1560" t="e">
        <f t="shared" si="25"/>
        <v>#DIV/0!</v>
      </c>
      <c r="H836" s="2294">
        <v>1.2694000000000001</v>
      </c>
      <c r="I836" s="2296"/>
      <c r="J836" s="1550"/>
    </row>
    <row r="837" spans="1:10" ht="16.5">
      <c r="A837" s="2298" t="s">
        <v>5008</v>
      </c>
      <c r="B837" s="2299" t="s">
        <v>6316</v>
      </c>
      <c r="C837" s="1586" t="s">
        <v>3861</v>
      </c>
      <c r="D837" s="1558"/>
      <c r="E837" s="1558"/>
      <c r="F837" s="1559">
        <f t="shared" ref="F837:F900" si="26">D837*E837</f>
        <v>0</v>
      </c>
      <c r="G837" s="1560" t="e">
        <f t="shared" ref="G837:G900" si="27">F837/$F$1214</f>
        <v>#DIV/0!</v>
      </c>
      <c r="H837" s="2294">
        <v>-0.19040000000000001</v>
      </c>
      <c r="I837" s="2296"/>
      <c r="J837" s="1550"/>
    </row>
    <row r="838" spans="1:10" ht="16.5">
      <c r="A838" s="2298" t="s">
        <v>5009</v>
      </c>
      <c r="B838" s="2299" t="s">
        <v>6317</v>
      </c>
      <c r="C838" s="1586" t="s">
        <v>3861</v>
      </c>
      <c r="D838" s="1558"/>
      <c r="E838" s="1558"/>
      <c r="F838" s="1559">
        <f t="shared" si="26"/>
        <v>0</v>
      </c>
      <c r="G838" s="1560" t="e">
        <f t="shared" si="27"/>
        <v>#DIV/0!</v>
      </c>
      <c r="H838" s="2294">
        <v>0.65129999999999999</v>
      </c>
      <c r="I838" s="2296"/>
      <c r="J838" s="1550"/>
    </row>
    <row r="839" spans="1:10" ht="16.5">
      <c r="A839" s="2298" t="s">
        <v>5010</v>
      </c>
      <c r="B839" s="2299" t="s">
        <v>6318</v>
      </c>
      <c r="C839" s="1586" t="s">
        <v>3861</v>
      </c>
      <c r="D839" s="1558"/>
      <c r="E839" s="1558"/>
      <c r="F839" s="1559">
        <f t="shared" si="26"/>
        <v>0</v>
      </c>
      <c r="G839" s="1560" t="e">
        <f t="shared" si="27"/>
        <v>#DIV/0!</v>
      </c>
      <c r="H839" s="2294">
        <v>0.31929999999999997</v>
      </c>
      <c r="I839" s="2296"/>
      <c r="J839" s="1550"/>
    </row>
    <row r="840" spans="1:10" ht="16.5">
      <c r="A840" s="2298" t="s">
        <v>5011</v>
      </c>
      <c r="B840" s="2299" t="s">
        <v>6319</v>
      </c>
      <c r="C840" s="1586" t="s">
        <v>3861</v>
      </c>
      <c r="D840" s="1558"/>
      <c r="E840" s="1558"/>
      <c r="F840" s="1559">
        <f t="shared" si="26"/>
        <v>0</v>
      </c>
      <c r="G840" s="1560" t="e">
        <f t="shared" si="27"/>
        <v>#DIV/0!</v>
      </c>
      <c r="H840" s="2294">
        <v>0.81940000000000002</v>
      </c>
      <c r="I840" s="2296"/>
      <c r="J840" s="1550"/>
    </row>
    <row r="841" spans="1:10" ht="16.5">
      <c r="A841" s="2298" t="s">
        <v>5012</v>
      </c>
      <c r="B841" s="2299" t="s">
        <v>6320</v>
      </c>
      <c r="C841" s="1586" t="s">
        <v>3861</v>
      </c>
      <c r="D841" s="1558"/>
      <c r="E841" s="1558"/>
      <c r="F841" s="1559">
        <f t="shared" si="26"/>
        <v>0</v>
      </c>
      <c r="G841" s="1560" t="e">
        <f t="shared" si="27"/>
        <v>#DIV/0!</v>
      </c>
      <c r="H841" s="2294">
        <v>1.4267000000000001</v>
      </c>
      <c r="I841" s="2296"/>
      <c r="J841" s="1550"/>
    </row>
    <row r="842" spans="1:10" ht="16.5">
      <c r="A842" s="2298" t="s">
        <v>5013</v>
      </c>
      <c r="B842" s="2299" t="s">
        <v>6321</v>
      </c>
      <c r="C842" s="1586" t="s">
        <v>3861</v>
      </c>
      <c r="D842" s="1558"/>
      <c r="E842" s="1558"/>
      <c r="F842" s="1559">
        <f t="shared" si="26"/>
        <v>0</v>
      </c>
      <c r="G842" s="1560" t="e">
        <f t="shared" si="27"/>
        <v>#DIV/0!</v>
      </c>
      <c r="H842" s="2294">
        <v>0.88819999999999999</v>
      </c>
      <c r="I842" s="2296"/>
      <c r="J842" s="1550"/>
    </row>
    <row r="843" spans="1:10" ht="16.5">
      <c r="A843" s="2298" t="s">
        <v>5014</v>
      </c>
      <c r="B843" s="2299" t="s">
        <v>6322</v>
      </c>
      <c r="C843" s="1586" t="s">
        <v>3861</v>
      </c>
      <c r="D843" s="1558"/>
      <c r="E843" s="1558"/>
      <c r="F843" s="1559">
        <f t="shared" si="26"/>
        <v>0</v>
      </c>
      <c r="G843" s="1560" t="e">
        <f t="shared" si="27"/>
        <v>#DIV/0!</v>
      </c>
      <c r="H843" s="2294">
        <v>1.1396999999999999</v>
      </c>
      <c r="I843" s="2296"/>
      <c r="J843" s="1550"/>
    </row>
    <row r="844" spans="1:10" ht="16.5">
      <c r="A844" s="2298" t="s">
        <v>5015</v>
      </c>
      <c r="B844" s="2299" t="s">
        <v>6323</v>
      </c>
      <c r="C844" s="1586" t="s">
        <v>3861</v>
      </c>
      <c r="D844" s="1558"/>
      <c r="E844" s="1558"/>
      <c r="F844" s="1559">
        <f t="shared" si="26"/>
        <v>0</v>
      </c>
      <c r="G844" s="1560" t="e">
        <f t="shared" si="27"/>
        <v>#DIV/0!</v>
      </c>
      <c r="H844" s="2294">
        <v>0.37319999999999998</v>
      </c>
      <c r="I844" s="2296"/>
      <c r="J844" s="1550"/>
    </row>
    <row r="845" spans="1:10" ht="16.5">
      <c r="A845" s="2298" t="s">
        <v>5016</v>
      </c>
      <c r="B845" s="2299" t="s">
        <v>6324</v>
      </c>
      <c r="C845" s="1586" t="s">
        <v>3861</v>
      </c>
      <c r="D845" s="1558"/>
      <c r="E845" s="1558"/>
      <c r="F845" s="1559">
        <f t="shared" si="26"/>
        <v>0</v>
      </c>
      <c r="G845" s="1560" t="e">
        <f t="shared" si="27"/>
        <v>#DIV/0!</v>
      </c>
      <c r="H845" s="2294">
        <v>0.47299999999999998</v>
      </c>
      <c r="I845" s="2296"/>
      <c r="J845" s="1550"/>
    </row>
    <row r="846" spans="1:10" ht="16.5">
      <c r="A846" s="2298" t="s">
        <v>5017</v>
      </c>
      <c r="B846" s="2299" t="s">
        <v>6325</v>
      </c>
      <c r="C846" s="1586" t="s">
        <v>3861</v>
      </c>
      <c r="D846" s="1558"/>
      <c r="E846" s="1558"/>
      <c r="F846" s="1559">
        <f t="shared" si="26"/>
        <v>0</v>
      </c>
      <c r="G846" s="1560" t="e">
        <f t="shared" si="27"/>
        <v>#DIV/0!</v>
      </c>
      <c r="H846" s="2294">
        <v>0.51</v>
      </c>
      <c r="I846" s="2296"/>
      <c r="J846" s="1550"/>
    </row>
    <row r="847" spans="1:10" ht="16.5">
      <c r="A847" s="2298" t="s">
        <v>5018</v>
      </c>
      <c r="B847" s="2299" t="s">
        <v>6326</v>
      </c>
      <c r="C847" s="1586" t="s">
        <v>3861</v>
      </c>
      <c r="D847" s="1558"/>
      <c r="E847" s="1558"/>
      <c r="F847" s="1559">
        <f t="shared" si="26"/>
        <v>0</v>
      </c>
      <c r="G847" s="1560" t="e">
        <f t="shared" si="27"/>
        <v>#DIV/0!</v>
      </c>
      <c r="H847" s="2294">
        <v>0.94799999999999995</v>
      </c>
      <c r="I847" s="2296"/>
      <c r="J847" s="1550"/>
    </row>
    <row r="848" spans="1:10" ht="16.5">
      <c r="A848" s="2298" t="s">
        <v>5019</v>
      </c>
      <c r="B848" s="2299" t="s">
        <v>6327</v>
      </c>
      <c r="C848" s="1586" t="s">
        <v>3861</v>
      </c>
      <c r="D848" s="1558"/>
      <c r="E848" s="1558"/>
      <c r="F848" s="1559">
        <f t="shared" si="26"/>
        <v>0</v>
      </c>
      <c r="G848" s="1560" t="e">
        <f t="shared" si="27"/>
        <v>#DIV/0!</v>
      </c>
      <c r="H848" s="2294">
        <v>1.8848</v>
      </c>
      <c r="I848" s="2296"/>
      <c r="J848" s="1550"/>
    </row>
    <row r="849" spans="1:10" ht="16.5">
      <c r="A849" s="2298" t="s">
        <v>5020</v>
      </c>
      <c r="B849" s="2299" t="s">
        <v>6328</v>
      </c>
      <c r="C849" s="1586" t="s">
        <v>3861</v>
      </c>
      <c r="D849" s="1558"/>
      <c r="E849" s="1558"/>
      <c r="F849" s="1559">
        <f t="shared" si="26"/>
        <v>0</v>
      </c>
      <c r="G849" s="1560" t="e">
        <f t="shared" si="27"/>
        <v>#DIV/0!</v>
      </c>
      <c r="H849" s="2294">
        <v>0.70320000000000005</v>
      </c>
      <c r="I849" s="2296"/>
      <c r="J849" s="1550"/>
    </row>
    <row r="850" spans="1:10" ht="16.5">
      <c r="A850" s="2298" t="s">
        <v>5021</v>
      </c>
      <c r="B850" s="2299" t="s">
        <v>2064</v>
      </c>
      <c r="C850" s="1586" t="s">
        <v>3861</v>
      </c>
      <c r="D850" s="1558"/>
      <c r="E850" s="1558"/>
      <c r="F850" s="1559">
        <f t="shared" si="26"/>
        <v>0</v>
      </c>
      <c r="G850" s="1560" t="e">
        <f t="shared" si="27"/>
        <v>#DIV/0!</v>
      </c>
      <c r="H850" s="2294">
        <v>1.4107000000000001</v>
      </c>
      <c r="I850" s="2296"/>
      <c r="J850" s="1550"/>
    </row>
    <row r="851" spans="1:10" ht="16.5">
      <c r="A851" s="2298" t="s">
        <v>5022</v>
      </c>
      <c r="B851" s="2299" t="s">
        <v>6329</v>
      </c>
      <c r="C851" s="1586" t="s">
        <v>3861</v>
      </c>
      <c r="D851" s="1558"/>
      <c r="E851" s="1558"/>
      <c r="F851" s="1559">
        <f t="shared" si="26"/>
        <v>0</v>
      </c>
      <c r="G851" s="1560" t="e">
        <f t="shared" si="27"/>
        <v>#DIV/0!</v>
      </c>
      <c r="H851" s="2294">
        <v>0.17</v>
      </c>
      <c r="I851" s="2296"/>
      <c r="J851" s="1550"/>
    </row>
    <row r="852" spans="1:10" ht="16.5">
      <c r="A852" s="2298" t="s">
        <v>5023</v>
      </c>
      <c r="B852" s="2299" t="s">
        <v>6330</v>
      </c>
      <c r="C852" s="1586" t="s">
        <v>3861</v>
      </c>
      <c r="D852" s="1558"/>
      <c r="E852" s="1558"/>
      <c r="F852" s="1559">
        <f t="shared" si="26"/>
        <v>0</v>
      </c>
      <c r="G852" s="1560" t="e">
        <f t="shared" si="27"/>
        <v>#DIV/0!</v>
      </c>
      <c r="H852" s="2294">
        <v>0.61260000000000003</v>
      </c>
      <c r="I852" s="2296"/>
      <c r="J852" s="1550"/>
    </row>
    <row r="853" spans="1:10" ht="16.5">
      <c r="A853" s="2298" t="s">
        <v>5024</v>
      </c>
      <c r="B853" s="2299" t="s">
        <v>6331</v>
      </c>
      <c r="C853" s="1586" t="s">
        <v>3861</v>
      </c>
      <c r="D853" s="1558"/>
      <c r="E853" s="1558"/>
      <c r="F853" s="1559">
        <f t="shared" si="26"/>
        <v>0</v>
      </c>
      <c r="G853" s="1560" t="e">
        <f t="shared" si="27"/>
        <v>#DIV/0!</v>
      </c>
      <c r="H853" s="2294">
        <v>1</v>
      </c>
      <c r="I853" s="2296" t="s">
        <v>5703</v>
      </c>
      <c r="J853" s="1550"/>
    </row>
    <row r="854" spans="1:10" ht="16.5">
      <c r="A854" s="2298" t="s">
        <v>5025</v>
      </c>
      <c r="B854" s="2299" t="s">
        <v>6332</v>
      </c>
      <c r="C854" s="1586" t="s">
        <v>3861</v>
      </c>
      <c r="D854" s="1558"/>
      <c r="E854" s="1558"/>
      <c r="F854" s="1559">
        <f t="shared" si="26"/>
        <v>0</v>
      </c>
      <c r="G854" s="1560" t="e">
        <f t="shared" si="27"/>
        <v>#DIV/0!</v>
      </c>
      <c r="H854" s="2294">
        <v>0.2349</v>
      </c>
      <c r="I854" s="2296"/>
      <c r="J854" s="1550"/>
    </row>
    <row r="855" spans="1:10" ht="16.5">
      <c r="A855" s="2298" t="s">
        <v>5026</v>
      </c>
      <c r="B855" s="2299" t="s">
        <v>6333</v>
      </c>
      <c r="C855" s="1586" t="s">
        <v>3861</v>
      </c>
      <c r="D855" s="1558"/>
      <c r="E855" s="1558"/>
      <c r="F855" s="1559">
        <f t="shared" si="26"/>
        <v>0</v>
      </c>
      <c r="G855" s="1560" t="e">
        <f t="shared" si="27"/>
        <v>#DIV/0!</v>
      </c>
      <c r="H855" s="2294">
        <v>1.1135999999999999</v>
      </c>
      <c r="I855" s="2296"/>
      <c r="J855" s="1550"/>
    </row>
    <row r="856" spans="1:10" ht="16.5">
      <c r="A856" s="2298" t="s">
        <v>5027</v>
      </c>
      <c r="B856" s="2299" t="s">
        <v>6334</v>
      </c>
      <c r="C856" s="1586" t="s">
        <v>3861</v>
      </c>
      <c r="D856" s="1558"/>
      <c r="E856" s="1558"/>
      <c r="F856" s="1559">
        <f t="shared" si="26"/>
        <v>0</v>
      </c>
      <c r="G856" s="1560" t="e">
        <f t="shared" si="27"/>
        <v>#DIV/0!</v>
      </c>
      <c r="H856" s="2294">
        <v>0.93010000000000004</v>
      </c>
      <c r="I856" s="2296"/>
      <c r="J856" s="1550"/>
    </row>
    <row r="857" spans="1:10" ht="16.5">
      <c r="A857" s="2298" t="s">
        <v>5028</v>
      </c>
      <c r="B857" s="2299" t="s">
        <v>6335</v>
      </c>
      <c r="C857" s="1586" t="s">
        <v>3861</v>
      </c>
      <c r="D857" s="1558"/>
      <c r="E857" s="1558"/>
      <c r="F857" s="1559">
        <f t="shared" si="26"/>
        <v>0</v>
      </c>
      <c r="G857" s="1560" t="e">
        <f t="shared" si="27"/>
        <v>#DIV/0!</v>
      </c>
      <c r="H857" s="2294">
        <v>0.57699999999999996</v>
      </c>
      <c r="I857" s="2296"/>
      <c r="J857" s="1550"/>
    </row>
    <row r="858" spans="1:10" ht="16.5">
      <c r="A858" s="2298" t="s">
        <v>5029</v>
      </c>
      <c r="B858" s="2299" t="s">
        <v>6336</v>
      </c>
      <c r="C858" s="1586" t="s">
        <v>3861</v>
      </c>
      <c r="D858" s="1558"/>
      <c r="E858" s="1558"/>
      <c r="F858" s="1559">
        <f t="shared" si="26"/>
        <v>0</v>
      </c>
      <c r="G858" s="1560" t="e">
        <f t="shared" si="27"/>
        <v>#DIV/0!</v>
      </c>
      <c r="H858" s="2294">
        <v>1.1385000000000001</v>
      </c>
      <c r="I858" s="2296"/>
      <c r="J858" s="1550"/>
    </row>
    <row r="859" spans="1:10" ht="16.5">
      <c r="A859" s="2298" t="s">
        <v>5030</v>
      </c>
      <c r="B859" s="2299" t="s">
        <v>6337</v>
      </c>
      <c r="C859" s="1586" t="s">
        <v>3861</v>
      </c>
      <c r="D859" s="1558"/>
      <c r="E859" s="1558"/>
      <c r="F859" s="1559">
        <f t="shared" si="26"/>
        <v>0</v>
      </c>
      <c r="G859" s="1560" t="e">
        <f t="shared" si="27"/>
        <v>#DIV/0!</v>
      </c>
      <c r="H859" s="2294">
        <v>0.44540000000000002</v>
      </c>
      <c r="I859" s="2296"/>
      <c r="J859" s="1550"/>
    </row>
    <row r="860" spans="1:10" ht="16.5">
      <c r="A860" s="2298" t="s">
        <v>5031</v>
      </c>
      <c r="B860" s="2299" t="s">
        <v>6338</v>
      </c>
      <c r="C860" s="1586" t="s">
        <v>3861</v>
      </c>
      <c r="D860" s="1558"/>
      <c r="E860" s="1558"/>
      <c r="F860" s="1559">
        <f t="shared" si="26"/>
        <v>0</v>
      </c>
      <c r="G860" s="1560" t="e">
        <f t="shared" si="27"/>
        <v>#DIV/0!</v>
      </c>
      <c r="H860" s="2294">
        <v>2.2320000000000002</v>
      </c>
      <c r="I860" s="2296"/>
      <c r="J860" s="1550"/>
    </row>
    <row r="861" spans="1:10" ht="16.5">
      <c r="A861" s="2298" t="s">
        <v>5032</v>
      </c>
      <c r="B861" s="2299" t="s">
        <v>6339</v>
      </c>
      <c r="C861" s="1586" t="s">
        <v>3861</v>
      </c>
      <c r="D861" s="1558"/>
      <c r="E861" s="1558"/>
      <c r="F861" s="1559">
        <f t="shared" si="26"/>
        <v>0</v>
      </c>
      <c r="G861" s="1560" t="e">
        <f t="shared" si="27"/>
        <v>#DIV/0!</v>
      </c>
      <c r="H861" s="2294">
        <v>1.59</v>
      </c>
      <c r="I861" s="2296"/>
      <c r="J861" s="1550"/>
    </row>
    <row r="862" spans="1:10" ht="16.5">
      <c r="A862" s="2298" t="s">
        <v>5033</v>
      </c>
      <c r="B862" s="2299" t="s">
        <v>6340</v>
      </c>
      <c r="C862" s="1586" t="s">
        <v>3861</v>
      </c>
      <c r="D862" s="1558"/>
      <c r="E862" s="1558"/>
      <c r="F862" s="1559">
        <f t="shared" si="26"/>
        <v>0</v>
      </c>
      <c r="G862" s="1560" t="e">
        <f t="shared" si="27"/>
        <v>#DIV/0!</v>
      </c>
      <c r="H862" s="2294">
        <v>0.65529999999999999</v>
      </c>
      <c r="I862" s="2296"/>
      <c r="J862" s="1550"/>
    </row>
    <row r="863" spans="1:10" ht="16.5">
      <c r="A863" s="2298" t="s">
        <v>5034</v>
      </c>
      <c r="B863" s="2299" t="s">
        <v>6341</v>
      </c>
      <c r="C863" s="1586" t="s">
        <v>3861</v>
      </c>
      <c r="D863" s="1558"/>
      <c r="E863" s="1558"/>
      <c r="F863" s="1559">
        <f t="shared" si="26"/>
        <v>0</v>
      </c>
      <c r="G863" s="1560" t="e">
        <f t="shared" si="27"/>
        <v>#DIV/0!</v>
      </c>
      <c r="H863" s="2294">
        <v>0.41099999999999998</v>
      </c>
      <c r="I863" s="2296"/>
      <c r="J863" s="1550"/>
    </row>
    <row r="864" spans="1:10" ht="16.5">
      <c r="A864" s="2298" t="s">
        <v>5035</v>
      </c>
      <c r="B864" s="2299" t="s">
        <v>6342</v>
      </c>
      <c r="C864" s="1586" t="s">
        <v>3861</v>
      </c>
      <c r="D864" s="1558"/>
      <c r="E864" s="1558"/>
      <c r="F864" s="1559">
        <f t="shared" si="26"/>
        <v>0</v>
      </c>
      <c r="G864" s="1560" t="e">
        <f t="shared" si="27"/>
        <v>#DIV/0!</v>
      </c>
      <c r="H864" s="2294">
        <v>0.45929999999999999</v>
      </c>
      <c r="I864" s="2296"/>
      <c r="J864" s="1550"/>
    </row>
    <row r="865" spans="1:10" ht="16.5">
      <c r="A865" s="2298" t="s">
        <v>5036</v>
      </c>
      <c r="B865" s="2299" t="s">
        <v>6343</v>
      </c>
      <c r="C865" s="1586" t="s">
        <v>3861</v>
      </c>
      <c r="D865" s="1558"/>
      <c r="E865" s="1558"/>
      <c r="F865" s="1559">
        <f t="shared" si="26"/>
        <v>0</v>
      </c>
      <c r="G865" s="1560" t="e">
        <f t="shared" si="27"/>
        <v>#DIV/0!</v>
      </c>
      <c r="H865" s="2294">
        <v>0.36799999999999999</v>
      </c>
      <c r="I865" s="2296"/>
      <c r="J865" s="1550"/>
    </row>
    <row r="866" spans="1:10" ht="16.5">
      <c r="A866" s="2298" t="s">
        <v>5037</v>
      </c>
      <c r="B866" s="2299" t="s">
        <v>6344</v>
      </c>
      <c r="C866" s="1586" t="s">
        <v>3861</v>
      </c>
      <c r="D866" s="1558"/>
      <c r="E866" s="1558"/>
      <c r="F866" s="1559">
        <f t="shared" si="26"/>
        <v>0</v>
      </c>
      <c r="G866" s="1560" t="e">
        <f t="shared" si="27"/>
        <v>#DIV/0!</v>
      </c>
      <c r="H866" s="2294">
        <v>0.9123</v>
      </c>
      <c r="I866" s="2296"/>
      <c r="J866" s="1550"/>
    </row>
    <row r="867" spans="1:10" ht="16.5">
      <c r="A867" s="2298" t="s">
        <v>5038</v>
      </c>
      <c r="B867" s="2299" t="s">
        <v>6345</v>
      </c>
      <c r="C867" s="1586" t="s">
        <v>3861</v>
      </c>
      <c r="D867" s="1558"/>
      <c r="E867" s="1558"/>
      <c r="F867" s="1559">
        <f t="shared" si="26"/>
        <v>0</v>
      </c>
      <c r="G867" s="1560" t="e">
        <f t="shared" si="27"/>
        <v>#DIV/0!</v>
      </c>
      <c r="H867" s="2294">
        <v>1</v>
      </c>
      <c r="I867" s="2296" t="s">
        <v>5703</v>
      </c>
      <c r="J867" s="1550"/>
    </row>
    <row r="868" spans="1:10" ht="16.5">
      <c r="A868" s="2298" t="s">
        <v>5039</v>
      </c>
      <c r="B868" s="2299" t="s">
        <v>6346</v>
      </c>
      <c r="C868" s="1586" t="s">
        <v>3861</v>
      </c>
      <c r="D868" s="1558"/>
      <c r="E868" s="1558"/>
      <c r="F868" s="1559">
        <f t="shared" si="26"/>
        <v>0</v>
      </c>
      <c r="G868" s="1560" t="e">
        <f t="shared" si="27"/>
        <v>#DIV/0!</v>
      </c>
      <c r="H868" s="2294">
        <v>0.27910000000000001</v>
      </c>
      <c r="I868" s="2296"/>
      <c r="J868" s="1550"/>
    </row>
    <row r="869" spans="1:10" ht="16.5">
      <c r="A869" s="2298" t="s">
        <v>5040</v>
      </c>
      <c r="B869" s="2299" t="s">
        <v>6347</v>
      </c>
      <c r="C869" s="1586" t="s">
        <v>3861</v>
      </c>
      <c r="D869" s="1558"/>
      <c r="E869" s="1558"/>
      <c r="F869" s="1559">
        <f t="shared" si="26"/>
        <v>0</v>
      </c>
      <c r="G869" s="1560" t="e">
        <f t="shared" si="27"/>
        <v>#DIV/0!</v>
      </c>
      <c r="H869" s="2294">
        <v>1.7399999999999999E-2</v>
      </c>
      <c r="I869" s="2296"/>
      <c r="J869" s="1550"/>
    </row>
    <row r="870" spans="1:10" ht="16.5">
      <c r="A870" s="2298" t="s">
        <v>5041</v>
      </c>
      <c r="B870" s="2299" t="s">
        <v>6348</v>
      </c>
      <c r="C870" s="1586" t="s">
        <v>3861</v>
      </c>
      <c r="D870" s="1558"/>
      <c r="E870" s="1558"/>
      <c r="F870" s="1559">
        <f t="shared" si="26"/>
        <v>0</v>
      </c>
      <c r="G870" s="1560" t="e">
        <f t="shared" si="27"/>
        <v>#DIV/0!</v>
      </c>
      <c r="H870" s="2294">
        <v>0.4153</v>
      </c>
      <c r="I870" s="2296"/>
      <c r="J870" s="1550"/>
    </row>
    <row r="871" spans="1:10" ht="16.5">
      <c r="A871" s="2298" t="s">
        <v>5042</v>
      </c>
      <c r="B871" s="2299" t="s">
        <v>6349</v>
      </c>
      <c r="C871" s="1586" t="s">
        <v>3861</v>
      </c>
      <c r="D871" s="1558"/>
      <c r="E871" s="1558"/>
      <c r="F871" s="1559">
        <f t="shared" si="26"/>
        <v>0</v>
      </c>
      <c r="G871" s="1560" t="e">
        <f t="shared" si="27"/>
        <v>#DIV/0!</v>
      </c>
      <c r="H871" s="2294">
        <v>9.7699999999999995E-2</v>
      </c>
      <c r="I871" s="2296"/>
      <c r="J871" s="1550"/>
    </row>
    <row r="872" spans="1:10" ht="16.5">
      <c r="A872" s="2298" t="s">
        <v>5043</v>
      </c>
      <c r="B872" s="2299" t="s">
        <v>6350</v>
      </c>
      <c r="C872" s="1586" t="s">
        <v>3861</v>
      </c>
      <c r="D872" s="1558"/>
      <c r="E872" s="1558"/>
      <c r="F872" s="1559">
        <f t="shared" si="26"/>
        <v>0</v>
      </c>
      <c r="G872" s="1560" t="e">
        <f t="shared" si="27"/>
        <v>#DIV/0!</v>
      </c>
      <c r="H872" s="2294">
        <v>0.74370000000000003</v>
      </c>
      <c r="I872" s="2296"/>
      <c r="J872" s="1550"/>
    </row>
    <row r="873" spans="1:10" ht="16.5">
      <c r="A873" s="2298" t="s">
        <v>5044</v>
      </c>
      <c r="B873" s="2299" t="s">
        <v>6351</v>
      </c>
      <c r="C873" s="1586" t="s">
        <v>3861</v>
      </c>
      <c r="D873" s="1558"/>
      <c r="E873" s="1558"/>
      <c r="F873" s="1559">
        <f t="shared" si="26"/>
        <v>0</v>
      </c>
      <c r="G873" s="1560" t="e">
        <f t="shared" si="27"/>
        <v>#DIV/0!</v>
      </c>
      <c r="H873" s="2294">
        <v>1.1977</v>
      </c>
      <c r="I873" s="2296"/>
      <c r="J873" s="1550"/>
    </row>
    <row r="874" spans="1:10" ht="16.5">
      <c r="A874" s="2298" t="s">
        <v>5045</v>
      </c>
      <c r="B874" s="2299" t="s">
        <v>6352</v>
      </c>
      <c r="C874" s="1586" t="s">
        <v>3861</v>
      </c>
      <c r="D874" s="1558"/>
      <c r="E874" s="1558"/>
      <c r="F874" s="1559">
        <f t="shared" si="26"/>
        <v>0</v>
      </c>
      <c r="G874" s="1560" t="e">
        <f t="shared" si="27"/>
        <v>#DIV/0!</v>
      </c>
      <c r="H874" s="2294">
        <v>1</v>
      </c>
      <c r="I874" s="2296" t="s">
        <v>5703</v>
      </c>
      <c r="J874" s="1550"/>
    </row>
    <row r="875" spans="1:10" ht="16.5">
      <c r="A875" s="2298" t="s">
        <v>5046</v>
      </c>
      <c r="B875" s="2299" t="s">
        <v>6353</v>
      </c>
      <c r="C875" s="1586" t="s">
        <v>3861</v>
      </c>
      <c r="D875" s="1558"/>
      <c r="E875" s="1558"/>
      <c r="F875" s="1559">
        <f t="shared" si="26"/>
        <v>0</v>
      </c>
      <c r="G875" s="1560" t="e">
        <f t="shared" si="27"/>
        <v>#DIV/0!</v>
      </c>
      <c r="H875" s="2294">
        <v>0.50380000000000003</v>
      </c>
      <c r="I875" s="2296"/>
      <c r="J875" s="1550"/>
    </row>
    <row r="876" spans="1:10" ht="16.5">
      <c r="A876" s="2298" t="s">
        <v>5047</v>
      </c>
      <c r="B876" s="2299" t="s">
        <v>6354</v>
      </c>
      <c r="C876" s="1586" t="s">
        <v>3861</v>
      </c>
      <c r="D876" s="1558"/>
      <c r="E876" s="1558"/>
      <c r="F876" s="1559">
        <f t="shared" si="26"/>
        <v>0</v>
      </c>
      <c r="G876" s="1560" t="e">
        <f t="shared" si="27"/>
        <v>#DIV/0!</v>
      </c>
      <c r="H876" s="2294">
        <v>0.36580000000000001</v>
      </c>
      <c r="I876" s="2296"/>
      <c r="J876" s="1550"/>
    </row>
    <row r="877" spans="1:10" ht="16.5">
      <c r="A877" s="2298" t="s">
        <v>5048</v>
      </c>
      <c r="B877" s="2299" t="s">
        <v>6355</v>
      </c>
      <c r="C877" s="1586" t="s">
        <v>3861</v>
      </c>
      <c r="D877" s="1558"/>
      <c r="E877" s="1558"/>
      <c r="F877" s="1559">
        <f t="shared" si="26"/>
        <v>0</v>
      </c>
      <c r="G877" s="1560" t="e">
        <f t="shared" si="27"/>
        <v>#DIV/0!</v>
      </c>
      <c r="H877" s="2294">
        <v>1</v>
      </c>
      <c r="I877" s="2296" t="s">
        <v>5703</v>
      </c>
      <c r="J877" s="1550"/>
    </row>
    <row r="878" spans="1:10" ht="16.5">
      <c r="A878" s="2298" t="s">
        <v>5049</v>
      </c>
      <c r="B878" s="2299" t="s">
        <v>6356</v>
      </c>
      <c r="C878" s="1586" t="s">
        <v>3861</v>
      </c>
      <c r="D878" s="1558"/>
      <c r="E878" s="1558"/>
      <c r="F878" s="1559">
        <f t="shared" si="26"/>
        <v>0</v>
      </c>
      <c r="G878" s="1560" t="e">
        <f t="shared" si="27"/>
        <v>#DIV/0!</v>
      </c>
      <c r="H878" s="2294">
        <v>0.76729999999999998</v>
      </c>
      <c r="I878" s="2296"/>
      <c r="J878" s="1550"/>
    </row>
    <row r="879" spans="1:10" ht="16.5">
      <c r="A879" s="2298" t="s">
        <v>5050</v>
      </c>
      <c r="B879" s="2299" t="s">
        <v>6357</v>
      </c>
      <c r="C879" s="1586" t="s">
        <v>3861</v>
      </c>
      <c r="D879" s="1558"/>
      <c r="E879" s="1558"/>
      <c r="F879" s="1559">
        <f t="shared" si="26"/>
        <v>0</v>
      </c>
      <c r="G879" s="1560" t="e">
        <f t="shared" si="27"/>
        <v>#DIV/0!</v>
      </c>
      <c r="H879" s="2294">
        <v>1</v>
      </c>
      <c r="I879" s="2296" t="s">
        <v>5703</v>
      </c>
      <c r="J879" s="1550"/>
    </row>
    <row r="880" spans="1:10" ht="16.5">
      <c r="A880" s="2298" t="s">
        <v>5051</v>
      </c>
      <c r="B880" s="2299" t="s">
        <v>6358</v>
      </c>
      <c r="C880" s="1586" t="s">
        <v>3861</v>
      </c>
      <c r="D880" s="1558"/>
      <c r="E880" s="1558"/>
      <c r="F880" s="1559">
        <f t="shared" si="26"/>
        <v>0</v>
      </c>
      <c r="G880" s="1560" t="e">
        <f t="shared" si="27"/>
        <v>#DIV/0!</v>
      </c>
      <c r="H880" s="2294">
        <v>1</v>
      </c>
      <c r="I880" s="2296" t="s">
        <v>5703</v>
      </c>
      <c r="J880" s="1550"/>
    </row>
    <row r="881" spans="1:10" ht="16.5">
      <c r="A881" s="2298" t="s">
        <v>5052</v>
      </c>
      <c r="B881" s="2299" t="s">
        <v>6359</v>
      </c>
      <c r="C881" s="1586" t="s">
        <v>3861</v>
      </c>
      <c r="D881" s="1558"/>
      <c r="E881" s="1558"/>
      <c r="F881" s="1559">
        <f t="shared" si="26"/>
        <v>0</v>
      </c>
      <c r="G881" s="1560" t="e">
        <f t="shared" si="27"/>
        <v>#DIV/0!</v>
      </c>
      <c r="H881" s="2294">
        <v>1</v>
      </c>
      <c r="I881" s="2296" t="s">
        <v>5703</v>
      </c>
      <c r="J881" s="1550"/>
    </row>
    <row r="882" spans="1:10" ht="16.5">
      <c r="A882" s="2298" t="s">
        <v>5053</v>
      </c>
      <c r="B882" s="2299" t="s">
        <v>6360</v>
      </c>
      <c r="C882" s="1586" t="s">
        <v>3861</v>
      </c>
      <c r="D882" s="1558"/>
      <c r="E882" s="1558"/>
      <c r="F882" s="1559">
        <f t="shared" si="26"/>
        <v>0</v>
      </c>
      <c r="G882" s="1560" t="e">
        <f t="shared" si="27"/>
        <v>#DIV/0!</v>
      </c>
      <c r="H882" s="2294">
        <v>0.9466</v>
      </c>
      <c r="I882" s="2296"/>
      <c r="J882" s="1550"/>
    </row>
    <row r="883" spans="1:10" ht="16.5">
      <c r="A883" s="2298" t="s">
        <v>5054</v>
      </c>
      <c r="B883" s="2299" t="s">
        <v>6361</v>
      </c>
      <c r="C883" s="1586" t="s">
        <v>3861</v>
      </c>
      <c r="D883" s="1558"/>
      <c r="E883" s="1558"/>
      <c r="F883" s="1559">
        <f t="shared" si="26"/>
        <v>0</v>
      </c>
      <c r="G883" s="1560" t="e">
        <f t="shared" si="27"/>
        <v>#DIV/0!</v>
      </c>
      <c r="H883" s="2294">
        <v>1.6532</v>
      </c>
      <c r="I883" s="2296"/>
      <c r="J883" s="1550"/>
    </row>
    <row r="884" spans="1:10" ht="16.5">
      <c r="A884" s="2298" t="s">
        <v>5055</v>
      </c>
      <c r="B884" s="2299" t="s">
        <v>6362</v>
      </c>
      <c r="C884" s="1586" t="s">
        <v>3861</v>
      </c>
      <c r="D884" s="1558"/>
      <c r="E884" s="1558"/>
      <c r="F884" s="1559">
        <f t="shared" si="26"/>
        <v>0</v>
      </c>
      <c r="G884" s="1560" t="e">
        <f t="shared" si="27"/>
        <v>#DIV/0!</v>
      </c>
      <c r="H884" s="2294">
        <v>0.65490000000000004</v>
      </c>
      <c r="I884" s="2296"/>
      <c r="J884" s="1550"/>
    </row>
    <row r="885" spans="1:10" ht="16.5">
      <c r="A885" s="2298" t="s">
        <v>5056</v>
      </c>
      <c r="B885" s="2299" t="s">
        <v>6363</v>
      </c>
      <c r="C885" s="1586" t="s">
        <v>3861</v>
      </c>
      <c r="D885" s="1558"/>
      <c r="E885" s="1558"/>
      <c r="F885" s="1559">
        <f t="shared" si="26"/>
        <v>0</v>
      </c>
      <c r="G885" s="1560" t="e">
        <f t="shared" si="27"/>
        <v>#DIV/0!</v>
      </c>
      <c r="H885" s="2294">
        <v>1.405</v>
      </c>
      <c r="I885" s="2296"/>
      <c r="J885" s="1550"/>
    </row>
    <row r="886" spans="1:10" ht="16.5">
      <c r="A886" s="2298" t="s">
        <v>5057</v>
      </c>
      <c r="B886" s="2299" t="s">
        <v>6364</v>
      </c>
      <c r="C886" s="1586" t="s">
        <v>3861</v>
      </c>
      <c r="D886" s="1558"/>
      <c r="E886" s="1558"/>
      <c r="F886" s="1559">
        <f t="shared" si="26"/>
        <v>0</v>
      </c>
      <c r="G886" s="1560" t="e">
        <f t="shared" si="27"/>
        <v>#DIV/0!</v>
      </c>
      <c r="H886" s="2294">
        <v>0.57620000000000005</v>
      </c>
      <c r="I886" s="2296"/>
      <c r="J886" s="1550"/>
    </row>
    <row r="887" spans="1:10" ht="16.5">
      <c r="A887" s="2298" t="s">
        <v>5058</v>
      </c>
      <c r="B887" s="2299" t="s">
        <v>6365</v>
      </c>
      <c r="C887" s="1586" t="s">
        <v>3861</v>
      </c>
      <c r="D887" s="1558"/>
      <c r="E887" s="1558"/>
      <c r="F887" s="1559">
        <f t="shared" si="26"/>
        <v>0</v>
      </c>
      <c r="G887" s="1560" t="e">
        <f t="shared" si="27"/>
        <v>#DIV/0!</v>
      </c>
      <c r="H887" s="2294">
        <v>0.75460000000000005</v>
      </c>
      <c r="I887" s="2296"/>
      <c r="J887" s="1550"/>
    </row>
    <row r="888" spans="1:10" ht="16.5">
      <c r="A888" s="2298" t="s">
        <v>5059</v>
      </c>
      <c r="B888" s="2299" t="s">
        <v>6366</v>
      </c>
      <c r="C888" s="1586" t="s">
        <v>3861</v>
      </c>
      <c r="D888" s="1558"/>
      <c r="E888" s="1558"/>
      <c r="F888" s="1559">
        <f t="shared" si="26"/>
        <v>0</v>
      </c>
      <c r="G888" s="1560" t="e">
        <f t="shared" si="27"/>
        <v>#DIV/0!</v>
      </c>
      <c r="H888" s="2294">
        <v>1.9611000000000001</v>
      </c>
      <c r="I888" s="2296"/>
      <c r="J888" s="1550"/>
    </row>
    <row r="889" spans="1:10" ht="16.5">
      <c r="A889" s="2298" t="s">
        <v>5060</v>
      </c>
      <c r="B889" s="2299" t="s">
        <v>6367</v>
      </c>
      <c r="C889" s="1586" t="s">
        <v>3861</v>
      </c>
      <c r="D889" s="1558"/>
      <c r="E889" s="1558"/>
      <c r="F889" s="1559">
        <f t="shared" si="26"/>
        <v>0</v>
      </c>
      <c r="G889" s="1560" t="e">
        <f t="shared" si="27"/>
        <v>#DIV/0!</v>
      </c>
      <c r="H889" s="2294">
        <v>0.88080000000000003</v>
      </c>
      <c r="I889" s="2296"/>
      <c r="J889" s="1550"/>
    </row>
    <row r="890" spans="1:10" ht="16.5">
      <c r="A890" s="2298" t="s">
        <v>5061</v>
      </c>
      <c r="B890" s="2299" t="s">
        <v>6368</v>
      </c>
      <c r="C890" s="1586" t="s">
        <v>3861</v>
      </c>
      <c r="D890" s="1558"/>
      <c r="E890" s="1558"/>
      <c r="F890" s="1559">
        <f t="shared" si="26"/>
        <v>0</v>
      </c>
      <c r="G890" s="1560" t="e">
        <f t="shared" si="27"/>
        <v>#DIV/0!</v>
      </c>
      <c r="H890" s="2294">
        <v>0.28560000000000002</v>
      </c>
      <c r="I890" s="2296"/>
      <c r="J890" s="1550"/>
    </row>
    <row r="891" spans="1:10" ht="16.5">
      <c r="A891" s="2298" t="s">
        <v>5062</v>
      </c>
      <c r="B891" s="2299" t="s">
        <v>6369</v>
      </c>
      <c r="C891" s="1586" t="s">
        <v>3861</v>
      </c>
      <c r="D891" s="1558"/>
      <c r="E891" s="1558"/>
      <c r="F891" s="1559">
        <f t="shared" si="26"/>
        <v>0</v>
      </c>
      <c r="G891" s="1560" t="e">
        <f t="shared" si="27"/>
        <v>#DIV/0!</v>
      </c>
      <c r="H891" s="2294">
        <v>1.0642</v>
      </c>
      <c r="I891" s="2296"/>
      <c r="J891" s="1550"/>
    </row>
    <row r="892" spans="1:10" ht="16.5">
      <c r="A892" s="2298" t="s">
        <v>5063</v>
      </c>
      <c r="B892" s="2299" t="s">
        <v>6370</v>
      </c>
      <c r="C892" s="1586" t="s">
        <v>3861</v>
      </c>
      <c r="D892" s="1558"/>
      <c r="E892" s="1558"/>
      <c r="F892" s="1559">
        <f t="shared" si="26"/>
        <v>0</v>
      </c>
      <c r="G892" s="1560" t="e">
        <f t="shared" si="27"/>
        <v>#DIV/0!</v>
      </c>
      <c r="H892" s="2294">
        <v>0.56689999999999996</v>
      </c>
      <c r="I892" s="2296"/>
      <c r="J892" s="1550"/>
    </row>
    <row r="893" spans="1:10" ht="16.5">
      <c r="A893" s="2298" t="s">
        <v>5064</v>
      </c>
      <c r="B893" s="2299" t="s">
        <v>6371</v>
      </c>
      <c r="C893" s="1586" t="s">
        <v>3861</v>
      </c>
      <c r="D893" s="1558"/>
      <c r="E893" s="1558"/>
      <c r="F893" s="1559">
        <f t="shared" si="26"/>
        <v>0</v>
      </c>
      <c r="G893" s="1560" t="e">
        <f t="shared" si="27"/>
        <v>#DIV/0!</v>
      </c>
      <c r="H893" s="2294">
        <v>0.43790000000000001</v>
      </c>
      <c r="I893" s="2296"/>
      <c r="J893" s="1550"/>
    </row>
    <row r="894" spans="1:10" ht="16.5">
      <c r="A894" s="2298" t="s">
        <v>5065</v>
      </c>
      <c r="B894" s="2299" t="s">
        <v>6372</v>
      </c>
      <c r="C894" s="1586" t="s">
        <v>3861</v>
      </c>
      <c r="D894" s="1558"/>
      <c r="E894" s="1558"/>
      <c r="F894" s="1559">
        <f t="shared" si="26"/>
        <v>0</v>
      </c>
      <c r="G894" s="1560" t="e">
        <f t="shared" si="27"/>
        <v>#DIV/0!</v>
      </c>
      <c r="H894" s="2294">
        <v>1</v>
      </c>
      <c r="I894" s="2296" t="s">
        <v>5703</v>
      </c>
      <c r="J894" s="1550"/>
    </row>
    <row r="895" spans="1:10" ht="16.5">
      <c r="A895" s="2298" t="s">
        <v>5066</v>
      </c>
      <c r="B895" s="2299" t="s">
        <v>6373</v>
      </c>
      <c r="C895" s="1586" t="s">
        <v>3861</v>
      </c>
      <c r="D895" s="1558"/>
      <c r="E895" s="1558"/>
      <c r="F895" s="1559">
        <f t="shared" si="26"/>
        <v>0</v>
      </c>
      <c r="G895" s="1560" t="e">
        <f t="shared" si="27"/>
        <v>#DIV/0!</v>
      </c>
      <c r="H895" s="2294">
        <v>1.2210000000000001</v>
      </c>
      <c r="I895" s="2296"/>
      <c r="J895" s="1550"/>
    </row>
    <row r="896" spans="1:10" ht="16.5">
      <c r="A896" s="2298" t="s">
        <v>5067</v>
      </c>
      <c r="B896" s="2299" t="s">
        <v>6374</v>
      </c>
      <c r="C896" s="1586" t="s">
        <v>3861</v>
      </c>
      <c r="D896" s="1558"/>
      <c r="E896" s="1558"/>
      <c r="F896" s="1559">
        <f t="shared" si="26"/>
        <v>0</v>
      </c>
      <c r="G896" s="1560" t="e">
        <f t="shared" si="27"/>
        <v>#DIV/0!</v>
      </c>
      <c r="H896" s="2294">
        <v>1.0649</v>
      </c>
      <c r="I896" s="2296"/>
      <c r="J896" s="1550"/>
    </row>
    <row r="897" spans="1:10" ht="16.5">
      <c r="A897" s="2298" t="s">
        <v>5068</v>
      </c>
      <c r="B897" s="2299" t="s">
        <v>6375</v>
      </c>
      <c r="C897" s="1586" t="s">
        <v>3861</v>
      </c>
      <c r="D897" s="1558"/>
      <c r="E897" s="1558"/>
      <c r="F897" s="1559">
        <f t="shared" si="26"/>
        <v>0</v>
      </c>
      <c r="G897" s="1560" t="e">
        <f t="shared" si="27"/>
        <v>#DIV/0!</v>
      </c>
      <c r="H897" s="2294">
        <v>0.4279</v>
      </c>
      <c r="I897" s="2296"/>
      <c r="J897" s="1550"/>
    </row>
    <row r="898" spans="1:10" ht="16.5">
      <c r="A898" s="2298" t="s">
        <v>5069</v>
      </c>
      <c r="B898" s="2299" t="s">
        <v>6376</v>
      </c>
      <c r="C898" s="1586" t="s">
        <v>3861</v>
      </c>
      <c r="D898" s="1558"/>
      <c r="E898" s="1558"/>
      <c r="F898" s="1559">
        <f t="shared" si="26"/>
        <v>0</v>
      </c>
      <c r="G898" s="1560" t="e">
        <f t="shared" si="27"/>
        <v>#DIV/0!</v>
      </c>
      <c r="H898" s="2294">
        <v>0.52939999999999998</v>
      </c>
      <c r="I898" s="2296"/>
      <c r="J898" s="1550"/>
    </row>
    <row r="899" spans="1:10" ht="16.5">
      <c r="A899" s="2298" t="s">
        <v>5070</v>
      </c>
      <c r="B899" s="2299" t="s">
        <v>6377</v>
      </c>
      <c r="C899" s="1586" t="s">
        <v>3861</v>
      </c>
      <c r="D899" s="1558"/>
      <c r="E899" s="1558"/>
      <c r="F899" s="1559">
        <f t="shared" si="26"/>
        <v>0</v>
      </c>
      <c r="G899" s="1560" t="e">
        <f t="shared" si="27"/>
        <v>#DIV/0!</v>
      </c>
      <c r="H899" s="2294">
        <v>0.33860000000000001</v>
      </c>
      <c r="I899" s="2296"/>
      <c r="J899" s="1550"/>
    </row>
    <row r="900" spans="1:10" ht="16.5">
      <c r="A900" s="2298" t="s">
        <v>5071</v>
      </c>
      <c r="B900" s="2299" t="s">
        <v>6378</v>
      </c>
      <c r="C900" s="1586" t="s">
        <v>3861</v>
      </c>
      <c r="D900" s="1558"/>
      <c r="E900" s="1558"/>
      <c r="F900" s="1559">
        <f t="shared" si="26"/>
        <v>0</v>
      </c>
      <c r="G900" s="1560" t="e">
        <f t="shared" si="27"/>
        <v>#DIV/0!</v>
      </c>
      <c r="H900" s="2294">
        <v>1.0237000000000001</v>
      </c>
      <c r="I900" s="2296"/>
      <c r="J900" s="1550"/>
    </row>
    <row r="901" spans="1:10" ht="16.5">
      <c r="A901" s="2298" t="s">
        <v>5072</v>
      </c>
      <c r="B901" s="2299" t="s">
        <v>6379</v>
      </c>
      <c r="C901" s="1586" t="s">
        <v>3861</v>
      </c>
      <c r="D901" s="1558"/>
      <c r="E901" s="1558"/>
      <c r="F901" s="1559">
        <f t="shared" ref="F901:F964" si="28">D901*E901</f>
        <v>0</v>
      </c>
      <c r="G901" s="1560" t="e">
        <f t="shared" ref="G901:G964" si="29">F901/$F$1214</f>
        <v>#DIV/0!</v>
      </c>
      <c r="H901" s="2294">
        <v>1.0744</v>
      </c>
      <c r="I901" s="2296"/>
      <c r="J901" s="1550"/>
    </row>
    <row r="902" spans="1:10" ht="16.5">
      <c r="A902" s="2298" t="s">
        <v>5073</v>
      </c>
      <c r="B902" s="2299" t="s">
        <v>6380</v>
      </c>
      <c r="C902" s="1586" t="s">
        <v>3861</v>
      </c>
      <c r="D902" s="1558"/>
      <c r="E902" s="1558"/>
      <c r="F902" s="1559">
        <f t="shared" si="28"/>
        <v>0</v>
      </c>
      <c r="G902" s="1560" t="e">
        <f t="shared" si="29"/>
        <v>#DIV/0!</v>
      </c>
      <c r="H902" s="2294">
        <v>0.49890000000000001</v>
      </c>
      <c r="I902" s="2296"/>
      <c r="J902" s="1550"/>
    </row>
    <row r="903" spans="1:10" ht="16.5">
      <c r="A903" s="2298" t="s">
        <v>5074</v>
      </c>
      <c r="B903" s="2299" t="s">
        <v>6381</v>
      </c>
      <c r="C903" s="1586" t="s">
        <v>3861</v>
      </c>
      <c r="D903" s="1558"/>
      <c r="E903" s="1558"/>
      <c r="F903" s="1559">
        <f t="shared" si="28"/>
        <v>0</v>
      </c>
      <c r="G903" s="1560" t="e">
        <f t="shared" si="29"/>
        <v>#DIV/0!</v>
      </c>
      <c r="H903" s="2294">
        <v>1.0174000000000001</v>
      </c>
      <c r="I903" s="2296"/>
      <c r="J903" s="1550"/>
    </row>
    <row r="904" spans="1:10" ht="16.5">
      <c r="A904" s="2298" t="s">
        <v>5075</v>
      </c>
      <c r="B904" s="2299" t="s">
        <v>6382</v>
      </c>
      <c r="C904" s="1586" t="s">
        <v>3861</v>
      </c>
      <c r="D904" s="1558"/>
      <c r="E904" s="1558"/>
      <c r="F904" s="1559">
        <f t="shared" si="28"/>
        <v>0</v>
      </c>
      <c r="G904" s="1560" t="e">
        <f t="shared" si="29"/>
        <v>#DIV/0!</v>
      </c>
      <c r="H904" s="2294">
        <v>0.99139999999999995</v>
      </c>
      <c r="I904" s="2296"/>
      <c r="J904" s="1550"/>
    </row>
    <row r="905" spans="1:10" ht="16.5">
      <c r="A905" s="2298" t="s">
        <v>5076</v>
      </c>
      <c r="B905" s="2299" t="s">
        <v>6383</v>
      </c>
      <c r="C905" s="1586" t="s">
        <v>3861</v>
      </c>
      <c r="D905" s="1558"/>
      <c r="E905" s="1558"/>
      <c r="F905" s="1559">
        <f t="shared" si="28"/>
        <v>0</v>
      </c>
      <c r="G905" s="1560" t="e">
        <f t="shared" si="29"/>
        <v>#DIV/0!</v>
      </c>
      <c r="H905" s="2294">
        <v>1.0848</v>
      </c>
      <c r="I905" s="2296"/>
      <c r="J905" s="1550"/>
    </row>
    <row r="906" spans="1:10" ht="16.5">
      <c r="A906" s="2298" t="s">
        <v>5077</v>
      </c>
      <c r="B906" s="2299" t="s">
        <v>6384</v>
      </c>
      <c r="C906" s="1586" t="s">
        <v>3861</v>
      </c>
      <c r="D906" s="1558"/>
      <c r="E906" s="1558"/>
      <c r="F906" s="1559">
        <f t="shared" si="28"/>
        <v>0</v>
      </c>
      <c r="G906" s="1560" t="e">
        <f t="shared" si="29"/>
        <v>#DIV/0!</v>
      </c>
      <c r="H906" s="2294">
        <v>0.16</v>
      </c>
      <c r="I906" s="2296"/>
      <c r="J906" s="1550"/>
    </row>
    <row r="907" spans="1:10" ht="16.5">
      <c r="A907" s="2298" t="s">
        <v>5078</v>
      </c>
      <c r="B907" s="2299" t="s">
        <v>6385</v>
      </c>
      <c r="C907" s="1586" t="s">
        <v>3861</v>
      </c>
      <c r="D907" s="1558"/>
      <c r="E907" s="1558"/>
      <c r="F907" s="1559">
        <f t="shared" si="28"/>
        <v>0</v>
      </c>
      <c r="G907" s="1560" t="e">
        <f t="shared" si="29"/>
        <v>#DIV/0!</v>
      </c>
      <c r="H907" s="2294">
        <v>0.41339999999999999</v>
      </c>
      <c r="I907" s="2296"/>
      <c r="J907" s="1550"/>
    </row>
    <row r="908" spans="1:10" ht="16.5">
      <c r="A908" s="2298" t="s">
        <v>5079</v>
      </c>
      <c r="B908" s="2299" t="s">
        <v>6386</v>
      </c>
      <c r="C908" s="1586" t="s">
        <v>3861</v>
      </c>
      <c r="D908" s="1558"/>
      <c r="E908" s="1558"/>
      <c r="F908" s="1559">
        <f t="shared" si="28"/>
        <v>0</v>
      </c>
      <c r="G908" s="1560" t="e">
        <f t="shared" si="29"/>
        <v>#DIV/0!</v>
      </c>
      <c r="H908" s="2294">
        <v>1.0610999999999999</v>
      </c>
      <c r="I908" s="2296"/>
      <c r="J908" s="1550"/>
    </row>
    <row r="909" spans="1:10" ht="16.5">
      <c r="A909" s="2298" t="s">
        <v>5080</v>
      </c>
      <c r="B909" s="2299" t="s">
        <v>6387</v>
      </c>
      <c r="C909" s="1586" t="s">
        <v>3861</v>
      </c>
      <c r="D909" s="1558"/>
      <c r="E909" s="1558"/>
      <c r="F909" s="1559">
        <f t="shared" si="28"/>
        <v>0</v>
      </c>
      <c r="G909" s="1560" t="e">
        <f t="shared" si="29"/>
        <v>#DIV/0!</v>
      </c>
      <c r="H909" s="2294">
        <v>0.81140000000000001</v>
      </c>
      <c r="I909" s="2296"/>
      <c r="J909" s="1550"/>
    </row>
    <row r="910" spans="1:10" ht="16.5">
      <c r="A910" s="2298" t="s">
        <v>5081</v>
      </c>
      <c r="B910" s="2299" t="s">
        <v>6388</v>
      </c>
      <c r="C910" s="1586" t="s">
        <v>3861</v>
      </c>
      <c r="D910" s="1558"/>
      <c r="E910" s="1558"/>
      <c r="F910" s="1559">
        <f t="shared" si="28"/>
        <v>0</v>
      </c>
      <c r="G910" s="1560" t="e">
        <f t="shared" si="29"/>
        <v>#DIV/0!</v>
      </c>
      <c r="H910" s="2294">
        <v>0.36449999999999999</v>
      </c>
      <c r="I910" s="2296"/>
      <c r="J910" s="1550"/>
    </row>
    <row r="911" spans="1:10" ht="16.5">
      <c r="A911" s="2298" t="s">
        <v>5082</v>
      </c>
      <c r="B911" s="2299" t="s">
        <v>6389</v>
      </c>
      <c r="C911" s="1586" t="s">
        <v>3861</v>
      </c>
      <c r="D911" s="1558"/>
      <c r="E911" s="1558"/>
      <c r="F911" s="1559">
        <f t="shared" si="28"/>
        <v>0</v>
      </c>
      <c r="G911" s="1560" t="e">
        <f t="shared" si="29"/>
        <v>#DIV/0!</v>
      </c>
      <c r="H911" s="2294">
        <v>0.40429999999999999</v>
      </c>
      <c r="I911" s="2296"/>
      <c r="J911" s="1550"/>
    </row>
    <row r="912" spans="1:10" ht="16.5">
      <c r="A912" s="2298" t="s">
        <v>5083</v>
      </c>
      <c r="B912" s="2299" t="s">
        <v>6390</v>
      </c>
      <c r="C912" s="1586" t="s">
        <v>3861</v>
      </c>
      <c r="D912" s="1558"/>
      <c r="E912" s="1558"/>
      <c r="F912" s="1559">
        <f t="shared" si="28"/>
        <v>0</v>
      </c>
      <c r="G912" s="1560" t="e">
        <f t="shared" si="29"/>
        <v>#DIV/0!</v>
      </c>
      <c r="H912" s="2294">
        <v>0.76390000000000002</v>
      </c>
      <c r="I912" s="2296"/>
      <c r="J912" s="1550"/>
    </row>
    <row r="913" spans="1:10" ht="16.5">
      <c r="A913" s="2298" t="s">
        <v>5084</v>
      </c>
      <c r="B913" s="2299" t="s">
        <v>6391</v>
      </c>
      <c r="C913" s="1586" t="s">
        <v>3861</v>
      </c>
      <c r="D913" s="1558"/>
      <c r="E913" s="1558"/>
      <c r="F913" s="1559">
        <f t="shared" si="28"/>
        <v>0</v>
      </c>
      <c r="G913" s="1560" t="e">
        <f t="shared" si="29"/>
        <v>#DIV/0!</v>
      </c>
      <c r="H913" s="2294">
        <v>0.26919999999999999</v>
      </c>
      <c r="I913" s="2296"/>
      <c r="J913" s="1550"/>
    </row>
    <row r="914" spans="1:10" ht="16.5">
      <c r="A914" s="2298" t="s">
        <v>5085</v>
      </c>
      <c r="B914" s="2299" t="s">
        <v>6392</v>
      </c>
      <c r="C914" s="1586" t="s">
        <v>3861</v>
      </c>
      <c r="D914" s="1558"/>
      <c r="E914" s="1558"/>
      <c r="F914" s="1559">
        <f t="shared" si="28"/>
        <v>0</v>
      </c>
      <c r="G914" s="1560" t="e">
        <f t="shared" si="29"/>
        <v>#DIV/0!</v>
      </c>
      <c r="H914" s="2294">
        <v>0.33760000000000001</v>
      </c>
      <c r="I914" s="2296"/>
      <c r="J914" s="1550"/>
    </row>
    <row r="915" spans="1:10" ht="16.5">
      <c r="A915" s="2298" t="s">
        <v>5086</v>
      </c>
      <c r="B915" s="2299" t="s">
        <v>6393</v>
      </c>
      <c r="C915" s="1586" t="s">
        <v>3861</v>
      </c>
      <c r="D915" s="1558"/>
      <c r="E915" s="1558"/>
      <c r="F915" s="1559">
        <f t="shared" si="28"/>
        <v>0</v>
      </c>
      <c r="G915" s="1560" t="e">
        <f t="shared" si="29"/>
        <v>#DIV/0!</v>
      </c>
      <c r="H915" s="2294">
        <v>0.19420000000000001</v>
      </c>
      <c r="I915" s="2296"/>
      <c r="J915" s="1550"/>
    </row>
    <row r="916" spans="1:10" ht="16.5">
      <c r="A916" s="2298" t="s">
        <v>5087</v>
      </c>
      <c r="B916" s="2299" t="s">
        <v>6394</v>
      </c>
      <c r="C916" s="1586" t="s">
        <v>3861</v>
      </c>
      <c r="D916" s="1558"/>
      <c r="E916" s="1558"/>
      <c r="F916" s="1559">
        <f t="shared" si="28"/>
        <v>0</v>
      </c>
      <c r="G916" s="1560" t="e">
        <f t="shared" si="29"/>
        <v>#DIV/0!</v>
      </c>
      <c r="H916" s="2294">
        <v>0.25850000000000001</v>
      </c>
      <c r="I916" s="2296"/>
      <c r="J916" s="1550"/>
    </row>
    <row r="917" spans="1:10" ht="16.5">
      <c r="A917" s="2298" t="s">
        <v>5088</v>
      </c>
      <c r="B917" s="2299" t="s">
        <v>6395</v>
      </c>
      <c r="C917" s="1586" t="s">
        <v>3861</v>
      </c>
      <c r="D917" s="1558"/>
      <c r="E917" s="1558"/>
      <c r="F917" s="1559">
        <f t="shared" si="28"/>
        <v>0</v>
      </c>
      <c r="G917" s="1560" t="e">
        <f t="shared" si="29"/>
        <v>#DIV/0!</v>
      </c>
      <c r="H917" s="2294">
        <v>0.53959999999999997</v>
      </c>
      <c r="I917" s="2296"/>
      <c r="J917" s="1550"/>
    </row>
    <row r="918" spans="1:10" ht="16.5">
      <c r="A918" s="2298" t="s">
        <v>5089</v>
      </c>
      <c r="B918" s="2299" t="s">
        <v>6396</v>
      </c>
      <c r="C918" s="1586" t="s">
        <v>3861</v>
      </c>
      <c r="D918" s="1558"/>
      <c r="E918" s="1558"/>
      <c r="F918" s="1559">
        <f t="shared" si="28"/>
        <v>0</v>
      </c>
      <c r="G918" s="1560" t="e">
        <f t="shared" si="29"/>
        <v>#DIV/0!</v>
      </c>
      <c r="H918" s="2294">
        <v>0.24049999999999999</v>
      </c>
      <c r="I918" s="2296"/>
      <c r="J918" s="1550"/>
    </row>
    <row r="919" spans="1:10" ht="16.5">
      <c r="A919" s="2298" t="s">
        <v>5090</v>
      </c>
      <c r="B919" s="2299" t="s">
        <v>6397</v>
      </c>
      <c r="C919" s="1586" t="s">
        <v>3861</v>
      </c>
      <c r="D919" s="1558"/>
      <c r="E919" s="1558"/>
      <c r="F919" s="1559">
        <f t="shared" si="28"/>
        <v>0</v>
      </c>
      <c r="G919" s="1560" t="e">
        <f t="shared" si="29"/>
        <v>#DIV/0!</v>
      </c>
      <c r="H919" s="2294">
        <v>0.36580000000000001</v>
      </c>
      <c r="I919" s="2296"/>
      <c r="J919" s="1550"/>
    </row>
    <row r="920" spans="1:10" ht="16.5">
      <c r="A920" s="2298" t="s">
        <v>5091</v>
      </c>
      <c r="B920" s="2299" t="s">
        <v>6398</v>
      </c>
      <c r="C920" s="1586" t="s">
        <v>3861</v>
      </c>
      <c r="D920" s="1558"/>
      <c r="E920" s="1558"/>
      <c r="F920" s="1559">
        <f t="shared" si="28"/>
        <v>0</v>
      </c>
      <c r="G920" s="1560" t="e">
        <f t="shared" si="29"/>
        <v>#DIV/0!</v>
      </c>
      <c r="H920" s="2294">
        <v>0.41689999999999999</v>
      </c>
      <c r="I920" s="2296"/>
      <c r="J920" s="1550"/>
    </row>
    <row r="921" spans="1:10" ht="16.5">
      <c r="A921" s="2298" t="s">
        <v>5092</v>
      </c>
      <c r="B921" s="2299" t="s">
        <v>6399</v>
      </c>
      <c r="C921" s="1586" t="s">
        <v>3861</v>
      </c>
      <c r="D921" s="1558"/>
      <c r="E921" s="1558"/>
      <c r="F921" s="1559">
        <f t="shared" si="28"/>
        <v>0</v>
      </c>
      <c r="G921" s="1560" t="e">
        <f t="shared" si="29"/>
        <v>#DIV/0!</v>
      </c>
      <c r="H921" s="2294">
        <v>1</v>
      </c>
      <c r="I921" s="2296" t="s">
        <v>5703</v>
      </c>
      <c r="J921" s="1550"/>
    </row>
    <row r="922" spans="1:10" ht="16.5">
      <c r="A922" s="2298" t="s">
        <v>5093</v>
      </c>
      <c r="B922" s="2299" t="s">
        <v>6400</v>
      </c>
      <c r="C922" s="1586" t="s">
        <v>3861</v>
      </c>
      <c r="D922" s="1558"/>
      <c r="E922" s="1558"/>
      <c r="F922" s="1559">
        <f t="shared" si="28"/>
        <v>0</v>
      </c>
      <c r="G922" s="1560" t="e">
        <f t="shared" si="29"/>
        <v>#DIV/0!</v>
      </c>
      <c r="H922" s="2294">
        <v>0.47870000000000001</v>
      </c>
      <c r="I922" s="2296"/>
      <c r="J922" s="1550"/>
    </row>
    <row r="923" spans="1:10" ht="16.5">
      <c r="A923" s="2298" t="s">
        <v>5094</v>
      </c>
      <c r="B923" s="2299" t="s">
        <v>6401</v>
      </c>
      <c r="C923" s="1586" t="s">
        <v>3861</v>
      </c>
      <c r="D923" s="1558"/>
      <c r="E923" s="1558"/>
      <c r="F923" s="1559">
        <f t="shared" si="28"/>
        <v>0</v>
      </c>
      <c r="G923" s="1560" t="e">
        <f t="shared" si="29"/>
        <v>#DIV/0!</v>
      </c>
      <c r="H923" s="2294">
        <v>1.0082</v>
      </c>
      <c r="I923" s="2296"/>
      <c r="J923" s="1550"/>
    </row>
    <row r="924" spans="1:10" ht="16.5">
      <c r="A924" s="2298" t="s">
        <v>5095</v>
      </c>
      <c r="B924" s="2299" t="s">
        <v>6402</v>
      </c>
      <c r="C924" s="1586" t="s">
        <v>3861</v>
      </c>
      <c r="D924" s="1558"/>
      <c r="E924" s="1558"/>
      <c r="F924" s="1559">
        <f t="shared" si="28"/>
        <v>0</v>
      </c>
      <c r="G924" s="1560" t="e">
        <f t="shared" si="29"/>
        <v>#DIV/0!</v>
      </c>
      <c r="H924" s="2294">
        <v>0.43740000000000001</v>
      </c>
      <c r="I924" s="2296"/>
      <c r="J924" s="1550"/>
    </row>
    <row r="925" spans="1:10" ht="16.5">
      <c r="A925" s="2298" t="s">
        <v>5096</v>
      </c>
      <c r="B925" s="2299" t="s">
        <v>6403</v>
      </c>
      <c r="C925" s="1586" t="s">
        <v>3861</v>
      </c>
      <c r="D925" s="1558"/>
      <c r="E925" s="1558"/>
      <c r="F925" s="1559">
        <f t="shared" si="28"/>
        <v>0</v>
      </c>
      <c r="G925" s="1560" t="e">
        <f t="shared" si="29"/>
        <v>#DIV/0!</v>
      </c>
      <c r="H925" s="2294">
        <v>0.46939999999999998</v>
      </c>
      <c r="I925" s="2296"/>
      <c r="J925" s="1550"/>
    </row>
    <row r="926" spans="1:10" ht="16.5">
      <c r="A926" s="2298" t="s">
        <v>5097</v>
      </c>
      <c r="B926" s="2299" t="s">
        <v>6404</v>
      </c>
      <c r="C926" s="1586" t="s">
        <v>3861</v>
      </c>
      <c r="D926" s="1558"/>
      <c r="E926" s="1558"/>
      <c r="F926" s="1559">
        <f t="shared" si="28"/>
        <v>0</v>
      </c>
      <c r="G926" s="1560" t="e">
        <f t="shared" si="29"/>
        <v>#DIV/0!</v>
      </c>
      <c r="H926" s="2294">
        <v>0.24149999999999999</v>
      </c>
      <c r="I926" s="2296"/>
      <c r="J926" s="1550"/>
    </row>
    <row r="927" spans="1:10" ht="16.5">
      <c r="A927" s="2298" t="s">
        <v>5098</v>
      </c>
      <c r="B927" s="2299" t="s">
        <v>6405</v>
      </c>
      <c r="C927" s="1586" t="s">
        <v>3861</v>
      </c>
      <c r="D927" s="1558"/>
      <c r="E927" s="1558"/>
      <c r="F927" s="1559">
        <f t="shared" si="28"/>
        <v>0</v>
      </c>
      <c r="G927" s="1560" t="e">
        <f t="shared" si="29"/>
        <v>#DIV/0!</v>
      </c>
      <c r="H927" s="2294">
        <v>0.3765</v>
      </c>
      <c r="I927" s="2296"/>
      <c r="J927" s="1550"/>
    </row>
    <row r="928" spans="1:10" ht="16.5">
      <c r="A928" s="2298" t="s">
        <v>5099</v>
      </c>
      <c r="B928" s="2299" t="s">
        <v>6406</v>
      </c>
      <c r="C928" s="1586" t="s">
        <v>3861</v>
      </c>
      <c r="D928" s="1558"/>
      <c r="E928" s="1558"/>
      <c r="F928" s="1559">
        <f t="shared" si="28"/>
        <v>0</v>
      </c>
      <c r="G928" s="1560" t="e">
        <f t="shared" si="29"/>
        <v>#DIV/0!</v>
      </c>
      <c r="H928" s="2294">
        <v>0.20369999999999999</v>
      </c>
      <c r="I928" s="2296"/>
      <c r="J928" s="1550"/>
    </row>
    <row r="929" spans="1:10" ht="16.5">
      <c r="A929" s="2298" t="s">
        <v>5100</v>
      </c>
      <c r="B929" s="2299" t="s">
        <v>6407</v>
      </c>
      <c r="C929" s="1586" t="s">
        <v>3861</v>
      </c>
      <c r="D929" s="1558"/>
      <c r="E929" s="1558"/>
      <c r="F929" s="1559">
        <f t="shared" si="28"/>
        <v>0</v>
      </c>
      <c r="G929" s="1560" t="e">
        <f t="shared" si="29"/>
        <v>#DIV/0!</v>
      </c>
      <c r="H929" s="2294">
        <v>0.2266</v>
      </c>
      <c r="I929" s="2296"/>
      <c r="J929" s="1550"/>
    </row>
    <row r="930" spans="1:10" ht="16.5">
      <c r="A930" s="2298" t="s">
        <v>5101</v>
      </c>
      <c r="B930" s="2299" t="s">
        <v>6408</v>
      </c>
      <c r="C930" s="1586" t="s">
        <v>3861</v>
      </c>
      <c r="D930" s="1558"/>
      <c r="E930" s="1558"/>
      <c r="F930" s="1559">
        <f t="shared" si="28"/>
        <v>0</v>
      </c>
      <c r="G930" s="1560" t="e">
        <f t="shared" si="29"/>
        <v>#DIV/0!</v>
      </c>
      <c r="H930" s="2294">
        <v>0.1482</v>
      </c>
      <c r="I930" s="2296"/>
      <c r="J930" s="1550"/>
    </row>
    <row r="931" spans="1:10" ht="16.5">
      <c r="A931" s="2298" t="s">
        <v>5102</v>
      </c>
      <c r="B931" s="2299" t="s">
        <v>6409</v>
      </c>
      <c r="C931" s="1586" t="s">
        <v>3861</v>
      </c>
      <c r="D931" s="1558"/>
      <c r="E931" s="1558"/>
      <c r="F931" s="1559">
        <f t="shared" si="28"/>
        <v>0</v>
      </c>
      <c r="G931" s="1560" t="e">
        <f t="shared" si="29"/>
        <v>#DIV/0!</v>
      </c>
      <c r="H931" s="2294">
        <v>0.63519999999999999</v>
      </c>
      <c r="I931" s="2296"/>
      <c r="J931" s="1550"/>
    </row>
    <row r="932" spans="1:10" ht="16.5">
      <c r="A932" s="2298" t="s">
        <v>5103</v>
      </c>
      <c r="B932" s="2299" t="s">
        <v>6410</v>
      </c>
      <c r="C932" s="1586" t="s">
        <v>3861</v>
      </c>
      <c r="D932" s="1558"/>
      <c r="E932" s="1558"/>
      <c r="F932" s="1559">
        <f t="shared" si="28"/>
        <v>0</v>
      </c>
      <c r="G932" s="1560" t="e">
        <f t="shared" si="29"/>
        <v>#DIV/0!</v>
      </c>
      <c r="H932" s="2294">
        <v>0.1444</v>
      </c>
      <c r="I932" s="2296"/>
      <c r="J932" s="1550"/>
    </row>
    <row r="933" spans="1:10" ht="16.5">
      <c r="A933" s="2298" t="s">
        <v>5104</v>
      </c>
      <c r="B933" s="2299" t="s">
        <v>6411</v>
      </c>
      <c r="C933" s="1586" t="s">
        <v>3861</v>
      </c>
      <c r="D933" s="1558"/>
      <c r="E933" s="1558"/>
      <c r="F933" s="1559">
        <f t="shared" si="28"/>
        <v>0</v>
      </c>
      <c r="G933" s="1560" t="e">
        <f t="shared" si="29"/>
        <v>#DIV/0!</v>
      </c>
      <c r="H933" s="2294">
        <v>1.2097</v>
      </c>
      <c r="I933" s="2296"/>
      <c r="J933" s="1550"/>
    </row>
    <row r="934" spans="1:10" ht="16.5">
      <c r="A934" s="2298" t="s">
        <v>5105</v>
      </c>
      <c r="B934" s="2299" t="s">
        <v>6412</v>
      </c>
      <c r="C934" s="1586" t="s">
        <v>3861</v>
      </c>
      <c r="D934" s="1558"/>
      <c r="E934" s="1558"/>
      <c r="F934" s="1559">
        <f t="shared" si="28"/>
        <v>0</v>
      </c>
      <c r="G934" s="1560" t="e">
        <f t="shared" si="29"/>
        <v>#DIV/0!</v>
      </c>
      <c r="H934" s="2294">
        <v>0.11940000000000001</v>
      </c>
      <c r="I934" s="2296"/>
      <c r="J934" s="1550"/>
    </row>
    <row r="935" spans="1:10" ht="16.5">
      <c r="A935" s="2298" t="s">
        <v>5106</v>
      </c>
      <c r="B935" s="2299" t="s">
        <v>6413</v>
      </c>
      <c r="C935" s="1586" t="s">
        <v>3861</v>
      </c>
      <c r="D935" s="1558"/>
      <c r="E935" s="1558"/>
      <c r="F935" s="1559">
        <f t="shared" si="28"/>
        <v>0</v>
      </c>
      <c r="G935" s="1560" t="e">
        <f t="shared" si="29"/>
        <v>#DIV/0!</v>
      </c>
      <c r="H935" s="2294">
        <v>0.41510000000000002</v>
      </c>
      <c r="I935" s="2296"/>
      <c r="J935" s="1550"/>
    </row>
    <row r="936" spans="1:10" ht="16.5">
      <c r="A936" s="2298" t="s">
        <v>5107</v>
      </c>
      <c r="B936" s="2299" t="s">
        <v>6414</v>
      </c>
      <c r="C936" s="1586" t="s">
        <v>3861</v>
      </c>
      <c r="D936" s="1558"/>
      <c r="E936" s="1558"/>
      <c r="F936" s="1559">
        <f t="shared" si="28"/>
        <v>0</v>
      </c>
      <c r="G936" s="1560" t="e">
        <f t="shared" si="29"/>
        <v>#DIV/0!</v>
      </c>
      <c r="H936" s="2294">
        <v>0.65980000000000005</v>
      </c>
      <c r="I936" s="2296"/>
      <c r="J936" s="1550"/>
    </row>
    <row r="937" spans="1:10" ht="16.5">
      <c r="A937" s="2298" t="s">
        <v>5108</v>
      </c>
      <c r="B937" s="2299" t="s">
        <v>6415</v>
      </c>
      <c r="C937" s="1586" t="s">
        <v>3861</v>
      </c>
      <c r="D937" s="1558"/>
      <c r="E937" s="1558"/>
      <c r="F937" s="1559">
        <f t="shared" si="28"/>
        <v>0</v>
      </c>
      <c r="G937" s="1560" t="e">
        <f t="shared" si="29"/>
        <v>#DIV/0!</v>
      </c>
      <c r="H937" s="2294">
        <v>0.7359</v>
      </c>
      <c r="I937" s="2296"/>
      <c r="J937" s="1550"/>
    </row>
    <row r="938" spans="1:10" ht="16.5">
      <c r="A938" s="2298" t="s">
        <v>5109</v>
      </c>
      <c r="B938" s="2299" t="s">
        <v>6416</v>
      </c>
      <c r="C938" s="1586" t="s">
        <v>3861</v>
      </c>
      <c r="D938" s="1558"/>
      <c r="E938" s="1558"/>
      <c r="F938" s="1559">
        <f t="shared" si="28"/>
        <v>0</v>
      </c>
      <c r="G938" s="1560" t="e">
        <f t="shared" si="29"/>
        <v>#DIV/0!</v>
      </c>
      <c r="H938" s="2294">
        <v>6.6199999999999995E-2</v>
      </c>
      <c r="I938" s="2296"/>
      <c r="J938" s="1550"/>
    </row>
    <row r="939" spans="1:10" ht="16.5">
      <c r="A939" s="2298" t="s">
        <v>5110</v>
      </c>
      <c r="B939" s="2299" t="s">
        <v>6417</v>
      </c>
      <c r="C939" s="1586" t="s">
        <v>3861</v>
      </c>
      <c r="D939" s="1558"/>
      <c r="E939" s="1558"/>
      <c r="F939" s="1559">
        <f t="shared" si="28"/>
        <v>0</v>
      </c>
      <c r="G939" s="1560" t="e">
        <f t="shared" si="29"/>
        <v>#DIV/0!</v>
      </c>
      <c r="H939" s="2294">
        <v>0.375</v>
      </c>
      <c r="I939" s="2296"/>
      <c r="J939" s="1550"/>
    </row>
    <row r="940" spans="1:10" ht="16.5">
      <c r="A940" s="2298" t="s">
        <v>5111</v>
      </c>
      <c r="B940" s="2299" t="s">
        <v>6418</v>
      </c>
      <c r="C940" s="1586" t="s">
        <v>3861</v>
      </c>
      <c r="D940" s="1558"/>
      <c r="E940" s="1558"/>
      <c r="F940" s="1559">
        <f t="shared" si="28"/>
        <v>0</v>
      </c>
      <c r="G940" s="1560" t="e">
        <f t="shared" si="29"/>
        <v>#DIV/0!</v>
      </c>
      <c r="H940" s="2294">
        <v>0.18240000000000001</v>
      </c>
      <c r="I940" s="2296"/>
      <c r="J940" s="1550"/>
    </row>
    <row r="941" spans="1:10" ht="16.5">
      <c r="A941" s="2298" t="s">
        <v>5112</v>
      </c>
      <c r="B941" s="2299" t="s">
        <v>6419</v>
      </c>
      <c r="C941" s="1586" t="s">
        <v>3861</v>
      </c>
      <c r="D941" s="1558"/>
      <c r="E941" s="1558"/>
      <c r="F941" s="1559">
        <f t="shared" si="28"/>
        <v>0</v>
      </c>
      <c r="G941" s="1560" t="e">
        <f t="shared" si="29"/>
        <v>#DIV/0!</v>
      </c>
      <c r="H941" s="2294">
        <v>0.56820000000000004</v>
      </c>
      <c r="I941" s="2296"/>
      <c r="J941" s="1550"/>
    </row>
    <row r="942" spans="1:10" ht="16.5">
      <c r="A942" s="2298" t="s">
        <v>5113</v>
      </c>
      <c r="B942" s="2299" t="s">
        <v>6420</v>
      </c>
      <c r="C942" s="1586" t="s">
        <v>3861</v>
      </c>
      <c r="D942" s="1558"/>
      <c r="E942" s="1558"/>
      <c r="F942" s="1559">
        <f t="shared" si="28"/>
        <v>0</v>
      </c>
      <c r="G942" s="1560" t="e">
        <f t="shared" si="29"/>
        <v>#DIV/0!</v>
      </c>
      <c r="H942" s="2294">
        <v>0.42909999999999998</v>
      </c>
      <c r="I942" s="2296"/>
      <c r="J942" s="1550"/>
    </row>
    <row r="943" spans="1:10" ht="16.5">
      <c r="A943" s="2298" t="s">
        <v>5114</v>
      </c>
      <c r="B943" s="2299" t="s">
        <v>6421</v>
      </c>
      <c r="C943" s="1586" t="s">
        <v>3861</v>
      </c>
      <c r="D943" s="1558"/>
      <c r="E943" s="1558"/>
      <c r="F943" s="1559">
        <f t="shared" si="28"/>
        <v>0</v>
      </c>
      <c r="G943" s="1560" t="e">
        <f t="shared" si="29"/>
        <v>#DIV/0!</v>
      </c>
      <c r="H943" s="2294">
        <v>0.1242</v>
      </c>
      <c r="I943" s="2296"/>
      <c r="J943" s="1550"/>
    </row>
    <row r="944" spans="1:10" ht="16.5">
      <c r="A944" s="2298" t="s">
        <v>5115</v>
      </c>
      <c r="B944" s="2299" t="s">
        <v>6422</v>
      </c>
      <c r="C944" s="1586" t="s">
        <v>3861</v>
      </c>
      <c r="D944" s="1558"/>
      <c r="E944" s="1558"/>
      <c r="F944" s="1559">
        <f t="shared" si="28"/>
        <v>0</v>
      </c>
      <c r="G944" s="1560" t="e">
        <f t="shared" si="29"/>
        <v>#DIV/0!</v>
      </c>
      <c r="H944" s="2294">
        <v>0.29480000000000001</v>
      </c>
      <c r="I944" s="2296"/>
      <c r="J944" s="1550"/>
    </row>
    <row r="945" spans="1:10" ht="16.5">
      <c r="A945" s="2298" t="s">
        <v>5116</v>
      </c>
      <c r="B945" s="2299" t="s">
        <v>6423</v>
      </c>
      <c r="C945" s="1586" t="s">
        <v>3861</v>
      </c>
      <c r="D945" s="1558"/>
      <c r="E945" s="1558"/>
      <c r="F945" s="1559">
        <f t="shared" si="28"/>
        <v>0</v>
      </c>
      <c r="G945" s="1560" t="e">
        <f t="shared" si="29"/>
        <v>#DIV/0!</v>
      </c>
      <c r="H945" s="2294">
        <v>0.42320000000000002</v>
      </c>
      <c r="I945" s="2296"/>
      <c r="J945" s="1550"/>
    </row>
    <row r="946" spans="1:10" ht="16.5">
      <c r="A946" s="2298" t="s">
        <v>5117</v>
      </c>
      <c r="B946" s="2299" t="s">
        <v>6424</v>
      </c>
      <c r="C946" s="1586" t="s">
        <v>3861</v>
      </c>
      <c r="D946" s="1558"/>
      <c r="E946" s="1558"/>
      <c r="F946" s="1559">
        <f t="shared" si="28"/>
        <v>0</v>
      </c>
      <c r="G946" s="1560" t="e">
        <f t="shared" si="29"/>
        <v>#DIV/0!</v>
      </c>
      <c r="H946" s="2294">
        <v>-5.8200000000000002E-2</v>
      </c>
      <c r="I946" s="2296"/>
      <c r="J946" s="1550"/>
    </row>
    <row r="947" spans="1:10" ht="16.5">
      <c r="A947" s="2298" t="s">
        <v>5118</v>
      </c>
      <c r="B947" s="2299" t="s">
        <v>6425</v>
      </c>
      <c r="C947" s="1586" t="s">
        <v>3861</v>
      </c>
      <c r="D947" s="1558"/>
      <c r="E947" s="1558"/>
      <c r="F947" s="1559">
        <f t="shared" si="28"/>
        <v>0</v>
      </c>
      <c r="G947" s="1560" t="e">
        <f t="shared" si="29"/>
        <v>#DIV/0!</v>
      </c>
      <c r="H947" s="2294">
        <v>0.3548</v>
      </c>
      <c r="I947" s="2296"/>
      <c r="J947" s="1550"/>
    </row>
    <row r="948" spans="1:10" ht="16.5">
      <c r="A948" s="2298" t="s">
        <v>5119</v>
      </c>
      <c r="B948" s="2299" t="s">
        <v>6426</v>
      </c>
      <c r="C948" s="1586" t="s">
        <v>3861</v>
      </c>
      <c r="D948" s="1558"/>
      <c r="E948" s="1558"/>
      <c r="F948" s="1559">
        <f t="shared" si="28"/>
        <v>0</v>
      </c>
      <c r="G948" s="1560" t="e">
        <f t="shared" si="29"/>
        <v>#DIV/0!</v>
      </c>
      <c r="H948" s="2294">
        <v>0.13009999999999999</v>
      </c>
      <c r="I948" s="2296"/>
      <c r="J948" s="1550"/>
    </row>
    <row r="949" spans="1:10" ht="16.5">
      <c r="A949" s="2298" t="s">
        <v>5120</v>
      </c>
      <c r="B949" s="2299" t="s">
        <v>6427</v>
      </c>
      <c r="C949" s="1586" t="s">
        <v>3861</v>
      </c>
      <c r="D949" s="1558"/>
      <c r="E949" s="1558"/>
      <c r="F949" s="1559">
        <f t="shared" si="28"/>
        <v>0</v>
      </c>
      <c r="G949" s="1560" t="e">
        <f t="shared" si="29"/>
        <v>#DIV/0!</v>
      </c>
      <c r="H949" s="2294">
        <v>0.12820000000000001</v>
      </c>
      <c r="I949" s="2296"/>
      <c r="J949" s="1550"/>
    </row>
    <row r="950" spans="1:10" ht="16.5">
      <c r="A950" s="2298" t="s">
        <v>5121</v>
      </c>
      <c r="B950" s="2299" t="s">
        <v>6428</v>
      </c>
      <c r="C950" s="1586" t="s">
        <v>3861</v>
      </c>
      <c r="D950" s="1558"/>
      <c r="E950" s="1558"/>
      <c r="F950" s="1559">
        <f t="shared" si="28"/>
        <v>0</v>
      </c>
      <c r="G950" s="1560" t="e">
        <f t="shared" si="29"/>
        <v>#DIV/0!</v>
      </c>
      <c r="H950" s="2294">
        <v>0.18390000000000001</v>
      </c>
      <c r="I950" s="2296"/>
      <c r="J950" s="1550"/>
    </row>
    <row r="951" spans="1:10" ht="16.5">
      <c r="A951" s="2298" t="s">
        <v>5122</v>
      </c>
      <c r="B951" s="2299" t="s">
        <v>6429</v>
      </c>
      <c r="C951" s="1586" t="s">
        <v>3861</v>
      </c>
      <c r="D951" s="1558"/>
      <c r="E951" s="1558"/>
      <c r="F951" s="1559">
        <f t="shared" si="28"/>
        <v>0</v>
      </c>
      <c r="G951" s="1560" t="e">
        <f t="shared" si="29"/>
        <v>#DIV/0!</v>
      </c>
      <c r="H951" s="2294">
        <v>0.67159999999999997</v>
      </c>
      <c r="I951" s="2296"/>
      <c r="J951" s="1550"/>
    </row>
    <row r="952" spans="1:10" ht="16.5">
      <c r="A952" s="2298" t="s">
        <v>5123</v>
      </c>
      <c r="B952" s="2299" t="s">
        <v>6430</v>
      </c>
      <c r="C952" s="1586" t="s">
        <v>3861</v>
      </c>
      <c r="D952" s="1558"/>
      <c r="E952" s="1558"/>
      <c r="F952" s="1559">
        <f t="shared" si="28"/>
        <v>0</v>
      </c>
      <c r="G952" s="1560" t="e">
        <f t="shared" si="29"/>
        <v>#DIV/0!</v>
      </c>
      <c r="H952" s="2294">
        <v>0.3049</v>
      </c>
      <c r="I952" s="2296"/>
      <c r="J952" s="1550"/>
    </row>
    <row r="953" spans="1:10" ht="16.5">
      <c r="A953" s="2298" t="s">
        <v>5124</v>
      </c>
      <c r="B953" s="2299" t="s">
        <v>6431</v>
      </c>
      <c r="C953" s="1586" t="s">
        <v>3861</v>
      </c>
      <c r="D953" s="1558"/>
      <c r="E953" s="1558"/>
      <c r="F953" s="1559">
        <f t="shared" si="28"/>
        <v>0</v>
      </c>
      <c r="G953" s="1560" t="e">
        <f t="shared" si="29"/>
        <v>#DIV/0!</v>
      </c>
      <c r="H953" s="2294">
        <v>0.17469999999999999</v>
      </c>
      <c r="I953" s="2296"/>
      <c r="J953" s="1550"/>
    </row>
    <row r="954" spans="1:10" ht="16.5">
      <c r="A954" s="2298" t="s">
        <v>5125</v>
      </c>
      <c r="B954" s="2299" t="s">
        <v>6432</v>
      </c>
      <c r="C954" s="1586" t="s">
        <v>3861</v>
      </c>
      <c r="D954" s="1558"/>
      <c r="E954" s="1558"/>
      <c r="F954" s="1559">
        <f t="shared" si="28"/>
        <v>0</v>
      </c>
      <c r="G954" s="1560" t="e">
        <f t="shared" si="29"/>
        <v>#DIV/0!</v>
      </c>
      <c r="H954" s="2294">
        <v>7.4800000000000005E-2</v>
      </c>
      <c r="I954" s="2296"/>
      <c r="J954" s="1550"/>
    </row>
    <row r="955" spans="1:10" ht="16.5">
      <c r="A955" s="2298" t="s">
        <v>5126</v>
      </c>
      <c r="B955" s="2299" t="s">
        <v>6433</v>
      </c>
      <c r="C955" s="1586" t="s">
        <v>3861</v>
      </c>
      <c r="D955" s="1558"/>
      <c r="E955" s="1558"/>
      <c r="F955" s="1559">
        <f t="shared" si="28"/>
        <v>0</v>
      </c>
      <c r="G955" s="1560" t="e">
        <f t="shared" si="29"/>
        <v>#DIV/0!</v>
      </c>
      <c r="H955" s="2294">
        <v>0.23769999999999999</v>
      </c>
      <c r="I955" s="2296"/>
      <c r="J955" s="1550"/>
    </row>
    <row r="956" spans="1:10" ht="16.5">
      <c r="A956" s="2298" t="s">
        <v>5127</v>
      </c>
      <c r="B956" s="2299" t="s">
        <v>6434</v>
      </c>
      <c r="C956" s="1586" t="s">
        <v>3861</v>
      </c>
      <c r="D956" s="1558"/>
      <c r="E956" s="1558"/>
      <c r="F956" s="1559">
        <f t="shared" si="28"/>
        <v>0</v>
      </c>
      <c r="G956" s="1560" t="e">
        <f t="shared" si="29"/>
        <v>#DIV/0!</v>
      </c>
      <c r="H956" s="2294">
        <v>-0.25679999999999997</v>
      </c>
      <c r="I956" s="2296"/>
      <c r="J956" s="1550"/>
    </row>
    <row r="957" spans="1:10" ht="16.5">
      <c r="A957" s="2298" t="s">
        <v>5128</v>
      </c>
      <c r="B957" s="2299" t="s">
        <v>6435</v>
      </c>
      <c r="C957" s="1586" t="s">
        <v>3861</v>
      </c>
      <c r="D957" s="1558"/>
      <c r="E957" s="1558"/>
      <c r="F957" s="1559">
        <f t="shared" si="28"/>
        <v>0</v>
      </c>
      <c r="G957" s="1560" t="e">
        <f t="shared" si="29"/>
        <v>#DIV/0!</v>
      </c>
      <c r="H957" s="2294">
        <v>-0.1139</v>
      </c>
      <c r="I957" s="2296"/>
      <c r="J957" s="1550"/>
    </row>
    <row r="958" spans="1:10" ht="16.5">
      <c r="A958" s="2298" t="s">
        <v>5129</v>
      </c>
      <c r="B958" s="2299" t="s">
        <v>6436</v>
      </c>
      <c r="C958" s="1586" t="s">
        <v>3861</v>
      </c>
      <c r="D958" s="1558"/>
      <c r="E958" s="1558"/>
      <c r="F958" s="1559">
        <f t="shared" si="28"/>
        <v>0</v>
      </c>
      <c r="G958" s="1560" t="e">
        <f t="shared" si="29"/>
        <v>#DIV/0!</v>
      </c>
      <c r="H958" s="2294">
        <v>0.19350000000000001</v>
      </c>
      <c r="I958" s="2296"/>
      <c r="J958" s="1550"/>
    </row>
    <row r="959" spans="1:10" ht="16.5">
      <c r="A959" s="2298" t="s">
        <v>5130</v>
      </c>
      <c r="B959" s="2299" t="s">
        <v>6437</v>
      </c>
      <c r="C959" s="1586" t="s">
        <v>3861</v>
      </c>
      <c r="D959" s="1558"/>
      <c r="E959" s="1558"/>
      <c r="F959" s="1559">
        <f t="shared" si="28"/>
        <v>0</v>
      </c>
      <c r="G959" s="1560" t="e">
        <f t="shared" si="29"/>
        <v>#DIV/0!</v>
      </c>
      <c r="H959" s="2294">
        <v>7.3200000000000001E-2</v>
      </c>
      <c r="I959" s="2296"/>
      <c r="J959" s="1550"/>
    </row>
    <row r="960" spans="1:10" ht="16.5">
      <c r="A960" s="2298" t="s">
        <v>5131</v>
      </c>
      <c r="B960" s="2299" t="s">
        <v>6438</v>
      </c>
      <c r="C960" s="1586" t="s">
        <v>3861</v>
      </c>
      <c r="D960" s="1558"/>
      <c r="E960" s="1558"/>
      <c r="F960" s="1559">
        <f t="shared" si="28"/>
        <v>0</v>
      </c>
      <c r="G960" s="1560" t="e">
        <f t="shared" si="29"/>
        <v>#DIV/0!</v>
      </c>
      <c r="H960" s="2294">
        <v>0.17810000000000001</v>
      </c>
      <c r="I960" s="2296"/>
      <c r="J960" s="1550"/>
    </row>
    <row r="961" spans="1:10" ht="16.5">
      <c r="A961" s="2298" t="s">
        <v>5132</v>
      </c>
      <c r="B961" s="2299" t="s">
        <v>6439</v>
      </c>
      <c r="C961" s="1586" t="s">
        <v>3861</v>
      </c>
      <c r="D961" s="1558"/>
      <c r="E961" s="1558"/>
      <c r="F961" s="1559">
        <f t="shared" si="28"/>
        <v>0</v>
      </c>
      <c r="G961" s="1560" t="e">
        <f t="shared" si="29"/>
        <v>#DIV/0!</v>
      </c>
      <c r="H961" s="2294">
        <v>0.29659999999999997</v>
      </c>
      <c r="I961" s="2296"/>
      <c r="J961" s="1550"/>
    </row>
    <row r="962" spans="1:10" ht="16.5">
      <c r="A962" s="2298" t="s">
        <v>5133</v>
      </c>
      <c r="B962" s="2299" t="s">
        <v>6440</v>
      </c>
      <c r="C962" s="1586" t="s">
        <v>3861</v>
      </c>
      <c r="D962" s="1558"/>
      <c r="E962" s="1558"/>
      <c r="F962" s="1559">
        <f t="shared" si="28"/>
        <v>0</v>
      </c>
      <c r="G962" s="1560" t="e">
        <f t="shared" si="29"/>
        <v>#DIV/0!</v>
      </c>
      <c r="H962" s="2294">
        <v>0.46579999999999999</v>
      </c>
      <c r="I962" s="2296"/>
      <c r="J962" s="1550"/>
    </row>
    <row r="963" spans="1:10" ht="16.5">
      <c r="A963" s="2298" t="s">
        <v>5134</v>
      </c>
      <c r="B963" s="2299" t="s">
        <v>6441</v>
      </c>
      <c r="C963" s="1586" t="s">
        <v>3861</v>
      </c>
      <c r="D963" s="1558"/>
      <c r="E963" s="1558"/>
      <c r="F963" s="1559">
        <f t="shared" si="28"/>
        <v>0</v>
      </c>
      <c r="G963" s="1560" t="e">
        <f t="shared" si="29"/>
        <v>#DIV/0!</v>
      </c>
      <c r="H963" s="2294">
        <v>0.15809999999999999</v>
      </c>
      <c r="I963" s="2296"/>
      <c r="J963" s="1550"/>
    </row>
    <row r="964" spans="1:10" ht="16.5">
      <c r="A964" s="2298" t="s">
        <v>5135</v>
      </c>
      <c r="B964" s="2299" t="s">
        <v>6442</v>
      </c>
      <c r="C964" s="1586" t="s">
        <v>3861</v>
      </c>
      <c r="D964" s="1558"/>
      <c r="E964" s="1558"/>
      <c r="F964" s="1559">
        <f t="shared" si="28"/>
        <v>0</v>
      </c>
      <c r="G964" s="1560" t="e">
        <f t="shared" si="29"/>
        <v>#DIV/0!</v>
      </c>
      <c r="H964" s="2294">
        <v>0.82169999999999999</v>
      </c>
      <c r="I964" s="2296"/>
      <c r="J964" s="1550"/>
    </row>
    <row r="965" spans="1:10" ht="16.5">
      <c r="A965" s="2298" t="s">
        <v>5136</v>
      </c>
      <c r="B965" s="2299" t="s">
        <v>6443</v>
      </c>
      <c r="C965" s="1586" t="s">
        <v>3861</v>
      </c>
      <c r="D965" s="1558"/>
      <c r="E965" s="1558"/>
      <c r="F965" s="1559">
        <f t="shared" ref="F965:F1028" si="30">D965*E965</f>
        <v>0</v>
      </c>
      <c r="G965" s="1560" t="e">
        <f t="shared" ref="G965:G1028" si="31">F965/$F$1214</f>
        <v>#DIV/0!</v>
      </c>
      <c r="H965" s="2294">
        <v>0.31080000000000002</v>
      </c>
      <c r="I965" s="2296"/>
      <c r="J965" s="1550"/>
    </row>
    <row r="966" spans="1:10" ht="16.5">
      <c r="A966" s="2298" t="s">
        <v>5137</v>
      </c>
      <c r="B966" s="2299" t="s">
        <v>6444</v>
      </c>
      <c r="C966" s="1586" t="s">
        <v>3861</v>
      </c>
      <c r="D966" s="1558"/>
      <c r="E966" s="1558"/>
      <c r="F966" s="1559">
        <f t="shared" si="30"/>
        <v>0</v>
      </c>
      <c r="G966" s="1560" t="e">
        <f t="shared" si="31"/>
        <v>#DIV/0!</v>
      </c>
      <c r="H966" s="2294">
        <v>0.43990000000000001</v>
      </c>
      <c r="I966" s="2296"/>
      <c r="J966" s="1550"/>
    </row>
    <row r="967" spans="1:10" ht="16.5">
      <c r="A967" s="2298" t="s">
        <v>5138</v>
      </c>
      <c r="B967" s="2299" t="s">
        <v>6445</v>
      </c>
      <c r="C967" s="1586" t="s">
        <v>3861</v>
      </c>
      <c r="D967" s="1558"/>
      <c r="E967" s="1558"/>
      <c r="F967" s="1559">
        <f t="shared" si="30"/>
        <v>0</v>
      </c>
      <c r="G967" s="1560" t="e">
        <f t="shared" si="31"/>
        <v>#DIV/0!</v>
      </c>
      <c r="H967" s="2294">
        <v>0.77249999999999996</v>
      </c>
      <c r="I967" s="2296"/>
      <c r="J967" s="1550"/>
    </row>
    <row r="968" spans="1:10" ht="16.5">
      <c r="A968" s="2298" t="s">
        <v>5139</v>
      </c>
      <c r="B968" s="2299" t="s">
        <v>6446</v>
      </c>
      <c r="C968" s="1586" t="s">
        <v>3861</v>
      </c>
      <c r="D968" s="1558"/>
      <c r="E968" s="1558"/>
      <c r="F968" s="1559">
        <f t="shared" si="30"/>
        <v>0</v>
      </c>
      <c r="G968" s="1560" t="e">
        <f t="shared" si="31"/>
        <v>#DIV/0!</v>
      </c>
      <c r="H968" s="2294">
        <v>9.5299999999999996E-2</v>
      </c>
      <c r="I968" s="2296"/>
      <c r="J968" s="1550"/>
    </row>
    <row r="969" spans="1:10" ht="16.5">
      <c r="A969" s="2298" t="s">
        <v>5140</v>
      </c>
      <c r="B969" s="2299" t="s">
        <v>6447</v>
      </c>
      <c r="C969" s="1586" t="s">
        <v>3861</v>
      </c>
      <c r="D969" s="1558"/>
      <c r="E969" s="1558"/>
      <c r="F969" s="1559">
        <f t="shared" si="30"/>
        <v>0</v>
      </c>
      <c r="G969" s="1560" t="e">
        <f t="shared" si="31"/>
        <v>#DIV/0!</v>
      </c>
      <c r="H969" s="2294">
        <v>0.1641</v>
      </c>
      <c r="I969" s="2296"/>
      <c r="J969" s="1550"/>
    </row>
    <row r="970" spans="1:10" ht="16.5">
      <c r="A970" s="2298" t="s">
        <v>5141</v>
      </c>
      <c r="B970" s="2299" t="s">
        <v>6448</v>
      </c>
      <c r="C970" s="1586" t="s">
        <v>3861</v>
      </c>
      <c r="D970" s="1558"/>
      <c r="E970" s="1558"/>
      <c r="F970" s="1559">
        <f t="shared" si="30"/>
        <v>0</v>
      </c>
      <c r="G970" s="1560" t="e">
        <f t="shared" si="31"/>
        <v>#DIV/0!</v>
      </c>
      <c r="H970" s="2294">
        <v>6.1100000000000002E-2</v>
      </c>
      <c r="I970" s="2296"/>
      <c r="J970" s="1550"/>
    </row>
    <row r="971" spans="1:10" ht="16.5">
      <c r="A971" s="2298" t="s">
        <v>5142</v>
      </c>
      <c r="B971" s="2299" t="s">
        <v>6449</v>
      </c>
      <c r="C971" s="1586" t="s">
        <v>3861</v>
      </c>
      <c r="D971" s="1558"/>
      <c r="E971" s="1558"/>
      <c r="F971" s="1559">
        <f t="shared" si="30"/>
        <v>0</v>
      </c>
      <c r="G971" s="1560" t="e">
        <f t="shared" si="31"/>
        <v>#DIV/0!</v>
      </c>
      <c r="H971" s="2294">
        <v>0.68159999999999998</v>
      </c>
      <c r="I971" s="2296"/>
      <c r="J971" s="1550"/>
    </row>
    <row r="972" spans="1:10" ht="16.5">
      <c r="A972" s="2298" t="s">
        <v>5143</v>
      </c>
      <c r="B972" s="2299" t="s">
        <v>6450</v>
      </c>
      <c r="C972" s="1586" t="s">
        <v>3861</v>
      </c>
      <c r="D972" s="1558"/>
      <c r="E972" s="1558"/>
      <c r="F972" s="1559">
        <f t="shared" si="30"/>
        <v>0</v>
      </c>
      <c r="G972" s="1560" t="e">
        <f t="shared" si="31"/>
        <v>#DIV/0!</v>
      </c>
      <c r="H972" s="2294">
        <v>0.39939999999999998</v>
      </c>
      <c r="I972" s="2296"/>
      <c r="J972" s="1550"/>
    </row>
    <row r="973" spans="1:10" ht="16.5">
      <c r="A973" s="2298" t="s">
        <v>5144</v>
      </c>
      <c r="B973" s="2299" t="s">
        <v>6451</v>
      </c>
      <c r="C973" s="1586" t="s">
        <v>3861</v>
      </c>
      <c r="D973" s="1558"/>
      <c r="E973" s="1558"/>
      <c r="F973" s="1559">
        <f t="shared" si="30"/>
        <v>0</v>
      </c>
      <c r="G973" s="1560" t="e">
        <f t="shared" si="31"/>
        <v>#DIV/0!</v>
      </c>
      <c r="H973" s="2294">
        <v>-0.6643</v>
      </c>
      <c r="I973" s="2296"/>
      <c r="J973" s="1550"/>
    </row>
    <row r="974" spans="1:10" ht="16.5">
      <c r="A974" s="2298" t="s">
        <v>5145</v>
      </c>
      <c r="B974" s="2299" t="s">
        <v>6452</v>
      </c>
      <c r="C974" s="1586" t="s">
        <v>3861</v>
      </c>
      <c r="D974" s="1558"/>
      <c r="E974" s="1558"/>
      <c r="F974" s="1559">
        <f t="shared" si="30"/>
        <v>0</v>
      </c>
      <c r="G974" s="1560" t="e">
        <f t="shared" si="31"/>
        <v>#DIV/0!</v>
      </c>
      <c r="H974" s="2294">
        <v>0.873</v>
      </c>
      <c r="I974" s="2296"/>
      <c r="J974" s="1550"/>
    </row>
    <row r="975" spans="1:10" ht="16.5">
      <c r="A975" s="2298" t="s">
        <v>5146</v>
      </c>
      <c r="B975" s="2299" t="s">
        <v>6453</v>
      </c>
      <c r="C975" s="2489" t="s">
        <v>7293</v>
      </c>
      <c r="D975" s="1558"/>
      <c r="E975" s="1558"/>
      <c r="F975" s="1559">
        <f t="shared" si="30"/>
        <v>0</v>
      </c>
      <c r="G975" s="1560" t="e">
        <f t="shared" si="31"/>
        <v>#DIV/0!</v>
      </c>
      <c r="H975" s="2294">
        <v>0.71930000000000005</v>
      </c>
      <c r="I975" s="2296"/>
      <c r="J975" s="1550"/>
    </row>
    <row r="976" spans="1:10" ht="16.5">
      <c r="A976" s="2298" t="s">
        <v>5147</v>
      </c>
      <c r="B976" s="2299" t="s">
        <v>6454</v>
      </c>
      <c r="C976" s="2489" t="s">
        <v>7293</v>
      </c>
      <c r="D976" s="1558"/>
      <c r="E976" s="1558"/>
      <c r="F976" s="1559">
        <f t="shared" si="30"/>
        <v>0</v>
      </c>
      <c r="G976" s="1560" t="e">
        <f t="shared" si="31"/>
        <v>#DIV/0!</v>
      </c>
      <c r="H976" s="2294">
        <v>0.64059999999999995</v>
      </c>
      <c r="I976" s="2296"/>
      <c r="J976" s="1550"/>
    </row>
    <row r="977" spans="1:10" ht="16.5">
      <c r="A977" s="2298" t="s">
        <v>5148</v>
      </c>
      <c r="B977" s="2299" t="s">
        <v>6455</v>
      </c>
      <c r="C977" s="2489" t="s">
        <v>7294</v>
      </c>
      <c r="D977" s="1558"/>
      <c r="E977" s="1558"/>
      <c r="F977" s="1559">
        <f t="shared" si="30"/>
        <v>0</v>
      </c>
      <c r="G977" s="1560" t="e">
        <f t="shared" si="31"/>
        <v>#DIV/0!</v>
      </c>
      <c r="H977" s="2294">
        <v>0.90369999999999995</v>
      </c>
      <c r="I977" s="2296"/>
      <c r="J977" s="1550"/>
    </row>
    <row r="978" spans="1:10" ht="16.5">
      <c r="A978" s="2298" t="s">
        <v>5149</v>
      </c>
      <c r="B978" s="2299" t="s">
        <v>6456</v>
      </c>
      <c r="C978" s="2489" t="s">
        <v>7295</v>
      </c>
      <c r="D978" s="1558"/>
      <c r="E978" s="1558"/>
      <c r="F978" s="1559">
        <f t="shared" si="30"/>
        <v>0</v>
      </c>
      <c r="G978" s="1560" t="e">
        <f t="shared" si="31"/>
        <v>#DIV/0!</v>
      </c>
      <c r="H978" s="2294">
        <v>9.1999999999999998E-3</v>
      </c>
      <c r="I978" s="2296"/>
      <c r="J978" s="1550"/>
    </row>
    <row r="979" spans="1:10" ht="16.5">
      <c r="A979" s="2298" t="s">
        <v>5150</v>
      </c>
      <c r="B979" s="2299" t="s">
        <v>6457</v>
      </c>
      <c r="C979" s="2489" t="s">
        <v>7293</v>
      </c>
      <c r="D979" s="1558"/>
      <c r="E979" s="1558"/>
      <c r="F979" s="1559">
        <f t="shared" si="30"/>
        <v>0</v>
      </c>
      <c r="G979" s="1560" t="e">
        <f t="shared" si="31"/>
        <v>#DIV/0!</v>
      </c>
      <c r="H979" s="2294">
        <v>1.11E-2</v>
      </c>
      <c r="I979" s="2296"/>
      <c r="J979" s="1550"/>
    </row>
    <row r="980" spans="1:10" ht="16.5">
      <c r="A980" s="2298" t="s">
        <v>5151</v>
      </c>
      <c r="B980" s="2299" t="s">
        <v>6458</v>
      </c>
      <c r="C980" s="2489" t="s">
        <v>7294</v>
      </c>
      <c r="D980" s="1558"/>
      <c r="E980" s="1558"/>
      <c r="F980" s="1559">
        <f t="shared" si="30"/>
        <v>0</v>
      </c>
      <c r="G980" s="1560" t="e">
        <f t="shared" si="31"/>
        <v>#DIV/0!</v>
      </c>
      <c r="H980" s="2294">
        <v>0.59499999999999997</v>
      </c>
      <c r="I980" s="2296"/>
      <c r="J980" s="1550"/>
    </row>
    <row r="981" spans="1:10" ht="16.5">
      <c r="A981" s="2298" t="s">
        <v>5152</v>
      </c>
      <c r="B981" s="2299" t="s">
        <v>6459</v>
      </c>
      <c r="C981" s="2489" t="s">
        <v>7293</v>
      </c>
      <c r="D981" s="1558"/>
      <c r="E981" s="1558"/>
      <c r="F981" s="1559">
        <f t="shared" si="30"/>
        <v>0</v>
      </c>
      <c r="G981" s="1560" t="e">
        <f t="shared" si="31"/>
        <v>#DIV/0!</v>
      </c>
      <c r="H981" s="2294">
        <v>0.30809999999999998</v>
      </c>
      <c r="I981" s="2296"/>
      <c r="J981" s="1550"/>
    </row>
    <row r="982" spans="1:10" ht="16.5">
      <c r="A982" s="2298" t="s">
        <v>5153</v>
      </c>
      <c r="B982" s="2299" t="s">
        <v>6460</v>
      </c>
      <c r="C982" s="2489" t="s">
        <v>7294</v>
      </c>
      <c r="D982" s="1558"/>
      <c r="E982" s="1558"/>
      <c r="F982" s="1559">
        <f t="shared" si="30"/>
        <v>0</v>
      </c>
      <c r="G982" s="1560" t="e">
        <f t="shared" si="31"/>
        <v>#DIV/0!</v>
      </c>
      <c r="H982" s="2294">
        <v>0.30819999999999997</v>
      </c>
      <c r="I982" s="2296"/>
      <c r="J982" s="1550"/>
    </row>
    <row r="983" spans="1:10" ht="16.5">
      <c r="A983" s="2298" t="s">
        <v>5154</v>
      </c>
      <c r="B983" s="2299" t="s">
        <v>6461</v>
      </c>
      <c r="C983" s="2489" t="s">
        <v>7293</v>
      </c>
      <c r="D983" s="1558"/>
      <c r="E983" s="1558"/>
      <c r="F983" s="1559">
        <f t="shared" si="30"/>
        <v>0</v>
      </c>
      <c r="G983" s="1560" t="e">
        <f t="shared" si="31"/>
        <v>#DIV/0!</v>
      </c>
      <c r="H983" s="2294">
        <v>0.51570000000000005</v>
      </c>
      <c r="I983" s="2296"/>
      <c r="J983" s="1550"/>
    </row>
    <row r="984" spans="1:10" ht="16.5">
      <c r="A984" s="2298" t="s">
        <v>5155</v>
      </c>
      <c r="B984" s="2299" t="s">
        <v>6462</v>
      </c>
      <c r="C984" s="2489" t="s">
        <v>7293</v>
      </c>
      <c r="D984" s="1558"/>
      <c r="E984" s="1558"/>
      <c r="F984" s="1559">
        <f t="shared" si="30"/>
        <v>0</v>
      </c>
      <c r="G984" s="1560" t="e">
        <f t="shared" si="31"/>
        <v>#DIV/0!</v>
      </c>
      <c r="H984" s="2294">
        <v>0.14910000000000001</v>
      </c>
      <c r="I984" s="2296"/>
      <c r="J984" s="1550"/>
    </row>
    <row r="985" spans="1:10" ht="16.5">
      <c r="A985" s="2298" t="s">
        <v>5156</v>
      </c>
      <c r="B985" s="2299" t="s">
        <v>6463</v>
      </c>
      <c r="C985" s="2489" t="s">
        <v>7293</v>
      </c>
      <c r="D985" s="1558"/>
      <c r="E985" s="1558"/>
      <c r="F985" s="1559">
        <f t="shared" si="30"/>
        <v>0</v>
      </c>
      <c r="G985" s="1560" t="e">
        <f t="shared" si="31"/>
        <v>#DIV/0!</v>
      </c>
      <c r="H985" s="2294">
        <v>0.52859999999999996</v>
      </c>
      <c r="I985" s="2296"/>
      <c r="J985" s="1550"/>
    </row>
    <row r="986" spans="1:10" ht="16.5">
      <c r="A986" s="2298" t="s">
        <v>5157</v>
      </c>
      <c r="B986" s="2299" t="s">
        <v>6464</v>
      </c>
      <c r="C986" s="2489" t="s">
        <v>7293</v>
      </c>
      <c r="D986" s="1558"/>
      <c r="E986" s="1558"/>
      <c r="F986" s="1559">
        <f t="shared" si="30"/>
        <v>0</v>
      </c>
      <c r="G986" s="1560" t="e">
        <f t="shared" si="31"/>
        <v>#DIV/0!</v>
      </c>
      <c r="H986" s="2294">
        <v>0.66180000000000005</v>
      </c>
      <c r="I986" s="2296"/>
      <c r="J986" s="1550"/>
    </row>
    <row r="987" spans="1:10" ht="16.5">
      <c r="A987" s="2298" t="s">
        <v>5158</v>
      </c>
      <c r="B987" s="2299" t="s">
        <v>6465</v>
      </c>
      <c r="C987" s="2489" t="s">
        <v>7293</v>
      </c>
      <c r="D987" s="1558"/>
      <c r="E987" s="1558"/>
      <c r="F987" s="1559">
        <f t="shared" si="30"/>
        <v>0</v>
      </c>
      <c r="G987" s="1560" t="e">
        <f t="shared" si="31"/>
        <v>#DIV/0!</v>
      </c>
      <c r="H987" s="2294">
        <v>0.23400000000000001</v>
      </c>
      <c r="I987" s="2296"/>
      <c r="J987" s="1550"/>
    </row>
    <row r="988" spans="1:10" ht="16.5">
      <c r="A988" s="2298" t="s">
        <v>5159</v>
      </c>
      <c r="B988" s="2299" t="s">
        <v>6466</v>
      </c>
      <c r="C988" s="2489" t="s">
        <v>7294</v>
      </c>
      <c r="D988" s="1558"/>
      <c r="E988" s="1558"/>
      <c r="F988" s="1559">
        <f t="shared" si="30"/>
        <v>0</v>
      </c>
      <c r="G988" s="1560" t="e">
        <f t="shared" si="31"/>
        <v>#DIV/0!</v>
      </c>
      <c r="H988" s="2294">
        <v>0.2341</v>
      </c>
      <c r="I988" s="2296"/>
      <c r="J988" s="1550"/>
    </row>
    <row r="989" spans="1:10" ht="16.5">
      <c r="A989" s="2298" t="s">
        <v>5160</v>
      </c>
      <c r="B989" s="2299" t="s">
        <v>6467</v>
      </c>
      <c r="C989" s="2489" t="s">
        <v>7294</v>
      </c>
      <c r="D989" s="1558"/>
      <c r="E989" s="1558"/>
      <c r="F989" s="1559">
        <f t="shared" si="30"/>
        <v>0</v>
      </c>
      <c r="G989" s="1560" t="e">
        <f t="shared" si="31"/>
        <v>#DIV/0!</v>
      </c>
      <c r="H989" s="2294">
        <v>3.6299999999999999E-2</v>
      </c>
      <c r="I989" s="2296"/>
      <c r="J989" s="1550"/>
    </row>
    <row r="990" spans="1:10" ht="16.5">
      <c r="A990" s="2298" t="s">
        <v>5161</v>
      </c>
      <c r="B990" s="2299" t="s">
        <v>6468</v>
      </c>
      <c r="C990" s="2489" t="s">
        <v>7294</v>
      </c>
      <c r="D990" s="1558"/>
      <c r="E990" s="1558"/>
      <c r="F990" s="1559">
        <f t="shared" si="30"/>
        <v>0</v>
      </c>
      <c r="G990" s="1560" t="e">
        <f t="shared" si="31"/>
        <v>#DIV/0!</v>
      </c>
      <c r="H990" s="2294">
        <v>3.7900000000000003E-2</v>
      </c>
      <c r="I990" s="2296"/>
      <c r="J990" s="1550"/>
    </row>
    <row r="991" spans="1:10" ht="16.5">
      <c r="A991" s="2298" t="s">
        <v>5162</v>
      </c>
      <c r="B991" s="2299" t="s">
        <v>6469</v>
      </c>
      <c r="C991" s="2489" t="s">
        <v>7294</v>
      </c>
      <c r="D991" s="1558"/>
      <c r="E991" s="1558"/>
      <c r="F991" s="1559">
        <f t="shared" si="30"/>
        <v>0</v>
      </c>
      <c r="G991" s="1560" t="e">
        <f t="shared" si="31"/>
        <v>#DIV/0!</v>
      </c>
      <c r="H991" s="2294">
        <v>3.2599999999999997E-2</v>
      </c>
      <c r="I991" s="2296"/>
      <c r="J991" s="1550"/>
    </row>
    <row r="992" spans="1:10" ht="16.5">
      <c r="A992" s="2298" t="s">
        <v>5163</v>
      </c>
      <c r="B992" s="2299" t="s">
        <v>6470</v>
      </c>
      <c r="C992" s="2489" t="s">
        <v>7293</v>
      </c>
      <c r="D992" s="1558"/>
      <c r="E992" s="1558"/>
      <c r="F992" s="1559">
        <f t="shared" si="30"/>
        <v>0</v>
      </c>
      <c r="G992" s="1560" t="e">
        <f t="shared" si="31"/>
        <v>#DIV/0!</v>
      </c>
      <c r="H992" s="2294">
        <v>0.71020000000000005</v>
      </c>
      <c r="I992" s="2296"/>
      <c r="J992" s="1550"/>
    </row>
    <row r="993" spans="1:10" ht="16.5">
      <c r="A993" s="2298" t="s">
        <v>5164</v>
      </c>
      <c r="B993" s="2299" t="s">
        <v>6471</v>
      </c>
      <c r="C993" s="2489" t="s">
        <v>7293</v>
      </c>
      <c r="D993" s="1558"/>
      <c r="E993" s="1558"/>
      <c r="F993" s="1559">
        <f t="shared" si="30"/>
        <v>0</v>
      </c>
      <c r="G993" s="1560" t="e">
        <f t="shared" si="31"/>
        <v>#DIV/0!</v>
      </c>
      <c r="H993" s="2294">
        <v>0.34520000000000001</v>
      </c>
      <c r="I993" s="2296"/>
      <c r="J993" s="1550"/>
    </row>
    <row r="994" spans="1:10" ht="16.5">
      <c r="A994" s="2298" t="s">
        <v>5165</v>
      </c>
      <c r="B994" s="2299" t="s">
        <v>6472</v>
      </c>
      <c r="C994" s="2489" t="s">
        <v>7294</v>
      </c>
      <c r="D994" s="1558"/>
      <c r="E994" s="1558"/>
      <c r="F994" s="1559">
        <f t="shared" si="30"/>
        <v>0</v>
      </c>
      <c r="G994" s="1560" t="e">
        <f t="shared" si="31"/>
        <v>#DIV/0!</v>
      </c>
      <c r="H994" s="2294">
        <v>0.34520000000000001</v>
      </c>
      <c r="I994" s="2296"/>
      <c r="J994" s="1550"/>
    </row>
    <row r="995" spans="1:10" ht="16.5">
      <c r="A995" s="2298" t="s">
        <v>5166</v>
      </c>
      <c r="B995" s="2299" t="s">
        <v>6473</v>
      </c>
      <c r="C995" s="2489" t="s">
        <v>7294</v>
      </c>
      <c r="D995" s="1558"/>
      <c r="E995" s="1558"/>
      <c r="F995" s="1559">
        <f t="shared" si="30"/>
        <v>0</v>
      </c>
      <c r="G995" s="1560" t="e">
        <f t="shared" si="31"/>
        <v>#DIV/0!</v>
      </c>
      <c r="H995" s="2294">
        <v>0.51980000000000004</v>
      </c>
      <c r="I995" s="2296"/>
      <c r="J995" s="1550"/>
    </row>
    <row r="996" spans="1:10" ht="16.5">
      <c r="A996" s="2298" t="s">
        <v>5167</v>
      </c>
      <c r="B996" s="2299" t="s">
        <v>6474</v>
      </c>
      <c r="C996" s="2489" t="s">
        <v>7293</v>
      </c>
      <c r="D996" s="1558"/>
      <c r="E996" s="1558"/>
      <c r="F996" s="1559">
        <f t="shared" si="30"/>
        <v>0</v>
      </c>
      <c r="G996" s="1560" t="e">
        <f t="shared" si="31"/>
        <v>#DIV/0!</v>
      </c>
      <c r="H996" s="2294">
        <v>0.51990000000000003</v>
      </c>
      <c r="I996" s="2296"/>
      <c r="J996" s="1550"/>
    </row>
    <row r="997" spans="1:10" ht="16.5">
      <c r="A997" s="2298" t="s">
        <v>5168</v>
      </c>
      <c r="B997" s="2299" t="s">
        <v>6475</v>
      </c>
      <c r="C997" s="2489" t="s">
        <v>7293</v>
      </c>
      <c r="D997" s="1558"/>
      <c r="E997" s="1558"/>
      <c r="F997" s="1559">
        <f t="shared" si="30"/>
        <v>0</v>
      </c>
      <c r="G997" s="1560" t="e">
        <f t="shared" si="31"/>
        <v>#DIV/0!</v>
      </c>
      <c r="H997" s="2294">
        <v>0.2361</v>
      </c>
      <c r="I997" s="2296"/>
      <c r="J997" s="1550"/>
    </row>
    <row r="998" spans="1:10" ht="16.5">
      <c r="A998" s="2298" t="s">
        <v>5169</v>
      </c>
      <c r="B998" s="2299" t="s">
        <v>6476</v>
      </c>
      <c r="C998" s="2489" t="s">
        <v>7295</v>
      </c>
      <c r="D998" s="1558"/>
      <c r="E998" s="1558"/>
      <c r="F998" s="1559">
        <f t="shared" si="30"/>
        <v>0</v>
      </c>
      <c r="G998" s="1560" t="e">
        <f t="shared" si="31"/>
        <v>#DIV/0!</v>
      </c>
      <c r="H998" s="2294">
        <v>0.23599999999999999</v>
      </c>
      <c r="I998" s="2296"/>
      <c r="J998" s="1550"/>
    </row>
    <row r="999" spans="1:10" ht="16.5">
      <c r="A999" s="2298" t="s">
        <v>5170</v>
      </c>
      <c r="B999" s="2299" t="s">
        <v>6477</v>
      </c>
      <c r="C999" s="2489" t="s">
        <v>7294</v>
      </c>
      <c r="D999" s="1558"/>
      <c r="E999" s="1558"/>
      <c r="F999" s="1559">
        <f t="shared" si="30"/>
        <v>0</v>
      </c>
      <c r="G999" s="1560" t="e">
        <f t="shared" si="31"/>
        <v>#DIV/0!</v>
      </c>
      <c r="H999" s="2294">
        <v>0.57509999999999994</v>
      </c>
      <c r="I999" s="2296"/>
      <c r="J999" s="1550"/>
    </row>
    <row r="1000" spans="1:10" ht="16.5">
      <c r="A1000" s="2298" t="s">
        <v>5171</v>
      </c>
      <c r="B1000" s="2299" t="s">
        <v>6478</v>
      </c>
      <c r="C1000" s="2489" t="s">
        <v>7294</v>
      </c>
      <c r="D1000" s="1558"/>
      <c r="E1000" s="1558"/>
      <c r="F1000" s="1559">
        <f t="shared" si="30"/>
        <v>0</v>
      </c>
      <c r="G1000" s="1560" t="e">
        <f t="shared" si="31"/>
        <v>#DIV/0!</v>
      </c>
      <c r="H1000" s="2294">
        <v>0.1444</v>
      </c>
      <c r="I1000" s="2296"/>
      <c r="J1000" s="1550"/>
    </row>
    <row r="1001" spans="1:10" ht="16.5">
      <c r="A1001" s="2298" t="s">
        <v>5172</v>
      </c>
      <c r="B1001" s="2299" t="s">
        <v>6479</v>
      </c>
      <c r="C1001" s="2489" t="s">
        <v>7293</v>
      </c>
      <c r="D1001" s="1558"/>
      <c r="E1001" s="1558"/>
      <c r="F1001" s="1559">
        <f t="shared" si="30"/>
        <v>0</v>
      </c>
      <c r="G1001" s="1560" t="e">
        <f t="shared" si="31"/>
        <v>#DIV/0!</v>
      </c>
      <c r="H1001" s="2294">
        <v>0.41139999999999999</v>
      </c>
      <c r="I1001" s="2296"/>
      <c r="J1001" s="1550"/>
    </row>
    <row r="1002" spans="1:10" ht="16.5">
      <c r="A1002" s="2298" t="s">
        <v>5173</v>
      </c>
      <c r="B1002" s="2299" t="s">
        <v>6480</v>
      </c>
      <c r="C1002" s="2489" t="s">
        <v>7293</v>
      </c>
      <c r="D1002" s="1558"/>
      <c r="E1002" s="1558"/>
      <c r="F1002" s="1559">
        <f t="shared" si="30"/>
        <v>0</v>
      </c>
      <c r="G1002" s="1560" t="e">
        <f t="shared" si="31"/>
        <v>#DIV/0!</v>
      </c>
      <c r="H1002" s="2294">
        <v>0.41149999999999998</v>
      </c>
      <c r="I1002" s="2296"/>
      <c r="J1002" s="1550"/>
    </row>
    <row r="1003" spans="1:10" ht="16.5">
      <c r="A1003" s="2298" t="s">
        <v>5174</v>
      </c>
      <c r="B1003" s="2299" t="s">
        <v>6481</v>
      </c>
      <c r="C1003" s="2489" t="s">
        <v>7294</v>
      </c>
      <c r="D1003" s="1558"/>
      <c r="E1003" s="1558"/>
      <c r="F1003" s="1559">
        <f t="shared" si="30"/>
        <v>0</v>
      </c>
      <c r="G1003" s="1560" t="e">
        <f t="shared" si="31"/>
        <v>#DIV/0!</v>
      </c>
      <c r="H1003" s="2294">
        <v>0.31169999999999998</v>
      </c>
      <c r="I1003" s="2296"/>
      <c r="J1003" s="1550"/>
    </row>
    <row r="1004" spans="1:10" ht="16.5">
      <c r="A1004" s="2298" t="s">
        <v>5175</v>
      </c>
      <c r="B1004" s="2299" t="s">
        <v>6482</v>
      </c>
      <c r="C1004" s="2489" t="s">
        <v>7294</v>
      </c>
      <c r="D1004" s="1558"/>
      <c r="E1004" s="1558"/>
      <c r="F1004" s="1559">
        <f t="shared" si="30"/>
        <v>0</v>
      </c>
      <c r="G1004" s="1560" t="e">
        <f t="shared" si="31"/>
        <v>#DIV/0!</v>
      </c>
      <c r="H1004" s="2294">
        <v>0.31169999999999998</v>
      </c>
      <c r="I1004" s="2296"/>
      <c r="J1004" s="1550"/>
    </row>
    <row r="1005" spans="1:10" ht="16.5">
      <c r="A1005" s="2298" t="s">
        <v>5176</v>
      </c>
      <c r="B1005" s="2299" t="s">
        <v>6483</v>
      </c>
      <c r="C1005" s="2489" t="s">
        <v>7294</v>
      </c>
      <c r="D1005" s="1558"/>
      <c r="E1005" s="1558"/>
      <c r="F1005" s="1559">
        <f t="shared" si="30"/>
        <v>0</v>
      </c>
      <c r="G1005" s="1560" t="e">
        <f t="shared" si="31"/>
        <v>#DIV/0!</v>
      </c>
      <c r="H1005" s="2294">
        <v>0.58760000000000001</v>
      </c>
      <c r="I1005" s="2296"/>
      <c r="J1005" s="1550"/>
    </row>
    <row r="1006" spans="1:10" ht="16.5">
      <c r="A1006" s="2298" t="s">
        <v>5177</v>
      </c>
      <c r="B1006" s="2299" t="s">
        <v>6484</v>
      </c>
      <c r="C1006" s="2489" t="s">
        <v>7294</v>
      </c>
      <c r="D1006" s="1558"/>
      <c r="E1006" s="1558"/>
      <c r="F1006" s="1559">
        <f t="shared" si="30"/>
        <v>0</v>
      </c>
      <c r="G1006" s="1560" t="e">
        <f t="shared" si="31"/>
        <v>#DIV/0!</v>
      </c>
      <c r="H1006" s="2294">
        <v>0.5877</v>
      </c>
      <c r="I1006" s="2296"/>
      <c r="J1006" s="1550"/>
    </row>
    <row r="1007" spans="1:10" ht="16.5">
      <c r="A1007" s="2298" t="s">
        <v>5178</v>
      </c>
      <c r="B1007" s="2299" t="s">
        <v>6485</v>
      </c>
      <c r="C1007" s="2489" t="s">
        <v>7294</v>
      </c>
      <c r="D1007" s="1558"/>
      <c r="E1007" s="1558"/>
      <c r="F1007" s="1559">
        <f t="shared" si="30"/>
        <v>0</v>
      </c>
      <c r="G1007" s="1560" t="e">
        <f t="shared" si="31"/>
        <v>#DIV/0!</v>
      </c>
      <c r="H1007" s="2294">
        <v>0.53039999999999998</v>
      </c>
      <c r="I1007" s="2296"/>
      <c r="J1007" s="1550"/>
    </row>
    <row r="1008" spans="1:10" ht="16.5">
      <c r="A1008" s="2298" t="s">
        <v>5179</v>
      </c>
      <c r="B1008" s="2299" t="s">
        <v>6486</v>
      </c>
      <c r="C1008" s="2489" t="s">
        <v>7294</v>
      </c>
      <c r="D1008" s="1558"/>
      <c r="E1008" s="1558"/>
      <c r="F1008" s="1559">
        <f t="shared" si="30"/>
        <v>0</v>
      </c>
      <c r="G1008" s="1560" t="e">
        <f t="shared" si="31"/>
        <v>#DIV/0!</v>
      </c>
      <c r="H1008" s="2294">
        <v>0.1918</v>
      </c>
      <c r="I1008" s="2296"/>
      <c r="J1008" s="1550"/>
    </row>
    <row r="1009" spans="1:10" ht="16.5">
      <c r="A1009" s="2298" t="s">
        <v>5180</v>
      </c>
      <c r="B1009" s="2299" t="s">
        <v>6487</v>
      </c>
      <c r="C1009" s="2489" t="s">
        <v>7293</v>
      </c>
      <c r="D1009" s="1558"/>
      <c r="E1009" s="1558"/>
      <c r="F1009" s="1559">
        <f t="shared" si="30"/>
        <v>0</v>
      </c>
      <c r="G1009" s="1560" t="e">
        <f t="shared" si="31"/>
        <v>#DIV/0!</v>
      </c>
      <c r="H1009" s="2294">
        <v>0.20699999999999999</v>
      </c>
      <c r="I1009" s="2296"/>
      <c r="J1009" s="1550"/>
    </row>
    <row r="1010" spans="1:10" ht="16.5">
      <c r="A1010" s="2298" t="s">
        <v>5181</v>
      </c>
      <c r="B1010" s="2299" t="s">
        <v>6488</v>
      </c>
      <c r="C1010" s="2489" t="s">
        <v>7294</v>
      </c>
      <c r="D1010" s="1558"/>
      <c r="E1010" s="1558"/>
      <c r="F1010" s="1559">
        <f t="shared" si="30"/>
        <v>0</v>
      </c>
      <c r="G1010" s="1560" t="e">
        <f t="shared" si="31"/>
        <v>#DIV/0!</v>
      </c>
      <c r="H1010" s="2294">
        <v>-0.13669999999999999</v>
      </c>
      <c r="I1010" s="2296"/>
      <c r="J1010" s="1550"/>
    </row>
    <row r="1011" spans="1:10" ht="16.5">
      <c r="A1011" s="2298" t="s">
        <v>5182</v>
      </c>
      <c r="B1011" s="2299" t="s">
        <v>6489</v>
      </c>
      <c r="C1011" s="2489" t="s">
        <v>7293</v>
      </c>
      <c r="D1011" s="1558"/>
      <c r="E1011" s="1558"/>
      <c r="F1011" s="1559">
        <f t="shared" si="30"/>
        <v>0</v>
      </c>
      <c r="G1011" s="1560" t="e">
        <f t="shared" si="31"/>
        <v>#DIV/0!</v>
      </c>
      <c r="H1011" s="2294">
        <v>-0.1356</v>
      </c>
      <c r="I1011" s="2296"/>
      <c r="J1011" s="1550"/>
    </row>
    <row r="1012" spans="1:10" ht="16.5">
      <c r="A1012" s="2298" t="s">
        <v>5183</v>
      </c>
      <c r="B1012" s="2299" t="s">
        <v>6490</v>
      </c>
      <c r="C1012" s="2489" t="s">
        <v>7293</v>
      </c>
      <c r="D1012" s="1558"/>
      <c r="E1012" s="1558"/>
      <c r="F1012" s="1559">
        <f t="shared" si="30"/>
        <v>0</v>
      </c>
      <c r="G1012" s="1560" t="e">
        <f t="shared" si="31"/>
        <v>#DIV/0!</v>
      </c>
      <c r="H1012" s="2294">
        <v>0.41120000000000001</v>
      </c>
      <c r="I1012" s="2296"/>
      <c r="J1012" s="1550"/>
    </row>
    <row r="1013" spans="1:10" ht="16.5">
      <c r="A1013" s="2298" t="s">
        <v>5184</v>
      </c>
      <c r="B1013" s="2299" t="s">
        <v>6491</v>
      </c>
      <c r="C1013" s="2489" t="s">
        <v>7295</v>
      </c>
      <c r="D1013" s="1558"/>
      <c r="E1013" s="1558"/>
      <c r="F1013" s="1559">
        <f t="shared" si="30"/>
        <v>0</v>
      </c>
      <c r="G1013" s="1560" t="e">
        <f t="shared" si="31"/>
        <v>#DIV/0!</v>
      </c>
      <c r="H1013" s="2294">
        <v>0.16980000000000001</v>
      </c>
      <c r="I1013" s="2296"/>
      <c r="J1013" s="1550"/>
    </row>
    <row r="1014" spans="1:10" ht="16.5">
      <c r="A1014" s="2298" t="s">
        <v>5185</v>
      </c>
      <c r="B1014" s="2299" t="s">
        <v>6492</v>
      </c>
      <c r="C1014" s="2489" t="s">
        <v>7294</v>
      </c>
      <c r="D1014" s="1558"/>
      <c r="E1014" s="1558"/>
      <c r="F1014" s="1559">
        <f t="shared" si="30"/>
        <v>0</v>
      </c>
      <c r="G1014" s="1560" t="e">
        <f t="shared" si="31"/>
        <v>#DIV/0!</v>
      </c>
      <c r="H1014" s="2294">
        <v>0.64670000000000005</v>
      </c>
      <c r="I1014" s="2296"/>
      <c r="J1014" s="1550"/>
    </row>
    <row r="1015" spans="1:10" ht="16.5">
      <c r="A1015" s="2298" t="s">
        <v>5186</v>
      </c>
      <c r="B1015" s="2299" t="s">
        <v>6493</v>
      </c>
      <c r="C1015" s="2489" t="s">
        <v>7294</v>
      </c>
      <c r="D1015" s="1558"/>
      <c r="E1015" s="1558"/>
      <c r="F1015" s="1559">
        <f t="shared" si="30"/>
        <v>0</v>
      </c>
      <c r="G1015" s="1560" t="e">
        <f t="shared" si="31"/>
        <v>#DIV/0!</v>
      </c>
      <c r="H1015" s="2294">
        <v>0.80640000000000001</v>
      </c>
      <c r="I1015" s="2296"/>
      <c r="J1015" s="1550"/>
    </row>
    <row r="1016" spans="1:10" ht="16.5">
      <c r="A1016" s="2298" t="s">
        <v>5187</v>
      </c>
      <c r="B1016" s="2299" t="s">
        <v>6494</v>
      </c>
      <c r="C1016" s="2489" t="s">
        <v>7294</v>
      </c>
      <c r="D1016" s="1558"/>
      <c r="E1016" s="1558"/>
      <c r="F1016" s="1559">
        <f t="shared" si="30"/>
        <v>0</v>
      </c>
      <c r="G1016" s="1560" t="e">
        <f t="shared" si="31"/>
        <v>#DIV/0!</v>
      </c>
      <c r="H1016" s="2294">
        <v>0.28070000000000001</v>
      </c>
      <c r="I1016" s="2296"/>
      <c r="J1016" s="1550"/>
    </row>
    <row r="1017" spans="1:10" ht="16.5">
      <c r="A1017" s="2298" t="s">
        <v>5188</v>
      </c>
      <c r="B1017" s="2299" t="s">
        <v>6495</v>
      </c>
      <c r="C1017" s="2489" t="s">
        <v>7293</v>
      </c>
      <c r="D1017" s="1558"/>
      <c r="E1017" s="1558"/>
      <c r="F1017" s="1559">
        <f t="shared" si="30"/>
        <v>0</v>
      </c>
      <c r="G1017" s="1560" t="e">
        <f t="shared" si="31"/>
        <v>#DIV/0!</v>
      </c>
      <c r="H1017" s="2294">
        <v>0.27979999999999999</v>
      </c>
      <c r="I1017" s="2296"/>
      <c r="J1017" s="1550"/>
    </row>
    <row r="1018" spans="1:10" ht="16.5">
      <c r="A1018" s="2298" t="s">
        <v>5189</v>
      </c>
      <c r="B1018" s="2299" t="s">
        <v>6496</v>
      </c>
      <c r="C1018" s="2489" t="s">
        <v>7294</v>
      </c>
      <c r="D1018" s="1558"/>
      <c r="E1018" s="1558"/>
      <c r="F1018" s="1559">
        <f t="shared" si="30"/>
        <v>0</v>
      </c>
      <c r="G1018" s="1560" t="e">
        <f t="shared" si="31"/>
        <v>#DIV/0!</v>
      </c>
      <c r="H1018" s="2294">
        <v>1.14E-2</v>
      </c>
      <c r="I1018" s="2296"/>
      <c r="J1018" s="1550"/>
    </row>
    <row r="1019" spans="1:10" ht="16.5">
      <c r="A1019" s="2298" t="s">
        <v>5190</v>
      </c>
      <c r="B1019" s="2299" t="s">
        <v>6497</v>
      </c>
      <c r="C1019" s="2489" t="s">
        <v>7294</v>
      </c>
      <c r="D1019" s="1558"/>
      <c r="E1019" s="1558"/>
      <c r="F1019" s="1559">
        <f t="shared" si="30"/>
        <v>0</v>
      </c>
      <c r="G1019" s="1560" t="e">
        <f t="shared" si="31"/>
        <v>#DIV/0!</v>
      </c>
      <c r="H1019" s="2294">
        <v>9.7000000000000003E-3</v>
      </c>
      <c r="I1019" s="2296"/>
      <c r="J1019" s="1550"/>
    </row>
    <row r="1020" spans="1:10" ht="16.5">
      <c r="A1020" s="2298" t="s">
        <v>5191</v>
      </c>
      <c r="B1020" s="2299" t="s">
        <v>6498</v>
      </c>
      <c r="C1020" s="2489" t="s">
        <v>7294</v>
      </c>
      <c r="D1020" s="1558"/>
      <c r="E1020" s="1558"/>
      <c r="F1020" s="1559">
        <f t="shared" si="30"/>
        <v>0</v>
      </c>
      <c r="G1020" s="1560" t="e">
        <f t="shared" si="31"/>
        <v>#DIV/0!</v>
      </c>
      <c r="H1020" s="2294">
        <v>1.15E-2</v>
      </c>
      <c r="I1020" s="2296"/>
      <c r="J1020" s="1550"/>
    </row>
    <row r="1021" spans="1:10" ht="16.5">
      <c r="A1021" s="2298" t="s">
        <v>5192</v>
      </c>
      <c r="B1021" s="2299" t="s">
        <v>6499</v>
      </c>
      <c r="C1021" s="2489" t="s">
        <v>7294</v>
      </c>
      <c r="D1021" s="1558"/>
      <c r="E1021" s="1558"/>
      <c r="F1021" s="1559">
        <f t="shared" si="30"/>
        <v>0</v>
      </c>
      <c r="G1021" s="1560" t="e">
        <f t="shared" si="31"/>
        <v>#DIV/0!</v>
      </c>
      <c r="H1021" s="2294">
        <v>9.7000000000000003E-3</v>
      </c>
      <c r="I1021" s="2296"/>
      <c r="J1021" s="1550"/>
    </row>
    <row r="1022" spans="1:10" ht="16.5">
      <c r="A1022" s="2298" t="s">
        <v>5193</v>
      </c>
      <c r="B1022" s="2299" t="s">
        <v>6500</v>
      </c>
      <c r="C1022" s="2489" t="s">
        <v>7294</v>
      </c>
      <c r="D1022" s="1558"/>
      <c r="E1022" s="1558"/>
      <c r="F1022" s="1559">
        <f t="shared" si="30"/>
        <v>0</v>
      </c>
      <c r="G1022" s="1560" t="e">
        <f t="shared" si="31"/>
        <v>#DIV/0!</v>
      </c>
      <c r="H1022" s="2294">
        <v>0.35199999999999998</v>
      </c>
      <c r="I1022" s="2296"/>
      <c r="J1022" s="1550"/>
    </row>
    <row r="1023" spans="1:10" ht="16.5">
      <c r="A1023" s="2298" t="s">
        <v>5194</v>
      </c>
      <c r="B1023" s="2299" t="s">
        <v>6501</v>
      </c>
      <c r="C1023" s="2489" t="s">
        <v>7294</v>
      </c>
      <c r="D1023" s="1558"/>
      <c r="E1023" s="1558"/>
      <c r="F1023" s="1559">
        <f t="shared" si="30"/>
        <v>0</v>
      </c>
      <c r="G1023" s="1560" t="e">
        <f t="shared" si="31"/>
        <v>#DIV/0!</v>
      </c>
      <c r="H1023" s="2294">
        <v>0.35199999999999998</v>
      </c>
      <c r="I1023" s="2296"/>
      <c r="J1023" s="1550"/>
    </row>
    <row r="1024" spans="1:10" ht="16.5">
      <c r="A1024" s="2298" t="s">
        <v>5195</v>
      </c>
      <c r="B1024" s="2299" t="s">
        <v>6502</v>
      </c>
      <c r="C1024" s="2489" t="s">
        <v>7294</v>
      </c>
      <c r="D1024" s="1558"/>
      <c r="E1024" s="1558"/>
      <c r="F1024" s="1559">
        <f t="shared" si="30"/>
        <v>0</v>
      </c>
      <c r="G1024" s="1560" t="e">
        <f t="shared" si="31"/>
        <v>#DIV/0!</v>
      </c>
      <c r="H1024" s="2294">
        <v>0.19259999999999999</v>
      </c>
      <c r="I1024" s="2296"/>
      <c r="J1024" s="1550"/>
    </row>
    <row r="1025" spans="1:10" ht="16.5">
      <c r="A1025" s="2298" t="s">
        <v>5196</v>
      </c>
      <c r="B1025" s="2299" t="s">
        <v>6503</v>
      </c>
      <c r="C1025" s="2489" t="s">
        <v>7294</v>
      </c>
      <c r="D1025" s="1558"/>
      <c r="E1025" s="1558"/>
      <c r="F1025" s="1559">
        <f t="shared" si="30"/>
        <v>0</v>
      </c>
      <c r="G1025" s="1560" t="e">
        <f t="shared" si="31"/>
        <v>#DIV/0!</v>
      </c>
      <c r="H1025" s="2294">
        <v>0.2026</v>
      </c>
      <c r="I1025" s="2296"/>
      <c r="J1025" s="1550"/>
    </row>
    <row r="1026" spans="1:10" ht="16.5">
      <c r="A1026" s="2298" t="s">
        <v>5197</v>
      </c>
      <c r="B1026" s="2299" t="s">
        <v>6504</v>
      </c>
      <c r="C1026" s="2489" t="s">
        <v>7294</v>
      </c>
      <c r="D1026" s="1558"/>
      <c r="E1026" s="1558"/>
      <c r="F1026" s="1559">
        <f t="shared" si="30"/>
        <v>0</v>
      </c>
      <c r="G1026" s="1560" t="e">
        <f t="shared" si="31"/>
        <v>#DIV/0!</v>
      </c>
      <c r="H1026" s="2294">
        <v>0.39140000000000003</v>
      </c>
      <c r="I1026" s="2296"/>
      <c r="J1026" s="1550"/>
    </row>
    <row r="1027" spans="1:10" ht="16.5">
      <c r="A1027" s="2298" t="s">
        <v>5198</v>
      </c>
      <c r="B1027" s="2299" t="s">
        <v>6505</v>
      </c>
      <c r="C1027" s="2489" t="s">
        <v>7293</v>
      </c>
      <c r="D1027" s="1558"/>
      <c r="E1027" s="1558"/>
      <c r="F1027" s="1559">
        <f t="shared" si="30"/>
        <v>0</v>
      </c>
      <c r="G1027" s="1560" t="e">
        <f t="shared" si="31"/>
        <v>#DIV/0!</v>
      </c>
      <c r="H1027" s="2294">
        <v>0.39140000000000003</v>
      </c>
      <c r="I1027" s="2296"/>
      <c r="J1027" s="1550"/>
    </row>
    <row r="1028" spans="1:10" ht="16.5">
      <c r="A1028" s="2298" t="s">
        <v>5199</v>
      </c>
      <c r="B1028" s="2299" t="s">
        <v>6506</v>
      </c>
      <c r="C1028" s="2489" t="s">
        <v>7294</v>
      </c>
      <c r="D1028" s="1558"/>
      <c r="E1028" s="1558"/>
      <c r="F1028" s="1559">
        <f t="shared" si="30"/>
        <v>0</v>
      </c>
      <c r="G1028" s="1560" t="e">
        <f t="shared" si="31"/>
        <v>#DIV/0!</v>
      </c>
      <c r="H1028" s="2294">
        <v>0.39129999999999998</v>
      </c>
      <c r="I1028" s="2296"/>
      <c r="J1028" s="1550"/>
    </row>
    <row r="1029" spans="1:10" ht="16.5">
      <c r="A1029" s="2298" t="s">
        <v>5200</v>
      </c>
      <c r="B1029" s="2299" t="s">
        <v>6507</v>
      </c>
      <c r="C1029" s="2489" t="s">
        <v>7294</v>
      </c>
      <c r="D1029" s="1558"/>
      <c r="E1029" s="1558"/>
      <c r="F1029" s="1559">
        <f t="shared" ref="F1029:F1092" si="32">D1029*E1029</f>
        <v>0</v>
      </c>
      <c r="G1029" s="1560" t="e">
        <f t="shared" ref="G1029:G1092" si="33">F1029/$F$1214</f>
        <v>#DIV/0!</v>
      </c>
      <c r="H1029" s="2294">
        <v>0.56489999999999996</v>
      </c>
      <c r="I1029" s="2296"/>
      <c r="J1029" s="1550"/>
    </row>
    <row r="1030" spans="1:10" ht="16.5">
      <c r="A1030" s="2298" t="s">
        <v>5201</v>
      </c>
      <c r="B1030" s="2299" t="s">
        <v>6508</v>
      </c>
      <c r="C1030" s="2489" t="s">
        <v>7293</v>
      </c>
      <c r="D1030" s="1558"/>
      <c r="E1030" s="1558"/>
      <c r="F1030" s="1559">
        <f t="shared" si="32"/>
        <v>0</v>
      </c>
      <c r="G1030" s="1560" t="e">
        <f t="shared" si="33"/>
        <v>#DIV/0!</v>
      </c>
      <c r="H1030" s="2294">
        <v>0.69889999999999997</v>
      </c>
      <c r="I1030" s="2296"/>
      <c r="J1030" s="1550"/>
    </row>
    <row r="1031" spans="1:10" ht="16.5">
      <c r="A1031" s="2298" t="s">
        <v>5202</v>
      </c>
      <c r="B1031" s="2299" t="s">
        <v>6509</v>
      </c>
      <c r="C1031" s="2489" t="s">
        <v>7293</v>
      </c>
      <c r="D1031" s="1558"/>
      <c r="E1031" s="1558"/>
      <c r="F1031" s="1559">
        <f t="shared" si="32"/>
        <v>0</v>
      </c>
      <c r="G1031" s="1560" t="e">
        <f t="shared" si="33"/>
        <v>#DIV/0!</v>
      </c>
      <c r="H1031" s="2294">
        <v>0.67179999999999995</v>
      </c>
      <c r="I1031" s="2296"/>
      <c r="J1031" s="1550"/>
    </row>
    <row r="1032" spans="1:10" ht="16.5">
      <c r="A1032" s="2298" t="s">
        <v>5203</v>
      </c>
      <c r="B1032" s="2299" t="s">
        <v>6510</v>
      </c>
      <c r="C1032" s="2489" t="s">
        <v>7294</v>
      </c>
      <c r="D1032" s="1558"/>
      <c r="E1032" s="1558"/>
      <c r="F1032" s="1559">
        <f t="shared" si="32"/>
        <v>0</v>
      </c>
      <c r="G1032" s="1560" t="e">
        <f t="shared" si="33"/>
        <v>#DIV/0!</v>
      </c>
      <c r="H1032" s="2294">
        <v>0.18640000000000001</v>
      </c>
      <c r="I1032" s="2296"/>
      <c r="J1032" s="1550"/>
    </row>
    <row r="1033" spans="1:10" ht="16.5">
      <c r="A1033" s="2298" t="s">
        <v>5204</v>
      </c>
      <c r="B1033" s="2299" t="s">
        <v>6511</v>
      </c>
      <c r="C1033" s="2489" t="s">
        <v>7294</v>
      </c>
      <c r="D1033" s="1558"/>
      <c r="E1033" s="1558"/>
      <c r="F1033" s="1559">
        <f t="shared" si="32"/>
        <v>0</v>
      </c>
      <c r="G1033" s="1560" t="e">
        <f t="shared" si="33"/>
        <v>#DIV/0!</v>
      </c>
      <c r="H1033" s="2294">
        <v>0.71360000000000001</v>
      </c>
      <c r="I1033" s="2296"/>
      <c r="J1033" s="1550"/>
    </row>
    <row r="1034" spans="1:10" ht="16.5">
      <c r="A1034" s="2298" t="s">
        <v>5205</v>
      </c>
      <c r="B1034" s="2299" t="s">
        <v>6512</v>
      </c>
      <c r="C1034" s="2489" t="s">
        <v>7294</v>
      </c>
      <c r="D1034" s="1558"/>
      <c r="E1034" s="1558"/>
      <c r="F1034" s="1559">
        <f t="shared" si="32"/>
        <v>0</v>
      </c>
      <c r="G1034" s="1560" t="e">
        <f t="shared" si="33"/>
        <v>#DIV/0!</v>
      </c>
      <c r="H1034" s="2294">
        <v>0.31280000000000002</v>
      </c>
      <c r="I1034" s="2296"/>
      <c r="J1034" s="1550"/>
    </row>
    <row r="1035" spans="1:10" ht="16.5">
      <c r="A1035" s="2298" t="s">
        <v>5206</v>
      </c>
      <c r="B1035" s="2299" t="s">
        <v>6513</v>
      </c>
      <c r="C1035" s="2489" t="s">
        <v>7294</v>
      </c>
      <c r="D1035" s="1558"/>
      <c r="E1035" s="1558"/>
      <c r="F1035" s="1559">
        <f t="shared" si="32"/>
        <v>0</v>
      </c>
      <c r="G1035" s="1560" t="e">
        <f t="shared" si="33"/>
        <v>#DIV/0!</v>
      </c>
      <c r="H1035" s="2294">
        <v>0.52859999999999996</v>
      </c>
      <c r="I1035" s="2296"/>
    </row>
    <row r="1036" spans="1:10" ht="16.5">
      <c r="A1036" s="2298" t="s">
        <v>5207</v>
      </c>
      <c r="B1036" s="2299" t="s">
        <v>6514</v>
      </c>
      <c r="C1036" s="2489" t="s">
        <v>7295</v>
      </c>
      <c r="D1036" s="1558"/>
      <c r="E1036" s="1558"/>
      <c r="F1036" s="1559">
        <f t="shared" si="32"/>
        <v>0</v>
      </c>
      <c r="G1036" s="1560" t="e">
        <f t="shared" si="33"/>
        <v>#DIV/0!</v>
      </c>
      <c r="H1036" s="2294">
        <v>0.7571</v>
      </c>
      <c r="I1036" s="2296"/>
    </row>
    <row r="1037" spans="1:10" ht="16.5">
      <c r="A1037" s="2298" t="s">
        <v>5208</v>
      </c>
      <c r="B1037" s="2299" t="s">
        <v>6515</v>
      </c>
      <c r="C1037" s="2489" t="s">
        <v>7293</v>
      </c>
      <c r="D1037" s="1558"/>
      <c r="E1037" s="1558"/>
      <c r="F1037" s="1559">
        <f t="shared" si="32"/>
        <v>0</v>
      </c>
      <c r="G1037" s="1560" t="e">
        <f t="shared" si="33"/>
        <v>#DIV/0!</v>
      </c>
      <c r="H1037" s="2294">
        <v>0.28849999999999998</v>
      </c>
      <c r="I1037" s="2296"/>
    </row>
    <row r="1038" spans="1:10" ht="16.5">
      <c r="A1038" s="2298" t="s">
        <v>5209</v>
      </c>
      <c r="B1038" s="2299" t="s">
        <v>6516</v>
      </c>
      <c r="C1038" s="2489" t="s">
        <v>7293</v>
      </c>
      <c r="D1038" s="1558"/>
      <c r="E1038" s="1558"/>
      <c r="F1038" s="1559">
        <f t="shared" si="32"/>
        <v>0</v>
      </c>
      <c r="G1038" s="1560" t="e">
        <f t="shared" si="33"/>
        <v>#DIV/0!</v>
      </c>
      <c r="H1038" s="2294">
        <v>0.28860000000000002</v>
      </c>
      <c r="I1038" s="2296"/>
    </row>
    <row r="1039" spans="1:10" ht="16.5">
      <c r="A1039" s="2298" t="s">
        <v>5210</v>
      </c>
      <c r="B1039" s="2299" t="s">
        <v>6517</v>
      </c>
      <c r="C1039" s="2489" t="s">
        <v>7294</v>
      </c>
      <c r="D1039" s="1558"/>
      <c r="E1039" s="1558"/>
      <c r="F1039" s="1559">
        <f t="shared" si="32"/>
        <v>0</v>
      </c>
      <c r="G1039" s="1560" t="e">
        <f t="shared" si="33"/>
        <v>#DIV/0!</v>
      </c>
      <c r="H1039" s="2294">
        <v>4.7500000000000001E-2</v>
      </c>
      <c r="I1039" s="2296"/>
    </row>
    <row r="1040" spans="1:10" ht="16.5">
      <c r="A1040" s="2298" t="s">
        <v>5211</v>
      </c>
      <c r="B1040" s="2299" t="s">
        <v>6518</v>
      </c>
      <c r="C1040" s="2489" t="s">
        <v>7294</v>
      </c>
      <c r="D1040" s="1558"/>
      <c r="E1040" s="1558"/>
      <c r="F1040" s="1559">
        <f t="shared" si="32"/>
        <v>0</v>
      </c>
      <c r="G1040" s="1560" t="e">
        <f t="shared" si="33"/>
        <v>#DIV/0!</v>
      </c>
      <c r="H1040" s="2294">
        <v>5.2299999999999999E-2</v>
      </c>
      <c r="I1040" s="2296"/>
    </row>
    <row r="1041" spans="1:9" ht="16.5">
      <c r="A1041" s="2298" t="s">
        <v>5212</v>
      </c>
      <c r="B1041" s="2299" t="s">
        <v>6519</v>
      </c>
      <c r="C1041" s="2489" t="s">
        <v>7293</v>
      </c>
      <c r="D1041" s="1558"/>
      <c r="E1041" s="1558"/>
      <c r="F1041" s="1559">
        <f t="shared" si="32"/>
        <v>0</v>
      </c>
      <c r="G1041" s="1560" t="e">
        <f t="shared" si="33"/>
        <v>#DIV/0!</v>
      </c>
      <c r="H1041" s="2294">
        <v>0.84089999999999998</v>
      </c>
      <c r="I1041" s="2296"/>
    </row>
    <row r="1042" spans="1:9" ht="16.5">
      <c r="A1042" s="2298" t="s">
        <v>5213</v>
      </c>
      <c r="B1042" s="2299" t="s">
        <v>6520</v>
      </c>
      <c r="C1042" s="2489" t="s">
        <v>7294</v>
      </c>
      <c r="D1042" s="1558"/>
      <c r="E1042" s="1558"/>
      <c r="F1042" s="1559">
        <f t="shared" si="32"/>
        <v>0</v>
      </c>
      <c r="G1042" s="1560" t="e">
        <f t="shared" si="33"/>
        <v>#DIV/0!</v>
      </c>
      <c r="H1042" s="2294">
        <v>0.86260000000000003</v>
      </c>
      <c r="I1042" s="2296"/>
    </row>
    <row r="1043" spans="1:9" ht="16.5">
      <c r="A1043" s="2298" t="s">
        <v>5214</v>
      </c>
      <c r="B1043" s="2299" t="s">
        <v>6521</v>
      </c>
      <c r="C1043" s="2489" t="s">
        <v>7294</v>
      </c>
      <c r="D1043" s="1558"/>
      <c r="E1043" s="1558"/>
      <c r="F1043" s="1559">
        <f t="shared" si="32"/>
        <v>0</v>
      </c>
      <c r="G1043" s="1560" t="e">
        <f t="shared" si="33"/>
        <v>#DIV/0!</v>
      </c>
      <c r="H1043" s="2294">
        <v>0.2208</v>
      </c>
      <c r="I1043" s="2296"/>
    </row>
    <row r="1044" spans="1:9" ht="16.5">
      <c r="A1044" s="2298" t="s">
        <v>5215</v>
      </c>
      <c r="B1044" s="2299" t="s">
        <v>6522</v>
      </c>
      <c r="C1044" s="2489" t="s">
        <v>7294</v>
      </c>
      <c r="D1044" s="1558"/>
      <c r="E1044" s="1558"/>
      <c r="F1044" s="1559">
        <f t="shared" si="32"/>
        <v>0</v>
      </c>
      <c r="G1044" s="1560" t="e">
        <f t="shared" si="33"/>
        <v>#DIV/0!</v>
      </c>
      <c r="H1044" s="2294">
        <v>0.2208</v>
      </c>
      <c r="I1044" s="2296"/>
    </row>
    <row r="1045" spans="1:9" ht="16.5">
      <c r="A1045" s="2298" t="s">
        <v>5216</v>
      </c>
      <c r="B1045" s="2299" t="s">
        <v>6523</v>
      </c>
      <c r="C1045" s="2489" t="s">
        <v>7294</v>
      </c>
      <c r="D1045" s="1558"/>
      <c r="E1045" s="1558"/>
      <c r="F1045" s="1559">
        <f t="shared" si="32"/>
        <v>0</v>
      </c>
      <c r="G1045" s="1560" t="e">
        <f t="shared" si="33"/>
        <v>#DIV/0!</v>
      </c>
      <c r="H1045" s="2294">
        <v>0.22090000000000001</v>
      </c>
      <c r="I1045" s="2296"/>
    </row>
    <row r="1046" spans="1:9" ht="16.5">
      <c r="A1046" s="2298" t="s">
        <v>5217</v>
      </c>
      <c r="B1046" s="2299" t="s">
        <v>6524</v>
      </c>
      <c r="C1046" s="2489" t="s">
        <v>7294</v>
      </c>
      <c r="D1046" s="1558"/>
      <c r="E1046" s="1558"/>
      <c r="F1046" s="1559">
        <f t="shared" si="32"/>
        <v>0</v>
      </c>
      <c r="G1046" s="1560" t="e">
        <f t="shared" si="33"/>
        <v>#DIV/0!</v>
      </c>
      <c r="H1046" s="2294">
        <v>3.1E-2</v>
      </c>
      <c r="I1046" s="2296"/>
    </row>
    <row r="1047" spans="1:9" ht="16.5">
      <c r="A1047" s="2298" t="s">
        <v>5218</v>
      </c>
      <c r="B1047" s="2299" t="s">
        <v>6525</v>
      </c>
      <c r="C1047" s="2489" t="s">
        <v>7294</v>
      </c>
      <c r="D1047" s="1558"/>
      <c r="E1047" s="1558"/>
      <c r="F1047" s="1559">
        <f t="shared" si="32"/>
        <v>0</v>
      </c>
      <c r="G1047" s="1560" t="e">
        <f t="shared" si="33"/>
        <v>#DIV/0!</v>
      </c>
      <c r="H1047" s="2294">
        <v>2.9899999999999999E-2</v>
      </c>
      <c r="I1047" s="2296"/>
    </row>
    <row r="1048" spans="1:9" ht="16.5">
      <c r="A1048" s="2298" t="s">
        <v>5219</v>
      </c>
      <c r="B1048" s="2299" t="s">
        <v>6526</v>
      </c>
      <c r="C1048" s="2489" t="s">
        <v>7295</v>
      </c>
      <c r="D1048" s="1558"/>
      <c r="E1048" s="1558"/>
      <c r="F1048" s="1559">
        <f t="shared" si="32"/>
        <v>0</v>
      </c>
      <c r="G1048" s="1560" t="e">
        <f t="shared" si="33"/>
        <v>#DIV/0!</v>
      </c>
      <c r="H1048" s="2294" t="s">
        <v>5220</v>
      </c>
      <c r="I1048" s="2296"/>
    </row>
    <row r="1049" spans="1:9" ht="16.5">
      <c r="A1049" s="2298" t="s">
        <v>5221</v>
      </c>
      <c r="B1049" s="2299" t="s">
        <v>6527</v>
      </c>
      <c r="C1049" s="2489" t="s">
        <v>7294</v>
      </c>
      <c r="D1049" s="1558"/>
      <c r="E1049" s="1558"/>
      <c r="F1049" s="1559">
        <f t="shared" si="32"/>
        <v>0</v>
      </c>
      <c r="G1049" s="1560" t="e">
        <f t="shared" si="33"/>
        <v>#DIV/0!</v>
      </c>
      <c r="H1049" s="2294">
        <v>4.1099999999999998E-2</v>
      </c>
      <c r="I1049" s="2296"/>
    </row>
    <row r="1050" spans="1:9" ht="16.5">
      <c r="A1050" s="2298" t="s">
        <v>5222</v>
      </c>
      <c r="B1050" s="2299" t="s">
        <v>6528</v>
      </c>
      <c r="C1050" s="2489" t="s">
        <v>7294</v>
      </c>
      <c r="D1050" s="1558"/>
      <c r="E1050" s="1558"/>
      <c r="F1050" s="1559">
        <f t="shared" si="32"/>
        <v>0</v>
      </c>
      <c r="G1050" s="1560" t="e">
        <f t="shared" si="33"/>
        <v>#DIV/0!</v>
      </c>
      <c r="H1050" s="2294">
        <v>4.2000000000000003E-2</v>
      </c>
      <c r="I1050" s="2296"/>
    </row>
    <row r="1051" spans="1:9" ht="16.5">
      <c r="A1051" s="2298" t="s">
        <v>5223</v>
      </c>
      <c r="B1051" s="2299" t="s">
        <v>6529</v>
      </c>
      <c r="C1051" s="2489" t="s">
        <v>7294</v>
      </c>
      <c r="D1051" s="1558"/>
      <c r="E1051" s="1558"/>
      <c r="F1051" s="1559">
        <f t="shared" si="32"/>
        <v>0</v>
      </c>
      <c r="G1051" s="1560" t="e">
        <f t="shared" si="33"/>
        <v>#DIV/0!</v>
      </c>
      <c r="H1051" s="2294">
        <v>0.81399999999999995</v>
      </c>
      <c r="I1051" s="2296"/>
    </row>
    <row r="1052" spans="1:9" ht="16.5">
      <c r="A1052" s="2298" t="s">
        <v>5224</v>
      </c>
      <c r="B1052" s="2299" t="s">
        <v>6530</v>
      </c>
      <c r="C1052" s="2489" t="s">
        <v>7294</v>
      </c>
      <c r="D1052" s="1558"/>
      <c r="E1052" s="1558"/>
      <c r="F1052" s="1559">
        <f t="shared" si="32"/>
        <v>0</v>
      </c>
      <c r="G1052" s="1560" t="e">
        <f t="shared" si="33"/>
        <v>#DIV/0!</v>
      </c>
      <c r="H1052" s="2294">
        <v>0.36370000000000002</v>
      </c>
      <c r="I1052" s="2296"/>
    </row>
    <row r="1053" spans="1:9" ht="16.5">
      <c r="A1053" s="2298" t="s">
        <v>5225</v>
      </c>
      <c r="B1053" s="2299" t="s">
        <v>6531</v>
      </c>
      <c r="C1053" s="2489" t="s">
        <v>7295</v>
      </c>
      <c r="D1053" s="1558"/>
      <c r="E1053" s="1558"/>
      <c r="F1053" s="1559">
        <f t="shared" si="32"/>
        <v>0</v>
      </c>
      <c r="G1053" s="1560" t="e">
        <f t="shared" si="33"/>
        <v>#DIV/0!</v>
      </c>
      <c r="H1053" s="2294">
        <v>0.3629</v>
      </c>
      <c r="I1053" s="2296"/>
    </row>
    <row r="1054" spans="1:9" ht="16.5">
      <c r="A1054" s="2298" t="s">
        <v>5226</v>
      </c>
      <c r="B1054" s="2299" t="s">
        <v>6532</v>
      </c>
      <c r="C1054" s="2489" t="s">
        <v>7294</v>
      </c>
      <c r="D1054" s="1558"/>
      <c r="E1054" s="1558"/>
      <c r="F1054" s="1559">
        <f t="shared" si="32"/>
        <v>0</v>
      </c>
      <c r="G1054" s="1560" t="e">
        <f t="shared" si="33"/>
        <v>#DIV/0!</v>
      </c>
      <c r="H1054" s="2294">
        <v>9.2399999999999996E-2</v>
      </c>
      <c r="I1054" s="2296"/>
    </row>
    <row r="1055" spans="1:9" ht="16.5">
      <c r="A1055" s="2298" t="s">
        <v>5227</v>
      </c>
      <c r="B1055" s="2299" t="s">
        <v>6533</v>
      </c>
      <c r="C1055" s="2489" t="s">
        <v>7294</v>
      </c>
      <c r="D1055" s="1558"/>
      <c r="E1055" s="1558"/>
      <c r="F1055" s="1559">
        <f t="shared" si="32"/>
        <v>0</v>
      </c>
      <c r="G1055" s="1560" t="e">
        <f t="shared" si="33"/>
        <v>#DIV/0!</v>
      </c>
      <c r="H1055" s="2294">
        <v>9.8199999999999996E-2</v>
      </c>
      <c r="I1055" s="2296"/>
    </row>
    <row r="1056" spans="1:9" ht="16.5">
      <c r="A1056" s="2298" t="s">
        <v>5228</v>
      </c>
      <c r="B1056" s="2299" t="s">
        <v>6534</v>
      </c>
      <c r="C1056" s="2489" t="s">
        <v>7294</v>
      </c>
      <c r="D1056" s="1558"/>
      <c r="E1056" s="1558"/>
      <c r="F1056" s="1559">
        <f t="shared" si="32"/>
        <v>0</v>
      </c>
      <c r="G1056" s="1560" t="e">
        <f t="shared" si="33"/>
        <v>#DIV/0!</v>
      </c>
      <c r="H1056" s="2294">
        <v>0.31890000000000002</v>
      </c>
      <c r="I1056" s="2296"/>
    </row>
    <row r="1057" spans="1:9" ht="16.5">
      <c r="A1057" s="2298" t="s">
        <v>5229</v>
      </c>
      <c r="B1057" s="2299" t="s">
        <v>6535</v>
      </c>
      <c r="C1057" s="2489" t="s">
        <v>7294</v>
      </c>
      <c r="D1057" s="1558"/>
      <c r="E1057" s="1558"/>
      <c r="F1057" s="1559">
        <f t="shared" si="32"/>
        <v>0</v>
      </c>
      <c r="G1057" s="1560" t="e">
        <f t="shared" si="33"/>
        <v>#DIV/0!</v>
      </c>
      <c r="H1057" s="2294">
        <v>0.31859999999999999</v>
      </c>
      <c r="I1057" s="2296"/>
    </row>
    <row r="1058" spans="1:9" ht="16.5">
      <c r="A1058" s="2298" t="s">
        <v>5230</v>
      </c>
      <c r="B1058" s="2299" t="s">
        <v>6536</v>
      </c>
      <c r="C1058" s="2489" t="s">
        <v>7294</v>
      </c>
      <c r="D1058" s="1558"/>
      <c r="E1058" s="1558"/>
      <c r="F1058" s="1559">
        <f t="shared" si="32"/>
        <v>0</v>
      </c>
      <c r="G1058" s="1560" t="e">
        <f t="shared" si="33"/>
        <v>#DIV/0!</v>
      </c>
      <c r="H1058" s="2294">
        <v>0.41089999999999999</v>
      </c>
      <c r="I1058" s="2296"/>
    </row>
    <row r="1059" spans="1:9" ht="16.5">
      <c r="A1059" s="2298" t="s">
        <v>5231</v>
      </c>
      <c r="B1059" s="2299" t="s">
        <v>6537</v>
      </c>
      <c r="C1059" s="2489" t="s">
        <v>7294</v>
      </c>
      <c r="D1059" s="1558"/>
      <c r="E1059" s="1558"/>
      <c r="F1059" s="1559">
        <f t="shared" si="32"/>
        <v>0</v>
      </c>
      <c r="G1059" s="1560" t="e">
        <f t="shared" si="33"/>
        <v>#DIV/0!</v>
      </c>
      <c r="H1059" s="2294">
        <v>6.3E-3</v>
      </c>
      <c r="I1059" s="2296"/>
    </row>
    <row r="1060" spans="1:9" ht="16.5">
      <c r="A1060" s="2298" t="s">
        <v>5232</v>
      </c>
      <c r="B1060" s="2299" t="s">
        <v>6538</v>
      </c>
      <c r="C1060" s="2489" t="s">
        <v>7294</v>
      </c>
      <c r="D1060" s="1558"/>
      <c r="E1060" s="1558"/>
      <c r="F1060" s="1559">
        <f t="shared" si="32"/>
        <v>0</v>
      </c>
      <c r="G1060" s="1560" t="e">
        <f t="shared" si="33"/>
        <v>#DIV/0!</v>
      </c>
      <c r="H1060" s="2294">
        <v>8.0000000000000002E-3</v>
      </c>
      <c r="I1060" s="2296"/>
    </row>
    <row r="1061" spans="1:9" ht="16.5">
      <c r="A1061" s="2298" t="s">
        <v>5233</v>
      </c>
      <c r="B1061" s="2299" t="s">
        <v>6539</v>
      </c>
      <c r="C1061" s="2489" t="s">
        <v>7294</v>
      </c>
      <c r="D1061" s="1558"/>
      <c r="E1061" s="1558"/>
      <c r="F1061" s="1559">
        <f t="shared" si="32"/>
        <v>0</v>
      </c>
      <c r="G1061" s="1560" t="e">
        <f t="shared" si="33"/>
        <v>#DIV/0!</v>
      </c>
      <c r="H1061" s="2294">
        <v>0.30730000000000002</v>
      </c>
      <c r="I1061" s="2296"/>
    </row>
    <row r="1062" spans="1:9" ht="16.5">
      <c r="A1062" s="2298" t="s">
        <v>5234</v>
      </c>
      <c r="B1062" s="2299" t="s">
        <v>6540</v>
      </c>
      <c r="C1062" s="2489" t="s">
        <v>7294</v>
      </c>
      <c r="D1062" s="1558"/>
      <c r="E1062" s="1558"/>
      <c r="F1062" s="1559">
        <f t="shared" si="32"/>
        <v>0</v>
      </c>
      <c r="G1062" s="1560" t="e">
        <f t="shared" si="33"/>
        <v>#DIV/0!</v>
      </c>
      <c r="H1062" s="2294">
        <v>0.3039</v>
      </c>
      <c r="I1062" s="2296"/>
    </row>
    <row r="1063" spans="1:9" ht="16.5">
      <c r="A1063" s="2298" t="s">
        <v>5235</v>
      </c>
      <c r="B1063" s="2299" t="s">
        <v>6541</v>
      </c>
      <c r="C1063" s="2489" t="s">
        <v>7294</v>
      </c>
      <c r="D1063" s="1558"/>
      <c r="E1063" s="1558"/>
      <c r="F1063" s="1559">
        <f t="shared" si="32"/>
        <v>0</v>
      </c>
      <c r="G1063" s="1560" t="e">
        <f t="shared" si="33"/>
        <v>#DIV/0!</v>
      </c>
      <c r="H1063" s="2294">
        <v>0.51480000000000004</v>
      </c>
      <c r="I1063" s="2296"/>
    </row>
    <row r="1064" spans="1:9" ht="16.5">
      <c r="A1064" s="2298" t="s">
        <v>5236</v>
      </c>
      <c r="B1064" s="2299" t="s">
        <v>6542</v>
      </c>
      <c r="C1064" s="2489" t="s">
        <v>7294</v>
      </c>
      <c r="D1064" s="1558"/>
      <c r="E1064" s="1558"/>
      <c r="F1064" s="1559">
        <f t="shared" si="32"/>
        <v>0</v>
      </c>
      <c r="G1064" s="1560" t="e">
        <f t="shared" si="33"/>
        <v>#DIV/0!</v>
      </c>
      <c r="H1064" s="2294">
        <v>0.1295</v>
      </c>
      <c r="I1064" s="2296"/>
    </row>
    <row r="1065" spans="1:9" ht="16.5">
      <c r="A1065" s="2298" t="s">
        <v>5237</v>
      </c>
      <c r="B1065" s="2299" t="s">
        <v>6543</v>
      </c>
      <c r="C1065" s="1586" t="s">
        <v>6544</v>
      </c>
      <c r="D1065" s="1558"/>
      <c r="E1065" s="1558"/>
      <c r="F1065" s="1559">
        <f t="shared" si="32"/>
        <v>0</v>
      </c>
      <c r="G1065" s="1560" t="e">
        <f t="shared" si="33"/>
        <v>#DIV/0!</v>
      </c>
      <c r="H1065" s="2294">
        <v>0.9909</v>
      </c>
      <c r="I1065" s="2296"/>
    </row>
    <row r="1066" spans="1:9" ht="16.5">
      <c r="A1066" s="2298" t="s">
        <v>5238</v>
      </c>
      <c r="B1066" s="2299" t="s">
        <v>6545</v>
      </c>
      <c r="C1066" s="1586" t="s">
        <v>6544</v>
      </c>
      <c r="D1066" s="1558"/>
      <c r="E1066" s="1558"/>
      <c r="F1066" s="1559">
        <f t="shared" si="32"/>
        <v>0</v>
      </c>
      <c r="G1066" s="1560" t="e">
        <f t="shared" si="33"/>
        <v>#DIV/0!</v>
      </c>
      <c r="H1066" s="2294">
        <v>1.0661</v>
      </c>
      <c r="I1066" s="2296"/>
    </row>
    <row r="1067" spans="1:9" ht="16.5">
      <c r="A1067" s="2298" t="s">
        <v>5239</v>
      </c>
      <c r="B1067" s="2299" t="s">
        <v>6546</v>
      </c>
      <c r="C1067" s="1586" t="s">
        <v>6544</v>
      </c>
      <c r="D1067" s="1558"/>
      <c r="E1067" s="1558"/>
      <c r="F1067" s="1559">
        <f t="shared" si="32"/>
        <v>0</v>
      </c>
      <c r="G1067" s="1560" t="e">
        <f t="shared" si="33"/>
        <v>#DIV/0!</v>
      </c>
      <c r="H1067" s="2294">
        <v>1.1572</v>
      </c>
      <c r="I1067" s="2296"/>
    </row>
    <row r="1068" spans="1:9" ht="16.5">
      <c r="A1068" s="2298" t="s">
        <v>5240</v>
      </c>
      <c r="B1068" s="2299" t="s">
        <v>6547</v>
      </c>
      <c r="C1068" s="1586" t="s">
        <v>6544</v>
      </c>
      <c r="D1068" s="1558"/>
      <c r="E1068" s="1558"/>
      <c r="F1068" s="1559">
        <f t="shared" si="32"/>
        <v>0</v>
      </c>
      <c r="G1068" s="1560" t="e">
        <f t="shared" si="33"/>
        <v>#DIV/0!</v>
      </c>
      <c r="H1068" s="2294">
        <v>0.94289999999999996</v>
      </c>
      <c r="I1068" s="2296"/>
    </row>
    <row r="1069" spans="1:9" ht="16.5">
      <c r="A1069" s="2298" t="s">
        <v>5241</v>
      </c>
      <c r="B1069" s="2299" t="s">
        <v>6548</v>
      </c>
      <c r="C1069" s="1586" t="s">
        <v>6544</v>
      </c>
      <c r="D1069" s="1558"/>
      <c r="E1069" s="1558"/>
      <c r="F1069" s="1559">
        <f t="shared" si="32"/>
        <v>0</v>
      </c>
      <c r="G1069" s="1560" t="e">
        <f t="shared" si="33"/>
        <v>#DIV/0!</v>
      </c>
      <c r="H1069" s="2294">
        <v>0.83499999999999996</v>
      </c>
      <c r="I1069" s="2296"/>
    </row>
    <row r="1070" spans="1:9" ht="16.5">
      <c r="A1070" s="2298" t="s">
        <v>5242</v>
      </c>
      <c r="B1070" s="2299" t="s">
        <v>6549</v>
      </c>
      <c r="C1070" s="1586" t="s">
        <v>6544</v>
      </c>
      <c r="D1070" s="1558"/>
      <c r="E1070" s="1558"/>
      <c r="F1070" s="1559">
        <f t="shared" si="32"/>
        <v>0</v>
      </c>
      <c r="G1070" s="1560" t="e">
        <f t="shared" si="33"/>
        <v>#DIV/0!</v>
      </c>
      <c r="H1070" s="2294">
        <v>1.0689</v>
      </c>
      <c r="I1070" s="2296"/>
    </row>
    <row r="1071" spans="1:9" ht="16.5">
      <c r="A1071" s="2298" t="s">
        <v>5243</v>
      </c>
      <c r="B1071" s="2299" t="s">
        <v>6550</v>
      </c>
      <c r="C1071" s="1586" t="s">
        <v>6544</v>
      </c>
      <c r="D1071" s="1558"/>
      <c r="E1071" s="1558"/>
      <c r="F1071" s="1559">
        <f t="shared" si="32"/>
        <v>0</v>
      </c>
      <c r="G1071" s="1560" t="e">
        <f t="shared" si="33"/>
        <v>#DIV/0!</v>
      </c>
      <c r="H1071" s="2294">
        <v>0.88019999999999998</v>
      </c>
      <c r="I1071" s="2296"/>
    </row>
    <row r="1072" spans="1:9" ht="16.5">
      <c r="A1072" s="2298" t="s">
        <v>5244</v>
      </c>
      <c r="B1072" s="2299" t="s">
        <v>6551</v>
      </c>
      <c r="C1072" s="1586" t="s">
        <v>6544</v>
      </c>
      <c r="D1072" s="1558"/>
      <c r="E1072" s="1558"/>
      <c r="F1072" s="1559">
        <f t="shared" si="32"/>
        <v>0</v>
      </c>
      <c r="G1072" s="1560" t="e">
        <f t="shared" si="33"/>
        <v>#DIV/0!</v>
      </c>
      <c r="H1072" s="2294">
        <v>1.0797000000000001</v>
      </c>
      <c r="I1072" s="2296"/>
    </row>
    <row r="1073" spans="1:9" ht="16.5">
      <c r="A1073" s="2298" t="s">
        <v>5245</v>
      </c>
      <c r="B1073" s="2299" t="s">
        <v>6552</v>
      </c>
      <c r="C1073" s="1586" t="s">
        <v>6544</v>
      </c>
      <c r="D1073" s="1558"/>
      <c r="E1073" s="1558"/>
      <c r="F1073" s="1559">
        <f t="shared" si="32"/>
        <v>0</v>
      </c>
      <c r="G1073" s="1560" t="e">
        <f t="shared" si="33"/>
        <v>#DIV/0!</v>
      </c>
      <c r="H1073" s="2294">
        <v>0.59689999999999999</v>
      </c>
      <c r="I1073" s="2296"/>
    </row>
    <row r="1074" spans="1:9" ht="16.5">
      <c r="A1074" s="2298" t="s">
        <v>5246</v>
      </c>
      <c r="B1074" s="2299" t="s">
        <v>6553</v>
      </c>
      <c r="C1074" s="1586" t="s">
        <v>6544</v>
      </c>
      <c r="D1074" s="1558"/>
      <c r="E1074" s="1558"/>
      <c r="F1074" s="1559">
        <f t="shared" si="32"/>
        <v>0</v>
      </c>
      <c r="G1074" s="1560" t="e">
        <f t="shared" si="33"/>
        <v>#DIV/0!</v>
      </c>
      <c r="H1074" s="2294">
        <v>0.96179999999999999</v>
      </c>
      <c r="I1074" s="2296"/>
    </row>
    <row r="1075" spans="1:9" ht="16.5">
      <c r="A1075" s="2298" t="s">
        <v>5247</v>
      </c>
      <c r="B1075" s="2299" t="s">
        <v>6554</v>
      </c>
      <c r="C1075" s="1586" t="s">
        <v>6544</v>
      </c>
      <c r="D1075" s="1558"/>
      <c r="E1075" s="1558"/>
      <c r="F1075" s="1559">
        <f t="shared" si="32"/>
        <v>0</v>
      </c>
      <c r="G1075" s="1560" t="e">
        <f t="shared" si="33"/>
        <v>#DIV/0!</v>
      </c>
      <c r="H1075" s="2294">
        <v>0.96179999999999999</v>
      </c>
      <c r="I1075" s="2296"/>
    </row>
    <row r="1076" spans="1:9" ht="16.5">
      <c r="A1076" s="2298" t="s">
        <v>5248</v>
      </c>
      <c r="B1076" s="2299" t="s">
        <v>6555</v>
      </c>
      <c r="C1076" s="1586" t="s">
        <v>6544</v>
      </c>
      <c r="D1076" s="1558"/>
      <c r="E1076" s="1558"/>
      <c r="F1076" s="1559">
        <f t="shared" si="32"/>
        <v>0</v>
      </c>
      <c r="G1076" s="1560" t="e">
        <f t="shared" si="33"/>
        <v>#DIV/0!</v>
      </c>
      <c r="H1076" s="2294">
        <v>1.101</v>
      </c>
      <c r="I1076" s="2296"/>
    </row>
    <row r="1077" spans="1:9" ht="16.5">
      <c r="A1077" s="2298" t="s">
        <v>5249</v>
      </c>
      <c r="B1077" s="2299" t="s">
        <v>6556</v>
      </c>
      <c r="C1077" s="1586" t="s">
        <v>6544</v>
      </c>
      <c r="D1077" s="1558"/>
      <c r="E1077" s="1558"/>
      <c r="F1077" s="1559">
        <f t="shared" si="32"/>
        <v>0</v>
      </c>
      <c r="G1077" s="1560" t="e">
        <f t="shared" si="33"/>
        <v>#DIV/0!</v>
      </c>
      <c r="H1077" s="2294">
        <v>0.95320000000000005</v>
      </c>
      <c r="I1077" s="2296"/>
    </row>
    <row r="1078" spans="1:9" ht="16.5">
      <c r="A1078" s="2298" t="s">
        <v>5250</v>
      </c>
      <c r="B1078" s="2299" t="s">
        <v>6557</v>
      </c>
      <c r="C1078" s="1586" t="s">
        <v>6544</v>
      </c>
      <c r="D1078" s="1558"/>
      <c r="E1078" s="1558"/>
      <c r="F1078" s="1559">
        <f t="shared" si="32"/>
        <v>0</v>
      </c>
      <c r="G1078" s="1560" t="e">
        <f t="shared" si="33"/>
        <v>#DIV/0!</v>
      </c>
      <c r="H1078" s="2294">
        <v>0.95079999999999998</v>
      </c>
      <c r="I1078" s="2296"/>
    </row>
    <row r="1079" spans="1:9" ht="16.5">
      <c r="A1079" s="2298" t="s">
        <v>5251</v>
      </c>
      <c r="B1079" s="2299" t="s">
        <v>6558</v>
      </c>
      <c r="C1079" s="1586" t="s">
        <v>6544</v>
      </c>
      <c r="D1079" s="1558"/>
      <c r="E1079" s="1558"/>
      <c r="F1079" s="1559">
        <f t="shared" si="32"/>
        <v>0</v>
      </c>
      <c r="G1079" s="1560" t="e">
        <f t="shared" si="33"/>
        <v>#DIV/0!</v>
      </c>
      <c r="H1079" s="2294">
        <v>1.0689</v>
      </c>
      <c r="I1079" s="2296"/>
    </row>
    <row r="1080" spans="1:9" ht="16.5">
      <c r="A1080" s="2298" t="s">
        <v>5252</v>
      </c>
      <c r="B1080" s="2299" t="s">
        <v>6559</v>
      </c>
      <c r="C1080" s="1586" t="s">
        <v>6544</v>
      </c>
      <c r="D1080" s="1558"/>
      <c r="E1080" s="1558"/>
      <c r="F1080" s="1559">
        <f t="shared" si="32"/>
        <v>0</v>
      </c>
      <c r="G1080" s="1560" t="e">
        <f t="shared" si="33"/>
        <v>#DIV/0!</v>
      </c>
      <c r="H1080" s="2294">
        <v>0.73209999999999997</v>
      </c>
      <c r="I1080" s="2296"/>
    </row>
    <row r="1081" spans="1:9" ht="16.5">
      <c r="A1081" s="2298" t="s">
        <v>5253</v>
      </c>
      <c r="B1081" s="2299" t="s">
        <v>6560</v>
      </c>
      <c r="C1081" s="1586" t="s">
        <v>6544</v>
      </c>
      <c r="D1081" s="1558"/>
      <c r="E1081" s="1558"/>
      <c r="F1081" s="1559">
        <f t="shared" si="32"/>
        <v>0</v>
      </c>
      <c r="G1081" s="1560" t="e">
        <f t="shared" si="33"/>
        <v>#DIV/0!</v>
      </c>
      <c r="H1081" s="2294">
        <v>1.0021</v>
      </c>
      <c r="I1081" s="2296"/>
    </row>
    <row r="1082" spans="1:9" ht="16.5">
      <c r="A1082" s="2298" t="s">
        <v>5254</v>
      </c>
      <c r="B1082" s="2299" t="s">
        <v>6561</v>
      </c>
      <c r="C1082" s="1586" t="s">
        <v>6544</v>
      </c>
      <c r="D1082" s="1558"/>
      <c r="E1082" s="1558"/>
      <c r="F1082" s="1559">
        <f t="shared" si="32"/>
        <v>0</v>
      </c>
      <c r="G1082" s="1560" t="e">
        <f t="shared" si="33"/>
        <v>#DIV/0!</v>
      </c>
      <c r="H1082" s="2294">
        <v>0.94489999999999996</v>
      </c>
      <c r="I1082" s="2296"/>
    </row>
    <row r="1083" spans="1:9" ht="16.5">
      <c r="A1083" s="2298" t="s">
        <v>5255</v>
      </c>
      <c r="B1083" s="2299" t="s">
        <v>6562</v>
      </c>
      <c r="C1083" s="1586" t="s">
        <v>6544</v>
      </c>
      <c r="D1083" s="1558"/>
      <c r="E1083" s="1558"/>
      <c r="F1083" s="1559">
        <f t="shared" si="32"/>
        <v>0</v>
      </c>
      <c r="G1083" s="1560" t="e">
        <f t="shared" si="33"/>
        <v>#DIV/0!</v>
      </c>
      <c r="H1083" s="2294">
        <v>1.1674</v>
      </c>
      <c r="I1083" s="2296"/>
    </row>
    <row r="1084" spans="1:9" ht="16.5">
      <c r="A1084" s="2298" t="s">
        <v>5256</v>
      </c>
      <c r="B1084" s="2299" t="s">
        <v>6563</v>
      </c>
      <c r="C1084" s="1586" t="s">
        <v>6544</v>
      </c>
      <c r="D1084" s="1558"/>
      <c r="E1084" s="1558"/>
      <c r="F1084" s="1559">
        <f t="shared" si="32"/>
        <v>0</v>
      </c>
      <c r="G1084" s="1560" t="e">
        <f t="shared" si="33"/>
        <v>#DIV/0!</v>
      </c>
      <c r="H1084" s="2294">
        <v>1.0637000000000001</v>
      </c>
      <c r="I1084" s="2296"/>
    </row>
    <row r="1085" spans="1:9" ht="16.5">
      <c r="A1085" s="2298" t="s">
        <v>5257</v>
      </c>
      <c r="B1085" s="2299" t="s">
        <v>6564</v>
      </c>
      <c r="C1085" s="1586" t="s">
        <v>6544</v>
      </c>
      <c r="D1085" s="1558"/>
      <c r="E1085" s="1558"/>
      <c r="F1085" s="1559">
        <f t="shared" si="32"/>
        <v>0</v>
      </c>
      <c r="G1085" s="1560" t="e">
        <f t="shared" si="33"/>
        <v>#DIV/0!</v>
      </c>
      <c r="H1085" s="2294">
        <v>0.98960000000000004</v>
      </c>
      <c r="I1085" s="2296"/>
    </row>
    <row r="1086" spans="1:9" ht="66">
      <c r="A1086" s="2298" t="s">
        <v>5258</v>
      </c>
      <c r="B1086" s="2299" t="s">
        <v>6565</v>
      </c>
      <c r="C1086" s="1586" t="s">
        <v>6544</v>
      </c>
      <c r="D1086" s="1558"/>
      <c r="E1086" s="1558"/>
      <c r="F1086" s="1559">
        <f t="shared" si="32"/>
        <v>0</v>
      </c>
      <c r="G1086" s="1560" t="e">
        <f t="shared" si="33"/>
        <v>#DIV/0!</v>
      </c>
      <c r="H1086" s="2294">
        <v>1.2313000000000001</v>
      </c>
      <c r="I1086" s="2296" t="s">
        <v>5513</v>
      </c>
    </row>
    <row r="1087" spans="1:9" ht="66">
      <c r="A1087" s="2298" t="s">
        <v>5259</v>
      </c>
      <c r="B1087" s="2299" t="s">
        <v>6566</v>
      </c>
      <c r="C1087" s="1586" t="s">
        <v>6544</v>
      </c>
      <c r="D1087" s="1558"/>
      <c r="E1087" s="1558"/>
      <c r="F1087" s="1559">
        <f t="shared" si="32"/>
        <v>0</v>
      </c>
      <c r="G1087" s="1560" t="e">
        <f t="shared" si="33"/>
        <v>#DIV/0!</v>
      </c>
      <c r="H1087" s="2294">
        <v>1.2313000000000001</v>
      </c>
      <c r="I1087" s="2296" t="s">
        <v>5513</v>
      </c>
    </row>
    <row r="1088" spans="1:9" ht="66">
      <c r="A1088" s="2298" t="s">
        <v>5260</v>
      </c>
      <c r="B1088" s="2299" t="s">
        <v>6567</v>
      </c>
      <c r="C1088" s="1586" t="s">
        <v>6544</v>
      </c>
      <c r="D1088" s="1558"/>
      <c r="E1088" s="1558"/>
      <c r="F1088" s="1559">
        <f t="shared" si="32"/>
        <v>0</v>
      </c>
      <c r="G1088" s="1560" t="e">
        <f t="shared" si="33"/>
        <v>#DIV/0!</v>
      </c>
      <c r="H1088" s="2294">
        <v>1.2313000000000001</v>
      </c>
      <c r="I1088" s="2296" t="s">
        <v>5513</v>
      </c>
    </row>
    <row r="1089" spans="1:9" ht="66">
      <c r="A1089" s="2298" t="s">
        <v>5261</v>
      </c>
      <c r="B1089" s="2299" t="s">
        <v>6568</v>
      </c>
      <c r="C1089" s="1586" t="s">
        <v>6544</v>
      </c>
      <c r="D1089" s="1558"/>
      <c r="E1089" s="1558"/>
      <c r="F1089" s="1559">
        <f t="shared" si="32"/>
        <v>0</v>
      </c>
      <c r="G1089" s="1560" t="e">
        <f t="shared" si="33"/>
        <v>#DIV/0!</v>
      </c>
      <c r="H1089" s="2294">
        <v>1.2313000000000001</v>
      </c>
      <c r="I1089" s="2296" t="s">
        <v>5513</v>
      </c>
    </row>
    <row r="1090" spans="1:9" ht="66">
      <c r="A1090" s="2298" t="s">
        <v>5262</v>
      </c>
      <c r="B1090" s="2299" t="s">
        <v>6569</v>
      </c>
      <c r="C1090" s="1586" t="s">
        <v>6544</v>
      </c>
      <c r="D1090" s="1558"/>
      <c r="E1090" s="1558"/>
      <c r="F1090" s="1559">
        <f t="shared" si="32"/>
        <v>0</v>
      </c>
      <c r="G1090" s="1560" t="e">
        <f t="shared" si="33"/>
        <v>#DIV/0!</v>
      </c>
      <c r="H1090" s="2294">
        <v>1.2313000000000001</v>
      </c>
      <c r="I1090" s="2296" t="s">
        <v>5513</v>
      </c>
    </row>
    <row r="1091" spans="1:9" ht="66">
      <c r="A1091" s="2298" t="s">
        <v>5263</v>
      </c>
      <c r="B1091" s="2299" t="s">
        <v>6570</v>
      </c>
      <c r="C1091" s="1586" t="s">
        <v>6544</v>
      </c>
      <c r="D1091" s="1558"/>
      <c r="E1091" s="1558"/>
      <c r="F1091" s="1559">
        <f t="shared" si="32"/>
        <v>0</v>
      </c>
      <c r="G1091" s="1560" t="e">
        <f t="shared" si="33"/>
        <v>#DIV/0!</v>
      </c>
      <c r="H1091" s="2294">
        <v>1.2313000000000001</v>
      </c>
      <c r="I1091" s="2296" t="s">
        <v>5513</v>
      </c>
    </row>
    <row r="1092" spans="1:9" ht="16.5">
      <c r="A1092" s="2298" t="s">
        <v>5264</v>
      </c>
      <c r="B1092" s="2299" t="s">
        <v>6571</v>
      </c>
      <c r="C1092" s="1586" t="s">
        <v>6544</v>
      </c>
      <c r="D1092" s="1558"/>
      <c r="E1092" s="1558"/>
      <c r="F1092" s="1559">
        <f t="shared" si="32"/>
        <v>0</v>
      </c>
      <c r="G1092" s="1560" t="e">
        <f t="shared" si="33"/>
        <v>#DIV/0!</v>
      </c>
      <c r="H1092" s="2294">
        <v>1.0673999999999999</v>
      </c>
      <c r="I1092" s="2296"/>
    </row>
    <row r="1093" spans="1:9" ht="16.5">
      <c r="A1093" s="2298" t="s">
        <v>5265</v>
      </c>
      <c r="B1093" s="2299" t="s">
        <v>6572</v>
      </c>
      <c r="C1093" s="1586" t="s">
        <v>6544</v>
      </c>
      <c r="D1093" s="1558"/>
      <c r="E1093" s="1558"/>
      <c r="F1093" s="1559">
        <f t="shared" ref="F1093:F1156" si="34">D1093*E1093</f>
        <v>0</v>
      </c>
      <c r="G1093" s="1560" t="e">
        <f t="shared" ref="G1093:G1156" si="35">F1093/$F$1214</f>
        <v>#DIV/0!</v>
      </c>
      <c r="H1093" s="2294">
        <v>1.1916</v>
      </c>
      <c r="I1093" s="2296"/>
    </row>
    <row r="1094" spans="1:9" ht="16.5">
      <c r="A1094" s="2298" t="s">
        <v>5266</v>
      </c>
      <c r="B1094" s="2299" t="s">
        <v>6573</v>
      </c>
      <c r="C1094" s="1586" t="s">
        <v>6544</v>
      </c>
      <c r="D1094" s="1558"/>
      <c r="E1094" s="1558"/>
      <c r="F1094" s="1559">
        <f t="shared" si="34"/>
        <v>0</v>
      </c>
      <c r="G1094" s="1560" t="e">
        <f t="shared" si="35"/>
        <v>#DIV/0!</v>
      </c>
      <c r="H1094" s="2294">
        <v>1.2112000000000001</v>
      </c>
      <c r="I1094" s="2296"/>
    </row>
    <row r="1095" spans="1:9" ht="16.5">
      <c r="A1095" s="2298" t="s">
        <v>5267</v>
      </c>
      <c r="B1095" s="2299" t="s">
        <v>6574</v>
      </c>
      <c r="C1095" s="1586" t="s">
        <v>6544</v>
      </c>
      <c r="D1095" s="1558"/>
      <c r="E1095" s="1558"/>
      <c r="F1095" s="1559">
        <f t="shared" si="34"/>
        <v>0</v>
      </c>
      <c r="G1095" s="1560" t="e">
        <f t="shared" si="35"/>
        <v>#DIV/0!</v>
      </c>
      <c r="H1095" s="2294">
        <v>1.1013999999999999</v>
      </c>
      <c r="I1095" s="2296"/>
    </row>
    <row r="1096" spans="1:9" ht="16.5">
      <c r="A1096" s="2298" t="s">
        <v>5268</v>
      </c>
      <c r="B1096" s="2299" t="s">
        <v>6575</v>
      </c>
      <c r="C1096" s="1586" t="s">
        <v>6544</v>
      </c>
      <c r="D1096" s="1558"/>
      <c r="E1096" s="1558"/>
      <c r="F1096" s="1559">
        <f t="shared" si="34"/>
        <v>0</v>
      </c>
      <c r="G1096" s="1560" t="e">
        <f t="shared" si="35"/>
        <v>#DIV/0!</v>
      </c>
      <c r="H1096" s="2294">
        <v>1.0522</v>
      </c>
      <c r="I1096" s="2296"/>
    </row>
    <row r="1097" spans="1:9" ht="16.5">
      <c r="A1097" s="2298" t="s">
        <v>5269</v>
      </c>
      <c r="B1097" s="2299" t="s">
        <v>6576</v>
      </c>
      <c r="C1097" s="1586" t="s">
        <v>6544</v>
      </c>
      <c r="D1097" s="1558"/>
      <c r="E1097" s="1558"/>
      <c r="F1097" s="1559">
        <f t="shared" si="34"/>
        <v>0</v>
      </c>
      <c r="G1097" s="1560" t="e">
        <f t="shared" si="35"/>
        <v>#DIV/0!</v>
      </c>
      <c r="H1097" s="2294">
        <v>0.97909999999999997</v>
      </c>
      <c r="I1097" s="2296"/>
    </row>
    <row r="1098" spans="1:9" ht="16.5">
      <c r="A1098" s="2298" t="s">
        <v>5270</v>
      </c>
      <c r="B1098" s="2299" t="s">
        <v>6577</v>
      </c>
      <c r="C1098" s="1586" t="s">
        <v>6544</v>
      </c>
      <c r="D1098" s="1558"/>
      <c r="E1098" s="1558"/>
      <c r="F1098" s="1559">
        <f t="shared" si="34"/>
        <v>0</v>
      </c>
      <c r="G1098" s="1560" t="e">
        <f t="shared" si="35"/>
        <v>#DIV/0!</v>
      </c>
      <c r="H1098" s="2294">
        <v>1.0631999999999999</v>
      </c>
      <c r="I1098" s="2296"/>
    </row>
    <row r="1099" spans="1:9" ht="16.5">
      <c r="A1099" s="2298" t="s">
        <v>5271</v>
      </c>
      <c r="B1099" s="2299" t="s">
        <v>6578</v>
      </c>
      <c r="C1099" s="1586" t="s">
        <v>6544</v>
      </c>
      <c r="D1099" s="1558"/>
      <c r="E1099" s="1558"/>
      <c r="F1099" s="1559">
        <f t="shared" si="34"/>
        <v>0</v>
      </c>
      <c r="G1099" s="1560" t="e">
        <f t="shared" si="35"/>
        <v>#DIV/0!</v>
      </c>
      <c r="H1099" s="2294">
        <v>0.97230000000000005</v>
      </c>
      <c r="I1099" s="2296"/>
    </row>
    <row r="1100" spans="1:9" ht="16.5">
      <c r="A1100" s="2298" t="s">
        <v>5272</v>
      </c>
      <c r="B1100" s="2299" t="s">
        <v>6579</v>
      </c>
      <c r="C1100" s="1586" t="s">
        <v>6544</v>
      </c>
      <c r="D1100" s="1558"/>
      <c r="E1100" s="1558"/>
      <c r="F1100" s="1559">
        <f t="shared" si="34"/>
        <v>0</v>
      </c>
      <c r="G1100" s="1560" t="e">
        <f t="shared" si="35"/>
        <v>#DIV/0!</v>
      </c>
      <c r="H1100" s="2294">
        <v>0.96450000000000002</v>
      </c>
      <c r="I1100" s="2296"/>
    </row>
    <row r="1101" spans="1:9" ht="16.5">
      <c r="A1101" s="2298" t="s">
        <v>5273</v>
      </c>
      <c r="B1101" s="2299" t="s">
        <v>6580</v>
      </c>
      <c r="C1101" s="1586" t="s">
        <v>6544</v>
      </c>
      <c r="D1101" s="1558"/>
      <c r="E1101" s="1558"/>
      <c r="F1101" s="1559">
        <f t="shared" si="34"/>
        <v>0</v>
      </c>
      <c r="G1101" s="1560" t="e">
        <f t="shared" si="35"/>
        <v>#DIV/0!</v>
      </c>
      <c r="H1101" s="2294">
        <v>1.0212000000000001</v>
      </c>
      <c r="I1101" s="2296"/>
    </row>
    <row r="1102" spans="1:9" ht="16.5">
      <c r="A1102" s="2298" t="s">
        <v>5274</v>
      </c>
      <c r="B1102" s="2299" t="s">
        <v>6581</v>
      </c>
      <c r="C1102" s="1586" t="s">
        <v>6544</v>
      </c>
      <c r="D1102" s="1558"/>
      <c r="E1102" s="1558"/>
      <c r="F1102" s="1559">
        <f t="shared" si="34"/>
        <v>0</v>
      </c>
      <c r="G1102" s="1560" t="e">
        <f t="shared" si="35"/>
        <v>#DIV/0!</v>
      </c>
      <c r="H1102" s="2294">
        <v>1.0448999999999999</v>
      </c>
      <c r="I1102" s="2296"/>
    </row>
    <row r="1103" spans="1:9" ht="16.5">
      <c r="A1103" s="2298" t="s">
        <v>5275</v>
      </c>
      <c r="B1103" s="2299" t="s">
        <v>6582</v>
      </c>
      <c r="C1103" s="1586" t="s">
        <v>6544</v>
      </c>
      <c r="D1103" s="1558"/>
      <c r="E1103" s="1558"/>
      <c r="F1103" s="1559">
        <f t="shared" si="34"/>
        <v>0</v>
      </c>
      <c r="G1103" s="1560" t="e">
        <f t="shared" si="35"/>
        <v>#DIV/0!</v>
      </c>
      <c r="H1103" s="2294">
        <v>0.63480000000000003</v>
      </c>
      <c r="I1103" s="2296"/>
    </row>
    <row r="1104" spans="1:9" ht="16.5">
      <c r="A1104" s="2298" t="s">
        <v>5276</v>
      </c>
      <c r="B1104" s="2299" t="s">
        <v>6583</v>
      </c>
      <c r="C1104" s="1586" t="s">
        <v>6544</v>
      </c>
      <c r="D1104" s="1558"/>
      <c r="E1104" s="1558"/>
      <c r="F1104" s="1559">
        <f t="shared" si="34"/>
        <v>0</v>
      </c>
      <c r="G1104" s="1560" t="e">
        <f t="shared" si="35"/>
        <v>#DIV/0!</v>
      </c>
      <c r="H1104" s="2294">
        <v>1.1846000000000001</v>
      </c>
      <c r="I1104" s="2296"/>
    </row>
    <row r="1105" spans="1:9" ht="16.5">
      <c r="A1105" s="2298" t="s">
        <v>5277</v>
      </c>
      <c r="B1105" s="2299" t="s">
        <v>6584</v>
      </c>
      <c r="C1105" s="1586" t="s">
        <v>6544</v>
      </c>
      <c r="D1105" s="1558"/>
      <c r="E1105" s="1558"/>
      <c r="F1105" s="1559">
        <f t="shared" si="34"/>
        <v>0</v>
      </c>
      <c r="G1105" s="1560" t="e">
        <f t="shared" si="35"/>
        <v>#DIV/0!</v>
      </c>
      <c r="H1105" s="2294">
        <v>1.0359</v>
      </c>
      <c r="I1105" s="2296"/>
    </row>
    <row r="1106" spans="1:9" ht="16.5">
      <c r="A1106" s="2298" t="s">
        <v>5278</v>
      </c>
      <c r="B1106" s="2299" t="s">
        <v>6585</v>
      </c>
      <c r="C1106" s="1586" t="s">
        <v>6544</v>
      </c>
      <c r="D1106" s="1558"/>
      <c r="E1106" s="1558"/>
      <c r="F1106" s="1559">
        <f t="shared" si="34"/>
        <v>0</v>
      </c>
      <c r="G1106" s="1560" t="e">
        <f t="shared" si="35"/>
        <v>#DIV/0!</v>
      </c>
      <c r="H1106" s="2294">
        <v>1.0366</v>
      </c>
      <c r="I1106" s="2296"/>
    </row>
    <row r="1107" spans="1:9" ht="16.5">
      <c r="A1107" s="2298" t="s">
        <v>5279</v>
      </c>
      <c r="B1107" s="2299" t="s">
        <v>6586</v>
      </c>
      <c r="C1107" s="1586" t="s">
        <v>6544</v>
      </c>
      <c r="D1107" s="1558"/>
      <c r="E1107" s="1558"/>
      <c r="F1107" s="1559">
        <f t="shared" si="34"/>
        <v>0</v>
      </c>
      <c r="G1107" s="1560" t="e">
        <f t="shared" si="35"/>
        <v>#DIV/0!</v>
      </c>
      <c r="H1107" s="2294">
        <v>0.9839</v>
      </c>
      <c r="I1107" s="2296"/>
    </row>
    <row r="1108" spans="1:9" ht="16.5">
      <c r="A1108" s="2298" t="s">
        <v>5280</v>
      </c>
      <c r="B1108" s="2299" t="s">
        <v>6587</v>
      </c>
      <c r="C1108" s="1586" t="s">
        <v>6544</v>
      </c>
      <c r="D1108" s="1558"/>
      <c r="E1108" s="1558"/>
      <c r="F1108" s="1559">
        <f t="shared" si="34"/>
        <v>0</v>
      </c>
      <c r="G1108" s="1560" t="e">
        <f t="shared" si="35"/>
        <v>#DIV/0!</v>
      </c>
      <c r="H1108" s="2294">
        <v>1.0989</v>
      </c>
      <c r="I1108" s="2296"/>
    </row>
    <row r="1109" spans="1:9" ht="16.5">
      <c r="A1109" s="2298" t="s">
        <v>5281</v>
      </c>
      <c r="B1109" s="2299" t="s">
        <v>6588</v>
      </c>
      <c r="C1109" s="1586" t="s">
        <v>6544</v>
      </c>
      <c r="D1109" s="1558"/>
      <c r="E1109" s="1558"/>
      <c r="F1109" s="1559">
        <f t="shared" si="34"/>
        <v>0</v>
      </c>
      <c r="G1109" s="1560" t="e">
        <f t="shared" si="35"/>
        <v>#DIV/0!</v>
      </c>
      <c r="H1109" s="2294">
        <v>1.1383000000000001</v>
      </c>
      <c r="I1109" s="2296"/>
    </row>
    <row r="1110" spans="1:9" ht="16.5">
      <c r="A1110" s="2298" t="s">
        <v>5282</v>
      </c>
      <c r="B1110" s="2299" t="s">
        <v>6589</v>
      </c>
      <c r="C1110" s="1586" t="s">
        <v>6544</v>
      </c>
      <c r="D1110" s="1558"/>
      <c r="E1110" s="1558"/>
      <c r="F1110" s="1559">
        <f t="shared" si="34"/>
        <v>0</v>
      </c>
      <c r="G1110" s="1560" t="e">
        <f t="shared" si="35"/>
        <v>#DIV/0!</v>
      </c>
      <c r="H1110" s="2294">
        <v>0.98909999999999998</v>
      </c>
      <c r="I1110" s="2296"/>
    </row>
    <row r="1111" spans="1:9" ht="16.5">
      <c r="A1111" s="2298" t="s">
        <v>5283</v>
      </c>
      <c r="B1111" s="2299" t="s">
        <v>6590</v>
      </c>
      <c r="C1111" s="1586" t="s">
        <v>6544</v>
      </c>
      <c r="D1111" s="1558"/>
      <c r="E1111" s="1558"/>
      <c r="F1111" s="1559">
        <f t="shared" si="34"/>
        <v>0</v>
      </c>
      <c r="G1111" s="1560" t="e">
        <f t="shared" si="35"/>
        <v>#DIV/0!</v>
      </c>
      <c r="H1111" s="2294">
        <v>1.0111000000000001</v>
      </c>
      <c r="I1111" s="2296"/>
    </row>
    <row r="1112" spans="1:9" ht="16.5">
      <c r="A1112" s="2298" t="s">
        <v>5284</v>
      </c>
      <c r="B1112" s="2299" t="s">
        <v>6591</v>
      </c>
      <c r="C1112" s="1586" t="s">
        <v>6544</v>
      </c>
      <c r="D1112" s="1558"/>
      <c r="E1112" s="1558"/>
      <c r="F1112" s="1559">
        <f t="shared" si="34"/>
        <v>0</v>
      </c>
      <c r="G1112" s="1560" t="e">
        <f t="shared" si="35"/>
        <v>#DIV/0!</v>
      </c>
      <c r="H1112" s="2294">
        <v>1.0449999999999999</v>
      </c>
      <c r="I1112" s="2296"/>
    </row>
    <row r="1113" spans="1:9" ht="16.5">
      <c r="A1113" s="2298" t="s">
        <v>5285</v>
      </c>
      <c r="B1113" s="2299" t="s">
        <v>6592</v>
      </c>
      <c r="C1113" s="1586" t="s">
        <v>6544</v>
      </c>
      <c r="D1113" s="1558"/>
      <c r="E1113" s="1558"/>
      <c r="F1113" s="1559">
        <f t="shared" si="34"/>
        <v>0</v>
      </c>
      <c r="G1113" s="1560" t="e">
        <f t="shared" si="35"/>
        <v>#DIV/0!</v>
      </c>
      <c r="H1113" s="2294">
        <v>1.0449999999999999</v>
      </c>
      <c r="I1113" s="2296"/>
    </row>
    <row r="1114" spans="1:9" ht="16.5">
      <c r="A1114" s="2298" t="s">
        <v>5286</v>
      </c>
      <c r="B1114" s="2299" t="s">
        <v>6593</v>
      </c>
      <c r="C1114" s="1586" t="s">
        <v>6544</v>
      </c>
      <c r="D1114" s="1558"/>
      <c r="E1114" s="1558"/>
      <c r="F1114" s="1559">
        <f t="shared" si="34"/>
        <v>0</v>
      </c>
      <c r="G1114" s="1560" t="e">
        <f t="shared" si="35"/>
        <v>#DIV/0!</v>
      </c>
      <c r="H1114" s="2294">
        <v>1.1316999999999999</v>
      </c>
      <c r="I1114" s="2296"/>
    </row>
    <row r="1115" spans="1:9" ht="16.5">
      <c r="A1115" s="2298" t="s">
        <v>5287</v>
      </c>
      <c r="B1115" s="2299" t="s">
        <v>6594</v>
      </c>
      <c r="C1115" s="1586" t="s">
        <v>6544</v>
      </c>
      <c r="D1115" s="1558"/>
      <c r="E1115" s="1558"/>
      <c r="F1115" s="1559">
        <f t="shared" si="34"/>
        <v>0</v>
      </c>
      <c r="G1115" s="1560" t="e">
        <f t="shared" si="35"/>
        <v>#DIV/0!</v>
      </c>
      <c r="H1115" s="2294">
        <v>1.0195000000000001</v>
      </c>
      <c r="I1115" s="2296"/>
    </row>
    <row r="1116" spans="1:9" ht="16.5">
      <c r="A1116" s="2298" t="s">
        <v>5288</v>
      </c>
      <c r="B1116" s="2299" t="s">
        <v>6595</v>
      </c>
      <c r="C1116" s="1586" t="s">
        <v>6544</v>
      </c>
      <c r="D1116" s="1558"/>
      <c r="E1116" s="1558"/>
      <c r="F1116" s="1559">
        <f t="shared" si="34"/>
        <v>0</v>
      </c>
      <c r="G1116" s="1560" t="e">
        <f t="shared" si="35"/>
        <v>#DIV/0!</v>
      </c>
      <c r="H1116" s="2294">
        <v>1.0195000000000001</v>
      </c>
      <c r="I1116" s="2296"/>
    </row>
    <row r="1117" spans="1:9" ht="16.5">
      <c r="A1117" s="2298" t="s">
        <v>5289</v>
      </c>
      <c r="B1117" s="2299" t="s">
        <v>6596</v>
      </c>
      <c r="C1117" s="1586" t="s">
        <v>6544</v>
      </c>
      <c r="D1117" s="1558"/>
      <c r="E1117" s="1558"/>
      <c r="F1117" s="1559">
        <f t="shared" si="34"/>
        <v>0</v>
      </c>
      <c r="G1117" s="1560" t="e">
        <f t="shared" si="35"/>
        <v>#DIV/0!</v>
      </c>
      <c r="H1117" s="2294">
        <v>1.0821000000000001</v>
      </c>
      <c r="I1117" s="2296"/>
    </row>
    <row r="1118" spans="1:9" ht="16.5">
      <c r="A1118" s="2298" t="s">
        <v>5290</v>
      </c>
      <c r="B1118" s="2299" t="s">
        <v>6597</v>
      </c>
      <c r="C1118" s="1586" t="s">
        <v>6544</v>
      </c>
      <c r="D1118" s="1558"/>
      <c r="E1118" s="1558"/>
      <c r="F1118" s="1559">
        <f t="shared" si="34"/>
        <v>0</v>
      </c>
      <c r="G1118" s="1560" t="e">
        <f t="shared" si="35"/>
        <v>#DIV/0!</v>
      </c>
      <c r="H1118" s="2294">
        <v>1.0989</v>
      </c>
      <c r="I1118" s="2296"/>
    </row>
    <row r="1119" spans="1:9" ht="16.5">
      <c r="A1119" s="2298" t="s">
        <v>5291</v>
      </c>
      <c r="B1119" s="2299" t="s">
        <v>6598</v>
      </c>
      <c r="C1119" s="1586" t="s">
        <v>6544</v>
      </c>
      <c r="D1119" s="1558"/>
      <c r="E1119" s="1558"/>
      <c r="F1119" s="1559">
        <f t="shared" si="34"/>
        <v>0</v>
      </c>
      <c r="G1119" s="1560" t="e">
        <f t="shared" si="35"/>
        <v>#DIV/0!</v>
      </c>
      <c r="H1119" s="2294">
        <v>0.98770000000000002</v>
      </c>
      <c r="I1119" s="2296"/>
    </row>
    <row r="1120" spans="1:9" ht="16.5">
      <c r="A1120" s="2298" t="s">
        <v>5292</v>
      </c>
      <c r="B1120" s="2299" t="s">
        <v>6599</v>
      </c>
      <c r="C1120" s="1586" t="s">
        <v>6544</v>
      </c>
      <c r="D1120" s="1558"/>
      <c r="E1120" s="1558"/>
      <c r="F1120" s="1559">
        <f t="shared" si="34"/>
        <v>0</v>
      </c>
      <c r="G1120" s="1560" t="e">
        <f t="shared" si="35"/>
        <v>#DIV/0!</v>
      </c>
      <c r="H1120" s="2294">
        <v>1.0923</v>
      </c>
      <c r="I1120" s="2296"/>
    </row>
    <row r="1121" spans="1:9" ht="16.5">
      <c r="A1121" s="2298" t="s">
        <v>5293</v>
      </c>
      <c r="B1121" s="2299" t="s">
        <v>6600</v>
      </c>
      <c r="C1121" s="1586" t="s">
        <v>6544</v>
      </c>
      <c r="D1121" s="1558"/>
      <c r="E1121" s="1558"/>
      <c r="F1121" s="1559">
        <f t="shared" si="34"/>
        <v>0</v>
      </c>
      <c r="G1121" s="1560" t="e">
        <f t="shared" si="35"/>
        <v>#DIV/0!</v>
      </c>
      <c r="H1121" s="2294">
        <v>1.0297000000000001</v>
      </c>
      <c r="I1121" s="2296"/>
    </row>
    <row r="1122" spans="1:9" ht="16.5">
      <c r="A1122" s="2298" t="s">
        <v>5294</v>
      </c>
      <c r="B1122" s="2299" t="s">
        <v>6601</v>
      </c>
      <c r="C1122" s="1586" t="s">
        <v>6544</v>
      </c>
      <c r="D1122" s="1558"/>
      <c r="E1122" s="1558"/>
      <c r="F1122" s="1559">
        <f t="shared" si="34"/>
        <v>0</v>
      </c>
      <c r="G1122" s="1560" t="e">
        <f t="shared" si="35"/>
        <v>#DIV/0!</v>
      </c>
      <c r="H1122" s="2294">
        <v>1.1048</v>
      </c>
      <c r="I1122" s="2296"/>
    </row>
    <row r="1123" spans="1:9" ht="16.5">
      <c r="A1123" s="2298" t="s">
        <v>5295</v>
      </c>
      <c r="B1123" s="2299" t="s">
        <v>6602</v>
      </c>
      <c r="C1123" s="1586" t="s">
        <v>6544</v>
      </c>
      <c r="D1123" s="1558"/>
      <c r="E1123" s="1558"/>
      <c r="F1123" s="1559">
        <f t="shared" si="34"/>
        <v>0</v>
      </c>
      <c r="G1123" s="1560" t="e">
        <f t="shared" si="35"/>
        <v>#DIV/0!</v>
      </c>
      <c r="H1123" s="2294">
        <v>1.02</v>
      </c>
      <c r="I1123" s="2296"/>
    </row>
    <row r="1124" spans="1:9" ht="16.5">
      <c r="A1124" s="2298" t="s">
        <v>5296</v>
      </c>
      <c r="B1124" s="2299" t="s">
        <v>6603</v>
      </c>
      <c r="C1124" s="1586" t="s">
        <v>6544</v>
      </c>
      <c r="D1124" s="1558"/>
      <c r="E1124" s="1558"/>
      <c r="F1124" s="1559">
        <f t="shared" si="34"/>
        <v>0</v>
      </c>
      <c r="G1124" s="1560" t="e">
        <f t="shared" si="35"/>
        <v>#DIV/0!</v>
      </c>
      <c r="H1124" s="2294">
        <v>1.1716</v>
      </c>
      <c r="I1124" s="2296"/>
    </row>
    <row r="1125" spans="1:9" ht="16.5">
      <c r="A1125" s="2298" t="s">
        <v>5297</v>
      </c>
      <c r="B1125" s="2299" t="s">
        <v>6604</v>
      </c>
      <c r="C1125" s="1586" t="s">
        <v>6544</v>
      </c>
      <c r="D1125" s="1558"/>
      <c r="E1125" s="1558"/>
      <c r="F1125" s="1559">
        <f t="shared" si="34"/>
        <v>0</v>
      </c>
      <c r="G1125" s="1560" t="e">
        <f t="shared" si="35"/>
        <v>#DIV/0!</v>
      </c>
      <c r="H1125" s="2294">
        <v>0.97950000000000004</v>
      </c>
      <c r="I1125" s="2296"/>
    </row>
    <row r="1126" spans="1:9" ht="16.5">
      <c r="A1126" s="2298" t="s">
        <v>5298</v>
      </c>
      <c r="B1126" s="2299" t="s">
        <v>6605</v>
      </c>
      <c r="C1126" s="1586" t="s">
        <v>6544</v>
      </c>
      <c r="D1126" s="1558"/>
      <c r="E1126" s="1558"/>
      <c r="F1126" s="1559">
        <f t="shared" si="34"/>
        <v>0</v>
      </c>
      <c r="G1126" s="1560" t="e">
        <f t="shared" si="35"/>
        <v>#DIV/0!</v>
      </c>
      <c r="H1126" s="2294">
        <v>1.0082</v>
      </c>
      <c r="I1126" s="2296"/>
    </row>
    <row r="1127" spans="1:9" ht="16.5">
      <c r="A1127" s="2298" t="s">
        <v>5299</v>
      </c>
      <c r="B1127" s="2299" t="s">
        <v>6606</v>
      </c>
      <c r="C1127" s="1586" t="s">
        <v>6544</v>
      </c>
      <c r="D1127" s="1558"/>
      <c r="E1127" s="1558"/>
      <c r="F1127" s="1559">
        <f t="shared" si="34"/>
        <v>0</v>
      </c>
      <c r="G1127" s="1560" t="e">
        <f t="shared" si="35"/>
        <v>#DIV/0!</v>
      </c>
      <c r="H1127" s="2294">
        <v>1.0082</v>
      </c>
      <c r="I1127" s="2296"/>
    </row>
    <row r="1128" spans="1:9" ht="16.5">
      <c r="A1128" s="2298" t="s">
        <v>5300</v>
      </c>
      <c r="B1128" s="2299" t="s">
        <v>6607</v>
      </c>
      <c r="C1128" s="1586" t="s">
        <v>6544</v>
      </c>
      <c r="D1128" s="1558"/>
      <c r="E1128" s="1558"/>
      <c r="F1128" s="1559">
        <f t="shared" si="34"/>
        <v>0</v>
      </c>
      <c r="G1128" s="1560" t="e">
        <f t="shared" si="35"/>
        <v>#DIV/0!</v>
      </c>
      <c r="H1128" s="2294">
        <v>0.85529999999999995</v>
      </c>
      <c r="I1128" s="2296"/>
    </row>
    <row r="1129" spans="1:9" ht="16.5">
      <c r="A1129" s="2298" t="s">
        <v>5301</v>
      </c>
      <c r="B1129" s="2299" t="s">
        <v>6608</v>
      </c>
      <c r="C1129" s="1586" t="s">
        <v>6544</v>
      </c>
      <c r="D1129" s="1558"/>
      <c r="E1129" s="1558"/>
      <c r="F1129" s="1559">
        <f t="shared" si="34"/>
        <v>0</v>
      </c>
      <c r="G1129" s="1560" t="e">
        <f t="shared" si="35"/>
        <v>#DIV/0!</v>
      </c>
      <c r="H1129" s="2294">
        <v>0.90039999999999998</v>
      </c>
      <c r="I1129" s="2296"/>
    </row>
    <row r="1130" spans="1:9" ht="16.5">
      <c r="A1130" s="2298" t="s">
        <v>5302</v>
      </c>
      <c r="B1130" s="2299" t="s">
        <v>6609</v>
      </c>
      <c r="C1130" s="1586" t="s">
        <v>6544</v>
      </c>
      <c r="D1130" s="1558"/>
      <c r="E1130" s="1558"/>
      <c r="F1130" s="1559">
        <f t="shared" si="34"/>
        <v>0</v>
      </c>
      <c r="G1130" s="1560" t="e">
        <f t="shared" si="35"/>
        <v>#DIV/0!</v>
      </c>
      <c r="H1130" s="2294">
        <v>0.97829999999999995</v>
      </c>
      <c r="I1130" s="2296"/>
    </row>
    <row r="1131" spans="1:9" ht="16.5">
      <c r="A1131" s="2298" t="s">
        <v>5303</v>
      </c>
      <c r="B1131" s="2299" t="s">
        <v>6610</v>
      </c>
      <c r="C1131" s="1586" t="s">
        <v>6544</v>
      </c>
      <c r="D1131" s="1558"/>
      <c r="E1131" s="1558"/>
      <c r="F1131" s="1559">
        <f t="shared" si="34"/>
        <v>0</v>
      </c>
      <c r="G1131" s="1560" t="e">
        <f t="shared" si="35"/>
        <v>#DIV/0!</v>
      </c>
      <c r="H1131" s="2294">
        <v>0.99660000000000004</v>
      </c>
      <c r="I1131" s="2296"/>
    </row>
    <row r="1132" spans="1:9" ht="16.5">
      <c r="A1132" s="2298" t="s">
        <v>5304</v>
      </c>
      <c r="B1132" s="2299" t="s">
        <v>6611</v>
      </c>
      <c r="C1132" s="1586" t="s">
        <v>6544</v>
      </c>
      <c r="D1132" s="1558"/>
      <c r="E1132" s="1558"/>
      <c r="F1132" s="1559">
        <f t="shared" si="34"/>
        <v>0</v>
      </c>
      <c r="G1132" s="1560" t="e">
        <f t="shared" si="35"/>
        <v>#DIV/0!</v>
      </c>
      <c r="H1132" s="2294">
        <v>0.91820000000000002</v>
      </c>
      <c r="I1132" s="2296"/>
    </row>
    <row r="1133" spans="1:9" ht="16.5">
      <c r="A1133" s="2298" t="s">
        <v>5305</v>
      </c>
      <c r="B1133" s="2299" t="s">
        <v>6612</v>
      </c>
      <c r="C1133" s="1586" t="s">
        <v>6544</v>
      </c>
      <c r="D1133" s="1558"/>
      <c r="E1133" s="1558"/>
      <c r="F1133" s="1559">
        <f t="shared" si="34"/>
        <v>0</v>
      </c>
      <c r="G1133" s="1560" t="e">
        <f t="shared" si="35"/>
        <v>#DIV/0!</v>
      </c>
      <c r="H1133" s="2294">
        <v>1.1104000000000001</v>
      </c>
      <c r="I1133" s="2296"/>
    </row>
    <row r="1134" spans="1:9" ht="16.5">
      <c r="A1134" s="2298" t="s">
        <v>5306</v>
      </c>
      <c r="B1134" s="2299" t="s">
        <v>6613</v>
      </c>
      <c r="C1134" s="1586" t="s">
        <v>6544</v>
      </c>
      <c r="D1134" s="1558"/>
      <c r="E1134" s="1558"/>
      <c r="F1134" s="1559">
        <f t="shared" si="34"/>
        <v>0</v>
      </c>
      <c r="G1134" s="1560" t="e">
        <f t="shared" si="35"/>
        <v>#DIV/0!</v>
      </c>
      <c r="H1134" s="2294">
        <v>1.1277999999999999</v>
      </c>
      <c r="I1134" s="2296"/>
    </row>
    <row r="1135" spans="1:9" ht="16.5">
      <c r="A1135" s="2298" t="s">
        <v>5307</v>
      </c>
      <c r="B1135" s="2299" t="s">
        <v>6614</v>
      </c>
      <c r="C1135" s="1586" t="s">
        <v>6544</v>
      </c>
      <c r="D1135" s="1558"/>
      <c r="E1135" s="1558"/>
      <c r="F1135" s="1559">
        <f t="shared" si="34"/>
        <v>0</v>
      </c>
      <c r="G1135" s="1560" t="e">
        <f t="shared" si="35"/>
        <v>#DIV/0!</v>
      </c>
      <c r="H1135" s="2294">
        <v>0.87070000000000003</v>
      </c>
      <c r="I1135" s="2296"/>
    </row>
    <row r="1136" spans="1:9" ht="16.5">
      <c r="A1136" s="2298" t="s">
        <v>5308</v>
      </c>
      <c r="B1136" s="2299" t="s">
        <v>6615</v>
      </c>
      <c r="C1136" s="1586" t="s">
        <v>6544</v>
      </c>
      <c r="D1136" s="1558"/>
      <c r="E1136" s="1558"/>
      <c r="F1136" s="1559">
        <f t="shared" si="34"/>
        <v>0</v>
      </c>
      <c r="G1136" s="1560" t="e">
        <f t="shared" si="35"/>
        <v>#DIV/0!</v>
      </c>
      <c r="H1136" s="2294">
        <v>1.0270999999999999</v>
      </c>
      <c r="I1136" s="2296"/>
    </row>
    <row r="1137" spans="1:10" ht="16.5">
      <c r="A1137" s="2298" t="s">
        <v>5309</v>
      </c>
      <c r="B1137" s="2299" t="s">
        <v>6616</v>
      </c>
      <c r="C1137" s="1586" t="s">
        <v>6544</v>
      </c>
      <c r="D1137" s="1558"/>
      <c r="E1137" s="1558"/>
      <c r="F1137" s="1559">
        <f t="shared" si="34"/>
        <v>0</v>
      </c>
      <c r="G1137" s="1560" t="e">
        <f t="shared" si="35"/>
        <v>#DIV/0!</v>
      </c>
      <c r="H1137" s="2294">
        <v>1.0242</v>
      </c>
      <c r="I1137" s="2296"/>
    </row>
    <row r="1138" spans="1:10" ht="16.5">
      <c r="A1138" s="2298" t="s">
        <v>5310</v>
      </c>
      <c r="B1138" s="2299" t="s">
        <v>6617</v>
      </c>
      <c r="C1138" s="1586" t="s">
        <v>6544</v>
      </c>
      <c r="D1138" s="1558"/>
      <c r="E1138" s="1558"/>
      <c r="F1138" s="1559">
        <f t="shared" si="34"/>
        <v>0</v>
      </c>
      <c r="G1138" s="1560" t="e">
        <f t="shared" si="35"/>
        <v>#DIV/0!</v>
      </c>
      <c r="H1138" s="2294">
        <v>0.94820000000000004</v>
      </c>
      <c r="I1138" s="2296"/>
      <c r="J1138" s="1550"/>
    </row>
    <row r="1139" spans="1:10" ht="16.5">
      <c r="A1139" s="2298" t="s">
        <v>5311</v>
      </c>
      <c r="B1139" s="2299" t="s">
        <v>6618</v>
      </c>
      <c r="C1139" s="1586" t="s">
        <v>6544</v>
      </c>
      <c r="D1139" s="1558"/>
      <c r="E1139" s="1558"/>
      <c r="F1139" s="1559">
        <f t="shared" si="34"/>
        <v>0</v>
      </c>
      <c r="G1139" s="1560" t="e">
        <f t="shared" si="35"/>
        <v>#DIV/0!</v>
      </c>
      <c r="H1139" s="2294">
        <v>1.1651</v>
      </c>
      <c r="I1139" s="2296"/>
    </row>
    <row r="1140" spans="1:10" ht="16.5">
      <c r="A1140" s="2298" t="s">
        <v>5312</v>
      </c>
      <c r="B1140" s="2299" t="s">
        <v>6619</v>
      </c>
      <c r="C1140" s="1586" t="s">
        <v>6544</v>
      </c>
      <c r="D1140" s="1558"/>
      <c r="E1140" s="1558"/>
      <c r="F1140" s="1559">
        <f t="shared" si="34"/>
        <v>0</v>
      </c>
      <c r="G1140" s="1560" t="e">
        <f t="shared" si="35"/>
        <v>#DIV/0!</v>
      </c>
      <c r="H1140" s="2294">
        <v>0.84560000000000002</v>
      </c>
      <c r="I1140" s="2296"/>
    </row>
    <row r="1141" spans="1:10" ht="16.5">
      <c r="A1141" s="2298" t="s">
        <v>5313</v>
      </c>
      <c r="B1141" s="2299" t="s">
        <v>6620</v>
      </c>
      <c r="C1141" s="1586" t="s">
        <v>6544</v>
      </c>
      <c r="D1141" s="1558"/>
      <c r="E1141" s="1558"/>
      <c r="F1141" s="1559">
        <f t="shared" si="34"/>
        <v>0</v>
      </c>
      <c r="G1141" s="1560" t="e">
        <f t="shared" si="35"/>
        <v>#DIV/0!</v>
      </c>
      <c r="H1141" s="2294">
        <v>0.69950000000000001</v>
      </c>
      <c r="I1141" s="2296"/>
    </row>
    <row r="1142" spans="1:10" ht="16.5">
      <c r="A1142" s="2298" t="s">
        <v>5314</v>
      </c>
      <c r="B1142" s="2299" t="s">
        <v>6621</v>
      </c>
      <c r="C1142" s="1586" t="s">
        <v>6544</v>
      </c>
      <c r="D1142" s="1558"/>
      <c r="E1142" s="1558"/>
      <c r="F1142" s="1559">
        <f t="shared" si="34"/>
        <v>0</v>
      </c>
      <c r="G1142" s="1560" t="e">
        <f t="shared" si="35"/>
        <v>#DIV/0!</v>
      </c>
      <c r="H1142" s="2294">
        <v>0.89570000000000005</v>
      </c>
      <c r="I1142" s="2296"/>
    </row>
    <row r="1143" spans="1:10" ht="16.5">
      <c r="A1143" s="2298" t="s">
        <v>5315</v>
      </c>
      <c r="B1143" s="2299" t="s">
        <v>6622</v>
      </c>
      <c r="C1143" s="1586" t="s">
        <v>6544</v>
      </c>
      <c r="D1143" s="1558"/>
      <c r="E1143" s="1558"/>
      <c r="F1143" s="1559">
        <f t="shared" si="34"/>
        <v>0</v>
      </c>
      <c r="G1143" s="1560" t="e">
        <f t="shared" si="35"/>
        <v>#DIV/0!</v>
      </c>
      <c r="H1143" s="2294">
        <v>1.1538999999999999</v>
      </c>
      <c r="I1143" s="2296"/>
    </row>
    <row r="1144" spans="1:10" ht="66">
      <c r="A1144" s="2298" t="s">
        <v>5316</v>
      </c>
      <c r="B1144" s="2299" t="s">
        <v>6623</v>
      </c>
      <c r="C1144" s="2301" t="s">
        <v>6544</v>
      </c>
      <c r="D1144" s="1558"/>
      <c r="E1144" s="1558"/>
      <c r="F1144" s="1559">
        <f t="shared" si="34"/>
        <v>0</v>
      </c>
      <c r="G1144" s="1560" t="e">
        <f t="shared" si="35"/>
        <v>#DIV/0!</v>
      </c>
      <c r="H1144" s="2294">
        <v>1.2313000000000001</v>
      </c>
      <c r="I1144" s="2302" t="s">
        <v>5513</v>
      </c>
    </row>
    <row r="1145" spans="1:10" ht="16.5">
      <c r="A1145" s="2298" t="s">
        <v>5317</v>
      </c>
      <c r="B1145" s="2299" t="s">
        <v>6624</v>
      </c>
      <c r="C1145" s="2301" t="s">
        <v>6544</v>
      </c>
      <c r="D1145" s="1558"/>
      <c r="E1145" s="1558"/>
      <c r="F1145" s="1559">
        <f t="shared" si="34"/>
        <v>0</v>
      </c>
      <c r="G1145" s="1560" t="e">
        <f t="shared" si="35"/>
        <v>#DIV/0!</v>
      </c>
      <c r="H1145" s="2294">
        <v>0.98599999999999999</v>
      </c>
      <c r="I1145" s="2302"/>
    </row>
    <row r="1146" spans="1:10" ht="16.5">
      <c r="A1146" s="2298" t="s">
        <v>5318</v>
      </c>
      <c r="B1146" s="2299" t="s">
        <v>6625</v>
      </c>
      <c r="C1146" s="2301" t="s">
        <v>6544</v>
      </c>
      <c r="D1146" s="1558"/>
      <c r="E1146" s="1558"/>
      <c r="F1146" s="1559">
        <f t="shared" si="34"/>
        <v>0</v>
      </c>
      <c r="G1146" s="1560" t="e">
        <f t="shared" si="35"/>
        <v>#DIV/0!</v>
      </c>
      <c r="H1146" s="2294">
        <v>1.0139</v>
      </c>
      <c r="I1146" s="2302"/>
    </row>
    <row r="1147" spans="1:10" ht="16.5">
      <c r="A1147" s="2298" t="s">
        <v>5319</v>
      </c>
      <c r="B1147" s="2299" t="s">
        <v>6626</v>
      </c>
      <c r="C1147" s="2301" t="s">
        <v>6544</v>
      </c>
      <c r="D1147" s="1558"/>
      <c r="E1147" s="1558"/>
      <c r="F1147" s="1559">
        <f t="shared" si="34"/>
        <v>0</v>
      </c>
      <c r="G1147" s="1560" t="e">
        <f t="shared" si="35"/>
        <v>#DIV/0!</v>
      </c>
      <c r="H1147" s="2294">
        <v>0.83550000000000002</v>
      </c>
      <c r="I1147" s="2302"/>
    </row>
    <row r="1148" spans="1:10" ht="16.5">
      <c r="A1148" s="2298" t="s">
        <v>5320</v>
      </c>
      <c r="B1148" s="2299" t="s">
        <v>6627</v>
      </c>
      <c r="C1148" s="2301" t="s">
        <v>6544</v>
      </c>
      <c r="D1148" s="1558"/>
      <c r="E1148" s="1558"/>
      <c r="F1148" s="1559">
        <f t="shared" si="34"/>
        <v>0</v>
      </c>
      <c r="G1148" s="1560" t="e">
        <f t="shared" si="35"/>
        <v>#DIV/0!</v>
      </c>
      <c r="H1148" s="2294">
        <v>1.0634999999999999</v>
      </c>
      <c r="I1148" s="2302"/>
    </row>
    <row r="1149" spans="1:10" ht="16.5">
      <c r="A1149" s="2298" t="s">
        <v>5321</v>
      </c>
      <c r="B1149" s="2299" t="s">
        <v>6628</v>
      </c>
      <c r="C1149" s="2301" t="s">
        <v>6544</v>
      </c>
      <c r="D1149" s="1558"/>
      <c r="E1149" s="1558"/>
      <c r="F1149" s="1559">
        <f t="shared" si="34"/>
        <v>0</v>
      </c>
      <c r="G1149" s="1560" t="e">
        <f t="shared" si="35"/>
        <v>#DIV/0!</v>
      </c>
      <c r="H1149" s="2294">
        <v>1.0253000000000001</v>
      </c>
      <c r="I1149" s="2302"/>
    </row>
    <row r="1150" spans="1:10" ht="16.5">
      <c r="A1150" s="2298" t="s">
        <v>5322</v>
      </c>
      <c r="B1150" s="2299" t="s">
        <v>6629</v>
      </c>
      <c r="C1150" s="2301" t="s">
        <v>6544</v>
      </c>
      <c r="D1150" s="1558"/>
      <c r="E1150" s="1558"/>
      <c r="F1150" s="1559">
        <f t="shared" si="34"/>
        <v>0</v>
      </c>
      <c r="G1150" s="1560" t="e">
        <f t="shared" si="35"/>
        <v>#DIV/0!</v>
      </c>
      <c r="H1150" s="2294">
        <v>0.99119999999999997</v>
      </c>
      <c r="I1150" s="2302"/>
    </row>
    <row r="1151" spans="1:10" ht="16.5">
      <c r="A1151" s="2298" t="s">
        <v>5323</v>
      </c>
      <c r="B1151" s="2299" t="s">
        <v>6630</v>
      </c>
      <c r="C1151" s="2301" t="s">
        <v>6544</v>
      </c>
      <c r="D1151" s="1558"/>
      <c r="E1151" s="1558"/>
      <c r="F1151" s="1559">
        <f t="shared" si="34"/>
        <v>0</v>
      </c>
      <c r="G1151" s="1560" t="e">
        <f t="shared" si="35"/>
        <v>#DIV/0!</v>
      </c>
      <c r="H1151" s="2294">
        <v>0.95350000000000001</v>
      </c>
      <c r="I1151" s="2302"/>
    </row>
    <row r="1152" spans="1:10" ht="16.5">
      <c r="A1152" s="2298" t="s">
        <v>5324</v>
      </c>
      <c r="B1152" s="2299" t="s">
        <v>6631</v>
      </c>
      <c r="C1152" s="2301" t="s">
        <v>6544</v>
      </c>
      <c r="D1152" s="1558"/>
      <c r="E1152" s="1558"/>
      <c r="F1152" s="1559">
        <f t="shared" si="34"/>
        <v>0</v>
      </c>
      <c r="G1152" s="1560" t="e">
        <f t="shared" si="35"/>
        <v>#DIV/0!</v>
      </c>
      <c r="H1152" s="2294">
        <v>0.93640000000000001</v>
      </c>
      <c r="I1152" s="2302"/>
    </row>
    <row r="1153" spans="1:9" ht="16.5">
      <c r="A1153" s="2298" t="s">
        <v>5325</v>
      </c>
      <c r="B1153" s="2299" t="s">
        <v>6632</v>
      </c>
      <c r="C1153" s="2301" t="s">
        <v>6544</v>
      </c>
      <c r="D1153" s="1558"/>
      <c r="E1153" s="1558"/>
      <c r="F1153" s="1559">
        <f t="shared" si="34"/>
        <v>0</v>
      </c>
      <c r="G1153" s="1560" t="e">
        <f t="shared" si="35"/>
        <v>#DIV/0!</v>
      </c>
      <c r="H1153" s="2294">
        <v>0.86099999999999999</v>
      </c>
      <c r="I1153" s="2302"/>
    </row>
    <row r="1154" spans="1:9" ht="16.5">
      <c r="A1154" s="2298" t="s">
        <v>5326</v>
      </c>
      <c r="B1154" s="2299" t="s">
        <v>6633</v>
      </c>
      <c r="C1154" s="2301" t="s">
        <v>6544</v>
      </c>
      <c r="D1154" s="1558"/>
      <c r="E1154" s="1558"/>
      <c r="F1154" s="1559">
        <f t="shared" si="34"/>
        <v>0</v>
      </c>
      <c r="G1154" s="1560" t="e">
        <f t="shared" si="35"/>
        <v>#DIV/0!</v>
      </c>
      <c r="H1154" s="2294">
        <v>1.0738000000000001</v>
      </c>
      <c r="I1154" s="2302"/>
    </row>
    <row r="1155" spans="1:9" ht="16.5">
      <c r="A1155" s="2298" t="s">
        <v>5327</v>
      </c>
      <c r="B1155" s="2299" t="s">
        <v>6634</v>
      </c>
      <c r="C1155" s="2301" t="s">
        <v>6544</v>
      </c>
      <c r="D1155" s="1558"/>
      <c r="E1155" s="1558"/>
      <c r="F1155" s="1559">
        <f t="shared" si="34"/>
        <v>0</v>
      </c>
      <c r="G1155" s="1560" t="e">
        <f t="shared" si="35"/>
        <v>#DIV/0!</v>
      </c>
      <c r="H1155" s="2294">
        <v>1.0733999999999999</v>
      </c>
      <c r="I1155" s="2302"/>
    </row>
    <row r="1156" spans="1:9" ht="16.5">
      <c r="A1156" s="2298" t="s">
        <v>5328</v>
      </c>
      <c r="B1156" s="2299" t="s">
        <v>6635</v>
      </c>
      <c r="C1156" s="2301" t="s">
        <v>6544</v>
      </c>
      <c r="D1156" s="1558"/>
      <c r="E1156" s="1558"/>
      <c r="F1156" s="1559">
        <f t="shared" si="34"/>
        <v>0</v>
      </c>
      <c r="G1156" s="1560" t="e">
        <f t="shared" si="35"/>
        <v>#DIV/0!</v>
      </c>
      <c r="H1156" s="2294">
        <v>1.0889</v>
      </c>
      <c r="I1156" s="2302"/>
    </row>
    <row r="1157" spans="1:9" ht="16.5">
      <c r="A1157" s="2298" t="s">
        <v>5329</v>
      </c>
      <c r="B1157" s="2299" t="s">
        <v>6636</v>
      </c>
      <c r="C1157" s="2301" t="s">
        <v>6544</v>
      </c>
      <c r="D1157" s="1558"/>
      <c r="E1157" s="1558"/>
      <c r="F1157" s="1559">
        <f t="shared" ref="F1157:F1213" si="36">D1157*E1157</f>
        <v>0</v>
      </c>
      <c r="G1157" s="1560" t="e">
        <f t="shared" ref="G1157:G1213" si="37">F1157/$F$1214</f>
        <v>#DIV/0!</v>
      </c>
      <c r="H1157" s="2294">
        <v>0.99109999999999998</v>
      </c>
      <c r="I1157" s="2302"/>
    </row>
    <row r="1158" spans="1:9" ht="16.5">
      <c r="A1158" s="2298" t="s">
        <v>5330</v>
      </c>
      <c r="B1158" s="2299" t="s">
        <v>6637</v>
      </c>
      <c r="C1158" s="2301" t="s">
        <v>6544</v>
      </c>
      <c r="D1158" s="1558"/>
      <c r="E1158" s="1558"/>
      <c r="F1158" s="1559">
        <f t="shared" si="36"/>
        <v>0</v>
      </c>
      <c r="G1158" s="1560" t="e">
        <f t="shared" si="37"/>
        <v>#DIV/0!</v>
      </c>
      <c r="H1158" s="2294">
        <v>0.9879</v>
      </c>
      <c r="I1158" s="2302"/>
    </row>
    <row r="1159" spans="1:9" ht="16.5">
      <c r="A1159" s="2298" t="s">
        <v>5331</v>
      </c>
      <c r="B1159" s="2299" t="s">
        <v>6638</v>
      </c>
      <c r="C1159" s="2301" t="s">
        <v>6544</v>
      </c>
      <c r="D1159" s="1558"/>
      <c r="E1159" s="1558"/>
      <c r="F1159" s="1559">
        <f t="shared" si="36"/>
        <v>0</v>
      </c>
      <c r="G1159" s="1560" t="e">
        <f t="shared" si="37"/>
        <v>#DIV/0!</v>
      </c>
      <c r="H1159" s="2294">
        <v>0.54730000000000001</v>
      </c>
      <c r="I1159" s="2302"/>
    </row>
    <row r="1160" spans="1:9" ht="16.5">
      <c r="A1160" s="2298" t="s">
        <v>5332</v>
      </c>
      <c r="B1160" s="2299" t="s">
        <v>6639</v>
      </c>
      <c r="C1160" s="2301" t="s">
        <v>6544</v>
      </c>
      <c r="D1160" s="1558"/>
      <c r="E1160" s="1558"/>
      <c r="F1160" s="1559">
        <f t="shared" si="36"/>
        <v>0</v>
      </c>
      <c r="G1160" s="1560" t="e">
        <f t="shared" si="37"/>
        <v>#DIV/0!</v>
      </c>
      <c r="H1160" s="2294">
        <v>0.94540000000000002</v>
      </c>
      <c r="I1160" s="2302"/>
    </row>
    <row r="1161" spans="1:9" ht="16.5">
      <c r="A1161" s="2298" t="s">
        <v>5333</v>
      </c>
      <c r="B1161" s="2299" t="s">
        <v>6640</v>
      </c>
      <c r="C1161" s="2301" t="s">
        <v>6544</v>
      </c>
      <c r="D1161" s="1558"/>
      <c r="E1161" s="1558"/>
      <c r="F1161" s="1559">
        <f t="shared" si="36"/>
        <v>0</v>
      </c>
      <c r="G1161" s="1560" t="e">
        <f t="shared" si="37"/>
        <v>#DIV/0!</v>
      </c>
      <c r="H1161" s="2294">
        <v>0.91959999999999997</v>
      </c>
      <c r="I1161" s="2302"/>
    </row>
    <row r="1162" spans="1:9" ht="16.5">
      <c r="A1162" s="2298" t="s">
        <v>5334</v>
      </c>
      <c r="B1162" s="2299" t="s">
        <v>6641</v>
      </c>
      <c r="C1162" s="2301" t="s">
        <v>6544</v>
      </c>
      <c r="D1162" s="1558"/>
      <c r="E1162" s="1558"/>
      <c r="F1162" s="1559">
        <f t="shared" si="36"/>
        <v>0</v>
      </c>
      <c r="G1162" s="1560" t="e">
        <f t="shared" si="37"/>
        <v>#DIV/0!</v>
      </c>
      <c r="H1162" s="2294">
        <v>1.0806</v>
      </c>
      <c r="I1162" s="2302"/>
    </row>
    <row r="1163" spans="1:9" ht="16.5">
      <c r="A1163" s="2298" t="s">
        <v>5335</v>
      </c>
      <c r="B1163" s="2299" t="s">
        <v>6642</v>
      </c>
      <c r="C1163" s="2301" t="s">
        <v>6544</v>
      </c>
      <c r="D1163" s="1558"/>
      <c r="E1163" s="1558"/>
      <c r="F1163" s="1559">
        <f t="shared" si="36"/>
        <v>0</v>
      </c>
      <c r="G1163" s="1560" t="e">
        <f t="shared" si="37"/>
        <v>#DIV/0!</v>
      </c>
      <c r="H1163" s="2294">
        <v>0.86680000000000001</v>
      </c>
      <c r="I1163" s="2302"/>
    </row>
    <row r="1164" spans="1:9" ht="66">
      <c r="A1164" s="2298" t="s">
        <v>5336</v>
      </c>
      <c r="B1164" s="2299" t="s">
        <v>6643</v>
      </c>
      <c r="C1164" s="2301" t="s">
        <v>6544</v>
      </c>
      <c r="D1164" s="1558"/>
      <c r="E1164" s="1558"/>
      <c r="F1164" s="1559">
        <f t="shared" si="36"/>
        <v>0</v>
      </c>
      <c r="G1164" s="1560" t="e">
        <f t="shared" si="37"/>
        <v>#DIV/0!</v>
      </c>
      <c r="H1164" s="2294">
        <v>1.2313000000000001</v>
      </c>
      <c r="I1164" s="2302" t="s">
        <v>5513</v>
      </c>
    </row>
    <row r="1165" spans="1:9" ht="16.5">
      <c r="A1165" s="2298" t="s">
        <v>5337</v>
      </c>
      <c r="B1165" s="2299" t="s">
        <v>6644</v>
      </c>
      <c r="C1165" s="2301" t="s">
        <v>6544</v>
      </c>
      <c r="D1165" s="1558"/>
      <c r="E1165" s="1558"/>
      <c r="F1165" s="1559">
        <f t="shared" si="36"/>
        <v>0</v>
      </c>
      <c r="G1165" s="1560" t="e">
        <f t="shared" si="37"/>
        <v>#DIV/0!</v>
      </c>
      <c r="H1165" s="2294">
        <v>0.86419999999999997</v>
      </c>
      <c r="I1165" s="2302"/>
    </row>
    <row r="1166" spans="1:9" ht="66">
      <c r="A1166" s="2298" t="s">
        <v>5338</v>
      </c>
      <c r="B1166" s="2299" t="s">
        <v>6645</v>
      </c>
      <c r="C1166" s="2301" t="s">
        <v>6544</v>
      </c>
      <c r="D1166" s="1558"/>
      <c r="E1166" s="1558"/>
      <c r="F1166" s="1559">
        <f t="shared" si="36"/>
        <v>0</v>
      </c>
      <c r="G1166" s="1560" t="e">
        <f t="shared" si="37"/>
        <v>#DIV/0!</v>
      </c>
      <c r="H1166" s="2294">
        <v>1.2313000000000001</v>
      </c>
      <c r="I1166" s="2302" t="s">
        <v>5513</v>
      </c>
    </row>
    <row r="1167" spans="1:9" ht="16.5">
      <c r="A1167" s="2298" t="s">
        <v>5339</v>
      </c>
      <c r="B1167" s="2299" t="s">
        <v>6646</v>
      </c>
      <c r="C1167" s="2301" t="s">
        <v>6544</v>
      </c>
      <c r="D1167" s="1558"/>
      <c r="E1167" s="1558"/>
      <c r="F1167" s="1559">
        <f t="shared" si="36"/>
        <v>0</v>
      </c>
      <c r="G1167" s="1560" t="e">
        <f t="shared" si="37"/>
        <v>#DIV/0!</v>
      </c>
      <c r="H1167" s="2294">
        <v>1.0999000000000001</v>
      </c>
      <c r="I1167" s="2302"/>
    </row>
    <row r="1168" spans="1:9" ht="16.5">
      <c r="A1168" s="2298" t="s">
        <v>5340</v>
      </c>
      <c r="B1168" s="2299" t="s">
        <v>6647</v>
      </c>
      <c r="C1168" s="2301" t="s">
        <v>6544</v>
      </c>
      <c r="D1168" s="1558"/>
      <c r="E1168" s="1558"/>
      <c r="F1168" s="1559">
        <f t="shared" si="36"/>
        <v>0</v>
      </c>
      <c r="G1168" s="1560" t="e">
        <f t="shared" si="37"/>
        <v>#DIV/0!</v>
      </c>
      <c r="H1168" s="2294">
        <v>0.96640000000000004</v>
      </c>
      <c r="I1168" s="2302"/>
    </row>
    <row r="1169" spans="1:9" ht="16.5">
      <c r="A1169" s="2298" t="s">
        <v>5341</v>
      </c>
      <c r="B1169" s="2299" t="s">
        <v>6648</v>
      </c>
      <c r="C1169" s="2301" t="s">
        <v>6544</v>
      </c>
      <c r="D1169" s="1558"/>
      <c r="E1169" s="1558"/>
      <c r="F1169" s="1559">
        <f t="shared" si="36"/>
        <v>0</v>
      </c>
      <c r="G1169" s="1560" t="e">
        <f t="shared" si="37"/>
        <v>#DIV/0!</v>
      </c>
      <c r="H1169" s="2294">
        <v>1.1511</v>
      </c>
      <c r="I1169" s="2302"/>
    </row>
    <row r="1170" spans="1:9" ht="16.5">
      <c r="A1170" s="2298" t="s">
        <v>5342</v>
      </c>
      <c r="B1170" s="2299" t="s">
        <v>6649</v>
      </c>
      <c r="C1170" s="2301" t="s">
        <v>6544</v>
      </c>
      <c r="D1170" s="1558"/>
      <c r="E1170" s="1558"/>
      <c r="F1170" s="1559">
        <f t="shared" si="36"/>
        <v>0</v>
      </c>
      <c r="G1170" s="1560" t="e">
        <f t="shared" si="37"/>
        <v>#DIV/0!</v>
      </c>
      <c r="H1170" s="2294">
        <v>1.1448</v>
      </c>
      <c r="I1170" s="2302"/>
    </row>
    <row r="1171" spans="1:9" ht="16.5">
      <c r="A1171" s="2298" t="s">
        <v>5343</v>
      </c>
      <c r="B1171" s="2299" t="s">
        <v>6650</v>
      </c>
      <c r="C1171" s="2301" t="s">
        <v>6544</v>
      </c>
      <c r="D1171" s="1558"/>
      <c r="E1171" s="1558"/>
      <c r="F1171" s="1559">
        <f t="shared" si="36"/>
        <v>0</v>
      </c>
      <c r="G1171" s="1560" t="e">
        <f t="shared" si="37"/>
        <v>#DIV/0!</v>
      </c>
      <c r="H1171" s="2294">
        <v>1.0369999999999999</v>
      </c>
      <c r="I1171" s="2302"/>
    </row>
    <row r="1172" spans="1:9" ht="16.5">
      <c r="A1172" s="2298" t="s">
        <v>5344</v>
      </c>
      <c r="B1172" s="2299" t="s">
        <v>6651</v>
      </c>
      <c r="C1172" s="2301" t="s">
        <v>6544</v>
      </c>
      <c r="D1172" s="1558"/>
      <c r="E1172" s="1558"/>
      <c r="F1172" s="1559">
        <f t="shared" si="36"/>
        <v>0</v>
      </c>
      <c r="G1172" s="1560" t="e">
        <f t="shared" si="37"/>
        <v>#DIV/0!</v>
      </c>
      <c r="H1172" s="2294">
        <v>1.2930999999999999</v>
      </c>
      <c r="I1172" s="2302"/>
    </row>
    <row r="1173" spans="1:9" ht="16.5">
      <c r="A1173" s="2298" t="s">
        <v>5345</v>
      </c>
      <c r="B1173" s="2299" t="s">
        <v>6652</v>
      </c>
      <c r="C1173" s="2301" t="s">
        <v>6544</v>
      </c>
      <c r="D1173" s="1558"/>
      <c r="E1173" s="1558"/>
      <c r="F1173" s="1559">
        <f t="shared" si="36"/>
        <v>0</v>
      </c>
      <c r="G1173" s="1560" t="e">
        <f t="shared" si="37"/>
        <v>#DIV/0!</v>
      </c>
      <c r="H1173" s="2294" t="s">
        <v>5220</v>
      </c>
      <c r="I1173" s="2302"/>
    </row>
    <row r="1174" spans="1:9" ht="16.5">
      <c r="A1174" s="2298" t="s">
        <v>5346</v>
      </c>
      <c r="B1174" s="2299" t="s">
        <v>6653</v>
      </c>
      <c r="C1174" s="2301" t="s">
        <v>6544</v>
      </c>
      <c r="D1174" s="1558"/>
      <c r="E1174" s="1558"/>
      <c r="F1174" s="1559">
        <f t="shared" si="36"/>
        <v>0</v>
      </c>
      <c r="G1174" s="1560" t="e">
        <f t="shared" si="37"/>
        <v>#DIV/0!</v>
      </c>
      <c r="H1174" s="2294">
        <v>1.1686000000000001</v>
      </c>
      <c r="I1174" s="2302"/>
    </row>
    <row r="1175" spans="1:9" ht="16.5">
      <c r="A1175" s="2298" t="s">
        <v>5347</v>
      </c>
      <c r="B1175" s="2299" t="s">
        <v>6654</v>
      </c>
      <c r="C1175" s="2301" t="s">
        <v>6544</v>
      </c>
      <c r="D1175" s="1558"/>
      <c r="E1175" s="1558"/>
      <c r="F1175" s="1559">
        <f t="shared" si="36"/>
        <v>0</v>
      </c>
      <c r="G1175" s="1560" t="e">
        <f t="shared" si="37"/>
        <v>#DIV/0!</v>
      </c>
      <c r="H1175" s="2294">
        <v>1.0495000000000001</v>
      </c>
      <c r="I1175" s="2302"/>
    </row>
    <row r="1176" spans="1:9" ht="16.5">
      <c r="A1176" s="2298" t="s">
        <v>5348</v>
      </c>
      <c r="B1176" s="2299" t="s">
        <v>6655</v>
      </c>
      <c r="C1176" s="2301" t="s">
        <v>6544</v>
      </c>
      <c r="D1176" s="1558"/>
      <c r="E1176" s="1558"/>
      <c r="F1176" s="1559">
        <f t="shared" si="36"/>
        <v>0</v>
      </c>
      <c r="G1176" s="1560" t="e">
        <f t="shared" si="37"/>
        <v>#DIV/0!</v>
      </c>
      <c r="H1176" s="2294">
        <v>1.0209999999999999</v>
      </c>
      <c r="I1176" s="2302"/>
    </row>
    <row r="1177" spans="1:9" ht="16.5">
      <c r="A1177" s="2298" t="s">
        <v>5349</v>
      </c>
      <c r="B1177" s="2299" t="s">
        <v>6656</v>
      </c>
      <c r="C1177" s="2301" t="s">
        <v>6544</v>
      </c>
      <c r="D1177" s="1558"/>
      <c r="E1177" s="1558"/>
      <c r="F1177" s="1559">
        <f t="shared" si="36"/>
        <v>0</v>
      </c>
      <c r="G1177" s="1560" t="e">
        <f t="shared" si="37"/>
        <v>#DIV/0!</v>
      </c>
      <c r="H1177" s="2294">
        <v>1.0429999999999999</v>
      </c>
      <c r="I1177" s="2302"/>
    </row>
    <row r="1178" spans="1:9" ht="16.5">
      <c r="A1178" s="2298" t="s">
        <v>5350</v>
      </c>
      <c r="B1178" s="2299" t="s">
        <v>6657</v>
      </c>
      <c r="C1178" s="2301" t="s">
        <v>6544</v>
      </c>
      <c r="D1178" s="1558"/>
      <c r="E1178" s="1558"/>
      <c r="F1178" s="1559">
        <f t="shared" si="36"/>
        <v>0</v>
      </c>
      <c r="G1178" s="1560" t="e">
        <f t="shared" si="37"/>
        <v>#DIV/0!</v>
      </c>
      <c r="H1178" s="2294">
        <v>1.2949999999999999</v>
      </c>
      <c r="I1178" s="2302"/>
    </row>
    <row r="1179" spans="1:9" ht="16.5">
      <c r="A1179" s="2298" t="s">
        <v>5351</v>
      </c>
      <c r="B1179" s="2299" t="s">
        <v>6658</v>
      </c>
      <c r="C1179" s="2301" t="s">
        <v>6544</v>
      </c>
      <c r="D1179" s="1558"/>
      <c r="E1179" s="1558"/>
      <c r="F1179" s="1559">
        <f t="shared" si="36"/>
        <v>0</v>
      </c>
      <c r="G1179" s="1560" t="e">
        <f t="shared" si="37"/>
        <v>#DIV/0!</v>
      </c>
      <c r="H1179" s="2294">
        <v>0.69399999999999995</v>
      </c>
      <c r="I1179" s="2302"/>
    </row>
    <row r="1180" spans="1:9" ht="16.5">
      <c r="A1180" s="2298" t="s">
        <v>5352</v>
      </c>
      <c r="B1180" s="2299" t="s">
        <v>6659</v>
      </c>
      <c r="C1180" s="2301" t="s">
        <v>6544</v>
      </c>
      <c r="D1180" s="1558"/>
      <c r="E1180" s="1558"/>
      <c r="F1180" s="1559">
        <f t="shared" si="36"/>
        <v>0</v>
      </c>
      <c r="G1180" s="1560" t="e">
        <f t="shared" si="37"/>
        <v>#DIV/0!</v>
      </c>
      <c r="H1180" s="2294">
        <v>0.94689999999999996</v>
      </c>
      <c r="I1180" s="2302"/>
    </row>
    <row r="1181" spans="1:9" ht="16.5">
      <c r="A1181" s="2298" t="s">
        <v>5353</v>
      </c>
      <c r="B1181" s="2299" t="s">
        <v>6660</v>
      </c>
      <c r="C1181" s="2301" t="s">
        <v>6544</v>
      </c>
      <c r="D1181" s="1558"/>
      <c r="E1181" s="1558"/>
      <c r="F1181" s="1559">
        <f t="shared" si="36"/>
        <v>0</v>
      </c>
      <c r="G1181" s="1560" t="e">
        <f t="shared" si="37"/>
        <v>#DIV/0!</v>
      </c>
      <c r="H1181" s="2294">
        <v>0.97170000000000001</v>
      </c>
      <c r="I1181" s="2302"/>
    </row>
    <row r="1182" spans="1:9" ht="16.5">
      <c r="A1182" s="2298" t="s">
        <v>5354</v>
      </c>
      <c r="B1182" s="2299" t="s">
        <v>6661</v>
      </c>
      <c r="C1182" s="2301" t="s">
        <v>6544</v>
      </c>
      <c r="D1182" s="1558"/>
      <c r="E1182" s="1558"/>
      <c r="F1182" s="1559">
        <f t="shared" si="36"/>
        <v>0</v>
      </c>
      <c r="G1182" s="1560" t="e">
        <f t="shared" si="37"/>
        <v>#DIV/0!</v>
      </c>
      <c r="H1182" s="2294">
        <v>1.1536</v>
      </c>
      <c r="I1182" s="2302"/>
    </row>
    <row r="1183" spans="1:9" ht="66">
      <c r="A1183" s="2298" t="s">
        <v>5355</v>
      </c>
      <c r="B1183" s="2299" t="s">
        <v>6662</v>
      </c>
      <c r="C1183" s="2301" t="s">
        <v>6544</v>
      </c>
      <c r="D1183" s="1558"/>
      <c r="E1183" s="1558"/>
      <c r="F1183" s="1559">
        <f t="shared" si="36"/>
        <v>0</v>
      </c>
      <c r="G1183" s="1560" t="e">
        <f t="shared" si="37"/>
        <v>#DIV/0!</v>
      </c>
      <c r="H1183" s="2294">
        <v>1.2313000000000001</v>
      </c>
      <c r="I1183" s="2302" t="s">
        <v>5513</v>
      </c>
    </row>
    <row r="1184" spans="1:9" ht="16.5">
      <c r="A1184" s="2298" t="s">
        <v>5356</v>
      </c>
      <c r="B1184" s="2299" t="s">
        <v>6663</v>
      </c>
      <c r="C1184" s="2301" t="s">
        <v>6544</v>
      </c>
      <c r="D1184" s="1558"/>
      <c r="E1184" s="1558"/>
      <c r="F1184" s="1559">
        <f t="shared" si="36"/>
        <v>0</v>
      </c>
      <c r="G1184" s="1560" t="e">
        <f t="shared" si="37"/>
        <v>#DIV/0!</v>
      </c>
      <c r="H1184" s="2294">
        <v>0.99990000000000001</v>
      </c>
      <c r="I1184" s="2302"/>
    </row>
    <row r="1185" spans="1:9" ht="16.5">
      <c r="A1185" s="2298" t="s">
        <v>5357</v>
      </c>
      <c r="B1185" s="2299" t="s">
        <v>6664</v>
      </c>
      <c r="C1185" s="2301" t="s">
        <v>6544</v>
      </c>
      <c r="D1185" s="1558"/>
      <c r="E1185" s="1558"/>
      <c r="F1185" s="1559">
        <f t="shared" si="36"/>
        <v>0</v>
      </c>
      <c r="G1185" s="1560" t="e">
        <f t="shared" si="37"/>
        <v>#DIV/0!</v>
      </c>
      <c r="H1185" s="2294">
        <v>0.8649</v>
      </c>
      <c r="I1185" s="2302"/>
    </row>
    <row r="1186" spans="1:9" ht="16.5">
      <c r="A1186" s="2298" t="s">
        <v>5358</v>
      </c>
      <c r="B1186" s="2299" t="s">
        <v>6665</v>
      </c>
      <c r="C1186" s="2301" t="s">
        <v>6544</v>
      </c>
      <c r="D1186" s="1558"/>
      <c r="E1186" s="1558"/>
      <c r="F1186" s="1559">
        <f t="shared" si="36"/>
        <v>0</v>
      </c>
      <c r="G1186" s="1560" t="e">
        <f t="shared" si="37"/>
        <v>#DIV/0!</v>
      </c>
      <c r="H1186" s="2294">
        <v>1.0602</v>
      </c>
      <c r="I1186" s="2302"/>
    </row>
    <row r="1187" spans="1:9" ht="16.5">
      <c r="A1187" s="2298" t="s">
        <v>5359</v>
      </c>
      <c r="B1187" s="2299" t="s">
        <v>6666</v>
      </c>
      <c r="C1187" s="2301" t="s">
        <v>6544</v>
      </c>
      <c r="D1187" s="1558"/>
      <c r="E1187" s="1558"/>
      <c r="F1187" s="1559">
        <f t="shared" si="36"/>
        <v>0</v>
      </c>
      <c r="G1187" s="1560" t="e">
        <f t="shared" si="37"/>
        <v>#DIV/0!</v>
      </c>
      <c r="H1187" s="2294">
        <v>1.0501</v>
      </c>
      <c r="I1187" s="2302"/>
    </row>
    <row r="1188" spans="1:9" ht="16.5">
      <c r="A1188" s="2298" t="s">
        <v>5360</v>
      </c>
      <c r="B1188" s="2299" t="s">
        <v>6667</v>
      </c>
      <c r="C1188" s="2301" t="s">
        <v>6544</v>
      </c>
      <c r="D1188" s="1558"/>
      <c r="E1188" s="1558"/>
      <c r="F1188" s="1559">
        <f t="shared" si="36"/>
        <v>0</v>
      </c>
      <c r="G1188" s="1560" t="e">
        <f t="shared" si="37"/>
        <v>#DIV/0!</v>
      </c>
      <c r="H1188" s="2294">
        <v>1.0501</v>
      </c>
      <c r="I1188" s="2302"/>
    </row>
    <row r="1189" spans="1:9" ht="16.5">
      <c r="A1189" s="2298" t="s">
        <v>5361</v>
      </c>
      <c r="B1189" s="2299" t="s">
        <v>6668</v>
      </c>
      <c r="C1189" s="2301" t="s">
        <v>6544</v>
      </c>
      <c r="D1189" s="1558"/>
      <c r="E1189" s="1558"/>
      <c r="F1189" s="1559">
        <f t="shared" si="36"/>
        <v>0</v>
      </c>
      <c r="G1189" s="1560" t="e">
        <f t="shared" si="37"/>
        <v>#DIV/0!</v>
      </c>
      <c r="H1189" s="2294">
        <v>1.0807</v>
      </c>
      <c r="I1189" s="2302"/>
    </row>
    <row r="1190" spans="1:9" ht="16.5">
      <c r="A1190" s="2298" t="s">
        <v>5362</v>
      </c>
      <c r="B1190" s="2299" t="s">
        <v>6669</v>
      </c>
      <c r="C1190" s="2301" t="s">
        <v>6544</v>
      </c>
      <c r="D1190" s="1558"/>
      <c r="E1190" s="1558"/>
      <c r="F1190" s="1559">
        <f t="shared" si="36"/>
        <v>0</v>
      </c>
      <c r="G1190" s="1560" t="e">
        <f t="shared" si="37"/>
        <v>#DIV/0!</v>
      </c>
      <c r="H1190" s="2294">
        <v>1.0968</v>
      </c>
      <c r="I1190" s="2302"/>
    </row>
    <row r="1191" spans="1:9" ht="16.5">
      <c r="A1191" s="2298" t="s">
        <v>5363</v>
      </c>
      <c r="B1191" s="2299" t="s">
        <v>6670</v>
      </c>
      <c r="C1191" s="2301" t="s">
        <v>6544</v>
      </c>
      <c r="D1191" s="1558"/>
      <c r="E1191" s="1558"/>
      <c r="F1191" s="1559">
        <f t="shared" si="36"/>
        <v>0</v>
      </c>
      <c r="G1191" s="1560" t="e">
        <f t="shared" si="37"/>
        <v>#DIV/0!</v>
      </c>
      <c r="H1191" s="2294">
        <v>1.1705000000000001</v>
      </c>
      <c r="I1191" s="2302"/>
    </row>
    <row r="1192" spans="1:9" ht="16.5">
      <c r="A1192" s="2298" t="s">
        <v>5364</v>
      </c>
      <c r="B1192" s="2299" t="s">
        <v>6671</v>
      </c>
      <c r="C1192" s="2301" t="s">
        <v>6544</v>
      </c>
      <c r="D1192" s="1558"/>
      <c r="E1192" s="1558"/>
      <c r="F1192" s="1559">
        <f t="shared" si="36"/>
        <v>0</v>
      </c>
      <c r="G1192" s="1560" t="e">
        <f t="shared" si="37"/>
        <v>#DIV/0!</v>
      </c>
      <c r="H1192" s="2294">
        <v>1.0201</v>
      </c>
      <c r="I1192" s="2302"/>
    </row>
    <row r="1193" spans="1:9" ht="16.5">
      <c r="A1193" s="2298" t="s">
        <v>5365</v>
      </c>
      <c r="B1193" s="2299" t="s">
        <v>6672</v>
      </c>
      <c r="C1193" s="2301" t="s">
        <v>6544</v>
      </c>
      <c r="D1193" s="1558"/>
      <c r="E1193" s="1558"/>
      <c r="F1193" s="1559">
        <f t="shared" si="36"/>
        <v>0</v>
      </c>
      <c r="G1193" s="1560" t="e">
        <f t="shared" si="37"/>
        <v>#DIV/0!</v>
      </c>
      <c r="H1193" s="2294">
        <v>0.92959999999999998</v>
      </c>
      <c r="I1193" s="2302"/>
    </row>
    <row r="1194" spans="1:9" ht="16.5">
      <c r="A1194" s="2298" t="s">
        <v>5366</v>
      </c>
      <c r="B1194" s="2299" t="s">
        <v>6673</v>
      </c>
      <c r="C1194" s="2301" t="s">
        <v>6544</v>
      </c>
      <c r="D1194" s="1558"/>
      <c r="E1194" s="1558"/>
      <c r="F1194" s="1559">
        <f t="shared" si="36"/>
        <v>0</v>
      </c>
      <c r="G1194" s="1560" t="e">
        <f t="shared" si="37"/>
        <v>#DIV/0!</v>
      </c>
      <c r="H1194" s="2294">
        <v>1.196</v>
      </c>
      <c r="I1194" s="2302"/>
    </row>
    <row r="1195" spans="1:9" ht="16.5">
      <c r="A1195" s="2298" t="s">
        <v>5367</v>
      </c>
      <c r="B1195" s="2299" t="s">
        <v>6674</v>
      </c>
      <c r="C1195" s="2301" t="s">
        <v>6544</v>
      </c>
      <c r="D1195" s="1558"/>
      <c r="E1195" s="1558"/>
      <c r="F1195" s="1559">
        <f t="shared" si="36"/>
        <v>0</v>
      </c>
      <c r="G1195" s="1560" t="e">
        <f t="shared" si="37"/>
        <v>#DIV/0!</v>
      </c>
      <c r="H1195" s="2294">
        <v>0.98770000000000002</v>
      </c>
      <c r="I1195" s="2302"/>
    </row>
    <row r="1196" spans="1:9" ht="16.5">
      <c r="A1196" s="2298" t="s">
        <v>5368</v>
      </c>
      <c r="B1196" s="2299" t="s">
        <v>6675</v>
      </c>
      <c r="C1196" s="2301" t="s">
        <v>6544</v>
      </c>
      <c r="D1196" s="1558"/>
      <c r="E1196" s="1558"/>
      <c r="F1196" s="1559">
        <f t="shared" si="36"/>
        <v>0</v>
      </c>
      <c r="G1196" s="1560" t="e">
        <f t="shared" si="37"/>
        <v>#DIV/0!</v>
      </c>
      <c r="H1196" s="2294">
        <v>0.97450000000000003</v>
      </c>
      <c r="I1196" s="2302"/>
    </row>
    <row r="1197" spans="1:9" ht="16.5">
      <c r="A1197" s="2298" t="s">
        <v>5369</v>
      </c>
      <c r="B1197" s="2299" t="s">
        <v>6676</v>
      </c>
      <c r="C1197" s="2301" t="s">
        <v>6544</v>
      </c>
      <c r="D1197" s="1558"/>
      <c r="E1197" s="1558"/>
      <c r="F1197" s="1559">
        <f t="shared" si="36"/>
        <v>0</v>
      </c>
      <c r="G1197" s="1560" t="e">
        <f t="shared" si="37"/>
        <v>#DIV/0!</v>
      </c>
      <c r="H1197" s="2294">
        <v>0.7893</v>
      </c>
      <c r="I1197" s="2302"/>
    </row>
    <row r="1198" spans="1:9" ht="66">
      <c r="A1198" s="2298" t="s">
        <v>5370</v>
      </c>
      <c r="B1198" s="2299" t="s">
        <v>6677</v>
      </c>
      <c r="C1198" s="2301" t="s">
        <v>6544</v>
      </c>
      <c r="D1198" s="1558"/>
      <c r="E1198" s="1558"/>
      <c r="F1198" s="1559">
        <f t="shared" si="36"/>
        <v>0</v>
      </c>
      <c r="G1198" s="1560" t="e">
        <f t="shared" si="37"/>
        <v>#DIV/0!</v>
      </c>
      <c r="H1198" s="2294">
        <v>1.2313000000000001</v>
      </c>
      <c r="I1198" s="2302" t="s">
        <v>5513</v>
      </c>
    </row>
    <row r="1199" spans="1:9" ht="16.5">
      <c r="A1199" s="2298" t="s">
        <v>5371</v>
      </c>
      <c r="B1199" s="2299" t="s">
        <v>6678</v>
      </c>
      <c r="C1199" s="2301" t="s">
        <v>6544</v>
      </c>
      <c r="D1199" s="1558"/>
      <c r="E1199" s="1558"/>
      <c r="F1199" s="1559">
        <f t="shared" si="36"/>
        <v>0</v>
      </c>
      <c r="G1199" s="1560" t="e">
        <f t="shared" si="37"/>
        <v>#DIV/0!</v>
      </c>
      <c r="H1199" s="2294">
        <v>0.78790000000000004</v>
      </c>
      <c r="I1199" s="2302"/>
    </row>
    <row r="1200" spans="1:9" ht="16.5">
      <c r="A1200" s="2298" t="s">
        <v>5372</v>
      </c>
      <c r="B1200" s="2299" t="s">
        <v>6679</v>
      </c>
      <c r="C1200" s="2301" t="s">
        <v>6544</v>
      </c>
      <c r="D1200" s="1558"/>
      <c r="E1200" s="1558"/>
      <c r="F1200" s="1559">
        <f t="shared" si="36"/>
        <v>0</v>
      </c>
      <c r="G1200" s="1560" t="e">
        <f t="shared" si="37"/>
        <v>#DIV/0!</v>
      </c>
      <c r="H1200" s="2294">
        <v>1.2082999999999999</v>
      </c>
      <c r="I1200" s="2302"/>
    </row>
    <row r="1201" spans="1:9" ht="16.5">
      <c r="A1201" s="2298" t="s">
        <v>5373</v>
      </c>
      <c r="B1201" s="2299" t="s">
        <v>6680</v>
      </c>
      <c r="C1201" s="2301" t="s">
        <v>6544</v>
      </c>
      <c r="D1201" s="1558"/>
      <c r="E1201" s="1558"/>
      <c r="F1201" s="1559">
        <f t="shared" si="36"/>
        <v>0</v>
      </c>
      <c r="G1201" s="1560" t="e">
        <f t="shared" si="37"/>
        <v>#DIV/0!</v>
      </c>
      <c r="H1201" s="2294">
        <v>1.276</v>
      </c>
      <c r="I1201" s="2302"/>
    </row>
    <row r="1202" spans="1:9" ht="16.5">
      <c r="A1202" s="2298" t="s">
        <v>5374</v>
      </c>
      <c r="B1202" s="2299" t="s">
        <v>6681</v>
      </c>
      <c r="C1202" s="2301" t="s">
        <v>6544</v>
      </c>
      <c r="D1202" s="1558"/>
      <c r="E1202" s="1558"/>
      <c r="F1202" s="1559">
        <f t="shared" si="36"/>
        <v>0</v>
      </c>
      <c r="G1202" s="1560" t="e">
        <f t="shared" si="37"/>
        <v>#DIV/0!</v>
      </c>
      <c r="H1202" s="2294">
        <v>0.98699999999999999</v>
      </c>
      <c r="I1202" s="2302"/>
    </row>
    <row r="1203" spans="1:9" ht="16.5">
      <c r="A1203" s="2298" t="s">
        <v>5375</v>
      </c>
      <c r="B1203" s="2299" t="s">
        <v>6682</v>
      </c>
      <c r="C1203" s="2301" t="s">
        <v>6544</v>
      </c>
      <c r="D1203" s="1558"/>
      <c r="E1203" s="1558"/>
      <c r="F1203" s="1559">
        <f t="shared" si="36"/>
        <v>0</v>
      </c>
      <c r="G1203" s="1560" t="e">
        <f t="shared" si="37"/>
        <v>#DIV/0!</v>
      </c>
      <c r="H1203" s="2294">
        <v>0.90559999999999996</v>
      </c>
      <c r="I1203" s="2302"/>
    </row>
    <row r="1204" spans="1:9" ht="16.5">
      <c r="A1204" s="2298" t="s">
        <v>5376</v>
      </c>
      <c r="B1204" s="2299" t="s">
        <v>6683</v>
      </c>
      <c r="C1204" s="2301" t="s">
        <v>6544</v>
      </c>
      <c r="D1204" s="1558"/>
      <c r="E1204" s="1558"/>
      <c r="F1204" s="1559">
        <f t="shared" si="36"/>
        <v>0</v>
      </c>
      <c r="G1204" s="1560" t="e">
        <f t="shared" si="37"/>
        <v>#DIV/0!</v>
      </c>
      <c r="H1204" s="2294">
        <v>0.57140000000000002</v>
      </c>
      <c r="I1204" s="2302"/>
    </row>
    <row r="1205" spans="1:9" ht="16.5">
      <c r="A1205" s="2298" t="s">
        <v>5377</v>
      </c>
      <c r="B1205" s="2299" t="s">
        <v>6684</v>
      </c>
      <c r="C1205" s="2301" t="s">
        <v>6544</v>
      </c>
      <c r="D1205" s="1558"/>
      <c r="E1205" s="1558"/>
      <c r="F1205" s="1559">
        <f t="shared" si="36"/>
        <v>0</v>
      </c>
      <c r="G1205" s="1560" t="e">
        <f t="shared" si="37"/>
        <v>#DIV/0!</v>
      </c>
      <c r="H1205" s="2294">
        <v>1.0445</v>
      </c>
      <c r="I1205" s="2302"/>
    </row>
    <row r="1206" spans="1:9" ht="16.5">
      <c r="A1206" s="2298" t="s">
        <v>5378</v>
      </c>
      <c r="B1206" s="2299" t="s">
        <v>6685</v>
      </c>
      <c r="C1206" s="2301" t="s">
        <v>6544</v>
      </c>
      <c r="D1206" s="1558"/>
      <c r="E1206" s="1558"/>
      <c r="F1206" s="1559">
        <f t="shared" si="36"/>
        <v>0</v>
      </c>
      <c r="G1206" s="1560" t="e">
        <f t="shared" si="37"/>
        <v>#DIV/0!</v>
      </c>
      <c r="H1206" s="2294">
        <v>1.0729</v>
      </c>
      <c r="I1206" s="2302"/>
    </row>
    <row r="1207" spans="1:9" ht="16.5">
      <c r="A1207" s="2298" t="s">
        <v>5379</v>
      </c>
      <c r="B1207" s="2299" t="s">
        <v>6686</v>
      </c>
      <c r="C1207" s="2301" t="s">
        <v>6544</v>
      </c>
      <c r="D1207" s="1558"/>
      <c r="E1207" s="1558"/>
      <c r="F1207" s="1559">
        <f t="shared" si="36"/>
        <v>0</v>
      </c>
      <c r="G1207" s="1560" t="e">
        <f t="shared" si="37"/>
        <v>#DIV/0!</v>
      </c>
      <c r="H1207" s="2294">
        <v>1.0871999999999999</v>
      </c>
      <c r="I1207" s="2302"/>
    </row>
    <row r="1208" spans="1:9" ht="16.5">
      <c r="A1208" s="2298" t="s">
        <v>5380</v>
      </c>
      <c r="B1208" s="2299" t="s">
        <v>6687</v>
      </c>
      <c r="C1208" s="2301" t="s">
        <v>6544</v>
      </c>
      <c r="D1208" s="1558"/>
      <c r="E1208" s="1558"/>
      <c r="F1208" s="1559">
        <f t="shared" si="36"/>
        <v>0</v>
      </c>
      <c r="G1208" s="1560" t="e">
        <f t="shared" si="37"/>
        <v>#DIV/0!</v>
      </c>
      <c r="H1208" s="2294">
        <v>1.2177</v>
      </c>
      <c r="I1208" s="2302"/>
    </row>
    <row r="1209" spans="1:9" ht="16.5">
      <c r="A1209" s="2298" t="s">
        <v>5381</v>
      </c>
      <c r="B1209" s="2299" t="s">
        <v>6688</v>
      </c>
      <c r="C1209" s="2301" t="s">
        <v>6544</v>
      </c>
      <c r="D1209" s="1558"/>
      <c r="E1209" s="1558"/>
      <c r="F1209" s="1559">
        <f t="shared" si="36"/>
        <v>0</v>
      </c>
      <c r="G1209" s="1560" t="e">
        <f t="shared" si="37"/>
        <v>#DIV/0!</v>
      </c>
      <c r="H1209" s="2294">
        <v>0.59760000000000002</v>
      </c>
      <c r="I1209" s="2302"/>
    </row>
    <row r="1210" spans="1:9" ht="16.5">
      <c r="A1210" s="2298" t="s">
        <v>5382</v>
      </c>
      <c r="B1210" s="2299" t="s">
        <v>6689</v>
      </c>
      <c r="C1210" s="2301" t="s">
        <v>6544</v>
      </c>
      <c r="D1210" s="1558"/>
      <c r="E1210" s="1558"/>
      <c r="F1210" s="1559">
        <f t="shared" si="36"/>
        <v>0</v>
      </c>
      <c r="G1210" s="1560" t="e">
        <f t="shared" si="37"/>
        <v>#DIV/0!</v>
      </c>
      <c r="H1210" s="2294">
        <v>0.60129999999999995</v>
      </c>
      <c r="I1210" s="2302"/>
    </row>
    <row r="1211" spans="1:9" ht="66">
      <c r="A1211" s="2298" t="s">
        <v>5383</v>
      </c>
      <c r="B1211" s="2299" t="s">
        <v>6690</v>
      </c>
      <c r="C1211" s="2301" t="s">
        <v>6544</v>
      </c>
      <c r="D1211" s="1558"/>
      <c r="E1211" s="1558"/>
      <c r="F1211" s="1559">
        <f t="shared" si="36"/>
        <v>0</v>
      </c>
      <c r="G1211" s="1560" t="e">
        <f t="shared" si="37"/>
        <v>#DIV/0!</v>
      </c>
      <c r="H1211" s="2294">
        <v>1.2313000000000001</v>
      </c>
      <c r="I1211" s="2302" t="s">
        <v>5513</v>
      </c>
    </row>
    <row r="1212" spans="1:9" ht="66">
      <c r="A1212" s="2298" t="s">
        <v>5384</v>
      </c>
      <c r="B1212" s="2299" t="s">
        <v>6691</v>
      </c>
      <c r="C1212" s="2301" t="s">
        <v>6544</v>
      </c>
      <c r="D1212" s="1558"/>
      <c r="E1212" s="1558"/>
      <c r="F1212" s="1559">
        <f t="shared" si="36"/>
        <v>0</v>
      </c>
      <c r="G1212" s="1560" t="e">
        <f t="shared" si="37"/>
        <v>#DIV/0!</v>
      </c>
      <c r="H1212" s="2294">
        <v>1.2313000000000001</v>
      </c>
      <c r="I1212" s="2302" t="s">
        <v>5513</v>
      </c>
    </row>
    <row r="1213" spans="1:9" ht="16.5" thickBot="1">
      <c r="A1213" s="2303"/>
      <c r="B1213" s="2304"/>
      <c r="C1213" s="2305"/>
      <c r="D1213" s="1562"/>
      <c r="E1213" s="1562"/>
      <c r="F1213" s="1563">
        <f t="shared" si="36"/>
        <v>0</v>
      </c>
      <c r="G1213" s="1564" t="e">
        <f t="shared" si="37"/>
        <v>#DIV/0!</v>
      </c>
      <c r="H1213" s="1565"/>
      <c r="I1213" s="1566"/>
    </row>
    <row r="1214" spans="1:9" ht="17.25" thickTop="1" thickBot="1">
      <c r="A1214" s="3137" t="s">
        <v>2424</v>
      </c>
      <c r="B1214" s="3138"/>
      <c r="C1214" s="3138"/>
      <c r="D1214" s="3138"/>
      <c r="E1214" s="3138"/>
      <c r="F1214" s="1567">
        <f>SUM(F4:F1213)</f>
        <v>0</v>
      </c>
      <c r="G1214" s="1568" t="e">
        <f>F1214/$F$1214</f>
        <v>#DIV/0!</v>
      </c>
      <c r="H1214" s="1569"/>
      <c r="I1214" s="1570"/>
    </row>
    <row r="1215" spans="1:9">
      <c r="A1215" s="1571"/>
      <c r="B1215" s="1571"/>
      <c r="C1215" s="1571"/>
      <c r="D1215" s="1571"/>
      <c r="E1215" s="1571"/>
      <c r="F1215" s="1347"/>
      <c r="G1215" s="1347"/>
      <c r="H1215" s="1347"/>
      <c r="I1215" s="1347"/>
    </row>
    <row r="1216" spans="1:9" ht="16.5">
      <c r="A1216" s="1572" t="s">
        <v>1452</v>
      </c>
      <c r="B1216" s="1571"/>
      <c r="C1216" s="1571"/>
      <c r="D1216" s="1571"/>
      <c r="E1216" s="1571"/>
      <c r="F1216" s="1347"/>
      <c r="G1216" s="1347"/>
      <c r="H1216" s="1347"/>
      <c r="I1216" s="1347"/>
    </row>
    <row r="1217" spans="1:9" ht="16.5">
      <c r="A1217" s="1572" t="s">
        <v>1344</v>
      </c>
      <c r="B1217" s="1546" t="s">
        <v>2425</v>
      </c>
      <c r="C1217" s="1550"/>
      <c r="D1217" s="1550"/>
      <c r="E1217" s="1550"/>
      <c r="F1217" s="1347"/>
      <c r="G1217" s="1347"/>
      <c r="H1217" s="1347"/>
      <c r="I1217" s="1347"/>
    </row>
    <row r="1218" spans="1:9" ht="16.5">
      <c r="A1218" s="1572" t="s">
        <v>76</v>
      </c>
      <c r="B1218" s="1546" t="s">
        <v>2426</v>
      </c>
      <c r="C1218" s="1550"/>
      <c r="D1218" s="1550"/>
      <c r="E1218" s="1550"/>
      <c r="F1218" s="1347"/>
      <c r="G1218" s="1347"/>
      <c r="H1218" s="1347"/>
      <c r="I1218" s="1347"/>
    </row>
    <row r="1325" ht="17.25" customHeight="1"/>
  </sheetData>
  <mergeCells count="3">
    <mergeCell ref="K7:L7"/>
    <mergeCell ref="K23:L23"/>
    <mergeCell ref="A1214:E1214"/>
  </mergeCells>
  <phoneticPr fontId="26" type="noConversion"/>
  <printOptions horizontalCentered="1"/>
  <pageMargins left="0.23622047244094491" right="0.23622047244094491" top="0.15748031496062992" bottom="0.15748031496062992" header="0.31496062992125984" footer="0.31496062992125984"/>
  <pageSetup paperSize="9" scale="34" fitToHeight="9" orientation="portrait" cellComments="asDisplayed" horizontalDpi="4294967295" verticalDpi="4294967295" r:id="rId1"/>
  <headerFooter alignWithMargins="0">
    <oddFooter>&amp;C174&amp;R&amp;"Times New Roman,標準"&amp;A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K786"/>
  <sheetViews>
    <sheetView zoomScaleNormal="100" zoomScaleSheetLayoutView="75" workbookViewId="0">
      <pane ySplit="3" topLeftCell="A4" activePane="bottomLeft" state="frozen"/>
      <selection activeCell="A118" sqref="A1:XFD1048576"/>
      <selection pane="bottomLeft" sqref="A1:A1048576"/>
    </sheetView>
  </sheetViews>
  <sheetFormatPr defaultColWidth="15.625" defaultRowHeight="15.75"/>
  <cols>
    <col min="1" max="8" width="18.625" style="1481" customWidth="1"/>
    <col min="9" max="9" width="30.625" style="1481" customWidth="1"/>
    <col min="10" max="10" width="1.625" style="1481" customWidth="1"/>
    <col min="11" max="16384" width="15.625" style="1481"/>
  </cols>
  <sheetData>
    <row r="1" spans="1:11" ht="16.5">
      <c r="A1" s="1482" t="s">
        <v>5469</v>
      </c>
      <c r="B1" s="1483"/>
      <c r="C1" s="1483"/>
    </row>
    <row r="2" spans="1:11" ht="17.25" thickBot="1">
      <c r="A2" s="1574" t="s">
        <v>5470</v>
      </c>
      <c r="B2" s="1553"/>
      <c r="C2" s="1575"/>
      <c r="I2" s="1576" t="s">
        <v>2421</v>
      </c>
    </row>
    <row r="3" spans="1:11" ht="33.75" thickBot="1">
      <c r="A3" s="1577" t="s">
        <v>5471</v>
      </c>
      <c r="B3" s="1555" t="s">
        <v>5472</v>
      </c>
      <c r="C3" s="1555" t="s">
        <v>5473</v>
      </c>
      <c r="D3" s="1555" t="s">
        <v>5474</v>
      </c>
      <c r="E3" s="1555" t="s">
        <v>5475</v>
      </c>
      <c r="F3" s="1555" t="s">
        <v>5476</v>
      </c>
      <c r="G3" s="1555" t="s">
        <v>2442</v>
      </c>
      <c r="H3" s="1555" t="s">
        <v>2435</v>
      </c>
      <c r="I3" s="1556" t="s">
        <v>2436</v>
      </c>
      <c r="J3" s="1550"/>
    </row>
    <row r="4" spans="1:11" ht="16.5">
      <c r="A4" s="1578">
        <v>6201</v>
      </c>
      <c r="B4" s="1579" t="s">
        <v>2443</v>
      </c>
      <c r="C4" s="1579" t="s">
        <v>2250</v>
      </c>
      <c r="D4" s="1580"/>
      <c r="E4" s="1580"/>
      <c r="F4" s="1581">
        <f>D4*E4</f>
        <v>0</v>
      </c>
      <c r="G4" s="1582" t="e">
        <f>F4/$F$784</f>
        <v>#DIV/0!</v>
      </c>
      <c r="H4" s="2294">
        <v>1.1899</v>
      </c>
      <c r="I4" s="2295"/>
      <c r="J4" s="1550"/>
      <c r="K4" s="1561" t="s">
        <v>5477</v>
      </c>
    </row>
    <row r="5" spans="1:11" ht="17.25" thickBot="1">
      <c r="A5" s="1578">
        <v>1240</v>
      </c>
      <c r="B5" s="1579" t="s">
        <v>2444</v>
      </c>
      <c r="C5" s="1579" t="s">
        <v>2445</v>
      </c>
      <c r="D5" s="1580"/>
      <c r="E5" s="1580"/>
      <c r="F5" s="1581">
        <f t="shared" ref="F5:F68" si="0">D5*E5</f>
        <v>0</v>
      </c>
      <c r="G5" s="1582" t="e">
        <f t="shared" ref="G5:G68" si="1">F5/$F$784</f>
        <v>#DIV/0!</v>
      </c>
      <c r="H5" s="2294">
        <v>0.1812</v>
      </c>
      <c r="I5" s="2295"/>
      <c r="J5" s="1550"/>
      <c r="K5" s="1583" t="e">
        <f>SUMPRODUCT(G4:G783,H4:H783)</f>
        <v>#DIV/0!</v>
      </c>
    </row>
    <row r="6" spans="1:11" ht="16.5">
      <c r="A6" s="1578">
        <v>1258</v>
      </c>
      <c r="B6" s="1579" t="s">
        <v>2446</v>
      </c>
      <c r="C6" s="1579" t="s">
        <v>2445</v>
      </c>
      <c r="D6" s="1580"/>
      <c r="E6" s="1580"/>
      <c r="F6" s="1581">
        <f t="shared" si="0"/>
        <v>0</v>
      </c>
      <c r="G6" s="1582" t="e">
        <f t="shared" si="1"/>
        <v>#DIV/0!</v>
      </c>
      <c r="H6" s="2294">
        <v>-8.1500000000000003E-2</v>
      </c>
      <c r="I6" s="2295"/>
      <c r="J6" s="1550"/>
    </row>
    <row r="7" spans="1:11" ht="16.5">
      <c r="A7" s="1578">
        <v>1259</v>
      </c>
      <c r="B7" s="1579" t="s">
        <v>2447</v>
      </c>
      <c r="C7" s="1579" t="s">
        <v>2445</v>
      </c>
      <c r="D7" s="1580"/>
      <c r="E7" s="1580"/>
      <c r="F7" s="1581">
        <f t="shared" si="0"/>
        <v>0</v>
      </c>
      <c r="G7" s="1582" t="e">
        <f t="shared" si="1"/>
        <v>#DIV/0!</v>
      </c>
      <c r="H7" s="2294">
        <v>0.25380000000000003</v>
      </c>
      <c r="I7" s="2295"/>
      <c r="J7" s="1550"/>
    </row>
    <row r="8" spans="1:11" ht="16.5">
      <c r="A8" s="1578">
        <v>1264</v>
      </c>
      <c r="B8" s="1579" t="s">
        <v>2448</v>
      </c>
      <c r="C8" s="1579" t="s">
        <v>2445</v>
      </c>
      <c r="D8" s="1580"/>
      <c r="E8" s="1580"/>
      <c r="F8" s="1581">
        <f t="shared" si="0"/>
        <v>0</v>
      </c>
      <c r="G8" s="1582" t="e">
        <f t="shared" si="1"/>
        <v>#DIV/0!</v>
      </c>
      <c r="H8" s="2294">
        <v>0.2079</v>
      </c>
      <c r="I8" s="2295"/>
      <c r="J8" s="1550"/>
    </row>
    <row r="9" spans="1:11" ht="16.5">
      <c r="A9" s="1584">
        <v>1268</v>
      </c>
      <c r="B9" s="1585" t="s">
        <v>2449</v>
      </c>
      <c r="C9" s="1579" t="s">
        <v>2445</v>
      </c>
      <c r="D9" s="1580"/>
      <c r="E9" s="1580"/>
      <c r="F9" s="1581">
        <f t="shared" si="0"/>
        <v>0</v>
      </c>
      <c r="G9" s="1582" t="e">
        <f t="shared" si="1"/>
        <v>#DIV/0!</v>
      </c>
      <c r="H9" s="2294">
        <v>0.25640000000000002</v>
      </c>
      <c r="I9" s="2295"/>
      <c r="J9" s="1550"/>
    </row>
    <row r="10" spans="1:11" ht="16.5">
      <c r="A10" s="1584">
        <v>1333</v>
      </c>
      <c r="B10" s="1585" t="s">
        <v>2450</v>
      </c>
      <c r="C10" s="1579" t="s">
        <v>2445</v>
      </c>
      <c r="D10" s="1580"/>
      <c r="E10" s="1580"/>
      <c r="F10" s="1581">
        <f t="shared" si="0"/>
        <v>0</v>
      </c>
      <c r="G10" s="1582" t="e">
        <f t="shared" si="1"/>
        <v>#DIV/0!</v>
      </c>
      <c r="H10" s="2294">
        <v>0.39250000000000002</v>
      </c>
      <c r="I10" s="2295"/>
      <c r="J10" s="1550"/>
    </row>
    <row r="11" spans="1:11" ht="16.5">
      <c r="A11" s="1584">
        <v>1336</v>
      </c>
      <c r="B11" s="1585" t="s">
        <v>2451</v>
      </c>
      <c r="C11" s="1579" t="s">
        <v>2445</v>
      </c>
      <c r="D11" s="1580"/>
      <c r="E11" s="1580"/>
      <c r="F11" s="1581">
        <f t="shared" si="0"/>
        <v>0</v>
      </c>
      <c r="G11" s="1582" t="e">
        <f t="shared" si="1"/>
        <v>#DIV/0!</v>
      </c>
      <c r="H11" s="2294">
        <v>0.30020000000000002</v>
      </c>
      <c r="I11" s="2295"/>
      <c r="J11" s="1550"/>
    </row>
    <row r="12" spans="1:11" ht="16.5">
      <c r="A12" s="1584">
        <v>1565</v>
      </c>
      <c r="B12" s="1585" t="s">
        <v>2452</v>
      </c>
      <c r="C12" s="1579" t="s">
        <v>2445</v>
      </c>
      <c r="D12" s="1580"/>
      <c r="E12" s="1580"/>
      <c r="F12" s="1581">
        <f t="shared" si="0"/>
        <v>0</v>
      </c>
      <c r="G12" s="1582" t="e">
        <f t="shared" si="1"/>
        <v>#DIV/0!</v>
      </c>
      <c r="H12" s="2294">
        <v>0.74850000000000005</v>
      </c>
      <c r="I12" s="2295"/>
      <c r="J12" s="1550"/>
    </row>
    <row r="13" spans="1:11" ht="16.5">
      <c r="A13" s="1584">
        <v>1569</v>
      </c>
      <c r="B13" s="1585" t="s">
        <v>2453</v>
      </c>
      <c r="C13" s="1579" t="s">
        <v>2445</v>
      </c>
      <c r="D13" s="1580"/>
      <c r="E13" s="1580"/>
      <c r="F13" s="1581">
        <f t="shared" si="0"/>
        <v>0</v>
      </c>
      <c r="G13" s="1582" t="e">
        <f t="shared" si="1"/>
        <v>#DIV/0!</v>
      </c>
      <c r="H13" s="2294">
        <v>1.3698999999999999</v>
      </c>
      <c r="I13" s="2295"/>
      <c r="J13" s="1550"/>
    </row>
    <row r="14" spans="1:11" ht="16.5">
      <c r="A14" s="1584">
        <v>1570</v>
      </c>
      <c r="B14" s="1585" t="s">
        <v>2454</v>
      </c>
      <c r="C14" s="1579" t="s">
        <v>2445</v>
      </c>
      <c r="D14" s="1580"/>
      <c r="E14" s="1580"/>
      <c r="F14" s="1581">
        <f t="shared" si="0"/>
        <v>0</v>
      </c>
      <c r="G14" s="1582" t="e">
        <f t="shared" si="1"/>
        <v>#DIV/0!</v>
      </c>
      <c r="H14" s="2294">
        <v>0.43419999999999997</v>
      </c>
      <c r="I14" s="2295"/>
      <c r="J14" s="1550"/>
    </row>
    <row r="15" spans="1:11" ht="16.5">
      <c r="A15" s="1584">
        <v>1580</v>
      </c>
      <c r="B15" s="1585" t="s">
        <v>2455</v>
      </c>
      <c r="C15" s="1579" t="s">
        <v>2445</v>
      </c>
      <c r="D15" s="1580"/>
      <c r="E15" s="1580"/>
      <c r="F15" s="1581">
        <f t="shared" si="0"/>
        <v>0</v>
      </c>
      <c r="G15" s="1582" t="e">
        <f t="shared" si="1"/>
        <v>#DIV/0!</v>
      </c>
      <c r="H15" s="2294">
        <v>0.33479999999999999</v>
      </c>
      <c r="I15" s="2295"/>
      <c r="J15" s="1550"/>
    </row>
    <row r="16" spans="1:11" ht="16.5">
      <c r="A16" s="1584">
        <v>1584</v>
      </c>
      <c r="B16" s="1585" t="s">
        <v>2456</v>
      </c>
      <c r="C16" s="1579" t="s">
        <v>2445</v>
      </c>
      <c r="D16" s="1580"/>
      <c r="E16" s="1580"/>
      <c r="F16" s="1581">
        <f t="shared" si="0"/>
        <v>0</v>
      </c>
      <c r="G16" s="1582" t="e">
        <f t="shared" si="1"/>
        <v>#DIV/0!</v>
      </c>
      <c r="H16" s="2294">
        <v>0.56859999999999999</v>
      </c>
      <c r="I16" s="2295"/>
      <c r="J16" s="1550"/>
    </row>
    <row r="17" spans="1:10" ht="16.5">
      <c r="A17" s="1584">
        <v>1586</v>
      </c>
      <c r="B17" s="1585" t="s">
        <v>2457</v>
      </c>
      <c r="C17" s="1579" t="s">
        <v>2445</v>
      </c>
      <c r="D17" s="1580"/>
      <c r="E17" s="1580"/>
      <c r="F17" s="1581">
        <f t="shared" si="0"/>
        <v>0</v>
      </c>
      <c r="G17" s="1582" t="e">
        <f t="shared" si="1"/>
        <v>#DIV/0!</v>
      </c>
      <c r="H17" s="2294">
        <v>0.11550000000000001</v>
      </c>
      <c r="I17" s="2295"/>
      <c r="J17" s="1550"/>
    </row>
    <row r="18" spans="1:10" ht="16.5">
      <c r="A18" s="1584">
        <v>1591</v>
      </c>
      <c r="B18" s="1585" t="s">
        <v>2458</v>
      </c>
      <c r="C18" s="1579" t="s">
        <v>2445</v>
      </c>
      <c r="D18" s="1580"/>
      <c r="E18" s="1580"/>
      <c r="F18" s="1581">
        <f t="shared" si="0"/>
        <v>0</v>
      </c>
      <c r="G18" s="1582" t="e">
        <f t="shared" si="1"/>
        <v>#DIV/0!</v>
      </c>
      <c r="H18" s="2294">
        <v>0.23080000000000001</v>
      </c>
      <c r="I18" s="2295"/>
      <c r="J18" s="1550"/>
    </row>
    <row r="19" spans="1:10" ht="16.5">
      <c r="A19" s="1584">
        <v>1593</v>
      </c>
      <c r="B19" s="1585" t="s">
        <v>2459</v>
      </c>
      <c r="C19" s="1579" t="s">
        <v>2445</v>
      </c>
      <c r="D19" s="1580"/>
      <c r="E19" s="1580"/>
      <c r="F19" s="1581">
        <f t="shared" si="0"/>
        <v>0</v>
      </c>
      <c r="G19" s="1582" t="e">
        <f t="shared" si="1"/>
        <v>#DIV/0!</v>
      </c>
      <c r="H19" s="2294">
        <v>0.48849999999999999</v>
      </c>
      <c r="I19" s="2295"/>
      <c r="J19" s="1550"/>
    </row>
    <row r="20" spans="1:10" ht="16.5">
      <c r="A20" s="1584">
        <v>1595</v>
      </c>
      <c r="B20" s="1585" t="s">
        <v>2460</v>
      </c>
      <c r="C20" s="1579" t="s">
        <v>2445</v>
      </c>
      <c r="D20" s="1580"/>
      <c r="E20" s="1580"/>
      <c r="F20" s="1581">
        <f t="shared" si="0"/>
        <v>0</v>
      </c>
      <c r="G20" s="1582" t="e">
        <f t="shared" si="1"/>
        <v>#DIV/0!</v>
      </c>
      <c r="H20" s="2294">
        <v>0.66649999999999998</v>
      </c>
      <c r="I20" s="2295"/>
      <c r="J20" s="1550"/>
    </row>
    <row r="21" spans="1:10" ht="16.5">
      <c r="A21" s="1584">
        <v>1597</v>
      </c>
      <c r="B21" s="1585" t="s">
        <v>2461</v>
      </c>
      <c r="C21" s="1579" t="s">
        <v>2445</v>
      </c>
      <c r="D21" s="1580"/>
      <c r="E21" s="1580"/>
      <c r="F21" s="1581">
        <f t="shared" si="0"/>
        <v>0</v>
      </c>
      <c r="G21" s="1582" t="e">
        <f t="shared" si="1"/>
        <v>#DIV/0!</v>
      </c>
      <c r="H21" s="2294">
        <v>1.9016</v>
      </c>
      <c r="I21" s="2295"/>
      <c r="J21" s="1550"/>
    </row>
    <row r="22" spans="1:10" ht="16.5">
      <c r="A22" s="1584">
        <v>1599</v>
      </c>
      <c r="B22" s="1585" t="s">
        <v>2462</v>
      </c>
      <c r="C22" s="1579" t="s">
        <v>2445</v>
      </c>
      <c r="D22" s="1580"/>
      <c r="E22" s="1580"/>
      <c r="F22" s="1581">
        <f t="shared" si="0"/>
        <v>0</v>
      </c>
      <c r="G22" s="1582" t="e">
        <f t="shared" si="1"/>
        <v>#DIV/0!</v>
      </c>
      <c r="H22" s="2294">
        <v>0.35220000000000001</v>
      </c>
      <c r="I22" s="2295"/>
      <c r="J22" s="1550"/>
    </row>
    <row r="23" spans="1:10" ht="16.5">
      <c r="A23" s="1584">
        <v>1742</v>
      </c>
      <c r="B23" s="1585" t="s">
        <v>2463</v>
      </c>
      <c r="C23" s="1579" t="s">
        <v>2445</v>
      </c>
      <c r="D23" s="1580"/>
      <c r="E23" s="1580"/>
      <c r="F23" s="1581">
        <f t="shared" si="0"/>
        <v>0</v>
      </c>
      <c r="G23" s="1582" t="e">
        <f t="shared" si="1"/>
        <v>#DIV/0!</v>
      </c>
      <c r="H23" s="2294">
        <v>0.54569999999999996</v>
      </c>
      <c r="I23" s="2295"/>
      <c r="J23" s="1550"/>
    </row>
    <row r="24" spans="1:10" ht="16.5">
      <c r="A24" s="1584">
        <v>1752</v>
      </c>
      <c r="B24" s="1585" t="s">
        <v>2464</v>
      </c>
      <c r="C24" s="1579" t="s">
        <v>2445</v>
      </c>
      <c r="D24" s="1580"/>
      <c r="E24" s="1580"/>
      <c r="F24" s="1581">
        <f t="shared" si="0"/>
        <v>0</v>
      </c>
      <c r="G24" s="1582" t="e">
        <f t="shared" si="1"/>
        <v>#DIV/0!</v>
      </c>
      <c r="H24" s="2294">
        <v>0.31219999999999998</v>
      </c>
      <c r="I24" s="2295"/>
      <c r="J24" s="1550"/>
    </row>
    <row r="25" spans="1:10" ht="16.5">
      <c r="A25" s="1584">
        <v>1777</v>
      </c>
      <c r="B25" s="1585" t="s">
        <v>2465</v>
      </c>
      <c r="C25" s="1579" t="s">
        <v>2445</v>
      </c>
      <c r="D25" s="1580"/>
      <c r="E25" s="1580"/>
      <c r="F25" s="1581">
        <f t="shared" si="0"/>
        <v>0</v>
      </c>
      <c r="G25" s="1582" t="e">
        <f t="shared" si="1"/>
        <v>#DIV/0!</v>
      </c>
      <c r="H25" s="2294">
        <v>0.1474</v>
      </c>
      <c r="I25" s="2295"/>
      <c r="J25" s="1550"/>
    </row>
    <row r="26" spans="1:10" ht="16.5">
      <c r="A26" s="1584">
        <v>1781</v>
      </c>
      <c r="B26" s="1585" t="s">
        <v>2466</v>
      </c>
      <c r="C26" s="1579" t="s">
        <v>2445</v>
      </c>
      <c r="D26" s="1580"/>
      <c r="E26" s="1580"/>
      <c r="F26" s="1581">
        <f t="shared" si="0"/>
        <v>0</v>
      </c>
      <c r="G26" s="1582" t="e">
        <f t="shared" si="1"/>
        <v>#DIV/0!</v>
      </c>
      <c r="H26" s="2294">
        <v>0.36399999999999999</v>
      </c>
      <c r="I26" s="2295"/>
      <c r="J26" s="1550"/>
    </row>
    <row r="27" spans="1:10" ht="16.5">
      <c r="A27" s="1584">
        <v>1784</v>
      </c>
      <c r="B27" s="1585" t="s">
        <v>2467</v>
      </c>
      <c r="C27" s="1579" t="s">
        <v>2445</v>
      </c>
      <c r="D27" s="1580"/>
      <c r="E27" s="1580"/>
      <c r="F27" s="1581">
        <f t="shared" si="0"/>
        <v>0</v>
      </c>
      <c r="G27" s="1582" t="e">
        <f t="shared" si="1"/>
        <v>#DIV/0!</v>
      </c>
      <c r="H27" s="2294">
        <v>0.92830000000000001</v>
      </c>
      <c r="I27" s="2295"/>
      <c r="J27" s="1550"/>
    </row>
    <row r="28" spans="1:10" ht="16.5">
      <c r="A28" s="1584">
        <v>1785</v>
      </c>
      <c r="B28" s="1585" t="s">
        <v>2468</v>
      </c>
      <c r="C28" s="1579" t="s">
        <v>2445</v>
      </c>
      <c r="D28" s="1580"/>
      <c r="E28" s="1580"/>
      <c r="F28" s="1581">
        <f t="shared" si="0"/>
        <v>0</v>
      </c>
      <c r="G28" s="1582" t="e">
        <f t="shared" si="1"/>
        <v>#DIV/0!</v>
      </c>
      <c r="H28" s="2294">
        <v>0.2581</v>
      </c>
      <c r="I28" s="2295"/>
      <c r="J28" s="1550"/>
    </row>
    <row r="29" spans="1:10" ht="16.5">
      <c r="A29" s="1584">
        <v>1788</v>
      </c>
      <c r="B29" s="1585" t="s">
        <v>2469</v>
      </c>
      <c r="C29" s="1579" t="s">
        <v>2445</v>
      </c>
      <c r="D29" s="1580"/>
      <c r="E29" s="1580"/>
      <c r="F29" s="1581">
        <f t="shared" si="0"/>
        <v>0</v>
      </c>
      <c r="G29" s="1582" t="e">
        <f t="shared" si="1"/>
        <v>#DIV/0!</v>
      </c>
      <c r="H29" s="2294">
        <v>0.1792</v>
      </c>
      <c r="I29" s="2295"/>
      <c r="J29" s="1550"/>
    </row>
    <row r="30" spans="1:10" ht="16.5">
      <c r="A30" s="1584">
        <v>1796</v>
      </c>
      <c r="B30" s="1585" t="s">
        <v>2470</v>
      </c>
      <c r="C30" s="1579" t="s">
        <v>2445</v>
      </c>
      <c r="D30" s="1580"/>
      <c r="E30" s="1580"/>
      <c r="F30" s="1581">
        <f t="shared" si="0"/>
        <v>0</v>
      </c>
      <c r="G30" s="1582" t="e">
        <f t="shared" si="1"/>
        <v>#DIV/0!</v>
      </c>
      <c r="H30" s="2294">
        <v>0.14360000000000001</v>
      </c>
      <c r="I30" s="2295"/>
      <c r="J30" s="1550"/>
    </row>
    <row r="31" spans="1:10" ht="16.5">
      <c r="A31" s="1584">
        <v>1799</v>
      </c>
      <c r="B31" s="1585" t="s">
        <v>2471</v>
      </c>
      <c r="C31" s="1579" t="s">
        <v>2445</v>
      </c>
      <c r="D31" s="1580"/>
      <c r="E31" s="1580"/>
      <c r="F31" s="1581">
        <f t="shared" si="0"/>
        <v>0</v>
      </c>
      <c r="G31" s="1582" t="e">
        <f t="shared" si="1"/>
        <v>#DIV/0!</v>
      </c>
      <c r="H31" s="2294">
        <v>0.15970000000000001</v>
      </c>
      <c r="I31" s="2295"/>
      <c r="J31" s="1550"/>
    </row>
    <row r="32" spans="1:10" ht="16.5">
      <c r="A32" s="1584">
        <v>1813</v>
      </c>
      <c r="B32" s="1585" t="s">
        <v>2472</v>
      </c>
      <c r="C32" s="1579" t="s">
        <v>2445</v>
      </c>
      <c r="D32" s="1580"/>
      <c r="E32" s="1580"/>
      <c r="F32" s="1581">
        <f t="shared" si="0"/>
        <v>0</v>
      </c>
      <c r="G32" s="1582" t="e">
        <f t="shared" si="1"/>
        <v>#DIV/0!</v>
      </c>
      <c r="H32" s="2294">
        <v>0.50629999999999997</v>
      </c>
      <c r="I32" s="2295"/>
      <c r="J32" s="1550"/>
    </row>
    <row r="33" spans="1:10" ht="16.5">
      <c r="A33" s="1584">
        <v>1815</v>
      </c>
      <c r="B33" s="1585" t="s">
        <v>2473</v>
      </c>
      <c r="C33" s="1579" t="s">
        <v>2445</v>
      </c>
      <c r="D33" s="1580"/>
      <c r="E33" s="1580"/>
      <c r="F33" s="1581">
        <f t="shared" si="0"/>
        <v>0</v>
      </c>
      <c r="G33" s="1582" t="e">
        <f t="shared" si="1"/>
        <v>#DIV/0!</v>
      </c>
      <c r="H33" s="2294">
        <v>1.2685</v>
      </c>
      <c r="I33" s="2295"/>
      <c r="J33" s="1550"/>
    </row>
    <row r="34" spans="1:10" ht="16.5">
      <c r="A34" s="1584">
        <v>2035</v>
      </c>
      <c r="B34" s="1585" t="s">
        <v>2474</v>
      </c>
      <c r="C34" s="1579" t="s">
        <v>2445</v>
      </c>
      <c r="D34" s="1580"/>
      <c r="E34" s="1580"/>
      <c r="F34" s="1581">
        <f t="shared" si="0"/>
        <v>0</v>
      </c>
      <c r="G34" s="1582" t="e">
        <f t="shared" si="1"/>
        <v>#DIV/0!</v>
      </c>
      <c r="H34" s="2294">
        <v>7.3700000000000002E-2</v>
      </c>
      <c r="I34" s="2295"/>
      <c r="J34" s="1550"/>
    </row>
    <row r="35" spans="1:10" ht="16.5">
      <c r="A35" s="1584">
        <v>2061</v>
      </c>
      <c r="B35" s="1585" t="s">
        <v>2475</v>
      </c>
      <c r="C35" s="1579" t="s">
        <v>2445</v>
      </c>
      <c r="D35" s="1580"/>
      <c r="E35" s="1580"/>
      <c r="F35" s="1581">
        <f t="shared" si="0"/>
        <v>0</v>
      </c>
      <c r="G35" s="1582" t="e">
        <f t="shared" si="1"/>
        <v>#DIV/0!</v>
      </c>
      <c r="H35" s="2294">
        <v>-0.03</v>
      </c>
      <c r="I35" s="2295"/>
      <c r="J35" s="1550"/>
    </row>
    <row r="36" spans="1:10" ht="16.5">
      <c r="A36" s="1584">
        <v>2063</v>
      </c>
      <c r="B36" s="1585" t="s">
        <v>2476</v>
      </c>
      <c r="C36" s="1579" t="s">
        <v>2445</v>
      </c>
      <c r="D36" s="1580"/>
      <c r="E36" s="1580"/>
      <c r="F36" s="1581">
        <f t="shared" si="0"/>
        <v>0</v>
      </c>
      <c r="G36" s="1582" t="e">
        <f t="shared" si="1"/>
        <v>#DIV/0!</v>
      </c>
      <c r="H36" s="2294">
        <v>0.1162</v>
      </c>
      <c r="I36" s="2295"/>
      <c r="J36" s="1550"/>
    </row>
    <row r="37" spans="1:10" ht="16.5">
      <c r="A37" s="1584">
        <v>2064</v>
      </c>
      <c r="B37" s="1585" t="s">
        <v>2477</v>
      </c>
      <c r="C37" s="1579" t="s">
        <v>2445</v>
      </c>
      <c r="D37" s="1580"/>
      <c r="E37" s="1580"/>
      <c r="F37" s="1581">
        <f t="shared" si="0"/>
        <v>0</v>
      </c>
      <c r="G37" s="1582" t="e">
        <f t="shared" si="1"/>
        <v>#DIV/0!</v>
      </c>
      <c r="H37" s="2294">
        <v>7.1199999999999999E-2</v>
      </c>
      <c r="I37" s="2295"/>
      <c r="J37" s="1550"/>
    </row>
    <row r="38" spans="1:10" ht="16.5">
      <c r="A38" s="1584">
        <v>2065</v>
      </c>
      <c r="B38" s="1585" t="s">
        <v>2478</v>
      </c>
      <c r="C38" s="1579" t="s">
        <v>2445</v>
      </c>
      <c r="D38" s="1580"/>
      <c r="E38" s="1580"/>
      <c r="F38" s="1581">
        <f t="shared" si="0"/>
        <v>0</v>
      </c>
      <c r="G38" s="1582" t="e">
        <f t="shared" si="1"/>
        <v>#DIV/0!</v>
      </c>
      <c r="H38" s="2294">
        <v>0.1862</v>
      </c>
      <c r="I38" s="2295"/>
      <c r="J38" s="1550"/>
    </row>
    <row r="39" spans="1:10" ht="16.5">
      <c r="A39" s="1584">
        <v>2066</v>
      </c>
      <c r="B39" s="1585" t="s">
        <v>2479</v>
      </c>
      <c r="C39" s="1579" t="s">
        <v>2445</v>
      </c>
      <c r="D39" s="1580"/>
      <c r="E39" s="1580"/>
      <c r="F39" s="1581">
        <f t="shared" si="0"/>
        <v>0</v>
      </c>
      <c r="G39" s="1582" t="e">
        <f t="shared" si="1"/>
        <v>#DIV/0!</v>
      </c>
      <c r="H39" s="2294">
        <v>0.58950000000000002</v>
      </c>
      <c r="I39" s="2295"/>
      <c r="J39" s="1550"/>
    </row>
    <row r="40" spans="1:10" ht="16.5">
      <c r="A40" s="1584">
        <v>2067</v>
      </c>
      <c r="B40" s="1585" t="s">
        <v>5385</v>
      </c>
      <c r="C40" s="1579" t="s">
        <v>2445</v>
      </c>
      <c r="D40" s="1580"/>
      <c r="E40" s="1580"/>
      <c r="F40" s="1581">
        <f t="shared" si="0"/>
        <v>0</v>
      </c>
      <c r="G40" s="1582" t="e">
        <f t="shared" si="1"/>
        <v>#DIV/0!</v>
      </c>
      <c r="H40" s="2294">
        <v>0.1721</v>
      </c>
      <c r="I40" s="2295"/>
      <c r="J40" s="1550"/>
    </row>
    <row r="41" spans="1:10" ht="16.5">
      <c r="A41" s="1584">
        <v>2070</v>
      </c>
      <c r="B41" s="1585" t="s">
        <v>2480</v>
      </c>
      <c r="C41" s="1579" t="s">
        <v>2445</v>
      </c>
      <c r="D41" s="1580"/>
      <c r="E41" s="1580"/>
      <c r="F41" s="1581">
        <f t="shared" si="0"/>
        <v>0</v>
      </c>
      <c r="G41" s="1582" t="e">
        <f t="shared" si="1"/>
        <v>#DIV/0!</v>
      </c>
      <c r="H41" s="2294">
        <v>0.55789999999999995</v>
      </c>
      <c r="I41" s="2295"/>
      <c r="J41" s="1550"/>
    </row>
    <row r="42" spans="1:10" ht="16.5">
      <c r="A42" s="1584">
        <v>2221</v>
      </c>
      <c r="B42" s="1585" t="s">
        <v>2481</v>
      </c>
      <c r="C42" s="1579" t="s">
        <v>2445</v>
      </c>
      <c r="D42" s="1580"/>
      <c r="E42" s="1580"/>
      <c r="F42" s="1581">
        <f t="shared" si="0"/>
        <v>0</v>
      </c>
      <c r="G42" s="1582" t="e">
        <f t="shared" si="1"/>
        <v>#DIV/0!</v>
      </c>
      <c r="H42" s="2294">
        <v>0.50339999999999996</v>
      </c>
      <c r="I42" s="2295"/>
      <c r="J42" s="1550"/>
    </row>
    <row r="43" spans="1:10" ht="16.5">
      <c r="A43" s="1584">
        <v>2230</v>
      </c>
      <c r="B43" s="1585" t="s">
        <v>2482</v>
      </c>
      <c r="C43" s="1579" t="s">
        <v>2445</v>
      </c>
      <c r="D43" s="1580"/>
      <c r="E43" s="1580"/>
      <c r="F43" s="1581">
        <f t="shared" si="0"/>
        <v>0</v>
      </c>
      <c r="G43" s="1582" t="e">
        <f t="shared" si="1"/>
        <v>#DIV/0!</v>
      </c>
      <c r="H43" s="2294">
        <v>0.2054</v>
      </c>
      <c r="I43" s="2295"/>
      <c r="J43" s="1550"/>
    </row>
    <row r="44" spans="1:10" ht="16.5">
      <c r="A44" s="1584">
        <v>2235</v>
      </c>
      <c r="B44" s="1585" t="s">
        <v>2483</v>
      </c>
      <c r="C44" s="1579" t="s">
        <v>2445</v>
      </c>
      <c r="D44" s="1580"/>
      <c r="E44" s="1580"/>
      <c r="F44" s="1581">
        <f t="shared" si="0"/>
        <v>0</v>
      </c>
      <c r="G44" s="1582" t="e">
        <f t="shared" si="1"/>
        <v>#DIV/0!</v>
      </c>
      <c r="H44" s="2294">
        <v>0.42170000000000002</v>
      </c>
      <c r="I44" s="2295"/>
      <c r="J44" s="1550"/>
    </row>
    <row r="45" spans="1:10" ht="16.5">
      <c r="A45" s="1584">
        <v>2596</v>
      </c>
      <c r="B45" s="1585" t="s">
        <v>2484</v>
      </c>
      <c r="C45" s="1579" t="s">
        <v>2445</v>
      </c>
      <c r="D45" s="1580"/>
      <c r="E45" s="1580"/>
      <c r="F45" s="1581">
        <f t="shared" si="0"/>
        <v>0</v>
      </c>
      <c r="G45" s="1582" t="e">
        <f t="shared" si="1"/>
        <v>#DIV/0!</v>
      </c>
      <c r="H45" s="2294">
        <v>0.3533</v>
      </c>
      <c r="I45" s="2295"/>
      <c r="J45" s="1550"/>
    </row>
    <row r="46" spans="1:10" ht="16.5">
      <c r="A46" s="1584">
        <v>2640</v>
      </c>
      <c r="B46" s="1585" t="s">
        <v>2485</v>
      </c>
      <c r="C46" s="1579" t="s">
        <v>2445</v>
      </c>
      <c r="D46" s="1580"/>
      <c r="E46" s="1580"/>
      <c r="F46" s="1581">
        <f t="shared" si="0"/>
        <v>0</v>
      </c>
      <c r="G46" s="1582" t="e">
        <f t="shared" si="1"/>
        <v>#DIV/0!</v>
      </c>
      <c r="H46" s="2294">
        <v>0.29520000000000002</v>
      </c>
      <c r="I46" s="2295"/>
      <c r="J46" s="1550"/>
    </row>
    <row r="47" spans="1:10" ht="16.5">
      <c r="A47" s="1584">
        <v>2641</v>
      </c>
      <c r="B47" s="1585" t="s">
        <v>2486</v>
      </c>
      <c r="C47" s="1579" t="s">
        <v>2445</v>
      </c>
      <c r="D47" s="1580"/>
      <c r="E47" s="1580"/>
      <c r="F47" s="1581">
        <f t="shared" si="0"/>
        <v>0</v>
      </c>
      <c r="G47" s="1582" t="e">
        <f t="shared" si="1"/>
        <v>#DIV/0!</v>
      </c>
      <c r="H47" s="2294">
        <v>0.4708</v>
      </c>
      <c r="I47" s="2295"/>
      <c r="J47" s="1550"/>
    </row>
    <row r="48" spans="1:10" ht="16.5">
      <c r="A48" s="1584">
        <v>2643</v>
      </c>
      <c r="B48" s="1585" t="s">
        <v>2487</v>
      </c>
      <c r="C48" s="1579" t="s">
        <v>2445</v>
      </c>
      <c r="D48" s="1580"/>
      <c r="E48" s="1580"/>
      <c r="F48" s="1581">
        <f t="shared" si="0"/>
        <v>0</v>
      </c>
      <c r="G48" s="1582" t="e">
        <f t="shared" si="1"/>
        <v>#DIV/0!</v>
      </c>
      <c r="H48" s="2294">
        <v>0.33679999999999999</v>
      </c>
      <c r="I48" s="2295"/>
      <c r="J48" s="1550"/>
    </row>
    <row r="49" spans="1:10" ht="16.5">
      <c r="A49" s="1584">
        <v>2718</v>
      </c>
      <c r="B49" s="1585" t="s">
        <v>2488</v>
      </c>
      <c r="C49" s="1579" t="s">
        <v>2445</v>
      </c>
      <c r="D49" s="1580"/>
      <c r="E49" s="1580"/>
      <c r="F49" s="1581">
        <f t="shared" si="0"/>
        <v>0</v>
      </c>
      <c r="G49" s="1582" t="e">
        <f t="shared" si="1"/>
        <v>#DIV/0!</v>
      </c>
      <c r="H49" s="2294">
        <v>4.24E-2</v>
      </c>
      <c r="I49" s="2295"/>
      <c r="J49" s="1550"/>
    </row>
    <row r="50" spans="1:10" ht="16.5">
      <c r="A50" s="1584">
        <v>2719</v>
      </c>
      <c r="B50" s="1585" t="s">
        <v>2489</v>
      </c>
      <c r="C50" s="1579" t="s">
        <v>2445</v>
      </c>
      <c r="D50" s="1580"/>
      <c r="E50" s="1580"/>
      <c r="F50" s="1581">
        <f t="shared" si="0"/>
        <v>0</v>
      </c>
      <c r="G50" s="1582" t="e">
        <f t="shared" si="1"/>
        <v>#DIV/0!</v>
      </c>
      <c r="H50" s="2294">
        <v>0.50260000000000005</v>
      </c>
      <c r="I50" s="2295"/>
      <c r="J50" s="1550"/>
    </row>
    <row r="51" spans="1:10" ht="16.5">
      <c r="A51" s="1584">
        <v>2724</v>
      </c>
      <c r="B51" s="1585" t="s">
        <v>2490</v>
      </c>
      <c r="C51" s="1579" t="s">
        <v>2445</v>
      </c>
      <c r="D51" s="1580"/>
      <c r="E51" s="1580"/>
      <c r="F51" s="1581">
        <f t="shared" si="0"/>
        <v>0</v>
      </c>
      <c r="G51" s="1582" t="e">
        <f t="shared" si="1"/>
        <v>#DIV/0!</v>
      </c>
      <c r="H51" s="2294">
        <v>0.495</v>
      </c>
      <c r="I51" s="2295"/>
      <c r="J51" s="1550"/>
    </row>
    <row r="52" spans="1:10" ht="16.5">
      <c r="A52" s="1584">
        <v>2726</v>
      </c>
      <c r="B52" s="1585" t="s">
        <v>2491</v>
      </c>
      <c r="C52" s="1579" t="s">
        <v>2445</v>
      </c>
      <c r="D52" s="1580"/>
      <c r="E52" s="1580"/>
      <c r="F52" s="1581">
        <f t="shared" si="0"/>
        <v>0</v>
      </c>
      <c r="G52" s="1582" t="e">
        <f t="shared" si="1"/>
        <v>#DIV/0!</v>
      </c>
      <c r="H52" s="2294">
        <v>0.80940000000000001</v>
      </c>
      <c r="I52" s="2295"/>
      <c r="J52" s="1550"/>
    </row>
    <row r="53" spans="1:10" ht="16.5">
      <c r="A53" s="1584">
        <v>2729</v>
      </c>
      <c r="B53" s="1585" t="s">
        <v>2492</v>
      </c>
      <c r="C53" s="1579" t="s">
        <v>2445</v>
      </c>
      <c r="D53" s="1580"/>
      <c r="E53" s="1580"/>
      <c r="F53" s="1581">
        <f t="shared" si="0"/>
        <v>0</v>
      </c>
      <c r="G53" s="1582" t="e">
        <f t="shared" si="1"/>
        <v>#DIV/0!</v>
      </c>
      <c r="H53" s="2294">
        <v>0.33739999999999998</v>
      </c>
      <c r="I53" s="2295"/>
      <c r="J53" s="1550"/>
    </row>
    <row r="54" spans="1:10" ht="16.5">
      <c r="A54" s="1584">
        <v>2732</v>
      </c>
      <c r="B54" s="1585" t="s">
        <v>2493</v>
      </c>
      <c r="C54" s="1579" t="s">
        <v>2445</v>
      </c>
      <c r="D54" s="1580"/>
      <c r="E54" s="1580"/>
      <c r="F54" s="1581">
        <f t="shared" si="0"/>
        <v>0</v>
      </c>
      <c r="G54" s="1582" t="e">
        <f t="shared" si="1"/>
        <v>#DIV/0!</v>
      </c>
      <c r="H54" s="2294">
        <v>0.96389999999999998</v>
      </c>
      <c r="I54" s="2295"/>
      <c r="J54" s="1550"/>
    </row>
    <row r="55" spans="1:10" ht="16.5">
      <c r="A55" s="1584">
        <v>2734</v>
      </c>
      <c r="B55" s="1585" t="s">
        <v>2494</v>
      </c>
      <c r="C55" s="1579" t="s">
        <v>2445</v>
      </c>
      <c r="D55" s="1580"/>
      <c r="E55" s="1580"/>
      <c r="F55" s="1581">
        <f t="shared" si="0"/>
        <v>0</v>
      </c>
      <c r="G55" s="1582" t="e">
        <f t="shared" si="1"/>
        <v>#DIV/0!</v>
      </c>
      <c r="H55" s="2294">
        <v>0.46479999999999999</v>
      </c>
      <c r="I55" s="2295"/>
      <c r="J55" s="1550"/>
    </row>
    <row r="56" spans="1:10" ht="16.5">
      <c r="A56" s="1584">
        <v>2736</v>
      </c>
      <c r="B56" s="1585" t="s">
        <v>2495</v>
      </c>
      <c r="C56" s="1579" t="s">
        <v>2445</v>
      </c>
      <c r="D56" s="1580"/>
      <c r="E56" s="1580"/>
      <c r="F56" s="1581">
        <f t="shared" si="0"/>
        <v>0</v>
      </c>
      <c r="G56" s="1582" t="e">
        <f t="shared" si="1"/>
        <v>#DIV/0!</v>
      </c>
      <c r="H56" s="2294">
        <v>0.3805</v>
      </c>
      <c r="I56" s="2295"/>
      <c r="J56" s="1550"/>
    </row>
    <row r="57" spans="1:10" ht="16.5">
      <c r="A57" s="1584">
        <v>2740</v>
      </c>
      <c r="B57" s="1585" t="s">
        <v>2496</v>
      </c>
      <c r="C57" s="1579" t="s">
        <v>2445</v>
      </c>
      <c r="D57" s="1580"/>
      <c r="E57" s="1580"/>
      <c r="F57" s="1581">
        <f t="shared" si="0"/>
        <v>0</v>
      </c>
      <c r="G57" s="1582" t="e">
        <f t="shared" si="1"/>
        <v>#DIV/0!</v>
      </c>
      <c r="H57" s="2294">
        <v>-0.20749999999999999</v>
      </c>
      <c r="I57" s="2295"/>
      <c r="J57" s="1550"/>
    </row>
    <row r="58" spans="1:10" ht="16.5">
      <c r="A58" s="1584">
        <v>2745</v>
      </c>
      <c r="B58" s="1585" t="s">
        <v>2497</v>
      </c>
      <c r="C58" s="1579" t="s">
        <v>2445</v>
      </c>
      <c r="D58" s="1580"/>
      <c r="E58" s="1580"/>
      <c r="F58" s="1581">
        <f t="shared" si="0"/>
        <v>0</v>
      </c>
      <c r="G58" s="1582" t="e">
        <f t="shared" si="1"/>
        <v>#DIV/0!</v>
      </c>
      <c r="H58" s="2294">
        <v>0.156</v>
      </c>
      <c r="I58" s="2295"/>
      <c r="J58" s="1550"/>
    </row>
    <row r="59" spans="1:10" ht="16.5">
      <c r="A59" s="1584">
        <v>2752</v>
      </c>
      <c r="B59" s="1585" t="s">
        <v>5386</v>
      </c>
      <c r="C59" s="1579" t="s">
        <v>2445</v>
      </c>
      <c r="D59" s="1580"/>
      <c r="E59" s="1580"/>
      <c r="F59" s="1581">
        <f t="shared" si="0"/>
        <v>0</v>
      </c>
      <c r="G59" s="1582" t="e">
        <f t="shared" si="1"/>
        <v>#DIV/0!</v>
      </c>
      <c r="H59" s="2294">
        <v>1</v>
      </c>
      <c r="I59" s="2295" t="s">
        <v>5478</v>
      </c>
      <c r="J59" s="1550"/>
    </row>
    <row r="60" spans="1:10" ht="16.5">
      <c r="A60" s="1584">
        <v>2916</v>
      </c>
      <c r="B60" s="1585" t="s">
        <v>2498</v>
      </c>
      <c r="C60" s="1579" t="s">
        <v>2445</v>
      </c>
      <c r="D60" s="1580"/>
      <c r="E60" s="1580"/>
      <c r="F60" s="1581">
        <f t="shared" si="0"/>
        <v>0</v>
      </c>
      <c r="G60" s="1582" t="e">
        <f t="shared" si="1"/>
        <v>#DIV/0!</v>
      </c>
      <c r="H60" s="2294">
        <v>0.15049999999999999</v>
      </c>
      <c r="I60" s="2295"/>
      <c r="J60" s="1550"/>
    </row>
    <row r="61" spans="1:10" ht="16.5">
      <c r="A61" s="1584">
        <v>2924</v>
      </c>
      <c r="B61" s="1585" t="s">
        <v>2499</v>
      </c>
      <c r="C61" s="1579" t="s">
        <v>2445</v>
      </c>
      <c r="D61" s="1580"/>
      <c r="E61" s="1580"/>
      <c r="F61" s="1581">
        <f t="shared" si="0"/>
        <v>0</v>
      </c>
      <c r="G61" s="1582" t="e">
        <f t="shared" si="1"/>
        <v>#DIV/0!</v>
      </c>
      <c r="H61" s="2294">
        <v>0.1414</v>
      </c>
      <c r="I61" s="2295"/>
      <c r="J61" s="1550"/>
    </row>
    <row r="62" spans="1:10" ht="16.5">
      <c r="A62" s="1584">
        <v>2926</v>
      </c>
      <c r="B62" s="1585" t="s">
        <v>2500</v>
      </c>
      <c r="C62" s="1579" t="s">
        <v>2445</v>
      </c>
      <c r="D62" s="1580"/>
      <c r="E62" s="1580"/>
      <c r="F62" s="1581">
        <f t="shared" si="0"/>
        <v>0</v>
      </c>
      <c r="G62" s="1582" t="e">
        <f t="shared" si="1"/>
        <v>#DIV/0!</v>
      </c>
      <c r="H62" s="2294">
        <v>8.8599999999999998E-2</v>
      </c>
      <c r="I62" s="2295"/>
      <c r="J62" s="1550"/>
    </row>
    <row r="63" spans="1:10" ht="16.5">
      <c r="A63" s="1584">
        <v>2928</v>
      </c>
      <c r="B63" s="1585" t="s">
        <v>2501</v>
      </c>
      <c r="C63" s="1579" t="s">
        <v>2445</v>
      </c>
      <c r="D63" s="1580"/>
      <c r="E63" s="1580"/>
      <c r="F63" s="1581">
        <f t="shared" si="0"/>
        <v>0</v>
      </c>
      <c r="G63" s="1582" t="e">
        <f t="shared" si="1"/>
        <v>#DIV/0!</v>
      </c>
      <c r="H63" s="2294">
        <v>-8.3400000000000002E-2</v>
      </c>
      <c r="I63" s="2295"/>
      <c r="J63" s="1550"/>
    </row>
    <row r="64" spans="1:10" ht="16.5">
      <c r="A64" s="1584">
        <v>2937</v>
      </c>
      <c r="B64" s="1585" t="s">
        <v>2502</v>
      </c>
      <c r="C64" s="1579" t="s">
        <v>2445</v>
      </c>
      <c r="D64" s="1580"/>
      <c r="E64" s="1580"/>
      <c r="F64" s="1581">
        <f t="shared" si="0"/>
        <v>0</v>
      </c>
      <c r="G64" s="1582" t="e">
        <f t="shared" si="1"/>
        <v>#DIV/0!</v>
      </c>
      <c r="H64" s="2294">
        <v>-2.5100000000000001E-2</v>
      </c>
      <c r="I64" s="2295"/>
      <c r="J64" s="1550"/>
    </row>
    <row r="65" spans="1:10" ht="16.5">
      <c r="A65" s="1584">
        <v>3064</v>
      </c>
      <c r="B65" s="1585" t="s">
        <v>2503</v>
      </c>
      <c r="C65" s="1579" t="s">
        <v>2445</v>
      </c>
      <c r="D65" s="1580"/>
      <c r="E65" s="1580"/>
      <c r="F65" s="1581">
        <f t="shared" si="0"/>
        <v>0</v>
      </c>
      <c r="G65" s="1582" t="e">
        <f t="shared" si="1"/>
        <v>#DIV/0!</v>
      </c>
      <c r="H65" s="2294">
        <v>0.29239999999999999</v>
      </c>
      <c r="I65" s="2295"/>
      <c r="J65" s="1550"/>
    </row>
    <row r="66" spans="1:10" ht="16.5">
      <c r="A66" s="1584">
        <v>3066</v>
      </c>
      <c r="B66" s="1585" t="s">
        <v>2504</v>
      </c>
      <c r="C66" s="1579" t="s">
        <v>2445</v>
      </c>
      <c r="D66" s="1580"/>
      <c r="E66" s="1580"/>
      <c r="F66" s="1581">
        <f t="shared" si="0"/>
        <v>0</v>
      </c>
      <c r="G66" s="1582" t="e">
        <f t="shared" si="1"/>
        <v>#DIV/0!</v>
      </c>
      <c r="H66" s="2294">
        <v>0.31540000000000001</v>
      </c>
      <c r="I66" s="2295"/>
      <c r="J66" s="1550"/>
    </row>
    <row r="67" spans="1:10" ht="16.5">
      <c r="A67" s="1584">
        <v>3067</v>
      </c>
      <c r="B67" s="1585" t="s">
        <v>2505</v>
      </c>
      <c r="C67" s="1579" t="s">
        <v>2445</v>
      </c>
      <c r="D67" s="1580"/>
      <c r="E67" s="1580"/>
      <c r="F67" s="1581">
        <f t="shared" si="0"/>
        <v>0</v>
      </c>
      <c r="G67" s="1582" t="e">
        <f t="shared" si="1"/>
        <v>#DIV/0!</v>
      </c>
      <c r="H67" s="2294">
        <v>7.0000000000000007E-2</v>
      </c>
      <c r="I67" s="2295"/>
      <c r="J67" s="1550"/>
    </row>
    <row r="68" spans="1:10" ht="16.5">
      <c r="A68" s="1584">
        <v>3071</v>
      </c>
      <c r="B68" s="1585" t="s">
        <v>2506</v>
      </c>
      <c r="C68" s="1579" t="s">
        <v>2445</v>
      </c>
      <c r="D68" s="1580"/>
      <c r="E68" s="1580"/>
      <c r="F68" s="1581">
        <f t="shared" si="0"/>
        <v>0</v>
      </c>
      <c r="G68" s="1582" t="e">
        <f t="shared" si="1"/>
        <v>#DIV/0!</v>
      </c>
      <c r="H68" s="2294">
        <v>1.1870000000000001</v>
      </c>
      <c r="I68" s="2295"/>
      <c r="J68" s="1550"/>
    </row>
    <row r="69" spans="1:10" ht="16.5">
      <c r="A69" s="1584">
        <v>3073</v>
      </c>
      <c r="B69" s="1585" t="s">
        <v>2507</v>
      </c>
      <c r="C69" s="1579" t="s">
        <v>2445</v>
      </c>
      <c r="D69" s="1580"/>
      <c r="E69" s="1580"/>
      <c r="F69" s="1581">
        <f t="shared" ref="F69:F132" si="2">D69*E69</f>
        <v>0</v>
      </c>
      <c r="G69" s="1582" t="e">
        <f t="shared" ref="G69:G132" si="3">F69/$F$784</f>
        <v>#DIV/0!</v>
      </c>
      <c r="H69" s="2294">
        <v>-0.2021</v>
      </c>
      <c r="I69" s="2295"/>
      <c r="J69" s="1550"/>
    </row>
    <row r="70" spans="1:10" ht="16.5">
      <c r="A70" s="1584">
        <v>3078</v>
      </c>
      <c r="B70" s="1585" t="s">
        <v>2508</v>
      </c>
      <c r="C70" s="1579" t="s">
        <v>2445</v>
      </c>
      <c r="D70" s="1580"/>
      <c r="E70" s="1580"/>
      <c r="F70" s="1581">
        <f t="shared" si="2"/>
        <v>0</v>
      </c>
      <c r="G70" s="1582" t="e">
        <f t="shared" si="3"/>
        <v>#DIV/0!</v>
      </c>
      <c r="H70" s="2294">
        <v>1.1283000000000001</v>
      </c>
      <c r="I70" s="2295"/>
      <c r="J70" s="1550"/>
    </row>
    <row r="71" spans="1:10" ht="16.5">
      <c r="A71" s="1584">
        <v>3081</v>
      </c>
      <c r="B71" s="1585" t="s">
        <v>2509</v>
      </c>
      <c r="C71" s="1579" t="s">
        <v>2445</v>
      </c>
      <c r="D71" s="1580"/>
      <c r="E71" s="1580"/>
      <c r="F71" s="1581">
        <f t="shared" si="2"/>
        <v>0</v>
      </c>
      <c r="G71" s="1582" t="e">
        <f t="shared" si="3"/>
        <v>#DIV/0!</v>
      </c>
      <c r="H71" s="2294">
        <v>2.0413999999999999</v>
      </c>
      <c r="I71" s="2295"/>
      <c r="J71" s="1550"/>
    </row>
    <row r="72" spans="1:10" ht="16.5">
      <c r="A72" s="1584">
        <v>3083</v>
      </c>
      <c r="B72" s="1585" t="s">
        <v>2510</v>
      </c>
      <c r="C72" s="1579" t="s">
        <v>2445</v>
      </c>
      <c r="D72" s="1580"/>
      <c r="E72" s="1580"/>
      <c r="F72" s="1581">
        <f t="shared" si="2"/>
        <v>0</v>
      </c>
      <c r="G72" s="1582" t="e">
        <f t="shared" si="3"/>
        <v>#DIV/0!</v>
      </c>
      <c r="H72" s="2294">
        <v>0.9425</v>
      </c>
      <c r="I72" s="2295"/>
      <c r="J72" s="1550"/>
    </row>
    <row r="73" spans="1:10" ht="16.5">
      <c r="A73" s="1584">
        <v>3085</v>
      </c>
      <c r="B73" s="1585" t="s">
        <v>2511</v>
      </c>
      <c r="C73" s="1579" t="s">
        <v>2445</v>
      </c>
      <c r="D73" s="1580"/>
      <c r="E73" s="1580"/>
      <c r="F73" s="1581">
        <f t="shared" si="2"/>
        <v>0</v>
      </c>
      <c r="G73" s="1582" t="e">
        <f t="shared" si="3"/>
        <v>#DIV/0!</v>
      </c>
      <c r="H73" s="2294">
        <v>0.32550000000000001</v>
      </c>
      <c r="I73" s="2295"/>
      <c r="J73" s="1550"/>
    </row>
    <row r="74" spans="1:10" ht="16.5">
      <c r="A74" s="1584">
        <v>3086</v>
      </c>
      <c r="B74" s="1585" t="s">
        <v>2512</v>
      </c>
      <c r="C74" s="1579" t="s">
        <v>2445</v>
      </c>
      <c r="D74" s="1580"/>
      <c r="E74" s="1580"/>
      <c r="F74" s="1581">
        <f t="shared" si="2"/>
        <v>0</v>
      </c>
      <c r="G74" s="1582" t="e">
        <f t="shared" si="3"/>
        <v>#DIV/0!</v>
      </c>
      <c r="H74" s="2294">
        <v>-0.1867</v>
      </c>
      <c r="I74" s="2295"/>
      <c r="J74" s="1550"/>
    </row>
    <row r="75" spans="1:10" ht="16.5">
      <c r="A75" s="1584">
        <v>3088</v>
      </c>
      <c r="B75" s="1585" t="s">
        <v>2513</v>
      </c>
      <c r="C75" s="1579" t="s">
        <v>2445</v>
      </c>
      <c r="D75" s="1580"/>
      <c r="E75" s="1580"/>
      <c r="F75" s="1581">
        <f t="shared" si="2"/>
        <v>0</v>
      </c>
      <c r="G75" s="1582" t="e">
        <f t="shared" si="3"/>
        <v>#DIV/0!</v>
      </c>
      <c r="H75" s="2294">
        <v>0.39860000000000001</v>
      </c>
      <c r="I75" s="2295"/>
      <c r="J75" s="1550"/>
    </row>
    <row r="76" spans="1:10" ht="16.5">
      <c r="A76" s="1584">
        <v>3089</v>
      </c>
      <c r="B76" s="1585" t="s">
        <v>2514</v>
      </c>
      <c r="C76" s="1579" t="s">
        <v>2445</v>
      </c>
      <c r="D76" s="1580"/>
      <c r="E76" s="1580"/>
      <c r="F76" s="1581">
        <f t="shared" si="2"/>
        <v>0</v>
      </c>
      <c r="G76" s="1582" t="e">
        <f t="shared" si="3"/>
        <v>#DIV/0!</v>
      </c>
      <c r="H76" s="2294">
        <v>0.19209999999999999</v>
      </c>
      <c r="I76" s="2295"/>
      <c r="J76" s="1550"/>
    </row>
    <row r="77" spans="1:10" ht="16.5">
      <c r="A77" s="1584">
        <v>3092</v>
      </c>
      <c r="B77" s="1585" t="s">
        <v>2515</v>
      </c>
      <c r="C77" s="1579" t="s">
        <v>2445</v>
      </c>
      <c r="D77" s="1580"/>
      <c r="E77" s="1580"/>
      <c r="F77" s="1581">
        <f t="shared" si="2"/>
        <v>0</v>
      </c>
      <c r="G77" s="1582" t="e">
        <f t="shared" si="3"/>
        <v>#DIV/0!</v>
      </c>
      <c r="H77" s="2294">
        <v>0.9032</v>
      </c>
      <c r="I77" s="2295"/>
      <c r="J77" s="1550"/>
    </row>
    <row r="78" spans="1:10" ht="16.5">
      <c r="A78" s="1584">
        <v>3093</v>
      </c>
      <c r="B78" s="1585" t="s">
        <v>2516</v>
      </c>
      <c r="C78" s="1579" t="s">
        <v>2445</v>
      </c>
      <c r="D78" s="1580"/>
      <c r="E78" s="1580"/>
      <c r="F78" s="1581">
        <f t="shared" si="2"/>
        <v>0</v>
      </c>
      <c r="G78" s="1582" t="e">
        <f t="shared" si="3"/>
        <v>#DIV/0!</v>
      </c>
      <c r="H78" s="2294">
        <v>0.21190000000000001</v>
      </c>
      <c r="I78" s="2295"/>
      <c r="J78" s="1550"/>
    </row>
    <row r="79" spans="1:10" ht="16.5">
      <c r="A79" s="1584">
        <v>3095</v>
      </c>
      <c r="B79" s="1585" t="s">
        <v>2517</v>
      </c>
      <c r="C79" s="1579" t="s">
        <v>2445</v>
      </c>
      <c r="D79" s="1580"/>
      <c r="E79" s="1580"/>
      <c r="F79" s="1581">
        <f t="shared" si="2"/>
        <v>0</v>
      </c>
      <c r="G79" s="1582" t="e">
        <f t="shared" si="3"/>
        <v>#DIV/0!</v>
      </c>
      <c r="H79" s="2294">
        <v>-0.1193</v>
      </c>
      <c r="I79" s="2295"/>
      <c r="J79" s="1550"/>
    </row>
    <row r="80" spans="1:10" ht="16.5">
      <c r="A80" s="1584">
        <v>3105</v>
      </c>
      <c r="B80" s="1585" t="s">
        <v>2518</v>
      </c>
      <c r="C80" s="1579" t="s">
        <v>2445</v>
      </c>
      <c r="D80" s="1580"/>
      <c r="E80" s="1580"/>
      <c r="F80" s="1581">
        <f t="shared" si="2"/>
        <v>0</v>
      </c>
      <c r="G80" s="1582" t="e">
        <f t="shared" si="3"/>
        <v>#DIV/0!</v>
      </c>
      <c r="H80" s="2294">
        <v>2.6800999999999999</v>
      </c>
      <c r="I80" s="2295"/>
      <c r="J80" s="1550"/>
    </row>
    <row r="81" spans="1:10" ht="16.5">
      <c r="A81" s="1584">
        <v>3114</v>
      </c>
      <c r="B81" s="1585" t="s">
        <v>2519</v>
      </c>
      <c r="C81" s="1579" t="s">
        <v>2445</v>
      </c>
      <c r="D81" s="1580"/>
      <c r="E81" s="1580"/>
      <c r="F81" s="1581">
        <f t="shared" si="2"/>
        <v>0</v>
      </c>
      <c r="G81" s="1582" t="e">
        <f t="shared" si="3"/>
        <v>#DIV/0!</v>
      </c>
      <c r="H81" s="2294">
        <v>1.0431999999999999</v>
      </c>
      <c r="I81" s="2295"/>
      <c r="J81" s="1550"/>
    </row>
    <row r="82" spans="1:10" ht="16.5">
      <c r="A82" s="1584">
        <v>3115</v>
      </c>
      <c r="B82" s="1585" t="s">
        <v>2520</v>
      </c>
      <c r="C82" s="1579" t="s">
        <v>2445</v>
      </c>
      <c r="D82" s="1580"/>
      <c r="E82" s="1580"/>
      <c r="F82" s="1581">
        <f t="shared" si="2"/>
        <v>0</v>
      </c>
      <c r="G82" s="1582" t="e">
        <f t="shared" si="3"/>
        <v>#DIV/0!</v>
      </c>
      <c r="H82" s="2294">
        <v>0.55200000000000005</v>
      </c>
      <c r="I82" s="2295"/>
      <c r="J82" s="1550"/>
    </row>
    <row r="83" spans="1:10" ht="16.5">
      <c r="A83" s="1584">
        <v>3118</v>
      </c>
      <c r="B83" s="1585" t="s">
        <v>2521</v>
      </c>
      <c r="C83" s="1579" t="s">
        <v>2445</v>
      </c>
      <c r="D83" s="1580"/>
      <c r="E83" s="1580"/>
      <c r="F83" s="1581">
        <f t="shared" si="2"/>
        <v>0</v>
      </c>
      <c r="G83" s="1582" t="e">
        <f t="shared" si="3"/>
        <v>#DIV/0!</v>
      </c>
      <c r="H83" s="2294">
        <v>8.6999999999999994E-2</v>
      </c>
      <c r="I83" s="2295"/>
      <c r="J83" s="1550"/>
    </row>
    <row r="84" spans="1:10" ht="16.5">
      <c r="A84" s="1584">
        <v>3122</v>
      </c>
      <c r="B84" s="1585" t="s">
        <v>2522</v>
      </c>
      <c r="C84" s="1579" t="s">
        <v>2445</v>
      </c>
      <c r="D84" s="1580"/>
      <c r="E84" s="1580"/>
      <c r="F84" s="1581">
        <f t="shared" si="2"/>
        <v>0</v>
      </c>
      <c r="G84" s="1582" t="e">
        <f t="shared" si="3"/>
        <v>#DIV/0!</v>
      </c>
      <c r="H84" s="2294">
        <v>0.41510000000000002</v>
      </c>
      <c r="I84" s="2295"/>
      <c r="J84" s="1550"/>
    </row>
    <row r="85" spans="1:10" ht="16.5">
      <c r="A85" s="1584">
        <v>3128</v>
      </c>
      <c r="B85" s="1585" t="s">
        <v>2523</v>
      </c>
      <c r="C85" s="1579" t="s">
        <v>2445</v>
      </c>
      <c r="D85" s="1580"/>
      <c r="E85" s="1580"/>
      <c r="F85" s="1581">
        <f t="shared" si="2"/>
        <v>0</v>
      </c>
      <c r="G85" s="1582" t="e">
        <f t="shared" si="3"/>
        <v>#DIV/0!</v>
      </c>
      <c r="H85" s="2294">
        <v>0.45600000000000002</v>
      </c>
      <c r="I85" s="2296"/>
      <c r="J85" s="1550"/>
    </row>
    <row r="86" spans="1:10" ht="16.5">
      <c r="A86" s="1584">
        <v>3131</v>
      </c>
      <c r="B86" s="1585" t="s">
        <v>2524</v>
      </c>
      <c r="C86" s="1579" t="s">
        <v>2445</v>
      </c>
      <c r="D86" s="1580"/>
      <c r="E86" s="1580"/>
      <c r="F86" s="1581">
        <f t="shared" si="2"/>
        <v>0</v>
      </c>
      <c r="G86" s="1582" t="e">
        <f t="shared" si="3"/>
        <v>#DIV/0!</v>
      </c>
      <c r="H86" s="2294">
        <v>1.1700999999999999</v>
      </c>
      <c r="I86" s="2295"/>
      <c r="J86" s="1550"/>
    </row>
    <row r="87" spans="1:10" ht="16.5">
      <c r="A87" s="1584">
        <v>3141</v>
      </c>
      <c r="B87" s="1585" t="s">
        <v>2525</v>
      </c>
      <c r="C87" s="1579" t="s">
        <v>2445</v>
      </c>
      <c r="D87" s="1580"/>
      <c r="E87" s="1580"/>
      <c r="F87" s="1581">
        <f t="shared" si="2"/>
        <v>0</v>
      </c>
      <c r="G87" s="1582" t="e">
        <f t="shared" si="3"/>
        <v>#DIV/0!</v>
      </c>
      <c r="H87" s="2294">
        <v>1.5674999999999999</v>
      </c>
      <c r="I87" s="2295"/>
      <c r="J87" s="1550"/>
    </row>
    <row r="88" spans="1:10" ht="16.5">
      <c r="A88" s="1584">
        <v>3144</v>
      </c>
      <c r="B88" s="1585" t="s">
        <v>2526</v>
      </c>
      <c r="C88" s="1579" t="s">
        <v>2445</v>
      </c>
      <c r="D88" s="1580"/>
      <c r="E88" s="1580"/>
      <c r="F88" s="1581">
        <f t="shared" si="2"/>
        <v>0</v>
      </c>
      <c r="G88" s="1582" t="e">
        <f t="shared" si="3"/>
        <v>#DIV/0!</v>
      </c>
      <c r="H88" s="2294">
        <v>1.5232000000000001</v>
      </c>
      <c r="I88" s="2295"/>
      <c r="J88" s="1550"/>
    </row>
    <row r="89" spans="1:10" ht="16.5">
      <c r="A89" s="1584">
        <v>3147</v>
      </c>
      <c r="B89" s="1585" t="s">
        <v>2527</v>
      </c>
      <c r="C89" s="1579" t="s">
        <v>2445</v>
      </c>
      <c r="D89" s="1580"/>
      <c r="E89" s="1580"/>
      <c r="F89" s="1581">
        <f t="shared" si="2"/>
        <v>0</v>
      </c>
      <c r="G89" s="1582" t="e">
        <f t="shared" si="3"/>
        <v>#DIV/0!</v>
      </c>
      <c r="H89" s="2294">
        <v>1.3087</v>
      </c>
      <c r="I89" s="2295"/>
      <c r="J89" s="1550"/>
    </row>
    <row r="90" spans="1:10" ht="16.5">
      <c r="A90" s="1584">
        <v>3152</v>
      </c>
      <c r="B90" s="1585" t="s">
        <v>2528</v>
      </c>
      <c r="C90" s="1579" t="s">
        <v>2445</v>
      </c>
      <c r="D90" s="1580"/>
      <c r="E90" s="1580"/>
      <c r="F90" s="1581">
        <f t="shared" si="2"/>
        <v>0</v>
      </c>
      <c r="G90" s="1582" t="e">
        <f t="shared" si="3"/>
        <v>#DIV/0!</v>
      </c>
      <c r="H90" s="2294">
        <v>1.7151000000000001</v>
      </c>
      <c r="I90" s="2295"/>
      <c r="J90" s="1550"/>
    </row>
    <row r="91" spans="1:10" ht="16.5">
      <c r="A91" s="1584">
        <v>3162</v>
      </c>
      <c r="B91" s="1585" t="s">
        <v>2529</v>
      </c>
      <c r="C91" s="1579" t="s">
        <v>2445</v>
      </c>
      <c r="D91" s="1580"/>
      <c r="E91" s="1580"/>
      <c r="F91" s="1581">
        <f t="shared" si="2"/>
        <v>0</v>
      </c>
      <c r="G91" s="1582" t="e">
        <f t="shared" si="3"/>
        <v>#DIV/0!</v>
      </c>
      <c r="H91" s="2294">
        <v>-0.4758</v>
      </c>
      <c r="I91" s="2295"/>
      <c r="J91" s="1550"/>
    </row>
    <row r="92" spans="1:10" ht="16.5">
      <c r="A92" s="1584">
        <v>3163</v>
      </c>
      <c r="B92" s="1585" t="s">
        <v>2530</v>
      </c>
      <c r="C92" s="1579" t="s">
        <v>2445</v>
      </c>
      <c r="D92" s="1580"/>
      <c r="E92" s="1580"/>
      <c r="F92" s="1581">
        <f t="shared" si="2"/>
        <v>0</v>
      </c>
      <c r="G92" s="1582" t="e">
        <f t="shared" si="3"/>
        <v>#DIV/0!</v>
      </c>
      <c r="H92" s="2294">
        <v>1.5986</v>
      </c>
      <c r="I92" s="2295"/>
      <c r="J92" s="1550"/>
    </row>
    <row r="93" spans="1:10" ht="16.5">
      <c r="A93" s="1584">
        <v>3169</v>
      </c>
      <c r="B93" s="1585" t="s">
        <v>2531</v>
      </c>
      <c r="C93" s="1579" t="s">
        <v>2445</v>
      </c>
      <c r="D93" s="1580"/>
      <c r="E93" s="1580"/>
      <c r="F93" s="1581">
        <f t="shared" si="2"/>
        <v>0</v>
      </c>
      <c r="G93" s="1582" t="e">
        <f t="shared" si="3"/>
        <v>#DIV/0!</v>
      </c>
      <c r="H93" s="2294">
        <v>1.3331999999999999</v>
      </c>
      <c r="I93" s="2295"/>
      <c r="J93" s="1550"/>
    </row>
    <row r="94" spans="1:10" ht="16.5">
      <c r="A94" s="1584">
        <v>3171</v>
      </c>
      <c r="B94" s="1585" t="s">
        <v>2532</v>
      </c>
      <c r="C94" s="1579" t="s">
        <v>2445</v>
      </c>
      <c r="D94" s="1580"/>
      <c r="E94" s="1580"/>
      <c r="F94" s="1581">
        <f t="shared" si="2"/>
        <v>0</v>
      </c>
      <c r="G94" s="1582" t="e">
        <f t="shared" si="3"/>
        <v>#DIV/0!</v>
      </c>
      <c r="H94" s="2294">
        <v>0.1696</v>
      </c>
      <c r="I94" s="2295"/>
      <c r="J94" s="1550"/>
    </row>
    <row r="95" spans="1:10" ht="16.5">
      <c r="A95" s="1584">
        <v>3176</v>
      </c>
      <c r="B95" s="1585" t="s">
        <v>2533</v>
      </c>
      <c r="C95" s="1579" t="s">
        <v>2445</v>
      </c>
      <c r="D95" s="1580"/>
      <c r="E95" s="1580"/>
      <c r="F95" s="1581">
        <f t="shared" si="2"/>
        <v>0</v>
      </c>
      <c r="G95" s="1582" t="e">
        <f t="shared" si="3"/>
        <v>#DIV/0!</v>
      </c>
      <c r="H95" s="2294">
        <v>0.63380000000000003</v>
      </c>
      <c r="I95" s="2295"/>
      <c r="J95" s="1550"/>
    </row>
    <row r="96" spans="1:10" ht="16.5">
      <c r="A96" s="1584">
        <v>3178</v>
      </c>
      <c r="B96" s="1585" t="s">
        <v>2534</v>
      </c>
      <c r="C96" s="1579" t="s">
        <v>2445</v>
      </c>
      <c r="D96" s="1580"/>
      <c r="E96" s="1580"/>
      <c r="F96" s="1581">
        <f t="shared" si="2"/>
        <v>0</v>
      </c>
      <c r="G96" s="1582" t="e">
        <f t="shared" si="3"/>
        <v>#DIV/0!</v>
      </c>
      <c r="H96" s="2294">
        <v>0.499</v>
      </c>
      <c r="I96" s="2295"/>
      <c r="J96" s="1550"/>
    </row>
    <row r="97" spans="1:10" ht="16.5">
      <c r="A97" s="1584">
        <v>3188</v>
      </c>
      <c r="B97" s="1585" t="s">
        <v>2535</v>
      </c>
      <c r="C97" s="1579" t="s">
        <v>2445</v>
      </c>
      <c r="D97" s="1580"/>
      <c r="E97" s="1580"/>
      <c r="F97" s="1581">
        <f t="shared" si="2"/>
        <v>0</v>
      </c>
      <c r="G97" s="1582" t="e">
        <f t="shared" si="3"/>
        <v>#DIV/0!</v>
      </c>
      <c r="H97" s="2294">
        <v>0.28320000000000001</v>
      </c>
      <c r="I97" s="2295"/>
      <c r="J97" s="1550"/>
    </row>
    <row r="98" spans="1:10" ht="16.5">
      <c r="A98" s="1584">
        <v>3191</v>
      </c>
      <c r="B98" s="1585" t="s">
        <v>2536</v>
      </c>
      <c r="C98" s="1579" t="s">
        <v>2445</v>
      </c>
      <c r="D98" s="1580"/>
      <c r="E98" s="1580"/>
      <c r="F98" s="1581">
        <f t="shared" si="2"/>
        <v>0</v>
      </c>
      <c r="G98" s="1582" t="e">
        <f t="shared" si="3"/>
        <v>#DIV/0!</v>
      </c>
      <c r="H98" s="2294">
        <v>0.26169999999999999</v>
      </c>
      <c r="I98" s="2295"/>
      <c r="J98" s="1550"/>
    </row>
    <row r="99" spans="1:10" ht="16.5">
      <c r="A99" s="1584">
        <v>3202</v>
      </c>
      <c r="B99" s="1585" t="s">
        <v>2537</v>
      </c>
      <c r="C99" s="1579" t="s">
        <v>2445</v>
      </c>
      <c r="D99" s="1580"/>
      <c r="E99" s="1580"/>
      <c r="F99" s="1581">
        <f t="shared" si="2"/>
        <v>0</v>
      </c>
      <c r="G99" s="1582" t="e">
        <f t="shared" si="3"/>
        <v>#DIV/0!</v>
      </c>
      <c r="H99" s="2294">
        <v>1.2130000000000001</v>
      </c>
      <c r="I99" s="2295"/>
      <c r="J99" s="1550"/>
    </row>
    <row r="100" spans="1:10" ht="16.5">
      <c r="A100" s="1584">
        <v>3205</v>
      </c>
      <c r="B100" s="1585" t="s">
        <v>2538</v>
      </c>
      <c r="C100" s="1579" t="s">
        <v>2445</v>
      </c>
      <c r="D100" s="1580"/>
      <c r="E100" s="1580"/>
      <c r="F100" s="1581">
        <f t="shared" si="2"/>
        <v>0</v>
      </c>
      <c r="G100" s="1582" t="e">
        <f t="shared" si="3"/>
        <v>#DIV/0!</v>
      </c>
      <c r="H100" s="2294">
        <v>0.81799999999999995</v>
      </c>
      <c r="I100" s="2295"/>
      <c r="J100" s="1550"/>
    </row>
    <row r="101" spans="1:10" ht="16.5">
      <c r="A101" s="1584">
        <v>3206</v>
      </c>
      <c r="B101" s="1585" t="s">
        <v>2539</v>
      </c>
      <c r="C101" s="1579" t="s">
        <v>2445</v>
      </c>
      <c r="D101" s="1580"/>
      <c r="E101" s="1580"/>
      <c r="F101" s="1581">
        <f t="shared" si="2"/>
        <v>0</v>
      </c>
      <c r="G101" s="1582" t="e">
        <f t="shared" si="3"/>
        <v>#DIV/0!</v>
      </c>
      <c r="H101" s="2294">
        <v>1.0027999999999999</v>
      </c>
      <c r="I101" s="2295"/>
      <c r="J101" s="1550"/>
    </row>
    <row r="102" spans="1:10" ht="16.5">
      <c r="A102" s="1584">
        <v>3207</v>
      </c>
      <c r="B102" s="1585" t="s">
        <v>2540</v>
      </c>
      <c r="C102" s="1579" t="s">
        <v>2445</v>
      </c>
      <c r="D102" s="1580"/>
      <c r="E102" s="1580"/>
      <c r="F102" s="1581">
        <f t="shared" si="2"/>
        <v>0</v>
      </c>
      <c r="G102" s="1582" t="e">
        <f t="shared" si="3"/>
        <v>#DIV/0!</v>
      </c>
      <c r="H102" s="2294">
        <v>-6.8500000000000005E-2</v>
      </c>
      <c r="I102" s="2295"/>
      <c r="J102" s="1550"/>
    </row>
    <row r="103" spans="1:10" ht="16.5">
      <c r="A103" s="1584">
        <v>3211</v>
      </c>
      <c r="B103" s="1585" t="s">
        <v>2541</v>
      </c>
      <c r="C103" s="1579" t="s">
        <v>2445</v>
      </c>
      <c r="D103" s="1580"/>
      <c r="E103" s="1580"/>
      <c r="F103" s="1581">
        <f t="shared" si="2"/>
        <v>0</v>
      </c>
      <c r="G103" s="1582" t="e">
        <f t="shared" si="3"/>
        <v>#DIV/0!</v>
      </c>
      <c r="H103" s="2294">
        <v>0.88249999999999995</v>
      </c>
      <c r="I103" s="2295"/>
      <c r="J103" s="1550"/>
    </row>
    <row r="104" spans="1:10" ht="16.5">
      <c r="A104" s="1584">
        <v>3213</v>
      </c>
      <c r="B104" s="1585" t="s">
        <v>2542</v>
      </c>
      <c r="C104" s="1579" t="s">
        <v>2445</v>
      </c>
      <c r="D104" s="1580"/>
      <c r="E104" s="1580"/>
      <c r="F104" s="1581">
        <f t="shared" si="2"/>
        <v>0</v>
      </c>
      <c r="G104" s="1582" t="e">
        <f t="shared" si="3"/>
        <v>#DIV/0!</v>
      </c>
      <c r="H104" s="2294">
        <v>0.54069999999999996</v>
      </c>
      <c r="I104" s="2295"/>
      <c r="J104" s="1550"/>
    </row>
    <row r="105" spans="1:10" ht="16.5">
      <c r="A105" s="1584">
        <v>3217</v>
      </c>
      <c r="B105" s="1585" t="s">
        <v>2543</v>
      </c>
      <c r="C105" s="1579" t="s">
        <v>2445</v>
      </c>
      <c r="D105" s="1580"/>
      <c r="E105" s="1580"/>
      <c r="F105" s="1581">
        <f t="shared" si="2"/>
        <v>0</v>
      </c>
      <c r="G105" s="1582" t="e">
        <f t="shared" si="3"/>
        <v>#DIV/0!</v>
      </c>
      <c r="H105" s="2294">
        <v>1.6276999999999999</v>
      </c>
      <c r="I105" s="2295"/>
      <c r="J105" s="1550"/>
    </row>
    <row r="106" spans="1:10" ht="16.5">
      <c r="A106" s="1584">
        <v>3218</v>
      </c>
      <c r="B106" s="1585" t="s">
        <v>2544</v>
      </c>
      <c r="C106" s="1579" t="s">
        <v>2445</v>
      </c>
      <c r="D106" s="1580"/>
      <c r="E106" s="1580"/>
      <c r="F106" s="1581">
        <f t="shared" si="2"/>
        <v>0</v>
      </c>
      <c r="G106" s="1582" t="e">
        <f t="shared" si="3"/>
        <v>#DIV/0!</v>
      </c>
      <c r="H106" s="2294">
        <v>1.0359</v>
      </c>
      <c r="I106" s="2295"/>
      <c r="J106" s="1550"/>
    </row>
    <row r="107" spans="1:10" ht="16.5">
      <c r="A107" s="1584">
        <v>3219</v>
      </c>
      <c r="B107" s="1585" t="s">
        <v>5387</v>
      </c>
      <c r="C107" s="1579" t="s">
        <v>2445</v>
      </c>
      <c r="D107" s="1580"/>
      <c r="E107" s="1580"/>
      <c r="F107" s="1581">
        <f t="shared" si="2"/>
        <v>0</v>
      </c>
      <c r="G107" s="1582" t="e">
        <f t="shared" si="3"/>
        <v>#DIV/0!</v>
      </c>
      <c r="H107" s="2294">
        <v>2.41E-2</v>
      </c>
      <c r="I107" s="2295"/>
      <c r="J107" s="1550"/>
    </row>
    <row r="108" spans="1:10" ht="16.5">
      <c r="A108" s="1584">
        <v>3221</v>
      </c>
      <c r="B108" s="1585" t="s">
        <v>2545</v>
      </c>
      <c r="C108" s="1579" t="s">
        <v>2445</v>
      </c>
      <c r="D108" s="1580"/>
      <c r="E108" s="1580"/>
      <c r="F108" s="1581">
        <f t="shared" si="2"/>
        <v>0</v>
      </c>
      <c r="G108" s="1582" t="e">
        <f t="shared" si="3"/>
        <v>#DIV/0!</v>
      </c>
      <c r="H108" s="2294">
        <v>1.8183</v>
      </c>
      <c r="I108" s="2295"/>
      <c r="J108" s="1550"/>
    </row>
    <row r="109" spans="1:10" ht="16.5">
      <c r="A109" s="1584">
        <v>3224</v>
      </c>
      <c r="B109" s="1585" t="s">
        <v>2546</v>
      </c>
      <c r="C109" s="1579" t="s">
        <v>2445</v>
      </c>
      <c r="D109" s="1580"/>
      <c r="E109" s="1580"/>
      <c r="F109" s="1581">
        <f t="shared" si="2"/>
        <v>0</v>
      </c>
      <c r="G109" s="1582" t="e">
        <f t="shared" si="3"/>
        <v>#DIV/0!</v>
      </c>
      <c r="H109" s="2294">
        <v>0.2442</v>
      </c>
      <c r="I109" s="2295"/>
      <c r="J109" s="1550"/>
    </row>
    <row r="110" spans="1:10" ht="16.5">
      <c r="A110" s="1584">
        <v>3226</v>
      </c>
      <c r="B110" s="1585" t="s">
        <v>2547</v>
      </c>
      <c r="C110" s="1579" t="s">
        <v>2445</v>
      </c>
      <c r="D110" s="1580"/>
      <c r="E110" s="1580"/>
      <c r="F110" s="1581">
        <f t="shared" si="2"/>
        <v>0</v>
      </c>
      <c r="G110" s="1582" t="e">
        <f t="shared" si="3"/>
        <v>#DIV/0!</v>
      </c>
      <c r="H110" s="2294">
        <v>7.5499999999999998E-2</v>
      </c>
      <c r="I110" s="2295"/>
      <c r="J110" s="1550"/>
    </row>
    <row r="111" spans="1:10" ht="16.5">
      <c r="A111" s="1584">
        <v>3227</v>
      </c>
      <c r="B111" s="1585" t="s">
        <v>2548</v>
      </c>
      <c r="C111" s="1579" t="s">
        <v>2445</v>
      </c>
      <c r="D111" s="1580"/>
      <c r="E111" s="1580"/>
      <c r="F111" s="1581">
        <f t="shared" si="2"/>
        <v>0</v>
      </c>
      <c r="G111" s="1582" t="e">
        <f t="shared" si="3"/>
        <v>#DIV/0!</v>
      </c>
      <c r="H111" s="2294">
        <v>1.5148999999999999</v>
      </c>
      <c r="I111" s="2295"/>
      <c r="J111" s="1550"/>
    </row>
    <row r="112" spans="1:10" ht="16.5">
      <c r="A112" s="1584">
        <v>3228</v>
      </c>
      <c r="B112" s="1585" t="s">
        <v>2549</v>
      </c>
      <c r="C112" s="1579" t="s">
        <v>2445</v>
      </c>
      <c r="D112" s="1580"/>
      <c r="E112" s="1580"/>
      <c r="F112" s="1581">
        <f t="shared" si="2"/>
        <v>0</v>
      </c>
      <c r="G112" s="1582" t="e">
        <f t="shared" si="3"/>
        <v>#DIV/0!</v>
      </c>
      <c r="H112" s="2294">
        <v>0.72109999999999996</v>
      </c>
      <c r="I112" s="2295"/>
      <c r="J112" s="1550"/>
    </row>
    <row r="113" spans="1:10" ht="16.5">
      <c r="A113" s="1584">
        <v>3230</v>
      </c>
      <c r="B113" s="1585" t="s">
        <v>2550</v>
      </c>
      <c r="C113" s="1579" t="s">
        <v>2445</v>
      </c>
      <c r="D113" s="1580"/>
      <c r="E113" s="1580"/>
      <c r="F113" s="1581">
        <f t="shared" si="2"/>
        <v>0</v>
      </c>
      <c r="G113" s="1582" t="e">
        <f t="shared" si="3"/>
        <v>#DIV/0!</v>
      </c>
      <c r="H113" s="2294">
        <v>0.43790000000000001</v>
      </c>
      <c r="I113" s="2295"/>
      <c r="J113" s="1550"/>
    </row>
    <row r="114" spans="1:10" ht="16.5">
      <c r="A114" s="1584">
        <v>3232</v>
      </c>
      <c r="B114" s="1585" t="s">
        <v>2551</v>
      </c>
      <c r="C114" s="1579" t="s">
        <v>2445</v>
      </c>
      <c r="D114" s="1580"/>
      <c r="E114" s="1580"/>
      <c r="F114" s="1581">
        <f t="shared" si="2"/>
        <v>0</v>
      </c>
      <c r="G114" s="1582" t="e">
        <f t="shared" si="3"/>
        <v>#DIV/0!</v>
      </c>
      <c r="H114" s="2294">
        <v>-6.4799999999999996E-2</v>
      </c>
      <c r="I114" s="2295"/>
      <c r="J114" s="1550"/>
    </row>
    <row r="115" spans="1:10" ht="16.5">
      <c r="A115" s="1584">
        <v>3234</v>
      </c>
      <c r="B115" s="1585" t="s">
        <v>2552</v>
      </c>
      <c r="C115" s="1579" t="s">
        <v>2445</v>
      </c>
      <c r="D115" s="1580"/>
      <c r="E115" s="1580"/>
      <c r="F115" s="1581">
        <f t="shared" si="2"/>
        <v>0</v>
      </c>
      <c r="G115" s="1582" t="e">
        <f t="shared" si="3"/>
        <v>#DIV/0!</v>
      </c>
      <c r="H115" s="2294">
        <v>1.861</v>
      </c>
      <c r="I115" s="2295"/>
      <c r="J115" s="1550"/>
    </row>
    <row r="116" spans="1:10" ht="16.5">
      <c r="A116" s="1584">
        <v>3236</v>
      </c>
      <c r="B116" s="1585" t="s">
        <v>2553</v>
      </c>
      <c r="C116" s="1579" t="s">
        <v>2445</v>
      </c>
      <c r="D116" s="1580"/>
      <c r="E116" s="1580"/>
      <c r="F116" s="1581">
        <f t="shared" si="2"/>
        <v>0</v>
      </c>
      <c r="G116" s="1582" t="e">
        <f t="shared" si="3"/>
        <v>#DIV/0!</v>
      </c>
      <c r="H116" s="2294">
        <v>1.4196</v>
      </c>
      <c r="I116" s="2295"/>
      <c r="J116" s="1550"/>
    </row>
    <row r="117" spans="1:10" ht="16.5">
      <c r="A117" s="1584">
        <v>3252</v>
      </c>
      <c r="B117" s="1585" t="s">
        <v>2554</v>
      </c>
      <c r="C117" s="1579" t="s">
        <v>2445</v>
      </c>
      <c r="D117" s="1580"/>
      <c r="E117" s="1580"/>
      <c r="F117" s="1581">
        <f t="shared" si="2"/>
        <v>0</v>
      </c>
      <c r="G117" s="1582" t="e">
        <f t="shared" si="3"/>
        <v>#DIV/0!</v>
      </c>
      <c r="H117" s="2294">
        <v>0.54149999999999998</v>
      </c>
      <c r="I117" s="2295"/>
      <c r="J117" s="1550"/>
    </row>
    <row r="118" spans="1:10" ht="16.5">
      <c r="A118" s="1584">
        <v>3259</v>
      </c>
      <c r="B118" s="1585" t="s">
        <v>2555</v>
      </c>
      <c r="C118" s="1579" t="s">
        <v>2445</v>
      </c>
      <c r="D118" s="1580"/>
      <c r="E118" s="1580"/>
      <c r="F118" s="1581">
        <f t="shared" si="2"/>
        <v>0</v>
      </c>
      <c r="G118" s="1582" t="e">
        <f t="shared" si="3"/>
        <v>#DIV/0!</v>
      </c>
      <c r="H118" s="2294">
        <v>0.24510000000000001</v>
      </c>
      <c r="I118" s="2295"/>
      <c r="J118" s="1550"/>
    </row>
    <row r="119" spans="1:10" ht="16.5">
      <c r="A119" s="1584">
        <v>3260</v>
      </c>
      <c r="B119" s="1585" t="s">
        <v>2556</v>
      </c>
      <c r="C119" s="1579" t="s">
        <v>2445</v>
      </c>
      <c r="D119" s="1580"/>
      <c r="E119" s="1580"/>
      <c r="F119" s="1581">
        <f t="shared" si="2"/>
        <v>0</v>
      </c>
      <c r="G119" s="1582" t="e">
        <f t="shared" si="3"/>
        <v>#DIV/0!</v>
      </c>
      <c r="H119" s="2294">
        <v>1.6774</v>
      </c>
      <c r="I119" s="2295"/>
      <c r="J119" s="1550"/>
    </row>
    <row r="120" spans="1:10" ht="16.5">
      <c r="A120" s="1584">
        <v>3264</v>
      </c>
      <c r="B120" s="1585" t="s">
        <v>2557</v>
      </c>
      <c r="C120" s="1579" t="s">
        <v>2445</v>
      </c>
      <c r="D120" s="1580"/>
      <c r="E120" s="1580"/>
      <c r="F120" s="1581">
        <f t="shared" si="2"/>
        <v>0</v>
      </c>
      <c r="G120" s="1582" t="e">
        <f t="shared" si="3"/>
        <v>#DIV/0!</v>
      </c>
      <c r="H120" s="2294">
        <v>1.2126999999999999</v>
      </c>
      <c r="I120" s="2295"/>
      <c r="J120" s="1550"/>
    </row>
    <row r="121" spans="1:10" ht="16.5">
      <c r="A121" s="1584">
        <v>3265</v>
      </c>
      <c r="B121" s="1585" t="s">
        <v>2558</v>
      </c>
      <c r="C121" s="1579" t="s">
        <v>2445</v>
      </c>
      <c r="D121" s="1580"/>
      <c r="E121" s="1580"/>
      <c r="F121" s="1581">
        <f t="shared" si="2"/>
        <v>0</v>
      </c>
      <c r="G121" s="1582" t="e">
        <f t="shared" si="3"/>
        <v>#DIV/0!</v>
      </c>
      <c r="H121" s="2294">
        <v>1.2121999999999999</v>
      </c>
      <c r="I121" s="2295"/>
      <c r="J121" s="1550"/>
    </row>
    <row r="122" spans="1:10" ht="16.5">
      <c r="A122" s="1584">
        <v>3268</v>
      </c>
      <c r="B122" s="1585" t="s">
        <v>2559</v>
      </c>
      <c r="C122" s="1579" t="s">
        <v>2445</v>
      </c>
      <c r="D122" s="1580"/>
      <c r="E122" s="1580"/>
      <c r="F122" s="1581">
        <f t="shared" si="2"/>
        <v>0</v>
      </c>
      <c r="G122" s="1582" t="e">
        <f t="shared" si="3"/>
        <v>#DIV/0!</v>
      </c>
      <c r="H122" s="2294">
        <v>0.67020000000000002</v>
      </c>
      <c r="I122" s="2295"/>
      <c r="J122" s="1550"/>
    </row>
    <row r="123" spans="1:10" ht="16.5">
      <c r="A123" s="1584">
        <v>3272</v>
      </c>
      <c r="B123" s="1585" t="s">
        <v>2560</v>
      </c>
      <c r="C123" s="1579" t="s">
        <v>2445</v>
      </c>
      <c r="D123" s="1580"/>
      <c r="E123" s="1580"/>
      <c r="F123" s="1581">
        <f t="shared" si="2"/>
        <v>0</v>
      </c>
      <c r="G123" s="1582" t="e">
        <f t="shared" si="3"/>
        <v>#DIV/0!</v>
      </c>
      <c r="H123" s="2294">
        <v>1.0935999999999999</v>
      </c>
      <c r="I123" s="2295"/>
      <c r="J123" s="1550"/>
    </row>
    <row r="124" spans="1:10" ht="16.5">
      <c r="A124" s="1584">
        <v>3276</v>
      </c>
      <c r="B124" s="1585" t="s">
        <v>2561</v>
      </c>
      <c r="C124" s="1579" t="s">
        <v>2445</v>
      </c>
      <c r="D124" s="1580"/>
      <c r="E124" s="1580"/>
      <c r="F124" s="1581">
        <f t="shared" si="2"/>
        <v>0</v>
      </c>
      <c r="G124" s="1582" t="e">
        <f t="shared" si="3"/>
        <v>#DIV/0!</v>
      </c>
      <c r="H124" s="2294">
        <v>0.1109</v>
      </c>
      <c r="I124" s="2295"/>
      <c r="J124" s="1550"/>
    </row>
    <row r="125" spans="1:10" ht="16.5">
      <c r="A125" s="1584">
        <v>3284</v>
      </c>
      <c r="B125" s="1585" t="s">
        <v>2562</v>
      </c>
      <c r="C125" s="1579" t="s">
        <v>2445</v>
      </c>
      <c r="D125" s="1580"/>
      <c r="E125" s="1580"/>
      <c r="F125" s="1581">
        <f t="shared" si="2"/>
        <v>0</v>
      </c>
      <c r="G125" s="1582" t="e">
        <f t="shared" si="3"/>
        <v>#DIV/0!</v>
      </c>
      <c r="H125" s="2294">
        <v>-0.21240000000000001</v>
      </c>
      <c r="I125" s="2295"/>
      <c r="J125" s="1550"/>
    </row>
    <row r="126" spans="1:10" ht="16.5">
      <c r="A126" s="1584">
        <v>3285</v>
      </c>
      <c r="B126" s="1585" t="s">
        <v>2563</v>
      </c>
      <c r="C126" s="1579" t="s">
        <v>2445</v>
      </c>
      <c r="D126" s="1580"/>
      <c r="E126" s="1580"/>
      <c r="F126" s="1581">
        <f t="shared" si="2"/>
        <v>0</v>
      </c>
      <c r="G126" s="1582" t="e">
        <f t="shared" si="3"/>
        <v>#DIV/0!</v>
      </c>
      <c r="H126" s="2294">
        <v>0.49859999999999999</v>
      </c>
      <c r="I126" s="2295"/>
      <c r="J126" s="1550"/>
    </row>
    <row r="127" spans="1:10" ht="16.5">
      <c r="A127" s="1584">
        <v>3287</v>
      </c>
      <c r="B127" s="1585" t="s">
        <v>2564</v>
      </c>
      <c r="C127" s="1579" t="s">
        <v>2445</v>
      </c>
      <c r="D127" s="1580"/>
      <c r="E127" s="1580"/>
      <c r="F127" s="1581">
        <f t="shared" si="2"/>
        <v>0</v>
      </c>
      <c r="G127" s="1582" t="e">
        <f t="shared" si="3"/>
        <v>#DIV/0!</v>
      </c>
      <c r="H127" s="2294">
        <v>0.60019999999999996</v>
      </c>
      <c r="I127" s="2295"/>
      <c r="J127" s="1550"/>
    </row>
    <row r="128" spans="1:10" ht="16.5">
      <c r="A128" s="1584">
        <v>3288</v>
      </c>
      <c r="B128" s="1585" t="s">
        <v>2565</v>
      </c>
      <c r="C128" s="1579" t="s">
        <v>2445</v>
      </c>
      <c r="D128" s="1580"/>
      <c r="E128" s="1580"/>
      <c r="F128" s="1581">
        <f t="shared" si="2"/>
        <v>0</v>
      </c>
      <c r="G128" s="1582" t="e">
        <f t="shared" si="3"/>
        <v>#DIV/0!</v>
      </c>
      <c r="H128" s="2294">
        <v>-0.30819999999999997</v>
      </c>
      <c r="I128" s="2295"/>
      <c r="J128" s="1550"/>
    </row>
    <row r="129" spans="1:10" ht="16.5">
      <c r="A129" s="1584">
        <v>3289</v>
      </c>
      <c r="B129" s="1585" t="s">
        <v>2566</v>
      </c>
      <c r="C129" s="1579" t="s">
        <v>2445</v>
      </c>
      <c r="D129" s="1580"/>
      <c r="E129" s="1580"/>
      <c r="F129" s="1581">
        <f t="shared" si="2"/>
        <v>0</v>
      </c>
      <c r="G129" s="1582" t="e">
        <f t="shared" si="3"/>
        <v>#DIV/0!</v>
      </c>
      <c r="H129" s="2294">
        <v>1.7902</v>
      </c>
      <c r="I129" s="2295"/>
      <c r="J129" s="1550"/>
    </row>
    <row r="130" spans="1:10" ht="16.5">
      <c r="A130" s="1584">
        <v>3290</v>
      </c>
      <c r="B130" s="1585" t="s">
        <v>2567</v>
      </c>
      <c r="C130" s="1579" t="s">
        <v>2445</v>
      </c>
      <c r="D130" s="1580"/>
      <c r="E130" s="1580"/>
      <c r="F130" s="1581">
        <f t="shared" si="2"/>
        <v>0</v>
      </c>
      <c r="G130" s="1582" t="e">
        <f t="shared" si="3"/>
        <v>#DIV/0!</v>
      </c>
      <c r="H130" s="2294">
        <v>0.8931</v>
      </c>
      <c r="I130" s="2295"/>
      <c r="J130" s="1550"/>
    </row>
    <row r="131" spans="1:10" ht="16.5">
      <c r="A131" s="1584">
        <v>3293</v>
      </c>
      <c r="B131" s="1585" t="s">
        <v>2568</v>
      </c>
      <c r="C131" s="1579" t="s">
        <v>2445</v>
      </c>
      <c r="D131" s="1580"/>
      <c r="E131" s="1580"/>
      <c r="F131" s="1581">
        <f t="shared" si="2"/>
        <v>0</v>
      </c>
      <c r="G131" s="1582" t="e">
        <f t="shared" si="3"/>
        <v>#DIV/0!</v>
      </c>
      <c r="H131" s="2294">
        <v>1.0521</v>
      </c>
      <c r="I131" s="2295"/>
      <c r="J131" s="1550"/>
    </row>
    <row r="132" spans="1:10" ht="16.5">
      <c r="A132" s="1584">
        <v>3294</v>
      </c>
      <c r="B132" s="1585" t="s">
        <v>2569</v>
      </c>
      <c r="C132" s="1579" t="s">
        <v>2445</v>
      </c>
      <c r="D132" s="1580"/>
      <c r="E132" s="1580"/>
      <c r="F132" s="1581">
        <f t="shared" si="2"/>
        <v>0</v>
      </c>
      <c r="G132" s="1582" t="e">
        <f t="shared" si="3"/>
        <v>#DIV/0!</v>
      </c>
      <c r="H132" s="2294">
        <v>0.71860000000000002</v>
      </c>
      <c r="I132" s="2295"/>
      <c r="J132" s="1550"/>
    </row>
    <row r="133" spans="1:10" ht="16.5">
      <c r="A133" s="1584">
        <v>3297</v>
      </c>
      <c r="B133" s="1585" t="s">
        <v>2570</v>
      </c>
      <c r="C133" s="1579" t="s">
        <v>2445</v>
      </c>
      <c r="D133" s="1580"/>
      <c r="E133" s="1580"/>
      <c r="F133" s="1581">
        <f t="shared" ref="F133:F196" si="4">D133*E133</f>
        <v>0</v>
      </c>
      <c r="G133" s="1582" t="e">
        <f t="shared" ref="G133:G196" si="5">F133/$F$784</f>
        <v>#DIV/0!</v>
      </c>
      <c r="H133" s="2294">
        <v>4.9599999999999998E-2</v>
      </c>
      <c r="I133" s="2295"/>
      <c r="J133" s="1550"/>
    </row>
    <row r="134" spans="1:10" ht="16.5">
      <c r="A134" s="1584">
        <v>3303</v>
      </c>
      <c r="B134" s="1585" t="s">
        <v>2571</v>
      </c>
      <c r="C134" s="1579" t="s">
        <v>2445</v>
      </c>
      <c r="D134" s="1580"/>
      <c r="E134" s="1580"/>
      <c r="F134" s="1581">
        <f t="shared" si="4"/>
        <v>0</v>
      </c>
      <c r="G134" s="1582" t="e">
        <f t="shared" si="5"/>
        <v>#DIV/0!</v>
      </c>
      <c r="H134" s="2294">
        <v>0.4607</v>
      </c>
      <c r="I134" s="2295"/>
      <c r="J134" s="1550"/>
    </row>
    <row r="135" spans="1:10" ht="16.5">
      <c r="A135" s="1584">
        <v>3306</v>
      </c>
      <c r="B135" s="1585" t="s">
        <v>2572</v>
      </c>
      <c r="C135" s="1579" t="s">
        <v>2445</v>
      </c>
      <c r="D135" s="1580"/>
      <c r="E135" s="1580"/>
      <c r="F135" s="1581">
        <f t="shared" si="4"/>
        <v>0</v>
      </c>
      <c r="G135" s="1582" t="e">
        <f t="shared" si="5"/>
        <v>#DIV/0!</v>
      </c>
      <c r="H135" s="2294">
        <v>0.44219999999999998</v>
      </c>
      <c r="I135" s="2295"/>
      <c r="J135" s="1550"/>
    </row>
    <row r="136" spans="1:10" ht="16.5">
      <c r="A136" s="1584">
        <v>3310</v>
      </c>
      <c r="B136" s="1585" t="s">
        <v>2573</v>
      </c>
      <c r="C136" s="1579" t="s">
        <v>2445</v>
      </c>
      <c r="D136" s="1580"/>
      <c r="E136" s="1580"/>
      <c r="F136" s="1581">
        <f t="shared" si="4"/>
        <v>0</v>
      </c>
      <c r="G136" s="1582" t="e">
        <f t="shared" si="5"/>
        <v>#DIV/0!</v>
      </c>
      <c r="H136" s="2294">
        <v>0.2384</v>
      </c>
      <c r="I136" s="2295"/>
      <c r="J136" s="1550"/>
    </row>
    <row r="137" spans="1:10" ht="16.5">
      <c r="A137" s="1584">
        <v>3313</v>
      </c>
      <c r="B137" s="1585" t="s">
        <v>2574</v>
      </c>
      <c r="C137" s="1579" t="s">
        <v>2445</v>
      </c>
      <c r="D137" s="1580"/>
      <c r="E137" s="1580"/>
      <c r="F137" s="1581">
        <f t="shared" si="4"/>
        <v>0</v>
      </c>
      <c r="G137" s="1582" t="e">
        <f t="shared" si="5"/>
        <v>#DIV/0!</v>
      </c>
      <c r="H137" s="2294">
        <v>0.48060000000000003</v>
      </c>
      <c r="I137" s="2295"/>
      <c r="J137" s="1550"/>
    </row>
    <row r="138" spans="1:10" ht="16.5">
      <c r="A138" s="1584">
        <v>3317</v>
      </c>
      <c r="B138" s="1585" t="s">
        <v>2575</v>
      </c>
      <c r="C138" s="1579" t="s">
        <v>2445</v>
      </c>
      <c r="D138" s="1580"/>
      <c r="E138" s="1580"/>
      <c r="F138" s="1581">
        <f t="shared" si="4"/>
        <v>0</v>
      </c>
      <c r="G138" s="1582" t="e">
        <f t="shared" si="5"/>
        <v>#DIV/0!</v>
      </c>
      <c r="H138" s="2294">
        <v>1.8426</v>
      </c>
      <c r="I138" s="2295"/>
      <c r="J138" s="1550"/>
    </row>
    <row r="139" spans="1:10" ht="16.5">
      <c r="A139" s="1584">
        <v>3322</v>
      </c>
      <c r="B139" s="1585" t="s">
        <v>2576</v>
      </c>
      <c r="C139" s="1579" t="s">
        <v>2445</v>
      </c>
      <c r="D139" s="1580"/>
      <c r="E139" s="1580"/>
      <c r="F139" s="1581">
        <f t="shared" si="4"/>
        <v>0</v>
      </c>
      <c r="G139" s="1582" t="e">
        <f t="shared" si="5"/>
        <v>#DIV/0!</v>
      </c>
      <c r="H139" s="2294">
        <v>1.0691999999999999</v>
      </c>
      <c r="I139" s="2295"/>
      <c r="J139" s="1550"/>
    </row>
    <row r="140" spans="1:10" ht="16.5">
      <c r="A140" s="1584">
        <v>3323</v>
      </c>
      <c r="B140" s="1585" t="s">
        <v>2577</v>
      </c>
      <c r="C140" s="1579" t="s">
        <v>2445</v>
      </c>
      <c r="D140" s="1580"/>
      <c r="E140" s="1580"/>
      <c r="F140" s="1581">
        <f t="shared" si="4"/>
        <v>0</v>
      </c>
      <c r="G140" s="1582" t="e">
        <f t="shared" si="5"/>
        <v>#DIV/0!</v>
      </c>
      <c r="H140" s="2294">
        <v>1.0562</v>
      </c>
      <c r="I140" s="2295"/>
      <c r="J140" s="1550"/>
    </row>
    <row r="141" spans="1:10" ht="16.5">
      <c r="A141" s="1584">
        <v>3324</v>
      </c>
      <c r="B141" s="1585" t="s">
        <v>2578</v>
      </c>
      <c r="C141" s="1579" t="s">
        <v>2445</v>
      </c>
      <c r="D141" s="1580"/>
      <c r="E141" s="1580"/>
      <c r="F141" s="1581">
        <f t="shared" si="4"/>
        <v>0</v>
      </c>
      <c r="G141" s="1582" t="e">
        <f t="shared" si="5"/>
        <v>#DIV/0!</v>
      </c>
      <c r="H141" s="2294">
        <v>2.1600999999999999</v>
      </c>
      <c r="I141" s="2295"/>
      <c r="J141" s="1550"/>
    </row>
    <row r="142" spans="1:10" ht="16.5">
      <c r="A142" s="1584">
        <v>3325</v>
      </c>
      <c r="B142" s="1585" t="s">
        <v>2579</v>
      </c>
      <c r="C142" s="1579" t="s">
        <v>2445</v>
      </c>
      <c r="D142" s="1580"/>
      <c r="E142" s="1580"/>
      <c r="F142" s="1581">
        <f t="shared" si="4"/>
        <v>0</v>
      </c>
      <c r="G142" s="1582" t="e">
        <f t="shared" si="5"/>
        <v>#DIV/0!</v>
      </c>
      <c r="H142" s="2294">
        <v>0.70909999999999995</v>
      </c>
      <c r="I142" s="2295"/>
      <c r="J142" s="1550"/>
    </row>
    <row r="143" spans="1:10" ht="16.5">
      <c r="A143" s="1584">
        <v>3332</v>
      </c>
      <c r="B143" s="1585" t="s">
        <v>2580</v>
      </c>
      <c r="C143" s="1579" t="s">
        <v>2445</v>
      </c>
      <c r="D143" s="1580"/>
      <c r="E143" s="1580"/>
      <c r="F143" s="1581">
        <f t="shared" si="4"/>
        <v>0</v>
      </c>
      <c r="G143" s="1582" t="e">
        <f t="shared" si="5"/>
        <v>#DIV/0!</v>
      </c>
      <c r="H143" s="2294">
        <v>-3.5000000000000003E-2</v>
      </c>
      <c r="I143" s="2295"/>
      <c r="J143" s="1550"/>
    </row>
    <row r="144" spans="1:10" ht="16.5">
      <c r="A144" s="1584">
        <v>3339</v>
      </c>
      <c r="B144" s="1585" t="s">
        <v>2581</v>
      </c>
      <c r="C144" s="1579" t="s">
        <v>2445</v>
      </c>
      <c r="D144" s="1580"/>
      <c r="E144" s="1580"/>
      <c r="F144" s="1581">
        <f t="shared" si="4"/>
        <v>0</v>
      </c>
      <c r="G144" s="1582" t="e">
        <f t="shared" si="5"/>
        <v>#DIV/0!</v>
      </c>
      <c r="H144" s="2294">
        <v>0.38329999999999997</v>
      </c>
      <c r="I144" s="2295"/>
      <c r="J144" s="1550"/>
    </row>
    <row r="145" spans="1:10" ht="16.5">
      <c r="A145" s="1584">
        <v>3354</v>
      </c>
      <c r="B145" s="1585" t="s">
        <v>2582</v>
      </c>
      <c r="C145" s="1579" t="s">
        <v>2445</v>
      </c>
      <c r="D145" s="1580"/>
      <c r="E145" s="1580"/>
      <c r="F145" s="1581">
        <f t="shared" si="4"/>
        <v>0</v>
      </c>
      <c r="G145" s="1582" t="e">
        <f t="shared" si="5"/>
        <v>#DIV/0!</v>
      </c>
      <c r="H145" s="2294">
        <v>0.92469999999999997</v>
      </c>
      <c r="I145" s="2295"/>
      <c r="J145" s="1550"/>
    </row>
    <row r="146" spans="1:10" ht="16.5">
      <c r="A146" s="1584">
        <v>3360</v>
      </c>
      <c r="B146" s="1585" t="s">
        <v>2583</v>
      </c>
      <c r="C146" s="1579" t="s">
        <v>2445</v>
      </c>
      <c r="D146" s="1580"/>
      <c r="E146" s="1580"/>
      <c r="F146" s="1581">
        <f t="shared" si="4"/>
        <v>0</v>
      </c>
      <c r="G146" s="1582" t="e">
        <f t="shared" si="5"/>
        <v>#DIV/0!</v>
      </c>
      <c r="H146" s="2294">
        <v>1.4357</v>
      </c>
      <c r="I146" s="2295"/>
      <c r="J146" s="1550"/>
    </row>
    <row r="147" spans="1:10" ht="16.5">
      <c r="A147" s="1584">
        <v>3362</v>
      </c>
      <c r="B147" s="1585" t="s">
        <v>2584</v>
      </c>
      <c r="C147" s="1579" t="s">
        <v>2445</v>
      </c>
      <c r="D147" s="1580"/>
      <c r="E147" s="1580"/>
      <c r="F147" s="1581">
        <f t="shared" si="4"/>
        <v>0</v>
      </c>
      <c r="G147" s="1582" t="e">
        <f t="shared" si="5"/>
        <v>#DIV/0!</v>
      </c>
      <c r="H147" s="2294">
        <v>1.4374</v>
      </c>
      <c r="I147" s="2295"/>
      <c r="J147" s="1550"/>
    </row>
    <row r="148" spans="1:10" ht="16.5">
      <c r="A148" s="1584">
        <v>3363</v>
      </c>
      <c r="B148" s="1585" t="s">
        <v>2585</v>
      </c>
      <c r="C148" s="1579" t="s">
        <v>2445</v>
      </c>
      <c r="D148" s="1580"/>
      <c r="E148" s="1580"/>
      <c r="F148" s="1581">
        <f t="shared" si="4"/>
        <v>0</v>
      </c>
      <c r="G148" s="1582" t="e">
        <f t="shared" si="5"/>
        <v>#DIV/0!</v>
      </c>
      <c r="H148" s="2294">
        <v>1.343</v>
      </c>
      <c r="I148" s="2295"/>
      <c r="J148" s="1550"/>
    </row>
    <row r="149" spans="1:10" ht="16.5">
      <c r="A149" s="1584">
        <v>3372</v>
      </c>
      <c r="B149" s="1585" t="s">
        <v>2586</v>
      </c>
      <c r="C149" s="1579" t="s">
        <v>2445</v>
      </c>
      <c r="D149" s="1580"/>
      <c r="E149" s="1580"/>
      <c r="F149" s="1581">
        <f t="shared" si="4"/>
        <v>0</v>
      </c>
      <c r="G149" s="1582" t="e">
        <f t="shared" si="5"/>
        <v>#DIV/0!</v>
      </c>
      <c r="H149" s="2294">
        <v>-0.20469999999999999</v>
      </c>
      <c r="I149" s="2295"/>
      <c r="J149" s="1550"/>
    </row>
    <row r="150" spans="1:10" ht="16.5">
      <c r="A150" s="1584">
        <v>3373</v>
      </c>
      <c r="B150" s="1585" t="s">
        <v>2587</v>
      </c>
      <c r="C150" s="1579" t="s">
        <v>2445</v>
      </c>
      <c r="D150" s="1580"/>
      <c r="E150" s="1580"/>
      <c r="F150" s="1581">
        <f t="shared" si="4"/>
        <v>0</v>
      </c>
      <c r="G150" s="1582" t="e">
        <f t="shared" si="5"/>
        <v>#DIV/0!</v>
      </c>
      <c r="H150" s="2294">
        <v>9.7600000000000006E-2</v>
      </c>
      <c r="I150" s="2295"/>
      <c r="J150" s="1550"/>
    </row>
    <row r="151" spans="1:10" ht="16.5">
      <c r="A151" s="1584">
        <v>3374</v>
      </c>
      <c r="B151" s="1585" t="s">
        <v>2588</v>
      </c>
      <c r="C151" s="1579" t="s">
        <v>2445</v>
      </c>
      <c r="D151" s="1580"/>
      <c r="E151" s="1580"/>
      <c r="F151" s="1581">
        <f t="shared" si="4"/>
        <v>0</v>
      </c>
      <c r="G151" s="1582" t="e">
        <f t="shared" si="5"/>
        <v>#DIV/0!</v>
      </c>
      <c r="H151" s="2294">
        <v>2.1686000000000001</v>
      </c>
      <c r="I151" s="2295"/>
      <c r="J151" s="1550"/>
    </row>
    <row r="152" spans="1:10" ht="16.5">
      <c r="A152" s="1584">
        <v>3379</v>
      </c>
      <c r="B152" s="1585" t="s">
        <v>2589</v>
      </c>
      <c r="C152" s="1579" t="s">
        <v>2445</v>
      </c>
      <c r="D152" s="1580"/>
      <c r="E152" s="1580"/>
      <c r="F152" s="1581">
        <f t="shared" si="4"/>
        <v>0</v>
      </c>
      <c r="G152" s="1582" t="e">
        <f t="shared" si="5"/>
        <v>#DIV/0!</v>
      </c>
      <c r="H152" s="2294">
        <v>0.499</v>
      </c>
      <c r="I152" s="2295"/>
      <c r="J152" s="1550"/>
    </row>
    <row r="153" spans="1:10" ht="16.5">
      <c r="A153" s="1584">
        <v>3388</v>
      </c>
      <c r="B153" s="1585" t="s">
        <v>2590</v>
      </c>
      <c r="C153" s="1579" t="s">
        <v>2445</v>
      </c>
      <c r="D153" s="1580"/>
      <c r="E153" s="1580"/>
      <c r="F153" s="1581">
        <f t="shared" si="4"/>
        <v>0</v>
      </c>
      <c r="G153" s="1582" t="e">
        <f t="shared" si="5"/>
        <v>#DIV/0!</v>
      </c>
      <c r="H153" s="2294">
        <v>0.3604</v>
      </c>
      <c r="I153" s="2295"/>
      <c r="J153" s="1550"/>
    </row>
    <row r="154" spans="1:10" ht="16.5">
      <c r="A154" s="1584">
        <v>3390</v>
      </c>
      <c r="B154" s="1585" t="s">
        <v>2591</v>
      </c>
      <c r="C154" s="1579" t="s">
        <v>2445</v>
      </c>
      <c r="D154" s="1580"/>
      <c r="E154" s="1580"/>
      <c r="F154" s="1581">
        <f t="shared" si="4"/>
        <v>0</v>
      </c>
      <c r="G154" s="1582" t="e">
        <f t="shared" si="5"/>
        <v>#DIV/0!</v>
      </c>
      <c r="H154" s="2294">
        <v>0.73519999999999996</v>
      </c>
      <c r="I154" s="2295"/>
      <c r="J154" s="1550"/>
    </row>
    <row r="155" spans="1:10" ht="16.5">
      <c r="A155" s="1584">
        <v>3402</v>
      </c>
      <c r="B155" s="1585" t="s">
        <v>2592</v>
      </c>
      <c r="C155" s="1579" t="s">
        <v>2445</v>
      </c>
      <c r="D155" s="1580"/>
      <c r="E155" s="1580"/>
      <c r="F155" s="1581">
        <f t="shared" si="4"/>
        <v>0</v>
      </c>
      <c r="G155" s="1582" t="e">
        <f t="shared" si="5"/>
        <v>#DIV/0!</v>
      </c>
      <c r="H155" s="2294">
        <v>0.50819999999999999</v>
      </c>
      <c r="I155" s="2295"/>
      <c r="J155" s="1550"/>
    </row>
    <row r="156" spans="1:10" ht="16.5">
      <c r="A156" s="1584">
        <v>3426</v>
      </c>
      <c r="B156" s="1585" t="s">
        <v>2593</v>
      </c>
      <c r="C156" s="1579" t="s">
        <v>2445</v>
      </c>
      <c r="D156" s="1580"/>
      <c r="E156" s="1580"/>
      <c r="F156" s="1581">
        <f t="shared" si="4"/>
        <v>0</v>
      </c>
      <c r="G156" s="1582" t="e">
        <f t="shared" si="5"/>
        <v>#DIV/0!</v>
      </c>
      <c r="H156" s="2294">
        <v>0.2082</v>
      </c>
      <c r="I156" s="2295"/>
      <c r="J156" s="1550"/>
    </row>
    <row r="157" spans="1:10" ht="16.5">
      <c r="A157" s="1584">
        <v>3434</v>
      </c>
      <c r="B157" s="1585" t="s">
        <v>2594</v>
      </c>
      <c r="C157" s="1579" t="s">
        <v>2445</v>
      </c>
      <c r="D157" s="1580"/>
      <c r="E157" s="1580"/>
      <c r="F157" s="1581">
        <f t="shared" si="4"/>
        <v>0</v>
      </c>
      <c r="G157" s="1582" t="e">
        <f t="shared" si="5"/>
        <v>#DIV/0!</v>
      </c>
      <c r="H157" s="2294">
        <v>0.12089999999999999</v>
      </c>
      <c r="I157" s="2295"/>
      <c r="J157" s="1550"/>
    </row>
    <row r="158" spans="1:10" ht="16.5">
      <c r="A158" s="1584">
        <v>3438</v>
      </c>
      <c r="B158" s="1585" t="s">
        <v>2595</v>
      </c>
      <c r="C158" s="1579" t="s">
        <v>2445</v>
      </c>
      <c r="D158" s="1580"/>
      <c r="E158" s="1580"/>
      <c r="F158" s="1581">
        <f t="shared" si="4"/>
        <v>0</v>
      </c>
      <c r="G158" s="1582" t="e">
        <f t="shared" si="5"/>
        <v>#DIV/0!</v>
      </c>
      <c r="H158" s="2294">
        <v>0.91200000000000003</v>
      </c>
      <c r="I158" s="2295"/>
      <c r="J158" s="1550"/>
    </row>
    <row r="159" spans="1:10" ht="16.5">
      <c r="A159" s="1584">
        <v>3441</v>
      </c>
      <c r="B159" s="1585" t="s">
        <v>2596</v>
      </c>
      <c r="C159" s="1579" t="s">
        <v>2445</v>
      </c>
      <c r="D159" s="1580"/>
      <c r="E159" s="1580"/>
      <c r="F159" s="1581">
        <f t="shared" si="4"/>
        <v>0</v>
      </c>
      <c r="G159" s="1582" t="e">
        <f t="shared" si="5"/>
        <v>#DIV/0!</v>
      </c>
      <c r="H159" s="2294">
        <v>1.5984</v>
      </c>
      <c r="I159" s="2295"/>
      <c r="J159" s="1550"/>
    </row>
    <row r="160" spans="1:10" ht="16.5">
      <c r="A160" s="1584">
        <v>3444</v>
      </c>
      <c r="B160" s="1585" t="s">
        <v>2597</v>
      </c>
      <c r="C160" s="1579" t="s">
        <v>2445</v>
      </c>
      <c r="D160" s="1580"/>
      <c r="E160" s="1580"/>
      <c r="F160" s="1581">
        <f t="shared" si="4"/>
        <v>0</v>
      </c>
      <c r="G160" s="1582" t="e">
        <f t="shared" si="5"/>
        <v>#DIV/0!</v>
      </c>
      <c r="H160" s="2294">
        <v>0.52539999999999998</v>
      </c>
      <c r="I160" s="2295"/>
      <c r="J160" s="1550"/>
    </row>
    <row r="161" spans="1:10" ht="16.5">
      <c r="A161" s="1584">
        <v>3455</v>
      </c>
      <c r="B161" s="1585" t="s">
        <v>2598</v>
      </c>
      <c r="C161" s="1579" t="s">
        <v>2445</v>
      </c>
      <c r="D161" s="1580"/>
      <c r="E161" s="1580"/>
      <c r="F161" s="1581">
        <f t="shared" si="4"/>
        <v>0</v>
      </c>
      <c r="G161" s="1582" t="e">
        <f t="shared" si="5"/>
        <v>#DIV/0!</v>
      </c>
      <c r="H161" s="2294">
        <v>1.1456</v>
      </c>
      <c r="I161" s="2295"/>
      <c r="J161" s="1550"/>
    </row>
    <row r="162" spans="1:10" ht="16.5">
      <c r="A162" s="1584">
        <v>3465</v>
      </c>
      <c r="B162" s="1585" t="s">
        <v>2599</v>
      </c>
      <c r="C162" s="1579" t="s">
        <v>2445</v>
      </c>
      <c r="D162" s="1580"/>
      <c r="E162" s="1580"/>
      <c r="F162" s="1581">
        <f t="shared" si="4"/>
        <v>0</v>
      </c>
      <c r="G162" s="1582" t="e">
        <f t="shared" si="5"/>
        <v>#DIV/0!</v>
      </c>
      <c r="H162" s="2294">
        <v>0.72430000000000005</v>
      </c>
      <c r="I162" s="2295"/>
      <c r="J162" s="1550"/>
    </row>
    <row r="163" spans="1:10" ht="16.5">
      <c r="A163" s="1584">
        <v>3466</v>
      </c>
      <c r="B163" s="1585" t="s">
        <v>2600</v>
      </c>
      <c r="C163" s="1579" t="s">
        <v>2445</v>
      </c>
      <c r="D163" s="1580"/>
      <c r="E163" s="1580"/>
      <c r="F163" s="1581">
        <f t="shared" si="4"/>
        <v>0</v>
      </c>
      <c r="G163" s="1582" t="e">
        <f t="shared" si="5"/>
        <v>#DIV/0!</v>
      </c>
      <c r="H163" s="2294">
        <v>1.2228000000000001</v>
      </c>
      <c r="I163" s="2295"/>
      <c r="J163" s="1550"/>
    </row>
    <row r="164" spans="1:10" ht="16.5">
      <c r="A164" s="1584">
        <v>3479</v>
      </c>
      <c r="B164" s="1585" t="s">
        <v>2601</v>
      </c>
      <c r="C164" s="1579" t="s">
        <v>2445</v>
      </c>
      <c r="D164" s="1580"/>
      <c r="E164" s="1580"/>
      <c r="F164" s="1581">
        <f t="shared" si="4"/>
        <v>0</v>
      </c>
      <c r="G164" s="1582" t="e">
        <f t="shared" si="5"/>
        <v>#DIV/0!</v>
      </c>
      <c r="H164" s="2294">
        <v>0.86129999999999995</v>
      </c>
      <c r="I164" s="2295"/>
      <c r="J164" s="1550"/>
    </row>
    <row r="165" spans="1:10" ht="16.5">
      <c r="A165" s="1584">
        <v>3483</v>
      </c>
      <c r="B165" s="1585" t="s">
        <v>2602</v>
      </c>
      <c r="C165" s="1579" t="s">
        <v>2445</v>
      </c>
      <c r="D165" s="1580"/>
      <c r="E165" s="1580"/>
      <c r="F165" s="1581">
        <f t="shared" si="4"/>
        <v>0</v>
      </c>
      <c r="G165" s="1582" t="e">
        <f t="shared" si="5"/>
        <v>#DIV/0!</v>
      </c>
      <c r="H165" s="2294">
        <v>2.5750999999999999</v>
      </c>
      <c r="I165" s="2295"/>
      <c r="J165" s="1550"/>
    </row>
    <row r="166" spans="1:10" ht="16.5">
      <c r="A166" s="1584">
        <v>3484</v>
      </c>
      <c r="B166" s="1585" t="s">
        <v>2603</v>
      </c>
      <c r="C166" s="1579" t="s">
        <v>2445</v>
      </c>
      <c r="D166" s="1580"/>
      <c r="E166" s="1580"/>
      <c r="F166" s="1581">
        <f t="shared" si="4"/>
        <v>0</v>
      </c>
      <c r="G166" s="1582" t="e">
        <f t="shared" si="5"/>
        <v>#DIV/0!</v>
      </c>
      <c r="H166" s="2294">
        <v>0.56810000000000005</v>
      </c>
      <c r="I166" s="2295"/>
      <c r="J166" s="1550"/>
    </row>
    <row r="167" spans="1:10" ht="16.5">
      <c r="A167" s="1584">
        <v>3489</v>
      </c>
      <c r="B167" s="1585" t="s">
        <v>2604</v>
      </c>
      <c r="C167" s="1579" t="s">
        <v>2445</v>
      </c>
      <c r="D167" s="1580"/>
      <c r="E167" s="1580"/>
      <c r="F167" s="1581">
        <f t="shared" si="4"/>
        <v>0</v>
      </c>
      <c r="G167" s="1582" t="e">
        <f t="shared" si="5"/>
        <v>#DIV/0!</v>
      </c>
      <c r="H167" s="2294">
        <v>0.2611</v>
      </c>
      <c r="I167" s="2295"/>
      <c r="J167" s="1550"/>
    </row>
    <row r="168" spans="1:10" ht="16.5">
      <c r="A168" s="1584">
        <v>3490</v>
      </c>
      <c r="B168" s="1585" t="s">
        <v>2605</v>
      </c>
      <c r="C168" s="1579" t="s">
        <v>2445</v>
      </c>
      <c r="D168" s="1580"/>
      <c r="E168" s="1580"/>
      <c r="F168" s="1581">
        <f t="shared" si="4"/>
        <v>0</v>
      </c>
      <c r="G168" s="1582" t="e">
        <f t="shared" si="5"/>
        <v>#DIV/0!</v>
      </c>
      <c r="H168" s="2294">
        <v>1.1516</v>
      </c>
      <c r="I168" s="2295"/>
      <c r="J168" s="1550"/>
    </row>
    <row r="169" spans="1:10" ht="16.5">
      <c r="A169" s="1584">
        <v>3491</v>
      </c>
      <c r="B169" s="1585" t="s">
        <v>2606</v>
      </c>
      <c r="C169" s="1579" t="s">
        <v>2445</v>
      </c>
      <c r="D169" s="1580"/>
      <c r="E169" s="1580"/>
      <c r="F169" s="1581">
        <f t="shared" si="4"/>
        <v>0</v>
      </c>
      <c r="G169" s="1582" t="e">
        <f t="shared" si="5"/>
        <v>#DIV/0!</v>
      </c>
      <c r="H169" s="2294">
        <v>1.4813000000000001</v>
      </c>
      <c r="I169" s="2295"/>
      <c r="J169" s="1550"/>
    </row>
    <row r="170" spans="1:10" ht="16.5">
      <c r="A170" s="1584">
        <v>3492</v>
      </c>
      <c r="B170" s="1585" t="s">
        <v>2607</v>
      </c>
      <c r="C170" s="1579" t="s">
        <v>2445</v>
      </c>
      <c r="D170" s="1580"/>
      <c r="E170" s="1580"/>
      <c r="F170" s="1581">
        <f t="shared" si="4"/>
        <v>0</v>
      </c>
      <c r="G170" s="1582" t="e">
        <f t="shared" si="5"/>
        <v>#DIV/0!</v>
      </c>
      <c r="H170" s="2294">
        <v>0.90559999999999996</v>
      </c>
      <c r="I170" s="2295"/>
      <c r="J170" s="1550"/>
    </row>
    <row r="171" spans="1:10" ht="16.5">
      <c r="A171" s="1584">
        <v>3498</v>
      </c>
      <c r="B171" s="1585" t="s">
        <v>2608</v>
      </c>
      <c r="C171" s="1579" t="s">
        <v>2445</v>
      </c>
      <c r="D171" s="1580"/>
      <c r="E171" s="1580"/>
      <c r="F171" s="1581">
        <f t="shared" si="4"/>
        <v>0</v>
      </c>
      <c r="G171" s="1582" t="e">
        <f t="shared" si="5"/>
        <v>#DIV/0!</v>
      </c>
      <c r="H171" s="2294">
        <v>0.73899999999999999</v>
      </c>
      <c r="I171" s="2295"/>
      <c r="J171" s="1550"/>
    </row>
    <row r="172" spans="1:10" ht="16.5">
      <c r="A172" s="1584">
        <v>3499</v>
      </c>
      <c r="B172" s="1585" t="s">
        <v>2609</v>
      </c>
      <c r="C172" s="1579" t="s">
        <v>2445</v>
      </c>
      <c r="D172" s="1580"/>
      <c r="E172" s="1580"/>
      <c r="F172" s="1581">
        <f t="shared" si="4"/>
        <v>0</v>
      </c>
      <c r="G172" s="1582" t="e">
        <f t="shared" si="5"/>
        <v>#DIV/0!</v>
      </c>
      <c r="H172" s="2294">
        <v>0.6452</v>
      </c>
      <c r="I172" s="2295"/>
      <c r="J172" s="1550"/>
    </row>
    <row r="173" spans="1:10" ht="16.5">
      <c r="A173" s="1584">
        <v>3508</v>
      </c>
      <c r="B173" s="1585" t="s">
        <v>2610</v>
      </c>
      <c r="C173" s="1579" t="s">
        <v>2445</v>
      </c>
      <c r="D173" s="1580"/>
      <c r="E173" s="1580"/>
      <c r="F173" s="1581">
        <f t="shared" si="4"/>
        <v>0</v>
      </c>
      <c r="G173" s="1582" t="e">
        <f t="shared" si="5"/>
        <v>#DIV/0!</v>
      </c>
      <c r="H173" s="2294">
        <v>1.3676999999999999</v>
      </c>
      <c r="I173" s="2295"/>
      <c r="J173" s="1550"/>
    </row>
    <row r="174" spans="1:10" ht="16.5">
      <c r="A174" s="1584">
        <v>3511</v>
      </c>
      <c r="B174" s="1585" t="s">
        <v>2611</v>
      </c>
      <c r="C174" s="1579" t="s">
        <v>2445</v>
      </c>
      <c r="D174" s="1580"/>
      <c r="E174" s="1580"/>
      <c r="F174" s="1581">
        <f t="shared" si="4"/>
        <v>0</v>
      </c>
      <c r="G174" s="1582" t="e">
        <f t="shared" si="5"/>
        <v>#DIV/0!</v>
      </c>
      <c r="H174" s="2294">
        <v>1.649</v>
      </c>
      <c r="I174" s="2295"/>
      <c r="J174" s="1550"/>
    </row>
    <row r="175" spans="1:10" ht="16.5">
      <c r="A175" s="1584">
        <v>3512</v>
      </c>
      <c r="B175" s="1585" t="s">
        <v>2612</v>
      </c>
      <c r="C175" s="1579" t="s">
        <v>2445</v>
      </c>
      <c r="D175" s="1580"/>
      <c r="E175" s="1580"/>
      <c r="F175" s="1581">
        <f t="shared" si="4"/>
        <v>0</v>
      </c>
      <c r="G175" s="1582" t="e">
        <f t="shared" si="5"/>
        <v>#DIV/0!</v>
      </c>
      <c r="H175" s="2294">
        <v>5.4699999999999999E-2</v>
      </c>
      <c r="I175" s="2295"/>
      <c r="J175" s="1550"/>
    </row>
    <row r="176" spans="1:10" ht="16.5">
      <c r="A176" s="1584">
        <v>3516</v>
      </c>
      <c r="B176" s="1585" t="s">
        <v>2613</v>
      </c>
      <c r="C176" s="1579" t="s">
        <v>2445</v>
      </c>
      <c r="D176" s="1580"/>
      <c r="E176" s="1580"/>
      <c r="F176" s="1581">
        <f t="shared" si="4"/>
        <v>0</v>
      </c>
      <c r="G176" s="1582" t="e">
        <f t="shared" si="5"/>
        <v>#DIV/0!</v>
      </c>
      <c r="H176" s="2294">
        <v>0.38159999999999999</v>
      </c>
      <c r="I176" s="2295"/>
      <c r="J176" s="1550"/>
    </row>
    <row r="177" spans="1:10" ht="16.5">
      <c r="A177" s="1584">
        <v>3520</v>
      </c>
      <c r="B177" s="1585" t="s">
        <v>2614</v>
      </c>
      <c r="C177" s="1579" t="s">
        <v>2445</v>
      </c>
      <c r="D177" s="1580"/>
      <c r="E177" s="1580"/>
      <c r="F177" s="1581">
        <f t="shared" si="4"/>
        <v>0</v>
      </c>
      <c r="G177" s="1582" t="e">
        <f t="shared" si="5"/>
        <v>#DIV/0!</v>
      </c>
      <c r="H177" s="2294">
        <v>1.1950000000000001</v>
      </c>
      <c r="I177" s="2295"/>
      <c r="J177" s="1550"/>
    </row>
    <row r="178" spans="1:10" ht="16.5">
      <c r="A178" s="1584">
        <v>3521</v>
      </c>
      <c r="B178" s="1585" t="s">
        <v>2615</v>
      </c>
      <c r="C178" s="1579" t="s">
        <v>2445</v>
      </c>
      <c r="D178" s="1580"/>
      <c r="E178" s="1580"/>
      <c r="F178" s="1581">
        <f t="shared" si="4"/>
        <v>0</v>
      </c>
      <c r="G178" s="1582" t="e">
        <f t="shared" si="5"/>
        <v>#DIV/0!</v>
      </c>
      <c r="H178" s="2294">
        <v>0.56440000000000001</v>
      </c>
      <c r="I178" s="2295"/>
      <c r="J178" s="1550"/>
    </row>
    <row r="179" spans="1:10" ht="16.5">
      <c r="A179" s="1584">
        <v>3522</v>
      </c>
      <c r="B179" s="1585" t="s">
        <v>2616</v>
      </c>
      <c r="C179" s="1579" t="s">
        <v>2445</v>
      </c>
      <c r="D179" s="1580"/>
      <c r="E179" s="1580"/>
      <c r="F179" s="1581">
        <f t="shared" si="4"/>
        <v>0</v>
      </c>
      <c r="G179" s="1582" t="e">
        <f t="shared" si="5"/>
        <v>#DIV/0!</v>
      </c>
      <c r="H179" s="2294">
        <v>0.25290000000000001</v>
      </c>
      <c r="I179" s="2295"/>
      <c r="J179" s="1550"/>
    </row>
    <row r="180" spans="1:10" ht="16.5">
      <c r="A180" s="1584">
        <v>3523</v>
      </c>
      <c r="B180" s="1585" t="s">
        <v>2617</v>
      </c>
      <c r="C180" s="1579" t="s">
        <v>2445</v>
      </c>
      <c r="D180" s="1580"/>
      <c r="E180" s="1580"/>
      <c r="F180" s="1581">
        <f t="shared" si="4"/>
        <v>0</v>
      </c>
      <c r="G180" s="1582" t="e">
        <f t="shared" si="5"/>
        <v>#DIV/0!</v>
      </c>
      <c r="H180" s="2294">
        <v>-0.17349999999999999</v>
      </c>
      <c r="I180" s="2295"/>
      <c r="J180" s="1550"/>
    </row>
    <row r="181" spans="1:10" ht="16.5">
      <c r="A181" s="1584">
        <v>3526</v>
      </c>
      <c r="B181" s="1585" t="s">
        <v>2618</v>
      </c>
      <c r="C181" s="1579" t="s">
        <v>2445</v>
      </c>
      <c r="D181" s="1580"/>
      <c r="E181" s="1580"/>
      <c r="F181" s="1581">
        <f t="shared" si="4"/>
        <v>0</v>
      </c>
      <c r="G181" s="1582" t="e">
        <f t="shared" si="5"/>
        <v>#DIV/0!</v>
      </c>
      <c r="H181" s="2294">
        <v>0.94699999999999995</v>
      </c>
      <c r="I181" s="2295"/>
      <c r="J181" s="1550"/>
    </row>
    <row r="182" spans="1:10" ht="16.5">
      <c r="A182" s="1584">
        <v>3527</v>
      </c>
      <c r="B182" s="1585" t="s">
        <v>2619</v>
      </c>
      <c r="C182" s="1579" t="s">
        <v>2445</v>
      </c>
      <c r="D182" s="1580"/>
      <c r="E182" s="1580"/>
      <c r="F182" s="1581">
        <f t="shared" si="4"/>
        <v>0</v>
      </c>
      <c r="G182" s="1582" t="e">
        <f t="shared" si="5"/>
        <v>#DIV/0!</v>
      </c>
      <c r="H182" s="2294">
        <v>1.962</v>
      </c>
      <c r="I182" s="2295"/>
      <c r="J182" s="1550"/>
    </row>
    <row r="183" spans="1:10" ht="16.5">
      <c r="A183" s="1584">
        <v>3529</v>
      </c>
      <c r="B183" s="1585" t="s">
        <v>2620</v>
      </c>
      <c r="C183" s="1579" t="s">
        <v>2445</v>
      </c>
      <c r="D183" s="1580"/>
      <c r="E183" s="1580"/>
      <c r="F183" s="1581">
        <f t="shared" si="4"/>
        <v>0</v>
      </c>
      <c r="G183" s="1582" t="e">
        <f t="shared" si="5"/>
        <v>#DIV/0!</v>
      </c>
      <c r="H183" s="2294">
        <v>1.1216999999999999</v>
      </c>
      <c r="I183" s="2295"/>
      <c r="J183" s="1550"/>
    </row>
    <row r="184" spans="1:10" ht="16.5">
      <c r="A184" s="1584">
        <v>3531</v>
      </c>
      <c r="B184" s="1585" t="s">
        <v>2621</v>
      </c>
      <c r="C184" s="1579" t="s">
        <v>2445</v>
      </c>
      <c r="D184" s="1580"/>
      <c r="E184" s="1580"/>
      <c r="F184" s="1581">
        <f t="shared" si="4"/>
        <v>0</v>
      </c>
      <c r="G184" s="1582" t="e">
        <f t="shared" si="5"/>
        <v>#DIV/0!</v>
      </c>
      <c r="H184" s="2294">
        <v>6.2600000000000003E-2</v>
      </c>
      <c r="I184" s="2295"/>
      <c r="J184" s="1550"/>
    </row>
    <row r="185" spans="1:10" ht="16.5">
      <c r="A185" s="1584">
        <v>3537</v>
      </c>
      <c r="B185" s="1585" t="s">
        <v>2622</v>
      </c>
      <c r="C185" s="1579" t="s">
        <v>2445</v>
      </c>
      <c r="D185" s="1580"/>
      <c r="E185" s="1580"/>
      <c r="F185" s="1581">
        <f t="shared" si="4"/>
        <v>0</v>
      </c>
      <c r="G185" s="1582" t="e">
        <f t="shared" si="5"/>
        <v>#DIV/0!</v>
      </c>
      <c r="H185" s="2294">
        <v>0.68369999999999997</v>
      </c>
      <c r="I185" s="2295"/>
      <c r="J185" s="1550"/>
    </row>
    <row r="186" spans="1:10" ht="16.5">
      <c r="A186" s="1584">
        <v>3540</v>
      </c>
      <c r="B186" s="1585" t="s">
        <v>2623</v>
      </c>
      <c r="C186" s="1579" t="s">
        <v>2445</v>
      </c>
      <c r="D186" s="1580"/>
      <c r="E186" s="1580"/>
      <c r="F186" s="1581">
        <f t="shared" si="4"/>
        <v>0</v>
      </c>
      <c r="G186" s="1582" t="e">
        <f t="shared" si="5"/>
        <v>#DIV/0!</v>
      </c>
      <c r="H186" s="2294">
        <v>1.3827</v>
      </c>
      <c r="I186" s="2295"/>
      <c r="J186" s="1550"/>
    </row>
    <row r="187" spans="1:10" ht="16.5">
      <c r="A187" s="1584">
        <v>3541</v>
      </c>
      <c r="B187" s="1585" t="s">
        <v>2624</v>
      </c>
      <c r="C187" s="1579" t="s">
        <v>2445</v>
      </c>
      <c r="D187" s="1580"/>
      <c r="E187" s="1580"/>
      <c r="F187" s="1581">
        <f t="shared" si="4"/>
        <v>0</v>
      </c>
      <c r="G187" s="1582" t="e">
        <f t="shared" si="5"/>
        <v>#DIV/0!</v>
      </c>
      <c r="H187" s="2294">
        <v>0.73360000000000003</v>
      </c>
      <c r="I187" s="2295"/>
      <c r="J187" s="1550"/>
    </row>
    <row r="188" spans="1:10" ht="16.5">
      <c r="A188" s="1584">
        <v>3546</v>
      </c>
      <c r="B188" s="1585" t="s">
        <v>2625</v>
      </c>
      <c r="C188" s="1579" t="s">
        <v>2445</v>
      </c>
      <c r="D188" s="1580"/>
      <c r="E188" s="1580"/>
      <c r="F188" s="1581">
        <f t="shared" si="4"/>
        <v>0</v>
      </c>
      <c r="G188" s="1582" t="e">
        <f t="shared" si="5"/>
        <v>#DIV/0!</v>
      </c>
      <c r="H188" s="2294">
        <v>1.2532000000000001</v>
      </c>
      <c r="I188" s="2295"/>
      <c r="J188" s="1550"/>
    </row>
    <row r="189" spans="1:10" ht="16.5">
      <c r="A189" s="1584">
        <v>3548</v>
      </c>
      <c r="B189" s="1585" t="s">
        <v>2626</v>
      </c>
      <c r="C189" s="1579" t="s">
        <v>2445</v>
      </c>
      <c r="D189" s="1580"/>
      <c r="E189" s="1580"/>
      <c r="F189" s="1581">
        <f t="shared" si="4"/>
        <v>0</v>
      </c>
      <c r="G189" s="1582" t="e">
        <f t="shared" si="5"/>
        <v>#DIV/0!</v>
      </c>
      <c r="H189" s="2294">
        <v>1.3439000000000001</v>
      </c>
      <c r="I189" s="2295"/>
      <c r="J189" s="1550"/>
    </row>
    <row r="190" spans="1:10" ht="16.5">
      <c r="A190" s="1584">
        <v>3551</v>
      </c>
      <c r="B190" s="1585" t="s">
        <v>2627</v>
      </c>
      <c r="C190" s="1579" t="s">
        <v>2445</v>
      </c>
      <c r="D190" s="1580"/>
      <c r="E190" s="1580"/>
      <c r="F190" s="1581">
        <f t="shared" si="4"/>
        <v>0</v>
      </c>
      <c r="G190" s="1582" t="e">
        <f t="shared" si="5"/>
        <v>#DIV/0!</v>
      </c>
      <c r="H190" s="2294">
        <v>1.2539</v>
      </c>
      <c r="I190" s="2295"/>
      <c r="J190" s="1550"/>
    </row>
    <row r="191" spans="1:10" ht="16.5">
      <c r="A191" s="1584">
        <v>3552</v>
      </c>
      <c r="B191" s="1585" t="s">
        <v>2628</v>
      </c>
      <c r="C191" s="1579" t="s">
        <v>2445</v>
      </c>
      <c r="D191" s="1580"/>
      <c r="E191" s="1580"/>
      <c r="F191" s="1581">
        <f t="shared" si="4"/>
        <v>0</v>
      </c>
      <c r="G191" s="1582" t="e">
        <f t="shared" si="5"/>
        <v>#DIV/0!</v>
      </c>
      <c r="H191" s="2294">
        <v>1.458</v>
      </c>
      <c r="I191" s="2295"/>
      <c r="J191" s="1550"/>
    </row>
    <row r="192" spans="1:10" ht="16.5">
      <c r="A192" s="1584">
        <v>3555</v>
      </c>
      <c r="B192" s="1585" t="s">
        <v>2629</v>
      </c>
      <c r="C192" s="1579" t="s">
        <v>2445</v>
      </c>
      <c r="D192" s="1580"/>
      <c r="E192" s="1580"/>
      <c r="F192" s="1581">
        <f t="shared" si="4"/>
        <v>0</v>
      </c>
      <c r="G192" s="1582" t="e">
        <f t="shared" si="5"/>
        <v>#DIV/0!</v>
      </c>
      <c r="H192" s="2294">
        <v>0.73050000000000004</v>
      </c>
      <c r="I192" s="2295"/>
      <c r="J192" s="1550"/>
    </row>
    <row r="193" spans="1:10" ht="16.5">
      <c r="A193" s="1584">
        <v>3556</v>
      </c>
      <c r="B193" s="1585" t="s">
        <v>2630</v>
      </c>
      <c r="C193" s="1579" t="s">
        <v>2445</v>
      </c>
      <c r="D193" s="1580"/>
      <c r="E193" s="1580"/>
      <c r="F193" s="1581">
        <f t="shared" si="4"/>
        <v>0</v>
      </c>
      <c r="G193" s="1582" t="e">
        <f t="shared" si="5"/>
        <v>#DIV/0!</v>
      </c>
      <c r="H193" s="2294">
        <v>0.78600000000000003</v>
      </c>
      <c r="I193" s="2295"/>
      <c r="J193" s="1550"/>
    </row>
    <row r="194" spans="1:10" ht="16.5">
      <c r="A194" s="1584">
        <v>3558</v>
      </c>
      <c r="B194" s="1585" t="s">
        <v>2631</v>
      </c>
      <c r="C194" s="1579" t="s">
        <v>2445</v>
      </c>
      <c r="D194" s="1580"/>
      <c r="E194" s="1580"/>
      <c r="F194" s="1581">
        <f t="shared" si="4"/>
        <v>0</v>
      </c>
      <c r="G194" s="1582" t="e">
        <f t="shared" si="5"/>
        <v>#DIV/0!</v>
      </c>
      <c r="H194" s="2294">
        <v>1.2339</v>
      </c>
      <c r="I194" s="2295"/>
      <c r="J194" s="1550"/>
    </row>
    <row r="195" spans="1:10" ht="16.5">
      <c r="A195" s="1584">
        <v>3562</v>
      </c>
      <c r="B195" s="1585" t="s">
        <v>2632</v>
      </c>
      <c r="C195" s="1579" t="s">
        <v>2445</v>
      </c>
      <c r="D195" s="1580"/>
      <c r="E195" s="1580"/>
      <c r="F195" s="1581">
        <f t="shared" si="4"/>
        <v>0</v>
      </c>
      <c r="G195" s="1582" t="e">
        <f t="shared" si="5"/>
        <v>#DIV/0!</v>
      </c>
      <c r="H195" s="2294">
        <v>0.48549999999999999</v>
      </c>
      <c r="I195" s="2295"/>
      <c r="J195" s="1550"/>
    </row>
    <row r="196" spans="1:10" ht="16.5">
      <c r="A196" s="1584">
        <v>3564</v>
      </c>
      <c r="B196" s="1585" t="s">
        <v>2633</v>
      </c>
      <c r="C196" s="1579" t="s">
        <v>2445</v>
      </c>
      <c r="D196" s="1580"/>
      <c r="E196" s="1580"/>
      <c r="F196" s="1581">
        <f t="shared" si="4"/>
        <v>0</v>
      </c>
      <c r="G196" s="1582" t="e">
        <f t="shared" si="5"/>
        <v>#DIV/0!</v>
      </c>
      <c r="H196" s="2294">
        <v>0.55359999999999998</v>
      </c>
      <c r="I196" s="2295"/>
      <c r="J196" s="1550"/>
    </row>
    <row r="197" spans="1:10" ht="16.5">
      <c r="A197" s="1584">
        <v>3567</v>
      </c>
      <c r="B197" s="1585" t="s">
        <v>2634</v>
      </c>
      <c r="C197" s="1579" t="s">
        <v>2445</v>
      </c>
      <c r="D197" s="1580"/>
      <c r="E197" s="1580"/>
      <c r="F197" s="1581">
        <f t="shared" ref="F197:F260" si="6">D197*E197</f>
        <v>0</v>
      </c>
      <c r="G197" s="1582" t="e">
        <f t="shared" ref="G197:G260" si="7">F197/$F$784</f>
        <v>#DIV/0!</v>
      </c>
      <c r="H197" s="2294">
        <v>0.66400000000000003</v>
      </c>
      <c r="I197" s="2295"/>
      <c r="J197" s="1550"/>
    </row>
    <row r="198" spans="1:10" ht="16.5">
      <c r="A198" s="1584">
        <v>3570</v>
      </c>
      <c r="B198" s="1585" t="s">
        <v>2635</v>
      </c>
      <c r="C198" s="1579" t="s">
        <v>2445</v>
      </c>
      <c r="D198" s="1580"/>
      <c r="E198" s="1580"/>
      <c r="F198" s="1581">
        <f t="shared" si="6"/>
        <v>0</v>
      </c>
      <c r="G198" s="1582" t="e">
        <f t="shared" si="7"/>
        <v>#DIV/0!</v>
      </c>
      <c r="H198" s="2294">
        <v>0.33139999999999997</v>
      </c>
      <c r="I198" s="2295"/>
      <c r="J198" s="1550"/>
    </row>
    <row r="199" spans="1:10" ht="16.5">
      <c r="A199" s="1584">
        <v>3577</v>
      </c>
      <c r="B199" s="1585" t="s">
        <v>2636</v>
      </c>
      <c r="C199" s="1579" t="s">
        <v>2445</v>
      </c>
      <c r="D199" s="1580"/>
      <c r="E199" s="1580"/>
      <c r="F199" s="1581">
        <f t="shared" si="6"/>
        <v>0</v>
      </c>
      <c r="G199" s="1582" t="e">
        <f t="shared" si="7"/>
        <v>#DIV/0!</v>
      </c>
      <c r="H199" s="2294">
        <v>0.12820000000000001</v>
      </c>
      <c r="I199" s="2295"/>
      <c r="J199" s="1550"/>
    </row>
    <row r="200" spans="1:10" ht="16.5">
      <c r="A200" s="1584">
        <v>3580</v>
      </c>
      <c r="B200" s="1585" t="s">
        <v>2637</v>
      </c>
      <c r="C200" s="1579" t="s">
        <v>2445</v>
      </c>
      <c r="D200" s="1580"/>
      <c r="E200" s="1580"/>
      <c r="F200" s="1581">
        <f t="shared" si="6"/>
        <v>0</v>
      </c>
      <c r="G200" s="1582" t="e">
        <f t="shared" si="7"/>
        <v>#DIV/0!</v>
      </c>
      <c r="H200" s="2294">
        <v>1.6680999999999999</v>
      </c>
      <c r="I200" s="2295"/>
      <c r="J200" s="1550"/>
    </row>
    <row r="201" spans="1:10" ht="16.5">
      <c r="A201" s="1584">
        <v>3581</v>
      </c>
      <c r="B201" s="1585" t="s">
        <v>2638</v>
      </c>
      <c r="C201" s="1579" t="s">
        <v>2445</v>
      </c>
      <c r="D201" s="1580"/>
      <c r="E201" s="1580"/>
      <c r="F201" s="1581">
        <f t="shared" si="6"/>
        <v>0</v>
      </c>
      <c r="G201" s="1582" t="e">
        <f t="shared" si="7"/>
        <v>#DIV/0!</v>
      </c>
      <c r="H201" s="2294">
        <v>0.3367</v>
      </c>
      <c r="I201" s="2295"/>
      <c r="J201" s="1550"/>
    </row>
    <row r="202" spans="1:10" ht="16.5">
      <c r="A202" s="1584">
        <v>3587</v>
      </c>
      <c r="B202" s="1585" t="s">
        <v>2639</v>
      </c>
      <c r="C202" s="1579" t="s">
        <v>2445</v>
      </c>
      <c r="D202" s="1580"/>
      <c r="E202" s="1580"/>
      <c r="F202" s="1581">
        <f t="shared" si="6"/>
        <v>0</v>
      </c>
      <c r="G202" s="1582" t="e">
        <f t="shared" si="7"/>
        <v>#DIV/0!</v>
      </c>
      <c r="H202" s="2294">
        <v>1.8361000000000001</v>
      </c>
      <c r="I202" s="2295"/>
      <c r="J202" s="1550"/>
    </row>
    <row r="203" spans="1:10" ht="16.5">
      <c r="A203" s="1584">
        <v>3594</v>
      </c>
      <c r="B203" s="1585" t="s">
        <v>2640</v>
      </c>
      <c r="C203" s="1579" t="s">
        <v>2445</v>
      </c>
      <c r="D203" s="1580"/>
      <c r="E203" s="1580"/>
      <c r="F203" s="1581">
        <f t="shared" si="6"/>
        <v>0</v>
      </c>
      <c r="G203" s="1582" t="e">
        <f t="shared" si="7"/>
        <v>#DIV/0!</v>
      </c>
      <c r="H203" s="2294">
        <v>0.59430000000000005</v>
      </c>
      <c r="I203" s="2295"/>
      <c r="J203" s="1550"/>
    </row>
    <row r="204" spans="1:10" ht="16.5">
      <c r="A204" s="1584">
        <v>3609</v>
      </c>
      <c r="B204" s="1585" t="s">
        <v>2641</v>
      </c>
      <c r="C204" s="1579" t="s">
        <v>2445</v>
      </c>
      <c r="D204" s="1580"/>
      <c r="E204" s="1580"/>
      <c r="F204" s="1581">
        <f t="shared" si="6"/>
        <v>0</v>
      </c>
      <c r="G204" s="1582" t="e">
        <f t="shared" si="7"/>
        <v>#DIV/0!</v>
      </c>
      <c r="H204" s="2294">
        <v>0.15379999999999999</v>
      </c>
      <c r="I204" s="2295"/>
      <c r="J204" s="1550"/>
    </row>
    <row r="205" spans="1:10" ht="16.5">
      <c r="A205" s="1584">
        <v>3611</v>
      </c>
      <c r="B205" s="1585" t="s">
        <v>2642</v>
      </c>
      <c r="C205" s="1579" t="s">
        <v>2445</v>
      </c>
      <c r="D205" s="1580"/>
      <c r="E205" s="1580"/>
      <c r="F205" s="1581">
        <f t="shared" si="6"/>
        <v>0</v>
      </c>
      <c r="G205" s="1582" t="e">
        <f t="shared" si="7"/>
        <v>#DIV/0!</v>
      </c>
      <c r="H205" s="2294">
        <v>1.0344</v>
      </c>
      <c r="I205" s="2295"/>
      <c r="J205" s="1550"/>
    </row>
    <row r="206" spans="1:10" ht="16.5">
      <c r="A206" s="1584">
        <v>3615</v>
      </c>
      <c r="B206" s="1585" t="s">
        <v>2643</v>
      </c>
      <c r="C206" s="1579" t="s">
        <v>2445</v>
      </c>
      <c r="D206" s="1580"/>
      <c r="E206" s="1580"/>
      <c r="F206" s="1581">
        <f t="shared" si="6"/>
        <v>0</v>
      </c>
      <c r="G206" s="1582" t="e">
        <f t="shared" si="7"/>
        <v>#DIV/0!</v>
      </c>
      <c r="H206" s="2294">
        <v>0.54849999999999999</v>
      </c>
      <c r="I206" s="2295"/>
      <c r="J206" s="1550"/>
    </row>
    <row r="207" spans="1:10" ht="16.5">
      <c r="A207" s="1584">
        <v>3623</v>
      </c>
      <c r="B207" s="1585" t="s">
        <v>2644</v>
      </c>
      <c r="C207" s="1579" t="s">
        <v>2445</v>
      </c>
      <c r="D207" s="1580"/>
      <c r="E207" s="1580"/>
      <c r="F207" s="1581">
        <f t="shared" si="6"/>
        <v>0</v>
      </c>
      <c r="G207" s="1582" t="e">
        <f t="shared" si="7"/>
        <v>#DIV/0!</v>
      </c>
      <c r="H207" s="2294">
        <v>0.55920000000000003</v>
      </c>
      <c r="I207" s="2295"/>
      <c r="J207" s="1550"/>
    </row>
    <row r="208" spans="1:10" ht="16.5">
      <c r="A208" s="1584">
        <v>3624</v>
      </c>
      <c r="B208" s="1585" t="s">
        <v>2645</v>
      </c>
      <c r="C208" s="1579" t="s">
        <v>2445</v>
      </c>
      <c r="D208" s="1580"/>
      <c r="E208" s="1580"/>
      <c r="F208" s="1581">
        <f t="shared" si="6"/>
        <v>0</v>
      </c>
      <c r="G208" s="1582" t="e">
        <f t="shared" si="7"/>
        <v>#DIV/0!</v>
      </c>
      <c r="H208" s="2294">
        <v>1.4278</v>
      </c>
      <c r="I208" s="2295"/>
      <c r="J208" s="1550"/>
    </row>
    <row r="209" spans="1:10" ht="16.5">
      <c r="A209" s="1584">
        <v>3625</v>
      </c>
      <c r="B209" s="1585" t="s">
        <v>2646</v>
      </c>
      <c r="C209" s="1579" t="s">
        <v>2445</v>
      </c>
      <c r="D209" s="1580"/>
      <c r="E209" s="1580"/>
      <c r="F209" s="1581">
        <f t="shared" si="6"/>
        <v>0</v>
      </c>
      <c r="G209" s="1582" t="e">
        <f t="shared" si="7"/>
        <v>#DIV/0!</v>
      </c>
      <c r="H209" s="2294">
        <v>0.97309999999999997</v>
      </c>
      <c r="I209" s="2295"/>
      <c r="J209" s="1550"/>
    </row>
    <row r="210" spans="1:10" ht="16.5">
      <c r="A210" s="1584">
        <v>3628</v>
      </c>
      <c r="B210" s="1585" t="s">
        <v>2647</v>
      </c>
      <c r="C210" s="1579" t="s">
        <v>2445</v>
      </c>
      <c r="D210" s="1580"/>
      <c r="E210" s="1580"/>
      <c r="F210" s="1581">
        <f t="shared" si="6"/>
        <v>0</v>
      </c>
      <c r="G210" s="1582" t="e">
        <f t="shared" si="7"/>
        <v>#DIV/0!</v>
      </c>
      <c r="H210" s="2294">
        <v>0.27510000000000001</v>
      </c>
      <c r="I210" s="2295"/>
      <c r="J210" s="1550"/>
    </row>
    <row r="211" spans="1:10" ht="16.5">
      <c r="A211" s="1584">
        <v>3629</v>
      </c>
      <c r="B211" s="1585" t="s">
        <v>2648</v>
      </c>
      <c r="C211" s="1579" t="s">
        <v>2445</v>
      </c>
      <c r="D211" s="1580"/>
      <c r="E211" s="1580"/>
      <c r="F211" s="1581">
        <f t="shared" si="6"/>
        <v>0</v>
      </c>
      <c r="G211" s="1582" t="e">
        <f t="shared" si="7"/>
        <v>#DIV/0!</v>
      </c>
      <c r="H211" s="2294">
        <v>0.46729999999999999</v>
      </c>
      <c r="I211" s="2295"/>
      <c r="J211" s="1550"/>
    </row>
    <row r="212" spans="1:10" ht="16.5">
      <c r="A212" s="1584">
        <v>3630</v>
      </c>
      <c r="B212" s="1585" t="s">
        <v>2649</v>
      </c>
      <c r="C212" s="1579" t="s">
        <v>2445</v>
      </c>
      <c r="D212" s="1580"/>
      <c r="E212" s="1580"/>
      <c r="F212" s="1581">
        <f t="shared" si="6"/>
        <v>0</v>
      </c>
      <c r="G212" s="1582" t="e">
        <f t="shared" si="7"/>
        <v>#DIV/0!</v>
      </c>
      <c r="H212" s="2294">
        <v>1.4220999999999999</v>
      </c>
      <c r="I212" s="2295"/>
      <c r="J212" s="1550"/>
    </row>
    <row r="213" spans="1:10" ht="16.5">
      <c r="A213" s="1584">
        <v>3631</v>
      </c>
      <c r="B213" s="1585" t="s">
        <v>2650</v>
      </c>
      <c r="C213" s="1579" t="s">
        <v>2445</v>
      </c>
      <c r="D213" s="1580"/>
      <c r="E213" s="1580"/>
      <c r="F213" s="1581">
        <f t="shared" si="6"/>
        <v>0</v>
      </c>
      <c r="G213" s="1582" t="e">
        <f t="shared" si="7"/>
        <v>#DIV/0!</v>
      </c>
      <c r="H213" s="2294">
        <v>0.22189999999999999</v>
      </c>
      <c r="I213" s="2295"/>
      <c r="J213" s="1550"/>
    </row>
    <row r="214" spans="1:10" ht="16.5">
      <c r="A214" s="1584">
        <v>3632</v>
      </c>
      <c r="B214" s="1585" t="s">
        <v>2651</v>
      </c>
      <c r="C214" s="1579" t="s">
        <v>2445</v>
      </c>
      <c r="D214" s="1580"/>
      <c r="E214" s="1580"/>
      <c r="F214" s="1581">
        <f t="shared" si="6"/>
        <v>0</v>
      </c>
      <c r="G214" s="1582" t="e">
        <f t="shared" si="7"/>
        <v>#DIV/0!</v>
      </c>
      <c r="H214" s="2294">
        <v>0.52039999999999997</v>
      </c>
      <c r="I214" s="2295"/>
      <c r="J214" s="1550"/>
    </row>
    <row r="215" spans="1:10" ht="16.5">
      <c r="A215" s="1584">
        <v>3642</v>
      </c>
      <c r="B215" s="1585" t="s">
        <v>2652</v>
      </c>
      <c r="C215" s="1579" t="s">
        <v>2445</v>
      </c>
      <c r="D215" s="1580"/>
      <c r="E215" s="1580"/>
      <c r="F215" s="1581">
        <f t="shared" si="6"/>
        <v>0</v>
      </c>
      <c r="G215" s="1582" t="e">
        <f t="shared" si="7"/>
        <v>#DIV/0!</v>
      </c>
      <c r="H215" s="2294">
        <v>0.62060000000000004</v>
      </c>
      <c r="I215" s="2295"/>
      <c r="J215" s="1550"/>
    </row>
    <row r="216" spans="1:10" ht="16.5">
      <c r="A216" s="1584">
        <v>3646</v>
      </c>
      <c r="B216" s="1585" t="s">
        <v>2653</v>
      </c>
      <c r="C216" s="1579" t="s">
        <v>2445</v>
      </c>
      <c r="D216" s="1580"/>
      <c r="E216" s="1580"/>
      <c r="F216" s="1581">
        <f t="shared" si="6"/>
        <v>0</v>
      </c>
      <c r="G216" s="1582" t="e">
        <f t="shared" si="7"/>
        <v>#DIV/0!</v>
      </c>
      <c r="H216" s="2294">
        <v>0.18770000000000001</v>
      </c>
      <c r="I216" s="2295"/>
      <c r="J216" s="1550"/>
    </row>
    <row r="217" spans="1:10" ht="16.5">
      <c r="A217" s="1584">
        <v>3652</v>
      </c>
      <c r="B217" s="1585" t="s">
        <v>2654</v>
      </c>
      <c r="C217" s="1579" t="s">
        <v>2445</v>
      </c>
      <c r="D217" s="1580"/>
      <c r="E217" s="1580"/>
      <c r="F217" s="1581">
        <f t="shared" si="6"/>
        <v>0</v>
      </c>
      <c r="G217" s="1582" t="e">
        <f t="shared" si="7"/>
        <v>#DIV/0!</v>
      </c>
      <c r="H217" s="2294">
        <v>0.37390000000000001</v>
      </c>
      <c r="I217" s="2295"/>
      <c r="J217" s="1550"/>
    </row>
    <row r="218" spans="1:10" ht="16.5">
      <c r="A218" s="1584">
        <v>3663</v>
      </c>
      <c r="B218" s="1585" t="s">
        <v>2655</v>
      </c>
      <c r="C218" s="1579" t="s">
        <v>2445</v>
      </c>
      <c r="D218" s="1580"/>
      <c r="E218" s="1580"/>
      <c r="F218" s="1581">
        <f t="shared" si="6"/>
        <v>0</v>
      </c>
      <c r="G218" s="1582" t="e">
        <f t="shared" si="7"/>
        <v>#DIV/0!</v>
      </c>
      <c r="H218" s="2294">
        <v>0.56840000000000002</v>
      </c>
      <c r="I218" s="2295"/>
      <c r="J218" s="1550"/>
    </row>
    <row r="219" spans="1:10" ht="16.5">
      <c r="A219" s="1584">
        <v>3664</v>
      </c>
      <c r="B219" s="1585" t="s">
        <v>2656</v>
      </c>
      <c r="C219" s="1579" t="s">
        <v>2445</v>
      </c>
      <c r="D219" s="1580"/>
      <c r="E219" s="1580"/>
      <c r="F219" s="1581">
        <f t="shared" si="6"/>
        <v>0</v>
      </c>
      <c r="G219" s="1582" t="e">
        <f t="shared" si="7"/>
        <v>#DIV/0!</v>
      </c>
      <c r="H219" s="2294">
        <v>0.83709999999999996</v>
      </c>
      <c r="I219" s="2295"/>
      <c r="J219" s="1550"/>
    </row>
    <row r="220" spans="1:10" ht="16.5">
      <c r="A220" s="1584">
        <v>3666</v>
      </c>
      <c r="B220" s="1585" t="s">
        <v>2657</v>
      </c>
      <c r="C220" s="1579" t="s">
        <v>2445</v>
      </c>
      <c r="D220" s="1580"/>
      <c r="E220" s="1580"/>
      <c r="F220" s="1581">
        <f t="shared" si="6"/>
        <v>0</v>
      </c>
      <c r="G220" s="1582" t="e">
        <f t="shared" si="7"/>
        <v>#DIV/0!</v>
      </c>
      <c r="H220" s="2294">
        <v>1.0754999999999999</v>
      </c>
      <c r="I220" s="2295"/>
      <c r="J220" s="1550"/>
    </row>
    <row r="221" spans="1:10" ht="16.5">
      <c r="A221" s="1584">
        <v>3672</v>
      </c>
      <c r="B221" s="1585" t="s">
        <v>2658</v>
      </c>
      <c r="C221" s="1579" t="s">
        <v>2445</v>
      </c>
      <c r="D221" s="1580"/>
      <c r="E221" s="1580"/>
      <c r="F221" s="1581">
        <f t="shared" si="6"/>
        <v>0</v>
      </c>
      <c r="G221" s="1582" t="e">
        <f t="shared" si="7"/>
        <v>#DIV/0!</v>
      </c>
      <c r="H221" s="2294">
        <v>0.3962</v>
      </c>
      <c r="I221" s="2295"/>
      <c r="J221" s="1550"/>
    </row>
    <row r="222" spans="1:10" ht="16.5">
      <c r="A222" s="1584">
        <v>3675</v>
      </c>
      <c r="B222" s="1585" t="s">
        <v>2659</v>
      </c>
      <c r="C222" s="1579" t="s">
        <v>2445</v>
      </c>
      <c r="D222" s="1580"/>
      <c r="E222" s="1580"/>
      <c r="F222" s="1581">
        <f t="shared" si="6"/>
        <v>0</v>
      </c>
      <c r="G222" s="1582" t="e">
        <f t="shared" si="7"/>
        <v>#DIV/0!</v>
      </c>
      <c r="H222" s="2294">
        <v>0.40749999999999997</v>
      </c>
      <c r="I222" s="2295"/>
      <c r="J222" s="1550"/>
    </row>
    <row r="223" spans="1:10" ht="16.5">
      <c r="A223" s="1584">
        <v>3680</v>
      </c>
      <c r="B223" s="1585" t="s">
        <v>2660</v>
      </c>
      <c r="C223" s="1579" t="s">
        <v>2445</v>
      </c>
      <c r="D223" s="1580"/>
      <c r="E223" s="1580"/>
      <c r="F223" s="1581">
        <f t="shared" si="6"/>
        <v>0</v>
      </c>
      <c r="G223" s="1582" t="e">
        <f t="shared" si="7"/>
        <v>#DIV/0!</v>
      </c>
      <c r="H223" s="2294">
        <v>0.8165</v>
      </c>
      <c r="I223" s="2295"/>
      <c r="J223" s="1550"/>
    </row>
    <row r="224" spans="1:10" ht="16.5">
      <c r="A224" s="1584">
        <v>3684</v>
      </c>
      <c r="B224" s="1585" t="s">
        <v>2661</v>
      </c>
      <c r="C224" s="1579" t="s">
        <v>2445</v>
      </c>
      <c r="D224" s="1580"/>
      <c r="E224" s="1580"/>
      <c r="F224" s="1581">
        <f t="shared" si="6"/>
        <v>0</v>
      </c>
      <c r="G224" s="1582" t="e">
        <f t="shared" si="7"/>
        <v>#DIV/0!</v>
      </c>
      <c r="H224" s="2294">
        <v>0.3876</v>
      </c>
      <c r="I224" s="2295"/>
      <c r="J224" s="1550"/>
    </row>
    <row r="225" spans="1:10" ht="16.5">
      <c r="A225" s="1584">
        <v>3685</v>
      </c>
      <c r="B225" s="1585" t="s">
        <v>2662</v>
      </c>
      <c r="C225" s="1579" t="s">
        <v>2445</v>
      </c>
      <c r="D225" s="1580"/>
      <c r="E225" s="1580"/>
      <c r="F225" s="1581">
        <f t="shared" si="6"/>
        <v>0</v>
      </c>
      <c r="G225" s="1582" t="e">
        <f t="shared" si="7"/>
        <v>#DIV/0!</v>
      </c>
      <c r="H225" s="2294">
        <v>0.36820000000000003</v>
      </c>
      <c r="I225" s="2295"/>
      <c r="J225" s="1550"/>
    </row>
    <row r="226" spans="1:10" ht="16.5">
      <c r="A226" s="1584">
        <v>3687</v>
      </c>
      <c r="B226" s="1585" t="s">
        <v>2663</v>
      </c>
      <c r="C226" s="1579" t="s">
        <v>2445</v>
      </c>
      <c r="D226" s="1580"/>
      <c r="E226" s="1580"/>
      <c r="F226" s="1581">
        <f t="shared" si="6"/>
        <v>0</v>
      </c>
      <c r="G226" s="1582" t="e">
        <f t="shared" si="7"/>
        <v>#DIV/0!</v>
      </c>
      <c r="H226" s="2294">
        <v>1.0637000000000001</v>
      </c>
      <c r="I226" s="2295"/>
      <c r="J226" s="1550"/>
    </row>
    <row r="227" spans="1:10" ht="16.5">
      <c r="A227" s="1584">
        <v>3689</v>
      </c>
      <c r="B227" s="1585" t="s">
        <v>2664</v>
      </c>
      <c r="C227" s="1579" t="s">
        <v>2445</v>
      </c>
      <c r="D227" s="1580"/>
      <c r="E227" s="1580"/>
      <c r="F227" s="1581">
        <f t="shared" si="6"/>
        <v>0</v>
      </c>
      <c r="G227" s="1582" t="e">
        <f t="shared" si="7"/>
        <v>#DIV/0!</v>
      </c>
      <c r="H227" s="2294">
        <v>1.1008</v>
      </c>
      <c r="I227" s="2295"/>
      <c r="J227" s="1550"/>
    </row>
    <row r="228" spans="1:10" ht="16.5">
      <c r="A228" s="1584">
        <v>3691</v>
      </c>
      <c r="B228" s="1585" t="s">
        <v>2665</v>
      </c>
      <c r="C228" s="1579" t="s">
        <v>2445</v>
      </c>
      <c r="D228" s="1580"/>
      <c r="E228" s="1580"/>
      <c r="F228" s="1581">
        <f t="shared" si="6"/>
        <v>0</v>
      </c>
      <c r="G228" s="1582" t="e">
        <f t="shared" si="7"/>
        <v>#DIV/0!</v>
      </c>
      <c r="H228" s="2294">
        <v>1.0077</v>
      </c>
      <c r="I228" s="2295"/>
      <c r="J228" s="1550"/>
    </row>
    <row r="229" spans="1:10" ht="16.5">
      <c r="A229" s="1584">
        <v>3693</v>
      </c>
      <c r="B229" s="1585" t="s">
        <v>2666</v>
      </c>
      <c r="C229" s="1579" t="s">
        <v>2445</v>
      </c>
      <c r="D229" s="1580"/>
      <c r="E229" s="1580"/>
      <c r="F229" s="1581">
        <f t="shared" si="6"/>
        <v>0</v>
      </c>
      <c r="G229" s="1582" t="e">
        <f t="shared" si="7"/>
        <v>#DIV/0!</v>
      </c>
      <c r="H229" s="2294">
        <v>1.1251</v>
      </c>
      <c r="I229" s="2295"/>
      <c r="J229" s="1550"/>
    </row>
    <row r="230" spans="1:10" ht="16.5">
      <c r="A230" s="1584">
        <v>3707</v>
      </c>
      <c r="B230" s="1585" t="s">
        <v>2667</v>
      </c>
      <c r="C230" s="1579" t="s">
        <v>2445</v>
      </c>
      <c r="D230" s="1580"/>
      <c r="E230" s="1580"/>
      <c r="F230" s="1581">
        <f t="shared" si="6"/>
        <v>0</v>
      </c>
      <c r="G230" s="1582" t="e">
        <f t="shared" si="7"/>
        <v>#DIV/0!</v>
      </c>
      <c r="H230" s="2294">
        <v>2.3153999999999999</v>
      </c>
      <c r="I230" s="2295"/>
      <c r="J230" s="1550"/>
    </row>
    <row r="231" spans="1:10" ht="16.5">
      <c r="A231" s="1584">
        <v>3709</v>
      </c>
      <c r="B231" s="1585" t="s">
        <v>2668</v>
      </c>
      <c r="C231" s="1579" t="s">
        <v>2445</v>
      </c>
      <c r="D231" s="1580"/>
      <c r="E231" s="1580"/>
      <c r="F231" s="1581">
        <f t="shared" si="6"/>
        <v>0</v>
      </c>
      <c r="G231" s="1582" t="e">
        <f t="shared" si="7"/>
        <v>#DIV/0!</v>
      </c>
      <c r="H231" s="2294">
        <v>0.39179999999999998</v>
      </c>
      <c r="I231" s="2295"/>
      <c r="J231" s="1550"/>
    </row>
    <row r="232" spans="1:10" ht="16.5">
      <c r="A232" s="1584">
        <v>3710</v>
      </c>
      <c r="B232" s="1585" t="s">
        <v>2669</v>
      </c>
      <c r="C232" s="1579" t="s">
        <v>2445</v>
      </c>
      <c r="D232" s="1580"/>
      <c r="E232" s="1580"/>
      <c r="F232" s="1581">
        <f t="shared" si="6"/>
        <v>0</v>
      </c>
      <c r="G232" s="1582" t="e">
        <f t="shared" si="7"/>
        <v>#DIV/0!</v>
      </c>
      <c r="H232" s="2294">
        <v>0.81440000000000001</v>
      </c>
      <c r="I232" s="2295"/>
      <c r="J232" s="1550"/>
    </row>
    <row r="233" spans="1:10" ht="16.5">
      <c r="A233" s="1584">
        <v>4102</v>
      </c>
      <c r="B233" s="1585" t="s">
        <v>2670</v>
      </c>
      <c r="C233" s="1579" t="s">
        <v>2445</v>
      </c>
      <c r="D233" s="1580"/>
      <c r="E233" s="1580"/>
      <c r="F233" s="1581">
        <f t="shared" si="6"/>
        <v>0</v>
      </c>
      <c r="G233" s="1582" t="e">
        <f t="shared" si="7"/>
        <v>#DIV/0!</v>
      </c>
      <c r="H233" s="2294">
        <v>0.23430000000000001</v>
      </c>
      <c r="I233" s="2295"/>
      <c r="J233" s="1550"/>
    </row>
    <row r="234" spans="1:10" ht="16.5">
      <c r="A234" s="1584">
        <v>4105</v>
      </c>
      <c r="B234" s="1585" t="s">
        <v>2671</v>
      </c>
      <c r="C234" s="1579" t="s">
        <v>2445</v>
      </c>
      <c r="D234" s="1580"/>
      <c r="E234" s="1580"/>
      <c r="F234" s="1581">
        <f t="shared" si="6"/>
        <v>0</v>
      </c>
      <c r="G234" s="1582" t="e">
        <f t="shared" si="7"/>
        <v>#DIV/0!</v>
      </c>
      <c r="H234" s="2294">
        <v>0.41599999999999998</v>
      </c>
      <c r="I234" s="2295"/>
      <c r="J234" s="1550"/>
    </row>
    <row r="235" spans="1:10" ht="16.5">
      <c r="A235" s="1584">
        <v>4107</v>
      </c>
      <c r="B235" s="1585" t="s">
        <v>2672</v>
      </c>
      <c r="C235" s="1579" t="s">
        <v>2445</v>
      </c>
      <c r="D235" s="1580"/>
      <c r="E235" s="1580"/>
      <c r="F235" s="1581">
        <f t="shared" si="6"/>
        <v>0</v>
      </c>
      <c r="G235" s="1582" t="e">
        <f t="shared" si="7"/>
        <v>#DIV/0!</v>
      </c>
      <c r="H235" s="2294">
        <v>0.70399999999999996</v>
      </c>
      <c r="I235" s="2295"/>
      <c r="J235" s="1550"/>
    </row>
    <row r="236" spans="1:10" ht="16.5">
      <c r="A236" s="1584">
        <v>4109</v>
      </c>
      <c r="B236" s="1585" t="s">
        <v>5388</v>
      </c>
      <c r="C236" s="1579" t="s">
        <v>2445</v>
      </c>
      <c r="D236" s="1580"/>
      <c r="E236" s="1580"/>
      <c r="F236" s="1581">
        <f t="shared" si="6"/>
        <v>0</v>
      </c>
      <c r="G236" s="1582" t="e">
        <f t="shared" si="7"/>
        <v>#DIV/0!</v>
      </c>
      <c r="H236" s="2294">
        <v>0.434</v>
      </c>
      <c r="I236" s="2295"/>
      <c r="J236" s="1550"/>
    </row>
    <row r="237" spans="1:10" ht="16.5">
      <c r="A237" s="1584">
        <v>4111</v>
      </c>
      <c r="B237" s="1585" t="s">
        <v>2673</v>
      </c>
      <c r="C237" s="1579" t="s">
        <v>2445</v>
      </c>
      <c r="D237" s="1580"/>
      <c r="E237" s="1580"/>
      <c r="F237" s="1581">
        <f t="shared" si="6"/>
        <v>0</v>
      </c>
      <c r="G237" s="1582" t="e">
        <f t="shared" si="7"/>
        <v>#DIV/0!</v>
      </c>
      <c r="H237" s="2294">
        <v>0.34329999999999999</v>
      </c>
      <c r="I237" s="2295"/>
      <c r="J237" s="1550"/>
    </row>
    <row r="238" spans="1:10" ht="16.5">
      <c r="A238" s="1584">
        <v>4113</v>
      </c>
      <c r="B238" s="1585" t="s">
        <v>2674</v>
      </c>
      <c r="C238" s="1579" t="s">
        <v>2445</v>
      </c>
      <c r="D238" s="1580"/>
      <c r="E238" s="1580"/>
      <c r="F238" s="1581">
        <f t="shared" si="6"/>
        <v>0</v>
      </c>
      <c r="G238" s="1582" t="e">
        <f t="shared" si="7"/>
        <v>#DIV/0!</v>
      </c>
      <c r="H238" s="2294">
        <v>0.57379999999999998</v>
      </c>
      <c r="I238" s="2295"/>
      <c r="J238" s="1550"/>
    </row>
    <row r="239" spans="1:10" ht="16.5">
      <c r="A239" s="1584">
        <v>4114</v>
      </c>
      <c r="B239" s="1585" t="s">
        <v>2675</v>
      </c>
      <c r="C239" s="1579" t="s">
        <v>2445</v>
      </c>
      <c r="D239" s="1580"/>
      <c r="E239" s="1580"/>
      <c r="F239" s="1581">
        <f t="shared" si="6"/>
        <v>0</v>
      </c>
      <c r="G239" s="1582" t="e">
        <f t="shared" si="7"/>
        <v>#DIV/0!</v>
      </c>
      <c r="H239" s="2294">
        <v>0.3175</v>
      </c>
      <c r="I239" s="2295"/>
      <c r="J239" s="1550"/>
    </row>
    <row r="240" spans="1:10" ht="16.5">
      <c r="A240" s="1584">
        <v>4116</v>
      </c>
      <c r="B240" s="1585" t="s">
        <v>2676</v>
      </c>
      <c r="C240" s="1579" t="s">
        <v>2445</v>
      </c>
      <c r="D240" s="1580"/>
      <c r="E240" s="1580"/>
      <c r="F240" s="1581">
        <f t="shared" si="6"/>
        <v>0</v>
      </c>
      <c r="G240" s="1582" t="e">
        <f t="shared" si="7"/>
        <v>#DIV/0!</v>
      </c>
      <c r="H240" s="2294">
        <v>0.81</v>
      </c>
      <c r="I240" s="2295"/>
      <c r="J240" s="1550"/>
    </row>
    <row r="241" spans="1:10" ht="16.5">
      <c r="A241" s="1584">
        <v>4120</v>
      </c>
      <c r="B241" s="1585" t="s">
        <v>2677</v>
      </c>
      <c r="C241" s="1579" t="s">
        <v>2445</v>
      </c>
      <c r="D241" s="1580"/>
      <c r="E241" s="1580"/>
      <c r="F241" s="1581">
        <f t="shared" si="6"/>
        <v>0</v>
      </c>
      <c r="G241" s="1582" t="e">
        <f t="shared" si="7"/>
        <v>#DIV/0!</v>
      </c>
      <c r="H241" s="2294">
        <v>0.25459999999999999</v>
      </c>
      <c r="I241" s="2295"/>
      <c r="J241" s="1550"/>
    </row>
    <row r="242" spans="1:10" ht="16.5">
      <c r="A242" s="1584">
        <v>4121</v>
      </c>
      <c r="B242" s="1585" t="s">
        <v>2678</v>
      </c>
      <c r="C242" s="1579" t="s">
        <v>2445</v>
      </c>
      <c r="D242" s="1580"/>
      <c r="E242" s="1580"/>
      <c r="F242" s="1581">
        <f t="shared" si="6"/>
        <v>0</v>
      </c>
      <c r="G242" s="1582" t="e">
        <f t="shared" si="7"/>
        <v>#DIV/0!</v>
      </c>
      <c r="H242" s="2294">
        <v>0.33400000000000002</v>
      </c>
      <c r="I242" s="2295"/>
      <c r="J242" s="1550"/>
    </row>
    <row r="243" spans="1:10" ht="16.5">
      <c r="A243" s="1584">
        <v>4123</v>
      </c>
      <c r="B243" s="1585" t="s">
        <v>2679</v>
      </c>
      <c r="C243" s="1579" t="s">
        <v>2445</v>
      </c>
      <c r="D243" s="1580"/>
      <c r="E243" s="1580"/>
      <c r="F243" s="1581">
        <f t="shared" si="6"/>
        <v>0</v>
      </c>
      <c r="G243" s="1582" t="e">
        <f t="shared" si="7"/>
        <v>#DIV/0!</v>
      </c>
      <c r="H243" s="2294">
        <v>0.81799999999999995</v>
      </c>
      <c r="I243" s="2295"/>
      <c r="J243" s="1550"/>
    </row>
    <row r="244" spans="1:10" ht="16.5">
      <c r="A244" s="1584">
        <v>4126</v>
      </c>
      <c r="B244" s="1585" t="s">
        <v>2680</v>
      </c>
      <c r="C244" s="1579" t="s">
        <v>2445</v>
      </c>
      <c r="D244" s="1580"/>
      <c r="E244" s="1580"/>
      <c r="F244" s="1581">
        <f t="shared" si="6"/>
        <v>0</v>
      </c>
      <c r="G244" s="1582" t="e">
        <f t="shared" si="7"/>
        <v>#DIV/0!</v>
      </c>
      <c r="H244" s="2294">
        <v>0.39050000000000001</v>
      </c>
      <c r="I244" s="2295"/>
      <c r="J244" s="1550"/>
    </row>
    <row r="245" spans="1:10" ht="16.5">
      <c r="A245" s="1584">
        <v>4127</v>
      </c>
      <c r="B245" s="1585" t="s">
        <v>2681</v>
      </c>
      <c r="C245" s="1579" t="s">
        <v>2445</v>
      </c>
      <c r="D245" s="1580"/>
      <c r="E245" s="1580"/>
      <c r="F245" s="1581">
        <f t="shared" si="6"/>
        <v>0</v>
      </c>
      <c r="G245" s="1582" t="e">
        <f t="shared" si="7"/>
        <v>#DIV/0!</v>
      </c>
      <c r="H245" s="2294">
        <v>0.55840000000000001</v>
      </c>
      <c r="I245" s="2295"/>
      <c r="J245" s="1550"/>
    </row>
    <row r="246" spans="1:10" ht="16.5">
      <c r="A246" s="1584">
        <v>4128</v>
      </c>
      <c r="B246" s="1585" t="s">
        <v>2682</v>
      </c>
      <c r="C246" s="1579" t="s">
        <v>2445</v>
      </c>
      <c r="D246" s="1580"/>
      <c r="E246" s="1580"/>
      <c r="F246" s="1581">
        <f t="shared" si="6"/>
        <v>0</v>
      </c>
      <c r="G246" s="1582" t="e">
        <f t="shared" si="7"/>
        <v>#DIV/0!</v>
      </c>
      <c r="H246" s="2294">
        <v>0.27400000000000002</v>
      </c>
      <c r="I246" s="2295"/>
      <c r="J246" s="1550"/>
    </row>
    <row r="247" spans="1:10" ht="16.5">
      <c r="A247" s="1584">
        <v>4129</v>
      </c>
      <c r="B247" s="1585" t="s">
        <v>2683</v>
      </c>
      <c r="C247" s="1579" t="s">
        <v>2445</v>
      </c>
      <c r="D247" s="1580"/>
      <c r="E247" s="1580"/>
      <c r="F247" s="1581">
        <f t="shared" si="6"/>
        <v>0</v>
      </c>
      <c r="G247" s="1582" t="e">
        <f t="shared" si="7"/>
        <v>#DIV/0!</v>
      </c>
      <c r="H247" s="2294">
        <v>0.48499999999999999</v>
      </c>
      <c r="I247" s="2295"/>
      <c r="J247" s="1550"/>
    </row>
    <row r="248" spans="1:10" ht="16.5">
      <c r="A248" s="1584">
        <v>4130</v>
      </c>
      <c r="B248" s="1585" t="s">
        <v>2684</v>
      </c>
      <c r="C248" s="1579" t="s">
        <v>2445</v>
      </c>
      <c r="D248" s="1580"/>
      <c r="E248" s="1580"/>
      <c r="F248" s="1581">
        <f t="shared" si="6"/>
        <v>0</v>
      </c>
      <c r="G248" s="1582" t="e">
        <f t="shared" si="7"/>
        <v>#DIV/0!</v>
      </c>
      <c r="H248" s="2294">
        <v>0.4274</v>
      </c>
      <c r="I248" s="2295"/>
      <c r="J248" s="1550"/>
    </row>
    <row r="249" spans="1:10" ht="16.5">
      <c r="A249" s="1584">
        <v>4131</v>
      </c>
      <c r="B249" s="1585" t="s">
        <v>2685</v>
      </c>
      <c r="C249" s="1579" t="s">
        <v>2445</v>
      </c>
      <c r="D249" s="1580"/>
      <c r="E249" s="1580"/>
      <c r="F249" s="1581">
        <f t="shared" si="6"/>
        <v>0</v>
      </c>
      <c r="G249" s="1582" t="e">
        <f t="shared" si="7"/>
        <v>#DIV/0!</v>
      </c>
      <c r="H249" s="2294">
        <v>9.8100000000000007E-2</v>
      </c>
      <c r="I249" s="2295"/>
      <c r="J249" s="1550"/>
    </row>
    <row r="250" spans="1:10" ht="16.5">
      <c r="A250" s="1584">
        <v>4138</v>
      </c>
      <c r="B250" s="1585" t="s">
        <v>2686</v>
      </c>
      <c r="C250" s="1579" t="s">
        <v>2445</v>
      </c>
      <c r="D250" s="1580"/>
      <c r="E250" s="1580"/>
      <c r="F250" s="1581">
        <f t="shared" si="6"/>
        <v>0</v>
      </c>
      <c r="G250" s="1582" t="e">
        <f t="shared" si="7"/>
        <v>#DIV/0!</v>
      </c>
      <c r="H250" s="2294">
        <v>0.28149999999999997</v>
      </c>
      <c r="I250" s="2295"/>
      <c r="J250" s="1550"/>
    </row>
    <row r="251" spans="1:10" ht="16.5">
      <c r="A251" s="1584">
        <v>4139</v>
      </c>
      <c r="B251" s="1585" t="s">
        <v>2687</v>
      </c>
      <c r="C251" s="1579" t="s">
        <v>2445</v>
      </c>
      <c r="D251" s="1580"/>
      <c r="E251" s="1580"/>
      <c r="F251" s="1581">
        <f t="shared" si="6"/>
        <v>0</v>
      </c>
      <c r="G251" s="1582" t="e">
        <f t="shared" si="7"/>
        <v>#DIV/0!</v>
      </c>
      <c r="H251" s="2294">
        <v>2.7699999999999999E-2</v>
      </c>
      <c r="I251" s="2295"/>
      <c r="J251" s="1550"/>
    </row>
    <row r="252" spans="1:10" ht="16.5">
      <c r="A252" s="1584">
        <v>4147</v>
      </c>
      <c r="B252" s="1585" t="s">
        <v>2688</v>
      </c>
      <c r="C252" s="1579" t="s">
        <v>2445</v>
      </c>
      <c r="D252" s="1580"/>
      <c r="E252" s="1580"/>
      <c r="F252" s="1581">
        <f t="shared" si="6"/>
        <v>0</v>
      </c>
      <c r="G252" s="1582" t="e">
        <f t="shared" si="7"/>
        <v>#DIV/0!</v>
      </c>
      <c r="H252" s="2294">
        <v>0.90410000000000001</v>
      </c>
      <c r="I252" s="2295"/>
      <c r="J252" s="1550"/>
    </row>
    <row r="253" spans="1:10" ht="16.5">
      <c r="A253" s="1584">
        <v>4152</v>
      </c>
      <c r="B253" s="1585" t="s">
        <v>2689</v>
      </c>
      <c r="C253" s="1579" t="s">
        <v>2445</v>
      </c>
      <c r="D253" s="1580"/>
      <c r="E253" s="1580"/>
      <c r="F253" s="1581">
        <f t="shared" si="6"/>
        <v>0</v>
      </c>
      <c r="G253" s="1582" t="e">
        <f t="shared" si="7"/>
        <v>#DIV/0!</v>
      </c>
      <c r="H253" s="2294">
        <v>0.39500000000000002</v>
      </c>
      <c r="I253" s="2295"/>
      <c r="J253" s="1550"/>
    </row>
    <row r="254" spans="1:10" ht="16.5">
      <c r="A254" s="1584">
        <v>4153</v>
      </c>
      <c r="B254" s="1585" t="s">
        <v>2690</v>
      </c>
      <c r="C254" s="1579" t="s">
        <v>2445</v>
      </c>
      <c r="D254" s="1580"/>
      <c r="E254" s="1580"/>
      <c r="F254" s="1581">
        <f t="shared" si="6"/>
        <v>0</v>
      </c>
      <c r="G254" s="1582" t="e">
        <f t="shared" si="7"/>
        <v>#DIV/0!</v>
      </c>
      <c r="H254" s="2294">
        <v>0.50670000000000004</v>
      </c>
      <c r="I254" s="2295"/>
      <c r="J254" s="1550"/>
    </row>
    <row r="255" spans="1:10" ht="16.5">
      <c r="A255" s="1584">
        <v>4154</v>
      </c>
      <c r="B255" s="1585" t="s">
        <v>2691</v>
      </c>
      <c r="C255" s="1579" t="s">
        <v>2445</v>
      </c>
      <c r="D255" s="1580"/>
      <c r="E255" s="1580"/>
      <c r="F255" s="1581">
        <f t="shared" si="6"/>
        <v>0</v>
      </c>
      <c r="G255" s="1582" t="e">
        <f t="shared" si="7"/>
        <v>#DIV/0!</v>
      </c>
      <c r="H255" s="2294">
        <v>0.23419999999999999</v>
      </c>
      <c r="I255" s="2295"/>
      <c r="J255" s="1550"/>
    </row>
    <row r="256" spans="1:10" ht="16.5">
      <c r="A256" s="1584">
        <v>4157</v>
      </c>
      <c r="B256" s="1585" t="s">
        <v>2692</v>
      </c>
      <c r="C256" s="1579" t="s">
        <v>2445</v>
      </c>
      <c r="D256" s="1580"/>
      <c r="E256" s="1580"/>
      <c r="F256" s="1581">
        <f t="shared" si="6"/>
        <v>0</v>
      </c>
      <c r="G256" s="1582" t="e">
        <f t="shared" si="7"/>
        <v>#DIV/0!</v>
      </c>
      <c r="H256" s="2294">
        <v>0.52449999999999997</v>
      </c>
      <c r="I256" s="2295"/>
      <c r="J256" s="1550"/>
    </row>
    <row r="257" spans="1:10" ht="16.5">
      <c r="A257" s="1584">
        <v>4160</v>
      </c>
      <c r="B257" s="1585" t="s">
        <v>2693</v>
      </c>
      <c r="C257" s="1579" t="s">
        <v>2445</v>
      </c>
      <c r="D257" s="1580"/>
      <c r="E257" s="1580"/>
      <c r="F257" s="1581">
        <f t="shared" si="6"/>
        <v>0</v>
      </c>
      <c r="G257" s="1582" t="e">
        <f t="shared" si="7"/>
        <v>#DIV/0!</v>
      </c>
      <c r="H257" s="2294">
        <v>0.1305</v>
      </c>
      <c r="I257" s="2295"/>
      <c r="J257" s="1550"/>
    </row>
    <row r="258" spans="1:10" ht="16.5">
      <c r="A258" s="1584">
        <v>4161</v>
      </c>
      <c r="B258" s="1585" t="s">
        <v>2694</v>
      </c>
      <c r="C258" s="1579" t="s">
        <v>2445</v>
      </c>
      <c r="D258" s="1580"/>
      <c r="E258" s="1580"/>
      <c r="F258" s="1581">
        <f t="shared" si="6"/>
        <v>0</v>
      </c>
      <c r="G258" s="1582" t="e">
        <f t="shared" si="7"/>
        <v>#DIV/0!</v>
      </c>
      <c r="H258" s="2294">
        <v>0.50380000000000003</v>
      </c>
      <c r="I258" s="2295"/>
      <c r="J258" s="1550"/>
    </row>
    <row r="259" spans="1:10" ht="16.5">
      <c r="A259" s="1584">
        <v>4162</v>
      </c>
      <c r="B259" s="1585" t="s">
        <v>2695</v>
      </c>
      <c r="C259" s="1579" t="s">
        <v>2445</v>
      </c>
      <c r="D259" s="1580"/>
      <c r="E259" s="1580"/>
      <c r="F259" s="1581">
        <f t="shared" si="6"/>
        <v>0</v>
      </c>
      <c r="G259" s="1582" t="e">
        <f t="shared" si="7"/>
        <v>#DIV/0!</v>
      </c>
      <c r="H259" s="2294">
        <v>1.0718000000000001</v>
      </c>
      <c r="I259" s="2295"/>
      <c r="J259" s="1550"/>
    </row>
    <row r="260" spans="1:10" ht="16.5">
      <c r="A260" s="1584">
        <v>4163</v>
      </c>
      <c r="B260" s="1585" t="s">
        <v>2696</v>
      </c>
      <c r="C260" s="1579" t="s">
        <v>2445</v>
      </c>
      <c r="D260" s="1580"/>
      <c r="E260" s="1580"/>
      <c r="F260" s="1581">
        <f t="shared" si="6"/>
        <v>0</v>
      </c>
      <c r="G260" s="1582" t="e">
        <f t="shared" si="7"/>
        <v>#DIV/0!</v>
      </c>
      <c r="H260" s="2294">
        <v>0.77229999999999999</v>
      </c>
      <c r="I260" s="2295"/>
      <c r="J260" s="1550"/>
    </row>
    <row r="261" spans="1:10" ht="16.5">
      <c r="A261" s="1584">
        <v>4167</v>
      </c>
      <c r="B261" s="1585" t="s">
        <v>2697</v>
      </c>
      <c r="C261" s="1579" t="s">
        <v>2445</v>
      </c>
      <c r="D261" s="1580"/>
      <c r="E261" s="1580"/>
      <c r="F261" s="1581">
        <f t="shared" ref="F261:F324" si="8">D261*E261</f>
        <v>0</v>
      </c>
      <c r="G261" s="1582" t="e">
        <f t="shared" ref="G261:G324" si="9">F261/$F$784</f>
        <v>#DIV/0!</v>
      </c>
      <c r="H261" s="2294">
        <v>0.66749999999999998</v>
      </c>
      <c r="I261" s="2295"/>
      <c r="J261" s="1550"/>
    </row>
    <row r="262" spans="1:10" ht="16.5">
      <c r="A262" s="1584">
        <v>4168</v>
      </c>
      <c r="B262" s="1585" t="s">
        <v>2698</v>
      </c>
      <c r="C262" s="1579" t="s">
        <v>2445</v>
      </c>
      <c r="D262" s="1580"/>
      <c r="E262" s="1580"/>
      <c r="F262" s="1581">
        <f t="shared" si="8"/>
        <v>0</v>
      </c>
      <c r="G262" s="1582" t="e">
        <f t="shared" si="9"/>
        <v>#DIV/0!</v>
      </c>
      <c r="H262" s="2294">
        <v>0.65380000000000005</v>
      </c>
      <c r="I262" s="2295"/>
      <c r="J262" s="1550"/>
    </row>
    <row r="263" spans="1:10" ht="16.5">
      <c r="A263" s="1584">
        <v>4171</v>
      </c>
      <c r="B263" s="1585" t="s">
        <v>2699</v>
      </c>
      <c r="C263" s="1579" t="s">
        <v>2445</v>
      </c>
      <c r="D263" s="1580"/>
      <c r="E263" s="1580"/>
      <c r="F263" s="1581">
        <f t="shared" si="8"/>
        <v>0</v>
      </c>
      <c r="G263" s="1582" t="e">
        <f t="shared" si="9"/>
        <v>#DIV/0!</v>
      </c>
      <c r="H263" s="2294">
        <v>0.19159999999999999</v>
      </c>
      <c r="I263" s="2295"/>
      <c r="J263" s="1550"/>
    </row>
    <row r="264" spans="1:10" ht="16.5">
      <c r="A264" s="1584">
        <v>4173</v>
      </c>
      <c r="B264" s="1585" t="s">
        <v>2700</v>
      </c>
      <c r="C264" s="1579" t="s">
        <v>2445</v>
      </c>
      <c r="D264" s="1580"/>
      <c r="E264" s="1580"/>
      <c r="F264" s="1581">
        <f t="shared" si="8"/>
        <v>0</v>
      </c>
      <c r="G264" s="1582" t="e">
        <f t="shared" si="9"/>
        <v>#DIV/0!</v>
      </c>
      <c r="H264" s="2294">
        <v>0.4501</v>
      </c>
      <c r="I264" s="2295"/>
      <c r="J264" s="1550"/>
    </row>
    <row r="265" spans="1:10" ht="16.5">
      <c r="A265" s="1584">
        <v>4174</v>
      </c>
      <c r="B265" s="1585" t="s">
        <v>2701</v>
      </c>
      <c r="C265" s="1579" t="s">
        <v>2445</v>
      </c>
      <c r="D265" s="1580"/>
      <c r="E265" s="1580"/>
      <c r="F265" s="1581">
        <f t="shared" si="8"/>
        <v>0</v>
      </c>
      <c r="G265" s="1582" t="e">
        <f t="shared" si="9"/>
        <v>#DIV/0!</v>
      </c>
      <c r="H265" s="2294">
        <v>0.74729999999999996</v>
      </c>
      <c r="I265" s="2295"/>
      <c r="J265" s="1550"/>
    </row>
    <row r="266" spans="1:10" ht="16.5">
      <c r="A266" s="1584">
        <v>4175</v>
      </c>
      <c r="B266" s="1585" t="s">
        <v>2702</v>
      </c>
      <c r="C266" s="1579" t="s">
        <v>2445</v>
      </c>
      <c r="D266" s="1580"/>
      <c r="E266" s="1580"/>
      <c r="F266" s="1581">
        <f t="shared" si="8"/>
        <v>0</v>
      </c>
      <c r="G266" s="1582" t="e">
        <f t="shared" si="9"/>
        <v>#DIV/0!</v>
      </c>
      <c r="H266" s="2294">
        <v>0.40960000000000002</v>
      </c>
      <c r="I266" s="2295"/>
      <c r="J266" s="1550"/>
    </row>
    <row r="267" spans="1:10" ht="16.5">
      <c r="A267" s="1584">
        <v>4183</v>
      </c>
      <c r="B267" s="1585" t="s">
        <v>2703</v>
      </c>
      <c r="C267" s="1579" t="s">
        <v>2445</v>
      </c>
      <c r="D267" s="1580"/>
      <c r="E267" s="1580"/>
      <c r="F267" s="1581">
        <f t="shared" si="8"/>
        <v>0</v>
      </c>
      <c r="G267" s="1582" t="e">
        <f t="shared" si="9"/>
        <v>#DIV/0!</v>
      </c>
      <c r="H267" s="2294">
        <v>0.28449999999999998</v>
      </c>
      <c r="I267" s="2295"/>
      <c r="J267" s="1550"/>
    </row>
    <row r="268" spans="1:10" ht="16.5">
      <c r="A268" s="1584">
        <v>4188</v>
      </c>
      <c r="B268" s="1585" t="s">
        <v>2704</v>
      </c>
      <c r="C268" s="1579" t="s">
        <v>2445</v>
      </c>
      <c r="D268" s="1580"/>
      <c r="E268" s="1580"/>
      <c r="F268" s="1581">
        <f t="shared" si="8"/>
        <v>0</v>
      </c>
      <c r="G268" s="1582" t="e">
        <f t="shared" si="9"/>
        <v>#DIV/0!</v>
      </c>
      <c r="H268" s="2294">
        <v>0.34539999999999998</v>
      </c>
      <c r="I268" s="2295"/>
      <c r="J268" s="1550"/>
    </row>
    <row r="269" spans="1:10" ht="16.5">
      <c r="A269" s="1584">
        <v>4192</v>
      </c>
      <c r="B269" s="1585" t="s">
        <v>2705</v>
      </c>
      <c r="C269" s="1579" t="s">
        <v>2445</v>
      </c>
      <c r="D269" s="1580"/>
      <c r="E269" s="1580"/>
      <c r="F269" s="1581">
        <f t="shared" si="8"/>
        <v>0</v>
      </c>
      <c r="G269" s="1582" t="e">
        <f t="shared" si="9"/>
        <v>#DIV/0!</v>
      </c>
      <c r="H269" s="2294">
        <v>0.37030000000000002</v>
      </c>
      <c r="I269" s="2295"/>
      <c r="J269" s="1550"/>
    </row>
    <row r="270" spans="1:10" ht="16.5">
      <c r="A270" s="1584">
        <v>4198</v>
      </c>
      <c r="B270" s="1585" t="s">
        <v>2706</v>
      </c>
      <c r="C270" s="1579" t="s">
        <v>2445</v>
      </c>
      <c r="D270" s="1580"/>
      <c r="E270" s="1580"/>
      <c r="F270" s="1581">
        <f t="shared" si="8"/>
        <v>0</v>
      </c>
      <c r="G270" s="1582" t="e">
        <f t="shared" si="9"/>
        <v>#DIV/0!</v>
      </c>
      <c r="H270" s="2294">
        <v>0.35570000000000002</v>
      </c>
      <c r="I270" s="2295"/>
      <c r="J270" s="1550"/>
    </row>
    <row r="271" spans="1:10" ht="16.5">
      <c r="A271" s="1584">
        <v>4205</v>
      </c>
      <c r="B271" s="1585" t="s">
        <v>2707</v>
      </c>
      <c r="C271" s="1579" t="s">
        <v>2445</v>
      </c>
      <c r="D271" s="1580"/>
      <c r="E271" s="1580"/>
      <c r="F271" s="1581">
        <f t="shared" si="8"/>
        <v>0</v>
      </c>
      <c r="G271" s="1582" t="e">
        <f t="shared" si="9"/>
        <v>#DIV/0!</v>
      </c>
      <c r="H271" s="2294">
        <v>0.1113</v>
      </c>
      <c r="I271" s="2295"/>
      <c r="J271" s="1550"/>
    </row>
    <row r="272" spans="1:10" ht="16.5">
      <c r="A272" s="1584">
        <v>4207</v>
      </c>
      <c r="B272" s="1585" t="s">
        <v>2708</v>
      </c>
      <c r="C272" s="1579" t="s">
        <v>2445</v>
      </c>
      <c r="D272" s="1580"/>
      <c r="E272" s="1580"/>
      <c r="F272" s="1581">
        <f t="shared" si="8"/>
        <v>0</v>
      </c>
      <c r="G272" s="1582" t="e">
        <f t="shared" si="9"/>
        <v>#DIV/0!</v>
      </c>
      <c r="H272" s="2294">
        <v>0.28589999999999999</v>
      </c>
      <c r="I272" s="2295"/>
      <c r="J272" s="1550"/>
    </row>
    <row r="273" spans="1:10" ht="16.5">
      <c r="A273" s="1584">
        <v>4303</v>
      </c>
      <c r="B273" s="1585" t="s">
        <v>2709</v>
      </c>
      <c r="C273" s="1579" t="s">
        <v>2445</v>
      </c>
      <c r="D273" s="1580"/>
      <c r="E273" s="1580"/>
      <c r="F273" s="1581">
        <f t="shared" si="8"/>
        <v>0</v>
      </c>
      <c r="G273" s="1582" t="e">
        <f t="shared" si="9"/>
        <v>#DIV/0!</v>
      </c>
      <c r="H273" s="2294">
        <v>0.72460000000000002</v>
      </c>
      <c r="I273" s="2295"/>
      <c r="J273" s="1550"/>
    </row>
    <row r="274" spans="1:10" ht="16.5">
      <c r="A274" s="1584">
        <v>4304</v>
      </c>
      <c r="B274" s="1585" t="s">
        <v>2710</v>
      </c>
      <c r="C274" s="1579" t="s">
        <v>2445</v>
      </c>
      <c r="D274" s="1580"/>
      <c r="E274" s="1580"/>
      <c r="F274" s="1581">
        <f t="shared" si="8"/>
        <v>0</v>
      </c>
      <c r="G274" s="1582" t="e">
        <f t="shared" si="9"/>
        <v>#DIV/0!</v>
      </c>
      <c r="H274" s="2294">
        <v>0.67110000000000003</v>
      </c>
      <c r="I274" s="2295"/>
      <c r="J274" s="1550"/>
    </row>
    <row r="275" spans="1:10" ht="16.5">
      <c r="A275" s="1584">
        <v>4305</v>
      </c>
      <c r="B275" s="1585" t="s">
        <v>2711</v>
      </c>
      <c r="C275" s="1579" t="s">
        <v>2445</v>
      </c>
      <c r="D275" s="1580"/>
      <c r="E275" s="1580"/>
      <c r="F275" s="1581">
        <f t="shared" si="8"/>
        <v>0</v>
      </c>
      <c r="G275" s="1582" t="e">
        <f t="shared" si="9"/>
        <v>#DIV/0!</v>
      </c>
      <c r="H275" s="2294">
        <v>-5.57E-2</v>
      </c>
      <c r="I275" s="2295"/>
      <c r="J275" s="1550"/>
    </row>
    <row r="276" spans="1:10" ht="16.5">
      <c r="A276" s="1584">
        <v>4401</v>
      </c>
      <c r="B276" s="1585" t="s">
        <v>2712</v>
      </c>
      <c r="C276" s="1579" t="s">
        <v>2445</v>
      </c>
      <c r="D276" s="1580"/>
      <c r="E276" s="1580"/>
      <c r="F276" s="1581">
        <f t="shared" si="8"/>
        <v>0</v>
      </c>
      <c r="G276" s="1582" t="e">
        <f t="shared" si="9"/>
        <v>#DIV/0!</v>
      </c>
      <c r="H276" s="2294">
        <v>0.93430000000000002</v>
      </c>
      <c r="I276" s="2295"/>
      <c r="J276" s="1550"/>
    </row>
    <row r="277" spans="1:10" ht="16.5">
      <c r="A277" s="1584">
        <v>4402</v>
      </c>
      <c r="B277" s="1585" t="s">
        <v>2713</v>
      </c>
      <c r="C277" s="1579" t="s">
        <v>2445</v>
      </c>
      <c r="D277" s="1580"/>
      <c r="E277" s="1580"/>
      <c r="F277" s="1581">
        <f t="shared" si="8"/>
        <v>0</v>
      </c>
      <c r="G277" s="1582" t="e">
        <f t="shared" si="9"/>
        <v>#DIV/0!</v>
      </c>
      <c r="H277" s="2294">
        <v>-0.30470000000000003</v>
      </c>
      <c r="I277" s="2295"/>
      <c r="J277" s="1550"/>
    </row>
    <row r="278" spans="1:10" ht="16.5">
      <c r="A278" s="1584">
        <v>4406</v>
      </c>
      <c r="B278" s="1585" t="s">
        <v>2714</v>
      </c>
      <c r="C278" s="1579" t="s">
        <v>2445</v>
      </c>
      <c r="D278" s="1580"/>
      <c r="E278" s="1580"/>
      <c r="F278" s="1581">
        <f t="shared" si="8"/>
        <v>0</v>
      </c>
      <c r="G278" s="1582" t="e">
        <f t="shared" si="9"/>
        <v>#DIV/0!</v>
      </c>
      <c r="H278" s="2294">
        <v>0.15509999999999999</v>
      </c>
      <c r="I278" s="2295"/>
      <c r="J278" s="1550"/>
    </row>
    <row r="279" spans="1:10" ht="16.5">
      <c r="A279" s="1584">
        <v>4413</v>
      </c>
      <c r="B279" s="1585" t="s">
        <v>2715</v>
      </c>
      <c r="C279" s="1579" t="s">
        <v>2445</v>
      </c>
      <c r="D279" s="1580"/>
      <c r="E279" s="1580"/>
      <c r="F279" s="1581">
        <f t="shared" si="8"/>
        <v>0</v>
      </c>
      <c r="G279" s="1582" t="e">
        <f t="shared" si="9"/>
        <v>#DIV/0!</v>
      </c>
      <c r="H279" s="2294">
        <v>0.29399999999999998</v>
      </c>
      <c r="I279" s="2295"/>
      <c r="J279" s="1550"/>
    </row>
    <row r="280" spans="1:10" ht="16.5">
      <c r="A280" s="1584">
        <v>4416</v>
      </c>
      <c r="B280" s="1585" t="s">
        <v>2716</v>
      </c>
      <c r="C280" s="1579" t="s">
        <v>2445</v>
      </c>
      <c r="D280" s="1580"/>
      <c r="E280" s="1580"/>
      <c r="F280" s="1581">
        <f t="shared" si="8"/>
        <v>0</v>
      </c>
      <c r="G280" s="1582" t="e">
        <f t="shared" si="9"/>
        <v>#DIV/0!</v>
      </c>
      <c r="H280" s="2294">
        <v>-0.32169999999999999</v>
      </c>
      <c r="I280" s="2295"/>
      <c r="J280" s="1550"/>
    </row>
    <row r="281" spans="1:10" ht="16.5">
      <c r="A281" s="1584">
        <v>4417</v>
      </c>
      <c r="B281" s="1585" t="s">
        <v>2717</v>
      </c>
      <c r="C281" s="1579" t="s">
        <v>2445</v>
      </c>
      <c r="D281" s="1580"/>
      <c r="E281" s="1580"/>
      <c r="F281" s="1581">
        <f t="shared" si="8"/>
        <v>0</v>
      </c>
      <c r="G281" s="1582" t="e">
        <f t="shared" si="9"/>
        <v>#DIV/0!</v>
      </c>
      <c r="H281" s="2294">
        <v>0.32279999999999998</v>
      </c>
      <c r="I281" s="2295"/>
      <c r="J281" s="1550"/>
    </row>
    <row r="282" spans="1:10" ht="16.5">
      <c r="A282" s="1584">
        <v>4419</v>
      </c>
      <c r="B282" s="1585" t="s">
        <v>5389</v>
      </c>
      <c r="C282" s="1579" t="s">
        <v>2445</v>
      </c>
      <c r="D282" s="1580"/>
      <c r="E282" s="1580"/>
      <c r="F282" s="1581">
        <f t="shared" si="8"/>
        <v>0</v>
      </c>
      <c r="G282" s="1582" t="e">
        <f t="shared" si="9"/>
        <v>#DIV/0!</v>
      </c>
      <c r="H282" s="2294">
        <v>-0.36969999999999997</v>
      </c>
      <c r="I282" s="2295"/>
      <c r="J282" s="1550"/>
    </row>
    <row r="283" spans="1:10" ht="16.5">
      <c r="A283" s="1584">
        <v>4420</v>
      </c>
      <c r="B283" s="1585" t="s">
        <v>2718</v>
      </c>
      <c r="C283" s="1579" t="s">
        <v>2445</v>
      </c>
      <c r="D283" s="1580"/>
      <c r="E283" s="1580"/>
      <c r="F283" s="1581">
        <f t="shared" si="8"/>
        <v>0</v>
      </c>
      <c r="G283" s="1582" t="e">
        <f t="shared" si="9"/>
        <v>#DIV/0!</v>
      </c>
      <c r="H283" s="2294">
        <v>0.12659999999999999</v>
      </c>
      <c r="I283" s="2295"/>
      <c r="J283" s="1550"/>
    </row>
    <row r="284" spans="1:10" ht="16.5">
      <c r="A284" s="1584">
        <v>4429</v>
      </c>
      <c r="B284" s="1585" t="s">
        <v>2719</v>
      </c>
      <c r="C284" s="1579" t="s">
        <v>2445</v>
      </c>
      <c r="D284" s="1580"/>
      <c r="E284" s="1580"/>
      <c r="F284" s="1581">
        <f t="shared" si="8"/>
        <v>0</v>
      </c>
      <c r="G284" s="1582" t="e">
        <f t="shared" si="9"/>
        <v>#DIV/0!</v>
      </c>
      <c r="H284" s="2294">
        <v>-4.8000000000000001E-2</v>
      </c>
      <c r="I284" s="2295"/>
      <c r="J284" s="1550"/>
    </row>
    <row r="285" spans="1:10" ht="16.5">
      <c r="A285" s="1584">
        <v>4430</v>
      </c>
      <c r="B285" s="1585" t="s">
        <v>2720</v>
      </c>
      <c r="C285" s="1579" t="s">
        <v>2445</v>
      </c>
      <c r="D285" s="1580"/>
      <c r="E285" s="1580"/>
      <c r="F285" s="1581">
        <f t="shared" si="8"/>
        <v>0</v>
      </c>
      <c r="G285" s="1582" t="e">
        <f t="shared" si="9"/>
        <v>#DIV/0!</v>
      </c>
      <c r="H285" s="2294">
        <v>0.39340000000000003</v>
      </c>
      <c r="I285" s="2295"/>
      <c r="J285" s="1550"/>
    </row>
    <row r="286" spans="1:10" ht="16.5">
      <c r="A286" s="1584">
        <v>4432</v>
      </c>
      <c r="B286" s="1585" t="s">
        <v>2721</v>
      </c>
      <c r="C286" s="1579" t="s">
        <v>2445</v>
      </c>
      <c r="D286" s="1580"/>
      <c r="E286" s="1580"/>
      <c r="F286" s="1581">
        <f t="shared" si="8"/>
        <v>0</v>
      </c>
      <c r="G286" s="1582" t="e">
        <f t="shared" si="9"/>
        <v>#DIV/0!</v>
      </c>
      <c r="H286" s="2294">
        <v>0.67149999999999999</v>
      </c>
      <c r="I286" s="2295"/>
      <c r="J286" s="1550"/>
    </row>
    <row r="287" spans="1:10" ht="16.5">
      <c r="A287" s="1584">
        <v>4433</v>
      </c>
      <c r="B287" s="1585" t="s">
        <v>2722</v>
      </c>
      <c r="C287" s="1579" t="s">
        <v>2445</v>
      </c>
      <c r="D287" s="1580"/>
      <c r="E287" s="1580"/>
      <c r="F287" s="1581">
        <f t="shared" si="8"/>
        <v>0</v>
      </c>
      <c r="G287" s="1582" t="e">
        <f t="shared" si="9"/>
        <v>#DIV/0!</v>
      </c>
      <c r="H287" s="2294">
        <v>0.94399999999999995</v>
      </c>
      <c r="I287" s="2295"/>
      <c r="J287" s="1550"/>
    </row>
    <row r="288" spans="1:10" ht="16.5">
      <c r="A288" s="1584">
        <v>4502</v>
      </c>
      <c r="B288" s="1585" t="s">
        <v>2723</v>
      </c>
      <c r="C288" s="1579" t="s">
        <v>2445</v>
      </c>
      <c r="D288" s="1580"/>
      <c r="E288" s="1580"/>
      <c r="F288" s="1581">
        <f t="shared" si="8"/>
        <v>0</v>
      </c>
      <c r="G288" s="1582" t="e">
        <f t="shared" si="9"/>
        <v>#DIV/0!</v>
      </c>
      <c r="H288" s="2294">
        <v>0.31459999999999999</v>
      </c>
      <c r="I288" s="2295"/>
      <c r="J288" s="1550"/>
    </row>
    <row r="289" spans="1:10" ht="16.5">
      <c r="A289" s="1584">
        <v>4503</v>
      </c>
      <c r="B289" s="1585" t="s">
        <v>2724</v>
      </c>
      <c r="C289" s="1579" t="s">
        <v>2445</v>
      </c>
      <c r="D289" s="1580"/>
      <c r="E289" s="1580"/>
      <c r="F289" s="1581">
        <f t="shared" si="8"/>
        <v>0</v>
      </c>
      <c r="G289" s="1582" t="e">
        <f t="shared" si="9"/>
        <v>#DIV/0!</v>
      </c>
      <c r="H289" s="2294">
        <v>0.28610000000000002</v>
      </c>
      <c r="I289" s="2295"/>
      <c r="J289" s="1550"/>
    </row>
    <row r="290" spans="1:10" ht="16.5">
      <c r="A290" s="1584">
        <v>4506</v>
      </c>
      <c r="B290" s="1585" t="s">
        <v>2725</v>
      </c>
      <c r="C290" s="1579" t="s">
        <v>2445</v>
      </c>
      <c r="D290" s="1580"/>
      <c r="E290" s="1580"/>
      <c r="F290" s="1581">
        <f t="shared" si="8"/>
        <v>0</v>
      </c>
      <c r="G290" s="1582" t="e">
        <f t="shared" si="9"/>
        <v>#DIV/0!</v>
      </c>
      <c r="H290" s="2294">
        <v>8.0600000000000005E-2</v>
      </c>
      <c r="I290" s="2295"/>
      <c r="J290" s="1550"/>
    </row>
    <row r="291" spans="1:10" ht="16.5">
      <c r="A291" s="1584">
        <v>4510</v>
      </c>
      <c r="B291" s="1585" t="s">
        <v>2726</v>
      </c>
      <c r="C291" s="1579" t="s">
        <v>2445</v>
      </c>
      <c r="D291" s="1580"/>
      <c r="E291" s="1580"/>
      <c r="F291" s="1581">
        <f t="shared" si="8"/>
        <v>0</v>
      </c>
      <c r="G291" s="1582" t="e">
        <f t="shared" si="9"/>
        <v>#DIV/0!</v>
      </c>
      <c r="H291" s="2294">
        <v>0.61219999999999997</v>
      </c>
      <c r="I291" s="2295"/>
      <c r="J291" s="1550"/>
    </row>
    <row r="292" spans="1:10" ht="16.5">
      <c r="A292" s="1584">
        <v>4513</v>
      </c>
      <c r="B292" s="1585" t="s">
        <v>2727</v>
      </c>
      <c r="C292" s="1579" t="s">
        <v>2445</v>
      </c>
      <c r="D292" s="1580"/>
      <c r="E292" s="1580"/>
      <c r="F292" s="1581">
        <f t="shared" si="8"/>
        <v>0</v>
      </c>
      <c r="G292" s="1582" t="e">
        <f t="shared" si="9"/>
        <v>#DIV/0!</v>
      </c>
      <c r="H292" s="2294">
        <v>0.30049999999999999</v>
      </c>
      <c r="I292" s="2295"/>
      <c r="J292" s="1550"/>
    </row>
    <row r="293" spans="1:10" ht="16.5">
      <c r="A293" s="1584">
        <v>4523</v>
      </c>
      <c r="B293" s="1585" t="s">
        <v>2728</v>
      </c>
      <c r="C293" s="1579" t="s">
        <v>2445</v>
      </c>
      <c r="D293" s="1580"/>
      <c r="E293" s="1580"/>
      <c r="F293" s="1581">
        <f t="shared" si="8"/>
        <v>0</v>
      </c>
      <c r="G293" s="1582" t="e">
        <f t="shared" si="9"/>
        <v>#DIV/0!</v>
      </c>
      <c r="H293" s="2294">
        <v>0.87670000000000003</v>
      </c>
      <c r="I293" s="2295"/>
      <c r="J293" s="1550"/>
    </row>
    <row r="294" spans="1:10" ht="16.5">
      <c r="A294" s="1584">
        <v>4527</v>
      </c>
      <c r="B294" s="1585" t="s">
        <v>2729</v>
      </c>
      <c r="C294" s="1579" t="s">
        <v>2445</v>
      </c>
      <c r="D294" s="1580"/>
      <c r="E294" s="1580"/>
      <c r="F294" s="1581">
        <f t="shared" si="8"/>
        <v>0</v>
      </c>
      <c r="G294" s="1582" t="e">
        <f t="shared" si="9"/>
        <v>#DIV/0!</v>
      </c>
      <c r="H294" s="2294">
        <v>0.18540000000000001</v>
      </c>
      <c r="I294" s="2295"/>
      <c r="J294" s="1550"/>
    </row>
    <row r="295" spans="1:10" ht="16.5">
      <c r="A295" s="1584">
        <v>4528</v>
      </c>
      <c r="B295" s="1585" t="s">
        <v>2730</v>
      </c>
      <c r="C295" s="1579" t="s">
        <v>2445</v>
      </c>
      <c r="D295" s="1580"/>
      <c r="E295" s="1580"/>
      <c r="F295" s="1581">
        <f t="shared" si="8"/>
        <v>0</v>
      </c>
      <c r="G295" s="1582" t="e">
        <f t="shared" si="9"/>
        <v>#DIV/0!</v>
      </c>
      <c r="H295" s="2294">
        <v>0.89910000000000001</v>
      </c>
      <c r="I295" s="2295"/>
      <c r="J295" s="1550"/>
    </row>
    <row r="296" spans="1:10" ht="16.5">
      <c r="A296" s="1584">
        <v>4529</v>
      </c>
      <c r="B296" s="1585" t="s">
        <v>2731</v>
      </c>
      <c r="C296" s="1579" t="s">
        <v>2445</v>
      </c>
      <c r="D296" s="1580"/>
      <c r="E296" s="1580"/>
      <c r="F296" s="1581">
        <f t="shared" si="8"/>
        <v>0</v>
      </c>
      <c r="G296" s="1582" t="e">
        <f t="shared" si="9"/>
        <v>#DIV/0!</v>
      </c>
      <c r="H296" s="2294">
        <v>0.79949999999999999</v>
      </c>
      <c r="I296" s="2295"/>
      <c r="J296" s="1550"/>
    </row>
    <row r="297" spans="1:10" ht="16.5">
      <c r="A297" s="1584">
        <v>4530</v>
      </c>
      <c r="B297" s="1585" t="s">
        <v>5390</v>
      </c>
      <c r="C297" s="1579" t="s">
        <v>2445</v>
      </c>
      <c r="D297" s="1580"/>
      <c r="E297" s="1580"/>
      <c r="F297" s="1581">
        <f t="shared" si="8"/>
        <v>0</v>
      </c>
      <c r="G297" s="1582" t="e">
        <f t="shared" si="9"/>
        <v>#DIV/0!</v>
      </c>
      <c r="H297" s="2294">
        <v>0.15140000000000001</v>
      </c>
      <c r="I297" s="2295"/>
      <c r="J297" s="1550"/>
    </row>
    <row r="298" spans="1:10" ht="16.5">
      <c r="A298" s="1584">
        <v>4533</v>
      </c>
      <c r="B298" s="1585" t="s">
        <v>2732</v>
      </c>
      <c r="C298" s="1579" t="s">
        <v>2445</v>
      </c>
      <c r="D298" s="1580"/>
      <c r="E298" s="1580"/>
      <c r="F298" s="1581">
        <f t="shared" si="8"/>
        <v>0</v>
      </c>
      <c r="G298" s="1582" t="e">
        <f t="shared" si="9"/>
        <v>#DIV/0!</v>
      </c>
      <c r="H298" s="2294">
        <v>0.27389999999999998</v>
      </c>
      <c r="I298" s="2295"/>
      <c r="J298" s="1550"/>
    </row>
    <row r="299" spans="1:10" ht="16.5">
      <c r="A299" s="1584">
        <v>4534</v>
      </c>
      <c r="B299" s="1585" t="s">
        <v>2733</v>
      </c>
      <c r="C299" s="1579" t="s">
        <v>2445</v>
      </c>
      <c r="D299" s="1580"/>
      <c r="E299" s="1580"/>
      <c r="F299" s="1581">
        <f t="shared" si="8"/>
        <v>0</v>
      </c>
      <c r="G299" s="1582" t="e">
        <f t="shared" si="9"/>
        <v>#DIV/0!</v>
      </c>
      <c r="H299" s="2294">
        <v>0.70199999999999996</v>
      </c>
      <c r="I299" s="2295"/>
      <c r="J299" s="1550"/>
    </row>
    <row r="300" spans="1:10" ht="16.5">
      <c r="A300" s="1584">
        <v>4535</v>
      </c>
      <c r="B300" s="1585" t="s">
        <v>2734</v>
      </c>
      <c r="C300" s="1579" t="s">
        <v>2445</v>
      </c>
      <c r="D300" s="1580"/>
      <c r="E300" s="1580"/>
      <c r="F300" s="1581">
        <f t="shared" si="8"/>
        <v>0</v>
      </c>
      <c r="G300" s="1582" t="e">
        <f t="shared" si="9"/>
        <v>#DIV/0!</v>
      </c>
      <c r="H300" s="2294">
        <v>0.25369999999999998</v>
      </c>
      <c r="I300" s="2295"/>
      <c r="J300" s="1550"/>
    </row>
    <row r="301" spans="1:10" ht="16.5">
      <c r="A301" s="1584">
        <v>4538</v>
      </c>
      <c r="B301" s="1585" t="s">
        <v>5391</v>
      </c>
      <c r="C301" s="1579" t="s">
        <v>2445</v>
      </c>
      <c r="D301" s="1580"/>
      <c r="E301" s="1580"/>
      <c r="F301" s="1581">
        <f t="shared" si="8"/>
        <v>0</v>
      </c>
      <c r="G301" s="1582" t="e">
        <f t="shared" si="9"/>
        <v>#DIV/0!</v>
      </c>
      <c r="H301" s="2294">
        <v>1</v>
      </c>
      <c r="I301" s="2295" t="s">
        <v>5478</v>
      </c>
      <c r="J301" s="1550"/>
    </row>
    <row r="302" spans="1:10" ht="16.5">
      <c r="A302" s="1584">
        <v>4541</v>
      </c>
      <c r="B302" s="1585" t="s">
        <v>2735</v>
      </c>
      <c r="C302" s="1579" t="s">
        <v>2445</v>
      </c>
      <c r="D302" s="1580"/>
      <c r="E302" s="1580"/>
      <c r="F302" s="1581">
        <f t="shared" si="8"/>
        <v>0</v>
      </c>
      <c r="G302" s="1582" t="e">
        <f t="shared" si="9"/>
        <v>#DIV/0!</v>
      </c>
      <c r="H302" s="2294">
        <v>0.57609999999999995</v>
      </c>
      <c r="I302" s="2295"/>
      <c r="J302" s="1550"/>
    </row>
    <row r="303" spans="1:10" ht="16.5">
      <c r="A303" s="1584">
        <v>4542</v>
      </c>
      <c r="B303" s="1585" t="s">
        <v>2736</v>
      </c>
      <c r="C303" s="1579" t="s">
        <v>2445</v>
      </c>
      <c r="D303" s="1580"/>
      <c r="E303" s="1580"/>
      <c r="F303" s="1581">
        <f t="shared" si="8"/>
        <v>0</v>
      </c>
      <c r="G303" s="1582" t="e">
        <f t="shared" si="9"/>
        <v>#DIV/0!</v>
      </c>
      <c r="H303" s="2294">
        <v>0.1709</v>
      </c>
      <c r="I303" s="2295"/>
      <c r="J303" s="1550"/>
    </row>
    <row r="304" spans="1:10" ht="16.5">
      <c r="A304" s="1584">
        <v>4543</v>
      </c>
      <c r="B304" s="1585" t="s">
        <v>2737</v>
      </c>
      <c r="C304" s="1579" t="s">
        <v>2445</v>
      </c>
      <c r="D304" s="1580"/>
      <c r="E304" s="1580"/>
      <c r="F304" s="1581">
        <f t="shared" si="8"/>
        <v>0</v>
      </c>
      <c r="G304" s="1582" t="e">
        <f t="shared" si="9"/>
        <v>#DIV/0!</v>
      </c>
      <c r="H304" s="2294">
        <v>0.32700000000000001</v>
      </c>
      <c r="I304" s="2295"/>
      <c r="J304" s="1550"/>
    </row>
    <row r="305" spans="1:10" ht="16.5">
      <c r="A305" s="1584">
        <v>4549</v>
      </c>
      <c r="B305" s="1585" t="s">
        <v>2738</v>
      </c>
      <c r="C305" s="1579" t="s">
        <v>2445</v>
      </c>
      <c r="D305" s="1580"/>
      <c r="E305" s="1580"/>
      <c r="F305" s="1581">
        <f t="shared" si="8"/>
        <v>0</v>
      </c>
      <c r="G305" s="1582" t="e">
        <f t="shared" si="9"/>
        <v>#DIV/0!</v>
      </c>
      <c r="H305" s="2294">
        <v>0.29780000000000001</v>
      </c>
      <c r="I305" s="2295"/>
      <c r="J305" s="1550"/>
    </row>
    <row r="306" spans="1:10" ht="16.5">
      <c r="A306" s="1584">
        <v>4550</v>
      </c>
      <c r="B306" s="1585" t="s">
        <v>2739</v>
      </c>
      <c r="C306" s="1579" t="s">
        <v>2445</v>
      </c>
      <c r="D306" s="1580"/>
      <c r="E306" s="1580"/>
      <c r="F306" s="1581">
        <f t="shared" si="8"/>
        <v>0</v>
      </c>
      <c r="G306" s="1582" t="e">
        <f t="shared" si="9"/>
        <v>#DIV/0!</v>
      </c>
      <c r="H306" s="2294">
        <v>0.13780000000000001</v>
      </c>
      <c r="I306" s="2295"/>
      <c r="J306" s="1550"/>
    </row>
    <row r="307" spans="1:10" ht="16.5">
      <c r="A307" s="1584">
        <v>4554</v>
      </c>
      <c r="B307" s="1585" t="s">
        <v>2740</v>
      </c>
      <c r="C307" s="1579" t="s">
        <v>2445</v>
      </c>
      <c r="D307" s="1580"/>
      <c r="E307" s="1580"/>
      <c r="F307" s="1581">
        <f t="shared" si="8"/>
        <v>0</v>
      </c>
      <c r="G307" s="1582" t="e">
        <f t="shared" si="9"/>
        <v>#DIV/0!</v>
      </c>
      <c r="H307" s="2294">
        <v>0.69640000000000002</v>
      </c>
      <c r="I307" s="2295"/>
      <c r="J307" s="1550"/>
    </row>
    <row r="308" spans="1:10" ht="16.5">
      <c r="A308" s="1584">
        <v>4556</v>
      </c>
      <c r="B308" s="1585" t="s">
        <v>2741</v>
      </c>
      <c r="C308" s="1579" t="s">
        <v>2445</v>
      </c>
      <c r="D308" s="1580"/>
      <c r="E308" s="1580"/>
      <c r="F308" s="1581">
        <f t="shared" si="8"/>
        <v>0</v>
      </c>
      <c r="G308" s="1582" t="e">
        <f t="shared" si="9"/>
        <v>#DIV/0!</v>
      </c>
      <c r="H308" s="2294">
        <v>0.15379999999999999</v>
      </c>
      <c r="I308" s="2295"/>
      <c r="J308" s="1550"/>
    </row>
    <row r="309" spans="1:10" ht="16.5">
      <c r="A309" s="1584">
        <v>4561</v>
      </c>
      <c r="B309" s="1585" t="s">
        <v>2742</v>
      </c>
      <c r="C309" s="1579" t="s">
        <v>2445</v>
      </c>
      <c r="D309" s="1580"/>
      <c r="E309" s="1580"/>
      <c r="F309" s="1581">
        <f t="shared" si="8"/>
        <v>0</v>
      </c>
      <c r="G309" s="1582" t="e">
        <f t="shared" si="9"/>
        <v>#DIV/0!</v>
      </c>
      <c r="H309" s="2294">
        <v>0.39700000000000002</v>
      </c>
      <c r="I309" s="2295"/>
      <c r="J309" s="1550"/>
    </row>
    <row r="310" spans="1:10" ht="16.5">
      <c r="A310" s="1584">
        <v>4563</v>
      </c>
      <c r="B310" s="1585" t="s">
        <v>2743</v>
      </c>
      <c r="C310" s="1579" t="s">
        <v>2445</v>
      </c>
      <c r="D310" s="1580"/>
      <c r="E310" s="1580"/>
      <c r="F310" s="1581">
        <f t="shared" si="8"/>
        <v>0</v>
      </c>
      <c r="G310" s="1582" t="e">
        <f t="shared" si="9"/>
        <v>#DIV/0!</v>
      </c>
      <c r="H310" s="2294">
        <v>0.2311</v>
      </c>
      <c r="I310" s="2295"/>
      <c r="J310" s="1550"/>
    </row>
    <row r="311" spans="1:10" ht="16.5">
      <c r="A311" s="1584">
        <v>4568</v>
      </c>
      <c r="B311" s="1585" t="s">
        <v>2744</v>
      </c>
      <c r="C311" s="1579" t="s">
        <v>2445</v>
      </c>
      <c r="D311" s="1580"/>
      <c r="E311" s="1580"/>
      <c r="F311" s="1581">
        <f t="shared" si="8"/>
        <v>0</v>
      </c>
      <c r="G311" s="1582" t="e">
        <f t="shared" si="9"/>
        <v>#DIV/0!</v>
      </c>
      <c r="H311" s="2294">
        <v>0.45610000000000001</v>
      </c>
      <c r="I311" s="2295"/>
      <c r="J311" s="1550"/>
    </row>
    <row r="312" spans="1:10" ht="16.5">
      <c r="A312" s="1584">
        <v>4609</v>
      </c>
      <c r="B312" s="1585" t="s">
        <v>2745</v>
      </c>
      <c r="C312" s="1579" t="s">
        <v>2445</v>
      </c>
      <c r="D312" s="1580"/>
      <c r="E312" s="1580"/>
      <c r="F312" s="1581">
        <f t="shared" si="8"/>
        <v>0</v>
      </c>
      <c r="G312" s="1582" t="e">
        <f t="shared" si="9"/>
        <v>#DIV/0!</v>
      </c>
      <c r="H312" s="2294">
        <v>0.72899999999999998</v>
      </c>
      <c r="I312" s="2295"/>
      <c r="J312" s="1550"/>
    </row>
    <row r="313" spans="1:10" ht="16.5">
      <c r="A313" s="1584">
        <v>4702</v>
      </c>
      <c r="B313" s="1585" t="s">
        <v>2746</v>
      </c>
      <c r="C313" s="1579" t="s">
        <v>2445</v>
      </c>
      <c r="D313" s="1580"/>
      <c r="E313" s="1580"/>
      <c r="F313" s="1581">
        <f t="shared" si="8"/>
        <v>0</v>
      </c>
      <c r="G313" s="1582" t="e">
        <f t="shared" si="9"/>
        <v>#DIV/0!</v>
      </c>
      <c r="H313" s="2294">
        <v>-0.40620000000000001</v>
      </c>
      <c r="I313" s="2295"/>
      <c r="J313" s="1550"/>
    </row>
    <row r="314" spans="1:10" ht="16.5">
      <c r="A314" s="1584">
        <v>4706</v>
      </c>
      <c r="B314" s="1585" t="s">
        <v>2747</v>
      </c>
      <c r="C314" s="1579" t="s">
        <v>2445</v>
      </c>
      <c r="D314" s="1580"/>
      <c r="E314" s="1580"/>
      <c r="F314" s="1581">
        <f t="shared" si="8"/>
        <v>0</v>
      </c>
      <c r="G314" s="1582" t="e">
        <f t="shared" si="9"/>
        <v>#DIV/0!</v>
      </c>
      <c r="H314" s="2294">
        <v>0.1014</v>
      </c>
      <c r="I314" s="2295"/>
      <c r="J314" s="1550"/>
    </row>
    <row r="315" spans="1:10" ht="16.5">
      <c r="A315" s="1584">
        <v>4707</v>
      </c>
      <c r="B315" s="1585" t="s">
        <v>2748</v>
      </c>
      <c r="C315" s="1579" t="s">
        <v>2445</v>
      </c>
      <c r="D315" s="1580"/>
      <c r="E315" s="1580"/>
      <c r="F315" s="1581">
        <f t="shared" si="8"/>
        <v>0</v>
      </c>
      <c r="G315" s="1582" t="e">
        <f t="shared" si="9"/>
        <v>#DIV/0!</v>
      </c>
      <c r="H315" s="2294">
        <v>0.23100000000000001</v>
      </c>
      <c r="I315" s="2295"/>
      <c r="J315" s="1550"/>
    </row>
    <row r="316" spans="1:10" ht="16.5">
      <c r="A316" s="1584">
        <v>4711</v>
      </c>
      <c r="B316" s="1585" t="s">
        <v>2749</v>
      </c>
      <c r="C316" s="1579" t="s">
        <v>2445</v>
      </c>
      <c r="D316" s="1580"/>
      <c r="E316" s="1580"/>
      <c r="F316" s="1581">
        <f t="shared" si="8"/>
        <v>0</v>
      </c>
      <c r="G316" s="1582" t="e">
        <f t="shared" si="9"/>
        <v>#DIV/0!</v>
      </c>
      <c r="H316" s="2294">
        <v>4.6800000000000001E-2</v>
      </c>
      <c r="I316" s="2295"/>
      <c r="J316" s="1550"/>
    </row>
    <row r="317" spans="1:10" ht="16.5">
      <c r="A317" s="1584">
        <v>4712</v>
      </c>
      <c r="B317" s="1585" t="s">
        <v>2750</v>
      </c>
      <c r="C317" s="1579" t="s">
        <v>2445</v>
      </c>
      <c r="D317" s="1580"/>
      <c r="E317" s="1580"/>
      <c r="F317" s="1581">
        <f t="shared" si="8"/>
        <v>0</v>
      </c>
      <c r="G317" s="1582" t="e">
        <f t="shared" si="9"/>
        <v>#DIV/0!</v>
      </c>
      <c r="H317" s="2294">
        <v>0.48259999999999997</v>
      </c>
      <c r="I317" s="2295"/>
      <c r="J317" s="1550"/>
    </row>
    <row r="318" spans="1:10" ht="16.5">
      <c r="A318" s="1584">
        <v>4714</v>
      </c>
      <c r="B318" s="1585" t="s">
        <v>2751</v>
      </c>
      <c r="C318" s="1579" t="s">
        <v>2445</v>
      </c>
      <c r="D318" s="1580"/>
      <c r="E318" s="1580"/>
      <c r="F318" s="1581">
        <f t="shared" si="8"/>
        <v>0</v>
      </c>
      <c r="G318" s="1582" t="e">
        <f t="shared" si="9"/>
        <v>#DIV/0!</v>
      </c>
      <c r="H318" s="2294">
        <v>1.0909</v>
      </c>
      <c r="I318" s="2295"/>
      <c r="J318" s="1550"/>
    </row>
    <row r="319" spans="1:10" ht="16.5">
      <c r="A319" s="1584">
        <v>4716</v>
      </c>
      <c r="B319" s="1585" t="s">
        <v>2752</v>
      </c>
      <c r="C319" s="1579" t="s">
        <v>2445</v>
      </c>
      <c r="D319" s="1580"/>
      <c r="E319" s="1580"/>
      <c r="F319" s="1581">
        <f t="shared" si="8"/>
        <v>0</v>
      </c>
      <c r="G319" s="1582" t="e">
        <f t="shared" si="9"/>
        <v>#DIV/0!</v>
      </c>
      <c r="H319" s="2294">
        <v>0.27939999999999998</v>
      </c>
      <c r="I319" s="2295"/>
      <c r="J319" s="1550"/>
    </row>
    <row r="320" spans="1:10" ht="16.5">
      <c r="A320" s="1584">
        <v>4721</v>
      </c>
      <c r="B320" s="1585" t="s">
        <v>2753</v>
      </c>
      <c r="C320" s="1579" t="s">
        <v>2445</v>
      </c>
      <c r="D320" s="1580"/>
      <c r="E320" s="1580"/>
      <c r="F320" s="1581">
        <f t="shared" si="8"/>
        <v>0</v>
      </c>
      <c r="G320" s="1582" t="e">
        <f t="shared" si="9"/>
        <v>#DIV/0!</v>
      </c>
      <c r="H320" s="2294">
        <v>1.1826000000000001</v>
      </c>
      <c r="I320" s="2295"/>
      <c r="J320" s="1550"/>
    </row>
    <row r="321" spans="1:10" ht="16.5">
      <c r="A321" s="1584">
        <v>4726</v>
      </c>
      <c r="B321" s="1585" t="s">
        <v>2754</v>
      </c>
      <c r="C321" s="1579" t="s">
        <v>2445</v>
      </c>
      <c r="D321" s="1580"/>
      <c r="E321" s="1580"/>
      <c r="F321" s="1581">
        <f t="shared" si="8"/>
        <v>0</v>
      </c>
      <c r="G321" s="1582" t="e">
        <f t="shared" si="9"/>
        <v>#DIV/0!</v>
      </c>
      <c r="H321" s="2294">
        <v>0.4672</v>
      </c>
      <c r="I321" s="2295"/>
      <c r="J321" s="1550"/>
    </row>
    <row r="322" spans="1:10" ht="16.5">
      <c r="A322" s="1584">
        <v>4728</v>
      </c>
      <c r="B322" s="1585" t="s">
        <v>2755</v>
      </c>
      <c r="C322" s="1579" t="s">
        <v>2445</v>
      </c>
      <c r="D322" s="1580"/>
      <c r="E322" s="1580"/>
      <c r="F322" s="1581">
        <f t="shared" si="8"/>
        <v>0</v>
      </c>
      <c r="G322" s="1582" t="e">
        <f t="shared" si="9"/>
        <v>#DIV/0!</v>
      </c>
      <c r="H322" s="2294">
        <v>0.54859999999999998</v>
      </c>
      <c r="I322" s="2295"/>
      <c r="J322" s="1550"/>
    </row>
    <row r="323" spans="1:10" ht="16.5">
      <c r="A323" s="1584">
        <v>4729</v>
      </c>
      <c r="B323" s="1585" t="s">
        <v>2756</v>
      </c>
      <c r="C323" s="1579" t="s">
        <v>2445</v>
      </c>
      <c r="D323" s="1580"/>
      <c r="E323" s="1580"/>
      <c r="F323" s="1581">
        <f t="shared" si="8"/>
        <v>0</v>
      </c>
      <c r="G323" s="1582" t="e">
        <f t="shared" si="9"/>
        <v>#DIV/0!</v>
      </c>
      <c r="H323" s="2294">
        <v>0.28660000000000002</v>
      </c>
      <c r="I323" s="2295"/>
      <c r="J323" s="1550"/>
    </row>
    <row r="324" spans="1:10" ht="16.5">
      <c r="A324" s="1584">
        <v>4735</v>
      </c>
      <c r="B324" s="1585" t="s">
        <v>2757</v>
      </c>
      <c r="C324" s="1579" t="s">
        <v>2445</v>
      </c>
      <c r="D324" s="1580"/>
      <c r="E324" s="1580"/>
      <c r="F324" s="1581">
        <f t="shared" si="8"/>
        <v>0</v>
      </c>
      <c r="G324" s="1582" t="e">
        <f t="shared" si="9"/>
        <v>#DIV/0!</v>
      </c>
      <c r="H324" s="2294">
        <v>0.68169999999999997</v>
      </c>
      <c r="I324" s="2295"/>
      <c r="J324" s="1550"/>
    </row>
    <row r="325" spans="1:10" ht="16.5">
      <c r="A325" s="1584">
        <v>4736</v>
      </c>
      <c r="B325" s="1585" t="s">
        <v>2758</v>
      </c>
      <c r="C325" s="1579" t="s">
        <v>2445</v>
      </c>
      <c r="D325" s="1580"/>
      <c r="E325" s="1580"/>
      <c r="F325" s="1581">
        <f t="shared" ref="F325:F388" si="10">D325*E325</f>
        <v>0</v>
      </c>
      <c r="G325" s="1582" t="e">
        <f t="shared" ref="G325:G388" si="11">F325/$F$784</f>
        <v>#DIV/0!</v>
      </c>
      <c r="H325" s="2294">
        <v>1.1403000000000001</v>
      </c>
      <c r="I325" s="2295"/>
      <c r="J325" s="1550"/>
    </row>
    <row r="326" spans="1:10" ht="16.5">
      <c r="A326" s="1584">
        <v>4741</v>
      </c>
      <c r="B326" s="1585" t="s">
        <v>2759</v>
      </c>
      <c r="C326" s="1579" t="s">
        <v>2445</v>
      </c>
      <c r="D326" s="1580"/>
      <c r="E326" s="1580"/>
      <c r="F326" s="1581">
        <f t="shared" si="10"/>
        <v>0</v>
      </c>
      <c r="G326" s="1582" t="e">
        <f t="shared" si="11"/>
        <v>#DIV/0!</v>
      </c>
      <c r="H326" s="2294">
        <v>0.48780000000000001</v>
      </c>
      <c r="I326" s="2295"/>
      <c r="J326" s="1550"/>
    </row>
    <row r="327" spans="1:10" ht="16.5">
      <c r="A327" s="1584">
        <v>4743</v>
      </c>
      <c r="B327" s="1585" t="s">
        <v>2760</v>
      </c>
      <c r="C327" s="1579" t="s">
        <v>2445</v>
      </c>
      <c r="D327" s="1580"/>
      <c r="E327" s="1580"/>
      <c r="F327" s="1581">
        <f t="shared" si="10"/>
        <v>0</v>
      </c>
      <c r="G327" s="1582" t="e">
        <f t="shared" si="11"/>
        <v>#DIV/0!</v>
      </c>
      <c r="H327" s="2294">
        <v>0.55889999999999995</v>
      </c>
      <c r="I327" s="2295"/>
      <c r="J327" s="1550"/>
    </row>
    <row r="328" spans="1:10" ht="16.5">
      <c r="A328" s="1584">
        <v>4744</v>
      </c>
      <c r="B328" s="1585" t="s">
        <v>2761</v>
      </c>
      <c r="C328" s="1579" t="s">
        <v>2445</v>
      </c>
      <c r="D328" s="1580"/>
      <c r="E328" s="1580"/>
      <c r="F328" s="1581">
        <f t="shared" si="10"/>
        <v>0</v>
      </c>
      <c r="G328" s="1582" t="e">
        <f t="shared" si="11"/>
        <v>#DIV/0!</v>
      </c>
      <c r="H328" s="2294">
        <v>0.31719999999999998</v>
      </c>
      <c r="I328" s="2295"/>
      <c r="J328" s="1550"/>
    </row>
    <row r="329" spans="1:10" ht="16.5">
      <c r="A329" s="1584">
        <v>4745</v>
      </c>
      <c r="B329" s="1585" t="s">
        <v>2762</v>
      </c>
      <c r="C329" s="1579" t="s">
        <v>2445</v>
      </c>
      <c r="D329" s="1580"/>
      <c r="E329" s="1580"/>
      <c r="F329" s="1581">
        <f t="shared" si="10"/>
        <v>0</v>
      </c>
      <c r="G329" s="1582" t="e">
        <f t="shared" si="11"/>
        <v>#DIV/0!</v>
      </c>
      <c r="H329" s="2294">
        <v>0.36940000000000001</v>
      </c>
      <c r="I329" s="2295"/>
      <c r="J329" s="1550"/>
    </row>
    <row r="330" spans="1:10" ht="16.5">
      <c r="A330" s="1584">
        <v>4747</v>
      </c>
      <c r="B330" s="1585" t="s">
        <v>2763</v>
      </c>
      <c r="C330" s="1579" t="s">
        <v>2445</v>
      </c>
      <c r="D330" s="1580"/>
      <c r="E330" s="1580"/>
      <c r="F330" s="1581">
        <f t="shared" si="10"/>
        <v>0</v>
      </c>
      <c r="G330" s="1582" t="e">
        <f t="shared" si="11"/>
        <v>#DIV/0!</v>
      </c>
      <c r="H330" s="2294">
        <v>3.7999999999999999E-2</v>
      </c>
      <c r="I330" s="2295"/>
      <c r="J330" s="1550"/>
    </row>
    <row r="331" spans="1:10" ht="16.5">
      <c r="A331" s="1584">
        <v>4754</v>
      </c>
      <c r="B331" s="1585" t="s">
        <v>2764</v>
      </c>
      <c r="C331" s="1579" t="s">
        <v>2445</v>
      </c>
      <c r="D331" s="1580"/>
      <c r="E331" s="1580"/>
      <c r="F331" s="1581">
        <f t="shared" si="10"/>
        <v>0</v>
      </c>
      <c r="G331" s="1582" t="e">
        <f t="shared" si="11"/>
        <v>#DIV/0!</v>
      </c>
      <c r="H331" s="2294">
        <v>0.45100000000000001</v>
      </c>
      <c r="I331" s="2295"/>
      <c r="J331" s="1550"/>
    </row>
    <row r="332" spans="1:10" ht="16.5">
      <c r="A332" s="1584">
        <v>4760</v>
      </c>
      <c r="B332" s="1585" t="s">
        <v>5392</v>
      </c>
      <c r="C332" s="1579" t="s">
        <v>2445</v>
      </c>
      <c r="D332" s="1580"/>
      <c r="E332" s="1580"/>
      <c r="F332" s="1581">
        <f t="shared" si="10"/>
        <v>0</v>
      </c>
      <c r="G332" s="1582" t="e">
        <f t="shared" si="11"/>
        <v>#DIV/0!</v>
      </c>
      <c r="H332" s="2294">
        <v>1</v>
      </c>
      <c r="I332" s="2295" t="s">
        <v>5478</v>
      </c>
      <c r="J332" s="1550"/>
    </row>
    <row r="333" spans="1:10" ht="16.5">
      <c r="A333" s="1584">
        <v>4767</v>
      </c>
      <c r="B333" s="1585" t="s">
        <v>2765</v>
      </c>
      <c r="C333" s="1579" t="s">
        <v>2445</v>
      </c>
      <c r="D333" s="1580"/>
      <c r="E333" s="1580"/>
      <c r="F333" s="1581">
        <f t="shared" si="10"/>
        <v>0</v>
      </c>
      <c r="G333" s="1582" t="e">
        <f t="shared" si="11"/>
        <v>#DIV/0!</v>
      </c>
      <c r="H333" s="2294">
        <v>0.2175</v>
      </c>
      <c r="I333" s="2295"/>
      <c r="J333" s="1550"/>
    </row>
    <row r="334" spans="1:10" ht="16.5">
      <c r="A334" s="1584">
        <v>4803</v>
      </c>
      <c r="B334" s="1585" t="s">
        <v>2060</v>
      </c>
      <c r="C334" s="1579" t="s">
        <v>2445</v>
      </c>
      <c r="D334" s="1580"/>
      <c r="E334" s="1580"/>
      <c r="F334" s="1581">
        <f t="shared" si="10"/>
        <v>0</v>
      </c>
      <c r="G334" s="1582" t="e">
        <f t="shared" si="11"/>
        <v>#DIV/0!</v>
      </c>
      <c r="H334" s="2294">
        <v>1.3288</v>
      </c>
      <c r="I334" s="2295"/>
      <c r="J334" s="1550"/>
    </row>
    <row r="335" spans="1:10" ht="16.5">
      <c r="A335" s="1584">
        <v>4804</v>
      </c>
      <c r="B335" s="1585" t="s">
        <v>2766</v>
      </c>
      <c r="C335" s="1579" t="s">
        <v>2445</v>
      </c>
      <c r="D335" s="1580"/>
      <c r="E335" s="1580"/>
      <c r="F335" s="1581">
        <f t="shared" si="10"/>
        <v>0</v>
      </c>
      <c r="G335" s="1582" t="e">
        <f t="shared" si="11"/>
        <v>#DIV/0!</v>
      </c>
      <c r="H335" s="2294">
        <v>0.50080000000000002</v>
      </c>
      <c r="I335" s="2295"/>
      <c r="J335" s="1550"/>
    </row>
    <row r="336" spans="1:10" ht="16.5">
      <c r="A336" s="1584">
        <v>4806</v>
      </c>
      <c r="B336" s="1585" t="s">
        <v>2767</v>
      </c>
      <c r="C336" s="1579" t="s">
        <v>2445</v>
      </c>
      <c r="D336" s="1580"/>
      <c r="E336" s="1580"/>
      <c r="F336" s="1581">
        <f t="shared" si="10"/>
        <v>0</v>
      </c>
      <c r="G336" s="1582" t="e">
        <f t="shared" si="11"/>
        <v>#DIV/0!</v>
      </c>
      <c r="H336" s="2294">
        <v>0.26090000000000002</v>
      </c>
      <c r="I336" s="2295"/>
      <c r="J336" s="1550"/>
    </row>
    <row r="337" spans="1:10" ht="16.5">
      <c r="A337" s="1584">
        <v>4903</v>
      </c>
      <c r="B337" s="1585" t="s">
        <v>2768</v>
      </c>
      <c r="C337" s="1579" t="s">
        <v>2445</v>
      </c>
      <c r="D337" s="1580"/>
      <c r="E337" s="1580"/>
      <c r="F337" s="1581">
        <f t="shared" si="10"/>
        <v>0</v>
      </c>
      <c r="G337" s="1582" t="e">
        <f t="shared" si="11"/>
        <v>#DIV/0!</v>
      </c>
      <c r="H337" s="2294">
        <v>0.68510000000000004</v>
      </c>
      <c r="I337" s="2295"/>
      <c r="J337" s="1550"/>
    </row>
    <row r="338" spans="1:10" ht="16.5">
      <c r="A338" s="1584">
        <v>4905</v>
      </c>
      <c r="B338" s="1585" t="s">
        <v>2769</v>
      </c>
      <c r="C338" s="1579" t="s">
        <v>2445</v>
      </c>
      <c r="D338" s="1580"/>
      <c r="E338" s="1580"/>
      <c r="F338" s="1581">
        <f t="shared" si="10"/>
        <v>0</v>
      </c>
      <c r="G338" s="1582" t="e">
        <f t="shared" si="11"/>
        <v>#DIV/0!</v>
      </c>
      <c r="H338" s="2294">
        <v>9.9900000000000003E-2</v>
      </c>
      <c r="I338" s="2295"/>
      <c r="J338" s="1550"/>
    </row>
    <row r="339" spans="1:10" ht="16.5">
      <c r="A339" s="1584">
        <v>4907</v>
      </c>
      <c r="B339" s="1585" t="s">
        <v>2770</v>
      </c>
      <c r="C339" s="1579" t="s">
        <v>2445</v>
      </c>
      <c r="D339" s="1580"/>
      <c r="E339" s="1580"/>
      <c r="F339" s="1581">
        <f t="shared" si="10"/>
        <v>0</v>
      </c>
      <c r="G339" s="1582" t="e">
        <f t="shared" si="11"/>
        <v>#DIV/0!</v>
      </c>
      <c r="H339" s="2294">
        <v>0.23019999999999999</v>
      </c>
      <c r="I339" s="2295"/>
      <c r="J339" s="1550"/>
    </row>
    <row r="340" spans="1:10" ht="16.5">
      <c r="A340" s="1584">
        <v>4908</v>
      </c>
      <c r="B340" s="1585" t="s">
        <v>2771</v>
      </c>
      <c r="C340" s="1579" t="s">
        <v>2445</v>
      </c>
      <c r="D340" s="1580"/>
      <c r="E340" s="1580"/>
      <c r="F340" s="1581">
        <f t="shared" si="10"/>
        <v>0</v>
      </c>
      <c r="G340" s="1582" t="e">
        <f t="shared" si="11"/>
        <v>#DIV/0!</v>
      </c>
      <c r="H340" s="2294">
        <v>1.4536</v>
      </c>
      <c r="I340" s="2295"/>
      <c r="J340" s="1550"/>
    </row>
    <row r="341" spans="1:10" ht="16.5">
      <c r="A341" s="1584">
        <v>4909</v>
      </c>
      <c r="B341" s="1585" t="s">
        <v>2772</v>
      </c>
      <c r="C341" s="1579" t="s">
        <v>2445</v>
      </c>
      <c r="D341" s="1580"/>
      <c r="E341" s="1580"/>
      <c r="F341" s="1581">
        <f t="shared" si="10"/>
        <v>0</v>
      </c>
      <c r="G341" s="1582" t="e">
        <f t="shared" si="11"/>
        <v>#DIV/0!</v>
      </c>
      <c r="H341" s="2294">
        <v>1.3908</v>
      </c>
      <c r="I341" s="2295"/>
      <c r="J341" s="1550"/>
    </row>
    <row r="342" spans="1:10" ht="16.5">
      <c r="A342" s="1584">
        <v>4911</v>
      </c>
      <c r="B342" s="1585" t="s">
        <v>2773</v>
      </c>
      <c r="C342" s="1579" t="s">
        <v>2445</v>
      </c>
      <c r="D342" s="1580"/>
      <c r="E342" s="1580"/>
      <c r="F342" s="1581">
        <f t="shared" si="10"/>
        <v>0</v>
      </c>
      <c r="G342" s="1582" t="e">
        <f t="shared" si="11"/>
        <v>#DIV/0!</v>
      </c>
      <c r="H342" s="2294">
        <v>0.60709999999999997</v>
      </c>
      <c r="I342" s="2295"/>
      <c r="J342" s="1550"/>
    </row>
    <row r="343" spans="1:10" ht="16.5">
      <c r="A343" s="1584">
        <v>4924</v>
      </c>
      <c r="B343" s="1585" t="s">
        <v>2774</v>
      </c>
      <c r="C343" s="1579" t="s">
        <v>2445</v>
      </c>
      <c r="D343" s="1580"/>
      <c r="E343" s="1580"/>
      <c r="F343" s="1581">
        <f t="shared" si="10"/>
        <v>0</v>
      </c>
      <c r="G343" s="1582" t="e">
        <f t="shared" si="11"/>
        <v>#DIV/0!</v>
      </c>
      <c r="H343" s="2294">
        <v>0.29920000000000002</v>
      </c>
      <c r="I343" s="2295"/>
      <c r="J343" s="1550"/>
    </row>
    <row r="344" spans="1:10" ht="16.5">
      <c r="A344" s="1584">
        <v>4931</v>
      </c>
      <c r="B344" s="1585" t="s">
        <v>5393</v>
      </c>
      <c r="C344" s="1579" t="s">
        <v>2445</v>
      </c>
      <c r="D344" s="1580"/>
      <c r="E344" s="1580"/>
      <c r="F344" s="1581">
        <f t="shared" si="10"/>
        <v>0</v>
      </c>
      <c r="G344" s="1582" t="e">
        <f t="shared" si="11"/>
        <v>#DIV/0!</v>
      </c>
      <c r="H344" s="2294">
        <v>1</v>
      </c>
      <c r="I344" s="2295" t="s">
        <v>5478</v>
      </c>
      <c r="J344" s="1550"/>
    </row>
    <row r="345" spans="1:10" ht="16.5">
      <c r="A345" s="1584">
        <v>4933</v>
      </c>
      <c r="B345" s="1585" t="s">
        <v>2775</v>
      </c>
      <c r="C345" s="1579" t="s">
        <v>2445</v>
      </c>
      <c r="D345" s="1580"/>
      <c r="E345" s="1580"/>
      <c r="F345" s="1581">
        <f t="shared" si="10"/>
        <v>0</v>
      </c>
      <c r="G345" s="1582" t="e">
        <f t="shared" si="11"/>
        <v>#DIV/0!</v>
      </c>
      <c r="H345" s="2294">
        <v>1.3737999999999999</v>
      </c>
      <c r="I345" s="2295"/>
      <c r="J345" s="1550"/>
    </row>
    <row r="346" spans="1:10" ht="16.5">
      <c r="A346" s="1584">
        <v>4939</v>
      </c>
      <c r="B346" s="1585" t="s">
        <v>2776</v>
      </c>
      <c r="C346" s="1579" t="s">
        <v>2445</v>
      </c>
      <c r="D346" s="1580"/>
      <c r="E346" s="1580"/>
      <c r="F346" s="1581">
        <f t="shared" si="10"/>
        <v>0</v>
      </c>
      <c r="G346" s="1582" t="e">
        <f t="shared" si="11"/>
        <v>#DIV/0!</v>
      </c>
      <c r="H346" s="2294">
        <v>1.5922000000000001</v>
      </c>
      <c r="I346" s="2295"/>
      <c r="J346" s="1550"/>
    </row>
    <row r="347" spans="1:10" ht="16.5">
      <c r="A347" s="1584">
        <v>4944</v>
      </c>
      <c r="B347" s="1585" t="s">
        <v>2777</v>
      </c>
      <c r="C347" s="1579" t="s">
        <v>2445</v>
      </c>
      <c r="D347" s="1580"/>
      <c r="E347" s="1580"/>
      <c r="F347" s="1581">
        <f t="shared" si="10"/>
        <v>0</v>
      </c>
      <c r="G347" s="1582" t="e">
        <f t="shared" si="11"/>
        <v>#DIV/0!</v>
      </c>
      <c r="H347" s="2294">
        <v>1.5064</v>
      </c>
      <c r="I347" s="2295"/>
      <c r="J347" s="1550"/>
    </row>
    <row r="348" spans="1:10" ht="16.5">
      <c r="A348" s="1584">
        <v>4946</v>
      </c>
      <c r="B348" s="1585" t="s">
        <v>2778</v>
      </c>
      <c r="C348" s="1579" t="s">
        <v>2445</v>
      </c>
      <c r="D348" s="1580"/>
      <c r="E348" s="1580"/>
      <c r="F348" s="1581">
        <f t="shared" si="10"/>
        <v>0</v>
      </c>
      <c r="G348" s="1582" t="e">
        <f t="shared" si="11"/>
        <v>#DIV/0!</v>
      </c>
      <c r="H348" s="2294">
        <v>0.71450000000000002</v>
      </c>
      <c r="I348" s="2295"/>
      <c r="J348" s="1550"/>
    </row>
    <row r="349" spans="1:10" ht="16.5">
      <c r="A349" s="1584">
        <v>4947</v>
      </c>
      <c r="B349" s="1585" t="s">
        <v>2779</v>
      </c>
      <c r="C349" s="1579" t="s">
        <v>2445</v>
      </c>
      <c r="D349" s="1580"/>
      <c r="E349" s="1580"/>
      <c r="F349" s="1581">
        <f t="shared" si="10"/>
        <v>0</v>
      </c>
      <c r="G349" s="1582" t="e">
        <f t="shared" si="11"/>
        <v>#DIV/0!</v>
      </c>
      <c r="H349" s="2294">
        <v>1.7939000000000001</v>
      </c>
      <c r="I349" s="2295"/>
      <c r="J349" s="1550"/>
    </row>
    <row r="350" spans="1:10" ht="16.5">
      <c r="A350" s="1584">
        <v>4950</v>
      </c>
      <c r="B350" s="1585" t="s">
        <v>2780</v>
      </c>
      <c r="C350" s="1579" t="s">
        <v>2445</v>
      </c>
      <c r="D350" s="1580"/>
      <c r="E350" s="1580"/>
      <c r="F350" s="1581">
        <f t="shared" si="10"/>
        <v>0</v>
      </c>
      <c r="G350" s="1582" t="e">
        <f t="shared" si="11"/>
        <v>#DIV/0!</v>
      </c>
      <c r="H350" s="2294">
        <v>0.46179999999999999</v>
      </c>
      <c r="I350" s="2295"/>
      <c r="J350" s="1550"/>
    </row>
    <row r="351" spans="1:10" ht="16.5">
      <c r="A351" s="1584">
        <v>4953</v>
      </c>
      <c r="B351" s="1585" t="s">
        <v>2781</v>
      </c>
      <c r="C351" s="1579" t="s">
        <v>2445</v>
      </c>
      <c r="D351" s="1580"/>
      <c r="E351" s="1580"/>
      <c r="F351" s="1581">
        <f t="shared" si="10"/>
        <v>0</v>
      </c>
      <c r="G351" s="1582" t="e">
        <f t="shared" si="11"/>
        <v>#DIV/0!</v>
      </c>
      <c r="H351" s="2294">
        <v>2.0428999999999999</v>
      </c>
      <c r="I351" s="2295"/>
      <c r="J351" s="1550"/>
    </row>
    <row r="352" spans="1:10" ht="16.5">
      <c r="A352" s="1584">
        <v>4966</v>
      </c>
      <c r="B352" s="1585" t="s">
        <v>2782</v>
      </c>
      <c r="C352" s="1579" t="s">
        <v>2445</v>
      </c>
      <c r="D352" s="1580"/>
      <c r="E352" s="1580"/>
      <c r="F352" s="1581">
        <f t="shared" si="10"/>
        <v>0</v>
      </c>
      <c r="G352" s="1582" t="e">
        <f t="shared" si="11"/>
        <v>#DIV/0!</v>
      </c>
      <c r="H352" s="2294">
        <v>1.1760999999999999</v>
      </c>
      <c r="I352" s="2295"/>
      <c r="J352" s="1550"/>
    </row>
    <row r="353" spans="1:10" ht="16.5">
      <c r="A353" s="1584">
        <v>4971</v>
      </c>
      <c r="B353" s="1585" t="s">
        <v>2061</v>
      </c>
      <c r="C353" s="1579" t="s">
        <v>2445</v>
      </c>
      <c r="D353" s="1580"/>
      <c r="E353" s="1580"/>
      <c r="F353" s="1581">
        <f t="shared" si="10"/>
        <v>0</v>
      </c>
      <c r="G353" s="1582" t="e">
        <f t="shared" si="11"/>
        <v>#DIV/0!</v>
      </c>
      <c r="H353" s="2294">
        <v>1.7874000000000001</v>
      </c>
      <c r="I353" s="2295"/>
      <c r="J353" s="1550"/>
    </row>
    <row r="354" spans="1:10" ht="16.5">
      <c r="A354" s="1584">
        <v>4972</v>
      </c>
      <c r="B354" s="1585" t="s">
        <v>2783</v>
      </c>
      <c r="C354" s="1579" t="s">
        <v>2445</v>
      </c>
      <c r="D354" s="1580"/>
      <c r="E354" s="1580"/>
      <c r="F354" s="1581">
        <f t="shared" si="10"/>
        <v>0</v>
      </c>
      <c r="G354" s="1582" t="e">
        <f t="shared" si="11"/>
        <v>#DIV/0!</v>
      </c>
      <c r="H354" s="2294">
        <v>0.4037</v>
      </c>
      <c r="I354" s="2295"/>
      <c r="J354" s="1550"/>
    </row>
    <row r="355" spans="1:10" ht="16.5">
      <c r="A355" s="1584">
        <v>4973</v>
      </c>
      <c r="B355" s="1585" t="s">
        <v>2784</v>
      </c>
      <c r="C355" s="1579" t="s">
        <v>2445</v>
      </c>
      <c r="D355" s="1580"/>
      <c r="E355" s="1580"/>
      <c r="F355" s="1581">
        <f t="shared" si="10"/>
        <v>0</v>
      </c>
      <c r="G355" s="1582" t="e">
        <f t="shared" si="11"/>
        <v>#DIV/0!</v>
      </c>
      <c r="H355" s="2294">
        <v>0.33900000000000002</v>
      </c>
      <c r="I355" s="2295"/>
      <c r="J355" s="1550"/>
    </row>
    <row r="356" spans="1:10" ht="16.5">
      <c r="A356" s="1584">
        <v>4974</v>
      </c>
      <c r="B356" s="1585" t="s">
        <v>2785</v>
      </c>
      <c r="C356" s="1579" t="s">
        <v>2445</v>
      </c>
      <c r="D356" s="1580"/>
      <c r="E356" s="1580"/>
      <c r="F356" s="1581">
        <f t="shared" si="10"/>
        <v>0</v>
      </c>
      <c r="G356" s="1582" t="e">
        <f t="shared" si="11"/>
        <v>#DIV/0!</v>
      </c>
      <c r="H356" s="2294">
        <v>0.68559999999999999</v>
      </c>
      <c r="I356" s="2295"/>
      <c r="J356" s="1550"/>
    </row>
    <row r="357" spans="1:10" ht="16.5">
      <c r="A357" s="1584">
        <v>4979</v>
      </c>
      <c r="B357" s="1585" t="s">
        <v>2786</v>
      </c>
      <c r="C357" s="1579" t="s">
        <v>2445</v>
      </c>
      <c r="D357" s="1580"/>
      <c r="E357" s="1580"/>
      <c r="F357" s="1581">
        <f t="shared" si="10"/>
        <v>0</v>
      </c>
      <c r="G357" s="1582" t="e">
        <f t="shared" si="11"/>
        <v>#DIV/0!</v>
      </c>
      <c r="H357" s="2294">
        <v>1.6055999999999999</v>
      </c>
      <c r="I357" s="2295"/>
      <c r="J357" s="1550"/>
    </row>
    <row r="358" spans="1:10" ht="16.5">
      <c r="A358" s="1584">
        <v>4987</v>
      </c>
      <c r="B358" s="1585" t="s">
        <v>2787</v>
      </c>
      <c r="C358" s="1579" t="s">
        <v>2445</v>
      </c>
      <c r="D358" s="1580"/>
      <c r="E358" s="1580"/>
      <c r="F358" s="1581">
        <f t="shared" si="10"/>
        <v>0</v>
      </c>
      <c r="G358" s="1582" t="e">
        <f t="shared" si="11"/>
        <v>#DIV/0!</v>
      </c>
      <c r="H358" s="2294">
        <v>0.16109999999999999</v>
      </c>
      <c r="I358" s="2295"/>
      <c r="J358" s="1550"/>
    </row>
    <row r="359" spans="1:10" ht="16.5">
      <c r="A359" s="1584">
        <v>4991</v>
      </c>
      <c r="B359" s="1585" t="s">
        <v>2788</v>
      </c>
      <c r="C359" s="1579" t="s">
        <v>2445</v>
      </c>
      <c r="D359" s="1580"/>
      <c r="E359" s="1580"/>
      <c r="F359" s="1581">
        <f t="shared" si="10"/>
        <v>0</v>
      </c>
      <c r="G359" s="1582" t="e">
        <f t="shared" si="11"/>
        <v>#DIV/0!</v>
      </c>
      <c r="H359" s="2294">
        <v>1.6653</v>
      </c>
      <c r="I359" s="2295"/>
      <c r="J359" s="1550"/>
    </row>
    <row r="360" spans="1:10" ht="16.5">
      <c r="A360" s="1584">
        <v>4995</v>
      </c>
      <c r="B360" s="1585" t="s">
        <v>2789</v>
      </c>
      <c r="C360" s="1579" t="s">
        <v>2445</v>
      </c>
      <c r="D360" s="1580"/>
      <c r="E360" s="1580"/>
      <c r="F360" s="1581">
        <f t="shared" si="10"/>
        <v>0</v>
      </c>
      <c r="G360" s="1582" t="e">
        <f t="shared" si="11"/>
        <v>#DIV/0!</v>
      </c>
      <c r="H360" s="2294">
        <v>0.49330000000000002</v>
      </c>
      <c r="I360" s="2295"/>
      <c r="J360" s="1550"/>
    </row>
    <row r="361" spans="1:10" ht="16.5">
      <c r="A361" s="1584">
        <v>5009</v>
      </c>
      <c r="B361" s="1585" t="s">
        <v>2790</v>
      </c>
      <c r="C361" s="1579" t="s">
        <v>2445</v>
      </c>
      <c r="D361" s="1580"/>
      <c r="E361" s="1580"/>
      <c r="F361" s="1581">
        <f t="shared" si="10"/>
        <v>0</v>
      </c>
      <c r="G361" s="1582" t="e">
        <f t="shared" si="11"/>
        <v>#DIV/0!</v>
      </c>
      <c r="H361" s="2294">
        <v>0.49049999999999999</v>
      </c>
      <c r="I361" s="2295"/>
      <c r="J361" s="1550"/>
    </row>
    <row r="362" spans="1:10" ht="16.5">
      <c r="A362" s="1584">
        <v>5011</v>
      </c>
      <c r="B362" s="1585" t="s">
        <v>2791</v>
      </c>
      <c r="C362" s="1579" t="s">
        <v>2445</v>
      </c>
      <c r="D362" s="1580"/>
      <c r="E362" s="1580"/>
      <c r="F362" s="1581">
        <f t="shared" si="10"/>
        <v>0</v>
      </c>
      <c r="G362" s="1582" t="e">
        <f t="shared" si="11"/>
        <v>#DIV/0!</v>
      </c>
      <c r="H362" s="2294">
        <v>0.30270000000000002</v>
      </c>
      <c r="I362" s="2295"/>
      <c r="J362" s="1550"/>
    </row>
    <row r="363" spans="1:10" ht="16.5">
      <c r="A363" s="1584">
        <v>5013</v>
      </c>
      <c r="B363" s="1585" t="s">
        <v>2792</v>
      </c>
      <c r="C363" s="1579" t="s">
        <v>2445</v>
      </c>
      <c r="D363" s="1580"/>
      <c r="E363" s="1580"/>
      <c r="F363" s="1581">
        <f t="shared" si="10"/>
        <v>0</v>
      </c>
      <c r="G363" s="1582" t="e">
        <f t="shared" si="11"/>
        <v>#DIV/0!</v>
      </c>
      <c r="H363" s="2294">
        <v>7.1499999999999994E-2</v>
      </c>
      <c r="I363" s="2295"/>
      <c r="J363" s="1550"/>
    </row>
    <row r="364" spans="1:10" ht="16.5">
      <c r="A364" s="1584">
        <v>5014</v>
      </c>
      <c r="B364" s="1585" t="s">
        <v>2793</v>
      </c>
      <c r="C364" s="1579" t="s">
        <v>2445</v>
      </c>
      <c r="D364" s="1580"/>
      <c r="E364" s="1580"/>
      <c r="F364" s="1581">
        <f t="shared" si="10"/>
        <v>0</v>
      </c>
      <c r="G364" s="1582" t="e">
        <f t="shared" si="11"/>
        <v>#DIV/0!</v>
      </c>
      <c r="H364" s="2294">
        <v>0.55330000000000001</v>
      </c>
      <c r="I364" s="2295"/>
      <c r="J364" s="1550"/>
    </row>
    <row r="365" spans="1:10" ht="16.5">
      <c r="A365" s="1584">
        <v>5015</v>
      </c>
      <c r="B365" s="1585" t="s">
        <v>2794</v>
      </c>
      <c r="C365" s="1579" t="s">
        <v>2445</v>
      </c>
      <c r="D365" s="1580"/>
      <c r="E365" s="1580"/>
      <c r="F365" s="1581">
        <f t="shared" si="10"/>
        <v>0</v>
      </c>
      <c r="G365" s="1582" t="e">
        <f t="shared" si="11"/>
        <v>#DIV/0!</v>
      </c>
      <c r="H365" s="2294">
        <v>0.2928</v>
      </c>
      <c r="I365" s="2295"/>
      <c r="J365" s="1550"/>
    </row>
    <row r="366" spans="1:10" ht="16.5">
      <c r="A366" s="1584">
        <v>5016</v>
      </c>
      <c r="B366" s="1585" t="s">
        <v>2795</v>
      </c>
      <c r="C366" s="1579" t="s">
        <v>2445</v>
      </c>
      <c r="D366" s="1580"/>
      <c r="E366" s="1580"/>
      <c r="F366" s="1581">
        <f t="shared" si="10"/>
        <v>0</v>
      </c>
      <c r="G366" s="1582" t="e">
        <f t="shared" si="11"/>
        <v>#DIV/0!</v>
      </c>
      <c r="H366" s="2294">
        <v>6.3E-2</v>
      </c>
      <c r="I366" s="2295"/>
      <c r="J366" s="1550"/>
    </row>
    <row r="367" spans="1:10" ht="16.5">
      <c r="A367" s="1584">
        <v>5102</v>
      </c>
      <c r="B367" s="1585" t="s">
        <v>2796</v>
      </c>
      <c r="C367" s="1579" t="s">
        <v>2445</v>
      </c>
      <c r="D367" s="1580"/>
      <c r="E367" s="1580"/>
      <c r="F367" s="1581">
        <f t="shared" si="10"/>
        <v>0</v>
      </c>
      <c r="G367" s="1582" t="e">
        <f t="shared" si="11"/>
        <v>#DIV/0!</v>
      </c>
      <c r="H367" s="2294">
        <v>0.1055</v>
      </c>
      <c r="I367" s="2295"/>
      <c r="J367" s="1550"/>
    </row>
    <row r="368" spans="1:10" ht="16.5">
      <c r="A368" s="1584">
        <v>5201</v>
      </c>
      <c r="B368" s="1585" t="s">
        <v>2797</v>
      </c>
      <c r="C368" s="1579" t="s">
        <v>2445</v>
      </c>
      <c r="D368" s="1580"/>
      <c r="E368" s="1580"/>
      <c r="F368" s="1581">
        <f t="shared" si="10"/>
        <v>0</v>
      </c>
      <c r="G368" s="1582" t="e">
        <f t="shared" si="11"/>
        <v>#DIV/0!</v>
      </c>
      <c r="H368" s="2294">
        <v>0.1103</v>
      </c>
      <c r="I368" s="2295"/>
      <c r="J368" s="1550"/>
    </row>
    <row r="369" spans="1:10" ht="16.5">
      <c r="A369" s="1584">
        <v>5202</v>
      </c>
      <c r="B369" s="1585" t="s">
        <v>2798</v>
      </c>
      <c r="C369" s="1579" t="s">
        <v>2445</v>
      </c>
      <c r="D369" s="1580"/>
      <c r="E369" s="1580"/>
      <c r="F369" s="1581">
        <f t="shared" si="10"/>
        <v>0</v>
      </c>
      <c r="G369" s="1582" t="e">
        <f t="shared" si="11"/>
        <v>#DIV/0!</v>
      </c>
      <c r="H369" s="2294">
        <v>-8.9499999999999996E-2</v>
      </c>
      <c r="I369" s="2295"/>
      <c r="J369" s="1550"/>
    </row>
    <row r="370" spans="1:10" ht="16.5">
      <c r="A370" s="1584">
        <v>5205</v>
      </c>
      <c r="B370" s="1585" t="s">
        <v>2799</v>
      </c>
      <c r="C370" s="1579" t="s">
        <v>2445</v>
      </c>
      <c r="D370" s="1580"/>
      <c r="E370" s="1580"/>
      <c r="F370" s="1581">
        <f t="shared" si="10"/>
        <v>0</v>
      </c>
      <c r="G370" s="1582" t="e">
        <f t="shared" si="11"/>
        <v>#DIV/0!</v>
      </c>
      <c r="H370" s="2294">
        <v>-0.38100000000000001</v>
      </c>
      <c r="I370" s="2295"/>
      <c r="J370" s="1550"/>
    </row>
    <row r="371" spans="1:10" ht="16.5">
      <c r="A371" s="1584">
        <v>5206</v>
      </c>
      <c r="B371" s="1585" t="s">
        <v>2800</v>
      </c>
      <c r="C371" s="1579" t="s">
        <v>2445</v>
      </c>
      <c r="D371" s="1580"/>
      <c r="E371" s="1580"/>
      <c r="F371" s="1581">
        <f t="shared" si="10"/>
        <v>0</v>
      </c>
      <c r="G371" s="1582" t="e">
        <f t="shared" si="11"/>
        <v>#DIV/0!</v>
      </c>
      <c r="H371" s="2294">
        <v>0.35580000000000001</v>
      </c>
      <c r="I371" s="2295"/>
      <c r="J371" s="1550"/>
    </row>
    <row r="372" spans="1:10" ht="16.5">
      <c r="A372" s="1584">
        <v>5209</v>
      </c>
      <c r="B372" s="1585" t="s">
        <v>2801</v>
      </c>
      <c r="C372" s="1579" t="s">
        <v>2445</v>
      </c>
      <c r="D372" s="1580"/>
      <c r="E372" s="1580"/>
      <c r="F372" s="1581">
        <f t="shared" si="10"/>
        <v>0</v>
      </c>
      <c r="G372" s="1582" t="e">
        <f t="shared" si="11"/>
        <v>#DIV/0!</v>
      </c>
      <c r="H372" s="2294">
        <v>0.20119999999999999</v>
      </c>
      <c r="I372" s="2295"/>
      <c r="J372" s="1550"/>
    </row>
    <row r="373" spans="1:10" ht="16.5">
      <c r="A373" s="1584">
        <v>5210</v>
      </c>
      <c r="B373" s="1585" t="s">
        <v>2802</v>
      </c>
      <c r="C373" s="1579" t="s">
        <v>2445</v>
      </c>
      <c r="D373" s="1580"/>
      <c r="E373" s="1580"/>
      <c r="F373" s="1581">
        <f t="shared" si="10"/>
        <v>0</v>
      </c>
      <c r="G373" s="1582" t="e">
        <f t="shared" si="11"/>
        <v>#DIV/0!</v>
      </c>
      <c r="H373" s="2294">
        <v>0.82989999999999997</v>
      </c>
      <c r="I373" s="2295"/>
      <c r="J373" s="1550"/>
    </row>
    <row r="374" spans="1:10" ht="16.5">
      <c r="A374" s="1584">
        <v>5211</v>
      </c>
      <c r="B374" s="1585" t="s">
        <v>2803</v>
      </c>
      <c r="C374" s="1579" t="s">
        <v>2445</v>
      </c>
      <c r="D374" s="1580"/>
      <c r="E374" s="1580"/>
      <c r="F374" s="1581">
        <f t="shared" si="10"/>
        <v>0</v>
      </c>
      <c r="G374" s="1582" t="e">
        <f t="shared" si="11"/>
        <v>#DIV/0!</v>
      </c>
      <c r="H374" s="2294">
        <v>0.62719999999999998</v>
      </c>
      <c r="I374" s="2295"/>
      <c r="J374" s="1550"/>
    </row>
    <row r="375" spans="1:10" ht="16.5">
      <c r="A375" s="1584">
        <v>5212</v>
      </c>
      <c r="B375" s="1585" t="s">
        <v>2804</v>
      </c>
      <c r="C375" s="1579" t="s">
        <v>2445</v>
      </c>
      <c r="D375" s="1580"/>
      <c r="E375" s="1580"/>
      <c r="F375" s="1581">
        <f t="shared" si="10"/>
        <v>0</v>
      </c>
      <c r="G375" s="1582" t="e">
        <f t="shared" si="11"/>
        <v>#DIV/0!</v>
      </c>
      <c r="H375" s="2294">
        <v>7.4499999999999997E-2</v>
      </c>
      <c r="I375" s="2295"/>
      <c r="J375" s="1550"/>
    </row>
    <row r="376" spans="1:10" ht="16.5">
      <c r="A376" s="1584">
        <v>5213</v>
      </c>
      <c r="B376" s="1585" t="s">
        <v>2805</v>
      </c>
      <c r="C376" s="1579" t="s">
        <v>2445</v>
      </c>
      <c r="D376" s="1580"/>
      <c r="E376" s="1580"/>
      <c r="F376" s="1581">
        <f t="shared" si="10"/>
        <v>0</v>
      </c>
      <c r="G376" s="1582" t="e">
        <f t="shared" si="11"/>
        <v>#DIV/0!</v>
      </c>
      <c r="H376" s="2294">
        <v>0.28270000000000001</v>
      </c>
      <c r="I376" s="2295"/>
      <c r="J376" s="1550"/>
    </row>
    <row r="377" spans="1:10" ht="16.5">
      <c r="A377" s="1584">
        <v>5220</v>
      </c>
      <c r="B377" s="1585" t="s">
        <v>2806</v>
      </c>
      <c r="C377" s="1579" t="s">
        <v>2445</v>
      </c>
      <c r="D377" s="1580"/>
      <c r="E377" s="1580"/>
      <c r="F377" s="1581">
        <f t="shared" si="10"/>
        <v>0</v>
      </c>
      <c r="G377" s="1582" t="e">
        <f t="shared" si="11"/>
        <v>#DIV/0!</v>
      </c>
      <c r="H377" s="2294">
        <v>0.61850000000000005</v>
      </c>
      <c r="I377" s="2295"/>
      <c r="J377" s="1550"/>
    </row>
    <row r="378" spans="1:10" ht="16.5">
      <c r="A378" s="1584">
        <v>5223</v>
      </c>
      <c r="B378" s="1585" t="s">
        <v>2807</v>
      </c>
      <c r="C378" s="1579" t="s">
        <v>2445</v>
      </c>
      <c r="D378" s="1580"/>
      <c r="E378" s="1580"/>
      <c r="F378" s="1581">
        <f t="shared" si="10"/>
        <v>0</v>
      </c>
      <c r="G378" s="1582" t="e">
        <f t="shared" si="11"/>
        <v>#DIV/0!</v>
      </c>
      <c r="H378" s="2294">
        <v>1.1517999999999999</v>
      </c>
      <c r="I378" s="2295"/>
      <c r="J378" s="1550"/>
    </row>
    <row r="379" spans="1:10" ht="16.5">
      <c r="A379" s="1584">
        <v>5227</v>
      </c>
      <c r="B379" s="1585" t="s">
        <v>2808</v>
      </c>
      <c r="C379" s="1579" t="s">
        <v>2445</v>
      </c>
      <c r="D379" s="1580"/>
      <c r="E379" s="1580"/>
      <c r="F379" s="1581">
        <f t="shared" si="10"/>
        <v>0</v>
      </c>
      <c r="G379" s="1582" t="e">
        <f t="shared" si="11"/>
        <v>#DIV/0!</v>
      </c>
      <c r="H379" s="2294">
        <v>1.1606000000000001</v>
      </c>
      <c r="I379" s="2295"/>
      <c r="J379" s="1550"/>
    </row>
    <row r="380" spans="1:10" ht="16.5">
      <c r="A380" s="1584">
        <v>5230</v>
      </c>
      <c r="B380" s="1585" t="s">
        <v>2809</v>
      </c>
      <c r="C380" s="1579" t="s">
        <v>2445</v>
      </c>
      <c r="D380" s="1580"/>
      <c r="E380" s="1580"/>
      <c r="F380" s="1581">
        <f t="shared" si="10"/>
        <v>0</v>
      </c>
      <c r="G380" s="1582" t="e">
        <f t="shared" si="11"/>
        <v>#DIV/0!</v>
      </c>
      <c r="H380" s="2294">
        <v>0.42859999999999998</v>
      </c>
      <c r="I380" s="2295"/>
      <c r="J380" s="1550"/>
    </row>
    <row r="381" spans="1:10" ht="16.5">
      <c r="A381" s="1584">
        <v>5245</v>
      </c>
      <c r="B381" s="1585" t="s">
        <v>2810</v>
      </c>
      <c r="C381" s="1579" t="s">
        <v>2445</v>
      </c>
      <c r="D381" s="1580"/>
      <c r="E381" s="1580"/>
      <c r="F381" s="1581">
        <f t="shared" si="10"/>
        <v>0</v>
      </c>
      <c r="G381" s="1582" t="e">
        <f t="shared" si="11"/>
        <v>#DIV/0!</v>
      </c>
      <c r="H381" s="2294">
        <v>0.72560000000000002</v>
      </c>
      <c r="I381" s="2295"/>
      <c r="J381" s="1550"/>
    </row>
    <row r="382" spans="1:10" ht="16.5">
      <c r="A382" s="1584">
        <v>5251</v>
      </c>
      <c r="B382" s="1585" t="s">
        <v>2811</v>
      </c>
      <c r="C382" s="1579" t="s">
        <v>2445</v>
      </c>
      <c r="D382" s="1580"/>
      <c r="E382" s="1580"/>
      <c r="F382" s="1581">
        <f t="shared" si="10"/>
        <v>0</v>
      </c>
      <c r="G382" s="1582" t="e">
        <f t="shared" si="11"/>
        <v>#DIV/0!</v>
      </c>
      <c r="H382" s="2294">
        <v>0.50819999999999999</v>
      </c>
      <c r="I382" s="2295"/>
      <c r="J382" s="1550"/>
    </row>
    <row r="383" spans="1:10" ht="16.5">
      <c r="A383" s="1584">
        <v>5263</v>
      </c>
      <c r="B383" s="1585" t="s">
        <v>2812</v>
      </c>
      <c r="C383" s="1579" t="s">
        <v>2445</v>
      </c>
      <c r="D383" s="1580"/>
      <c r="E383" s="1580"/>
      <c r="F383" s="1581">
        <f t="shared" si="10"/>
        <v>0</v>
      </c>
      <c r="G383" s="1582" t="e">
        <f t="shared" si="11"/>
        <v>#DIV/0!</v>
      </c>
      <c r="H383" s="2294">
        <v>1.0860000000000001</v>
      </c>
      <c r="I383" s="2295"/>
      <c r="J383" s="1550"/>
    </row>
    <row r="384" spans="1:10" ht="16.5">
      <c r="A384" s="1584">
        <v>5272</v>
      </c>
      <c r="B384" s="1585" t="s">
        <v>2813</v>
      </c>
      <c r="C384" s="1579" t="s">
        <v>2445</v>
      </c>
      <c r="D384" s="1580"/>
      <c r="E384" s="1580"/>
      <c r="F384" s="1581">
        <f t="shared" si="10"/>
        <v>0</v>
      </c>
      <c r="G384" s="1582" t="e">
        <f t="shared" si="11"/>
        <v>#DIV/0!</v>
      </c>
      <c r="H384" s="2294">
        <v>0.87319999999999998</v>
      </c>
      <c r="I384" s="2295"/>
      <c r="J384" s="1550"/>
    </row>
    <row r="385" spans="1:10" ht="16.5">
      <c r="A385" s="1584">
        <v>5274</v>
      </c>
      <c r="B385" s="1585" t="s">
        <v>2814</v>
      </c>
      <c r="C385" s="1579" t="s">
        <v>2445</v>
      </c>
      <c r="D385" s="1580"/>
      <c r="E385" s="1580"/>
      <c r="F385" s="1581">
        <f t="shared" si="10"/>
        <v>0</v>
      </c>
      <c r="G385" s="1582" t="e">
        <f t="shared" si="11"/>
        <v>#DIV/0!</v>
      </c>
      <c r="H385" s="2294">
        <v>1.4652000000000001</v>
      </c>
      <c r="I385" s="2295"/>
      <c r="J385" s="1550"/>
    </row>
    <row r="386" spans="1:10" ht="16.5">
      <c r="A386" s="1584">
        <v>5276</v>
      </c>
      <c r="B386" s="1585" t="s">
        <v>2815</v>
      </c>
      <c r="C386" s="1579" t="s">
        <v>2445</v>
      </c>
      <c r="D386" s="1580"/>
      <c r="E386" s="1580"/>
      <c r="F386" s="1581">
        <f t="shared" si="10"/>
        <v>0</v>
      </c>
      <c r="G386" s="1582" t="e">
        <f t="shared" si="11"/>
        <v>#DIV/0!</v>
      </c>
      <c r="H386" s="2294">
        <v>0.48110000000000003</v>
      </c>
      <c r="I386" s="2295"/>
      <c r="J386" s="1550"/>
    </row>
    <row r="387" spans="1:10" ht="16.5">
      <c r="A387" s="1584">
        <v>5278</v>
      </c>
      <c r="B387" s="1585" t="s">
        <v>2816</v>
      </c>
      <c r="C387" s="1579" t="s">
        <v>2445</v>
      </c>
      <c r="D387" s="1580"/>
      <c r="E387" s="1580"/>
      <c r="F387" s="1581">
        <f t="shared" si="10"/>
        <v>0</v>
      </c>
      <c r="G387" s="1582" t="e">
        <f t="shared" si="11"/>
        <v>#DIV/0!</v>
      </c>
      <c r="H387" s="2294">
        <v>1.0278</v>
      </c>
      <c r="I387" s="2295"/>
      <c r="J387" s="1550"/>
    </row>
    <row r="388" spans="1:10" ht="16.5">
      <c r="A388" s="1584">
        <v>5281</v>
      </c>
      <c r="B388" s="1585" t="s">
        <v>2817</v>
      </c>
      <c r="C388" s="1579" t="s">
        <v>2445</v>
      </c>
      <c r="D388" s="1580"/>
      <c r="E388" s="1580"/>
      <c r="F388" s="1581">
        <f t="shared" si="10"/>
        <v>0</v>
      </c>
      <c r="G388" s="1582" t="e">
        <f t="shared" si="11"/>
        <v>#DIV/0!</v>
      </c>
      <c r="H388" s="2294">
        <v>1.2441</v>
      </c>
      <c r="I388" s="2295"/>
      <c r="J388" s="1550"/>
    </row>
    <row r="389" spans="1:10" ht="16.5">
      <c r="A389" s="1584">
        <v>5287</v>
      </c>
      <c r="B389" s="1585" t="s">
        <v>2818</v>
      </c>
      <c r="C389" s="1579" t="s">
        <v>2445</v>
      </c>
      <c r="D389" s="1580"/>
      <c r="E389" s="1580"/>
      <c r="F389" s="1581">
        <f t="shared" ref="F389:F452" si="12">D389*E389</f>
        <v>0</v>
      </c>
      <c r="G389" s="1582" t="e">
        <f t="shared" ref="G389:G452" si="13">F389/$F$784</f>
        <v>#DIV/0!</v>
      </c>
      <c r="H389" s="2294">
        <v>0.22359999999999999</v>
      </c>
      <c r="I389" s="2295"/>
      <c r="J389" s="1550"/>
    </row>
    <row r="390" spans="1:10" ht="16.5">
      <c r="A390" s="1584">
        <v>5289</v>
      </c>
      <c r="B390" s="1585" t="s">
        <v>2819</v>
      </c>
      <c r="C390" s="1579" t="s">
        <v>2445</v>
      </c>
      <c r="D390" s="1580"/>
      <c r="E390" s="1580"/>
      <c r="F390" s="1581">
        <f t="shared" si="12"/>
        <v>0</v>
      </c>
      <c r="G390" s="1582" t="e">
        <f t="shared" si="13"/>
        <v>#DIV/0!</v>
      </c>
      <c r="H390" s="2294">
        <v>1.0190999999999999</v>
      </c>
      <c r="I390" s="2295"/>
      <c r="J390" s="1550"/>
    </row>
    <row r="391" spans="1:10" ht="16.5">
      <c r="A391" s="1584">
        <v>5291</v>
      </c>
      <c r="B391" s="1585" t="s">
        <v>2820</v>
      </c>
      <c r="C391" s="1579" t="s">
        <v>2445</v>
      </c>
      <c r="D391" s="1580"/>
      <c r="E391" s="1580"/>
      <c r="F391" s="1581">
        <f t="shared" si="12"/>
        <v>0</v>
      </c>
      <c r="G391" s="1582" t="e">
        <f t="shared" si="13"/>
        <v>#DIV/0!</v>
      </c>
      <c r="H391" s="2294">
        <v>0.88519999999999999</v>
      </c>
      <c r="I391" s="2295"/>
      <c r="J391" s="1550"/>
    </row>
    <row r="392" spans="1:10" ht="16.5">
      <c r="A392" s="1584">
        <v>5299</v>
      </c>
      <c r="B392" s="1585" t="s">
        <v>2821</v>
      </c>
      <c r="C392" s="1579" t="s">
        <v>2445</v>
      </c>
      <c r="D392" s="1580"/>
      <c r="E392" s="1580"/>
      <c r="F392" s="1581">
        <f t="shared" si="12"/>
        <v>0</v>
      </c>
      <c r="G392" s="1582" t="e">
        <f t="shared" si="13"/>
        <v>#DIV/0!</v>
      </c>
      <c r="H392" s="2294">
        <v>1.8270999999999999</v>
      </c>
      <c r="I392" s="2295"/>
      <c r="J392" s="1550"/>
    </row>
    <row r="393" spans="1:10" ht="16.5">
      <c r="A393" s="1584">
        <v>5301</v>
      </c>
      <c r="B393" s="1585" t="s">
        <v>2822</v>
      </c>
      <c r="C393" s="1579" t="s">
        <v>2445</v>
      </c>
      <c r="D393" s="1580"/>
      <c r="E393" s="1580"/>
      <c r="F393" s="1581">
        <f t="shared" si="12"/>
        <v>0</v>
      </c>
      <c r="G393" s="1582" t="e">
        <f t="shared" si="13"/>
        <v>#DIV/0!</v>
      </c>
      <c r="H393" s="2294">
        <v>0.13450000000000001</v>
      </c>
      <c r="I393" s="2295"/>
      <c r="J393" s="1550"/>
    </row>
    <row r="394" spans="1:10" ht="16.5">
      <c r="A394" s="1584">
        <v>5302</v>
      </c>
      <c r="B394" s="1585" t="s">
        <v>2823</v>
      </c>
      <c r="C394" s="1579" t="s">
        <v>2445</v>
      </c>
      <c r="D394" s="1580"/>
      <c r="E394" s="1580"/>
      <c r="F394" s="1581">
        <f t="shared" si="12"/>
        <v>0</v>
      </c>
      <c r="G394" s="1582" t="e">
        <f t="shared" si="13"/>
        <v>#DIV/0!</v>
      </c>
      <c r="H394" s="2294">
        <v>0.71779999999999999</v>
      </c>
      <c r="I394" s="2295"/>
      <c r="J394" s="1550"/>
    </row>
    <row r="395" spans="1:10" ht="16.5">
      <c r="A395" s="1584">
        <v>5304</v>
      </c>
      <c r="B395" s="1585" t="s">
        <v>2824</v>
      </c>
      <c r="C395" s="1579" t="s">
        <v>2445</v>
      </c>
      <c r="D395" s="1580"/>
      <c r="E395" s="1580"/>
      <c r="F395" s="1581">
        <f t="shared" si="12"/>
        <v>0</v>
      </c>
      <c r="G395" s="1582" t="e">
        <f t="shared" si="13"/>
        <v>#DIV/0!</v>
      </c>
      <c r="H395" s="2294">
        <v>0.19470000000000001</v>
      </c>
      <c r="I395" s="2295"/>
      <c r="J395" s="1550"/>
    </row>
    <row r="396" spans="1:10" ht="16.5">
      <c r="A396" s="1584">
        <v>5306</v>
      </c>
      <c r="B396" s="1585" t="s">
        <v>2825</v>
      </c>
      <c r="C396" s="1579" t="s">
        <v>2445</v>
      </c>
      <c r="D396" s="1580"/>
      <c r="E396" s="1580"/>
      <c r="F396" s="1581">
        <f t="shared" si="12"/>
        <v>0</v>
      </c>
      <c r="G396" s="1582" t="e">
        <f t="shared" si="13"/>
        <v>#DIV/0!</v>
      </c>
      <c r="H396" s="2294">
        <v>0.3543</v>
      </c>
      <c r="I396" s="2295"/>
      <c r="J396" s="1550"/>
    </row>
    <row r="397" spans="1:10" ht="16.5">
      <c r="A397" s="1584">
        <v>5309</v>
      </c>
      <c r="B397" s="1585" t="s">
        <v>2826</v>
      </c>
      <c r="C397" s="1579" t="s">
        <v>2445</v>
      </c>
      <c r="D397" s="1580"/>
      <c r="E397" s="1580"/>
      <c r="F397" s="1581">
        <f t="shared" si="12"/>
        <v>0</v>
      </c>
      <c r="G397" s="1582" t="e">
        <f t="shared" si="13"/>
        <v>#DIV/0!</v>
      </c>
      <c r="H397" s="2294">
        <v>0.52200000000000002</v>
      </c>
      <c r="I397" s="2295"/>
      <c r="J397" s="1550"/>
    </row>
    <row r="398" spans="1:10" ht="16.5">
      <c r="A398" s="1584">
        <v>5310</v>
      </c>
      <c r="B398" s="1585" t="s">
        <v>2827</v>
      </c>
      <c r="C398" s="1579" t="s">
        <v>2445</v>
      </c>
      <c r="D398" s="1580"/>
      <c r="E398" s="1580"/>
      <c r="F398" s="1581">
        <f t="shared" si="12"/>
        <v>0</v>
      </c>
      <c r="G398" s="1582" t="e">
        <f t="shared" si="13"/>
        <v>#DIV/0!</v>
      </c>
      <c r="H398" s="2294">
        <v>0.54269999999999996</v>
      </c>
      <c r="I398" s="2295"/>
      <c r="J398" s="1550"/>
    </row>
    <row r="399" spans="1:10" ht="16.5">
      <c r="A399" s="1584">
        <v>5312</v>
      </c>
      <c r="B399" s="1585" t="s">
        <v>2828</v>
      </c>
      <c r="C399" s="1579" t="s">
        <v>2445</v>
      </c>
      <c r="D399" s="1580"/>
      <c r="E399" s="1580"/>
      <c r="F399" s="1581">
        <f t="shared" si="12"/>
        <v>0</v>
      </c>
      <c r="G399" s="1582" t="e">
        <f t="shared" si="13"/>
        <v>#DIV/0!</v>
      </c>
      <c r="H399" s="2294">
        <v>0.32190000000000002</v>
      </c>
      <c r="I399" s="2295"/>
      <c r="J399" s="1550"/>
    </row>
    <row r="400" spans="1:10" ht="16.5">
      <c r="A400" s="1584">
        <v>5314</v>
      </c>
      <c r="B400" s="1585" t="s">
        <v>2829</v>
      </c>
      <c r="C400" s="1579" t="s">
        <v>2445</v>
      </c>
      <c r="D400" s="1580"/>
      <c r="E400" s="1580"/>
      <c r="F400" s="1581">
        <f t="shared" si="12"/>
        <v>0</v>
      </c>
      <c r="G400" s="1582" t="e">
        <f t="shared" si="13"/>
        <v>#DIV/0!</v>
      </c>
      <c r="H400" s="2294">
        <v>1.0387</v>
      </c>
      <c r="I400" s="2295"/>
      <c r="J400" s="1550"/>
    </row>
    <row r="401" spans="1:10" ht="16.5">
      <c r="A401" s="1584">
        <v>5315</v>
      </c>
      <c r="B401" s="1585" t="s">
        <v>2830</v>
      </c>
      <c r="C401" s="1579" t="s">
        <v>2445</v>
      </c>
      <c r="D401" s="1580"/>
      <c r="E401" s="1580"/>
      <c r="F401" s="1581">
        <f t="shared" si="12"/>
        <v>0</v>
      </c>
      <c r="G401" s="1582" t="e">
        <f t="shared" si="13"/>
        <v>#DIV/0!</v>
      </c>
      <c r="H401" s="2294">
        <v>1.0130999999999999</v>
      </c>
      <c r="I401" s="2295"/>
      <c r="J401" s="1550"/>
    </row>
    <row r="402" spans="1:10" ht="16.5">
      <c r="A402" s="1584">
        <v>5321</v>
      </c>
      <c r="B402" s="1585" t="s">
        <v>2831</v>
      </c>
      <c r="C402" s="1579" t="s">
        <v>2445</v>
      </c>
      <c r="D402" s="1580"/>
      <c r="E402" s="1580"/>
      <c r="F402" s="1581">
        <f t="shared" si="12"/>
        <v>0</v>
      </c>
      <c r="G402" s="1582" t="e">
        <f t="shared" si="13"/>
        <v>#DIV/0!</v>
      </c>
      <c r="H402" s="2294">
        <v>-0.16789999999999999</v>
      </c>
      <c r="I402" s="2295"/>
      <c r="J402" s="1550"/>
    </row>
    <row r="403" spans="1:10" ht="16.5">
      <c r="A403" s="1584">
        <v>5324</v>
      </c>
      <c r="B403" s="1585" t="s">
        <v>2832</v>
      </c>
      <c r="C403" s="1579" t="s">
        <v>2445</v>
      </c>
      <c r="D403" s="1580"/>
      <c r="E403" s="1580"/>
      <c r="F403" s="1581">
        <f t="shared" si="12"/>
        <v>0</v>
      </c>
      <c r="G403" s="1582" t="e">
        <f t="shared" si="13"/>
        <v>#DIV/0!</v>
      </c>
      <c r="H403" s="2294">
        <v>0.12609999999999999</v>
      </c>
      <c r="I403" s="2295"/>
      <c r="J403" s="1550"/>
    </row>
    <row r="404" spans="1:10" ht="16.5">
      <c r="A404" s="1584">
        <v>5328</v>
      </c>
      <c r="B404" s="1585" t="s">
        <v>2833</v>
      </c>
      <c r="C404" s="1579" t="s">
        <v>2445</v>
      </c>
      <c r="D404" s="1580"/>
      <c r="E404" s="1580"/>
      <c r="F404" s="1581">
        <f t="shared" si="12"/>
        <v>0</v>
      </c>
      <c r="G404" s="1582" t="e">
        <f t="shared" si="13"/>
        <v>#DIV/0!</v>
      </c>
      <c r="H404" s="2294">
        <v>1.3985000000000001</v>
      </c>
      <c r="I404" s="2295"/>
      <c r="J404" s="1550"/>
    </row>
    <row r="405" spans="1:10" ht="16.5">
      <c r="A405" s="1584">
        <v>5340</v>
      </c>
      <c r="B405" s="1585" t="s">
        <v>2834</v>
      </c>
      <c r="C405" s="1579" t="s">
        <v>2445</v>
      </c>
      <c r="D405" s="1580"/>
      <c r="E405" s="1580"/>
      <c r="F405" s="1581">
        <f t="shared" si="12"/>
        <v>0</v>
      </c>
      <c r="G405" s="1582" t="e">
        <f t="shared" si="13"/>
        <v>#DIV/0!</v>
      </c>
      <c r="H405" s="2294">
        <v>1.264</v>
      </c>
      <c r="I405" s="2295"/>
      <c r="J405" s="1550"/>
    </row>
    <row r="406" spans="1:10" ht="16.5">
      <c r="A406" s="1584">
        <v>5344</v>
      </c>
      <c r="B406" s="1585" t="s">
        <v>2835</v>
      </c>
      <c r="C406" s="1579" t="s">
        <v>2445</v>
      </c>
      <c r="D406" s="1580"/>
      <c r="E406" s="1580"/>
      <c r="F406" s="1581">
        <f t="shared" si="12"/>
        <v>0</v>
      </c>
      <c r="G406" s="1582" t="e">
        <f t="shared" si="13"/>
        <v>#DIV/0!</v>
      </c>
      <c r="H406" s="2294">
        <v>0.55649999999999999</v>
      </c>
      <c r="I406" s="2295"/>
      <c r="J406" s="1550"/>
    </row>
    <row r="407" spans="1:10" ht="16.5">
      <c r="A407" s="1584">
        <v>5345</v>
      </c>
      <c r="B407" s="1585" t="s">
        <v>2836</v>
      </c>
      <c r="C407" s="1579" t="s">
        <v>2445</v>
      </c>
      <c r="D407" s="1580"/>
      <c r="E407" s="1580"/>
      <c r="F407" s="1581">
        <f t="shared" si="12"/>
        <v>0</v>
      </c>
      <c r="G407" s="1582" t="e">
        <f t="shared" si="13"/>
        <v>#DIV/0!</v>
      </c>
      <c r="H407" s="2294">
        <v>0.40139999999999998</v>
      </c>
      <c r="I407" s="2295"/>
      <c r="J407" s="1550"/>
    </row>
    <row r="408" spans="1:10" ht="16.5">
      <c r="A408" s="1584">
        <v>5347</v>
      </c>
      <c r="B408" s="1585" t="s">
        <v>2837</v>
      </c>
      <c r="C408" s="1579" t="s">
        <v>2445</v>
      </c>
      <c r="D408" s="1580"/>
      <c r="E408" s="1580"/>
      <c r="F408" s="1581">
        <f t="shared" si="12"/>
        <v>0</v>
      </c>
      <c r="G408" s="1582" t="e">
        <f t="shared" si="13"/>
        <v>#DIV/0!</v>
      </c>
      <c r="H408" s="2294">
        <v>1.0258</v>
      </c>
      <c r="I408" s="2295"/>
      <c r="J408" s="1550"/>
    </row>
    <row r="409" spans="1:10" ht="16.5">
      <c r="A409" s="1584">
        <v>5348</v>
      </c>
      <c r="B409" s="1585" t="s">
        <v>2838</v>
      </c>
      <c r="C409" s="1579" t="s">
        <v>2445</v>
      </c>
      <c r="D409" s="1580"/>
      <c r="E409" s="1580"/>
      <c r="F409" s="1581">
        <f t="shared" si="12"/>
        <v>0</v>
      </c>
      <c r="G409" s="1582" t="e">
        <f t="shared" si="13"/>
        <v>#DIV/0!</v>
      </c>
      <c r="H409" s="2294">
        <v>-0.23069999999999999</v>
      </c>
      <c r="I409" s="2295"/>
      <c r="J409" s="1550"/>
    </row>
    <row r="410" spans="1:10" ht="16.5">
      <c r="A410" s="1584">
        <v>5349</v>
      </c>
      <c r="B410" s="1585" t="s">
        <v>2839</v>
      </c>
      <c r="C410" s="1579" t="s">
        <v>2445</v>
      </c>
      <c r="D410" s="1580"/>
      <c r="E410" s="1580"/>
      <c r="F410" s="1581">
        <f t="shared" si="12"/>
        <v>0</v>
      </c>
      <c r="G410" s="1582" t="e">
        <f t="shared" si="13"/>
        <v>#DIV/0!</v>
      </c>
      <c r="H410" s="2294">
        <v>1.4375</v>
      </c>
      <c r="I410" s="2295"/>
      <c r="J410" s="1550"/>
    </row>
    <row r="411" spans="1:10" ht="16.5">
      <c r="A411" s="1584">
        <v>5351</v>
      </c>
      <c r="B411" s="1585" t="s">
        <v>2840</v>
      </c>
      <c r="C411" s="1579" t="s">
        <v>2445</v>
      </c>
      <c r="D411" s="1580"/>
      <c r="E411" s="1580"/>
      <c r="F411" s="1581">
        <f t="shared" si="12"/>
        <v>0</v>
      </c>
      <c r="G411" s="1582" t="e">
        <f t="shared" si="13"/>
        <v>#DIV/0!</v>
      </c>
      <c r="H411" s="2294">
        <v>0.84960000000000002</v>
      </c>
      <c r="I411" s="2295"/>
      <c r="J411" s="1550"/>
    </row>
    <row r="412" spans="1:10" ht="16.5">
      <c r="A412" s="1584">
        <v>5353</v>
      </c>
      <c r="B412" s="1585" t="s">
        <v>2841</v>
      </c>
      <c r="C412" s="1579" t="s">
        <v>2445</v>
      </c>
      <c r="D412" s="1580"/>
      <c r="E412" s="1580"/>
      <c r="F412" s="1581">
        <f t="shared" si="12"/>
        <v>0</v>
      </c>
      <c r="G412" s="1582" t="e">
        <f t="shared" si="13"/>
        <v>#DIV/0!</v>
      </c>
      <c r="H412" s="2294">
        <v>0.52249999999999996</v>
      </c>
      <c r="I412" s="2295"/>
      <c r="J412" s="1550"/>
    </row>
    <row r="413" spans="1:10" ht="16.5">
      <c r="A413" s="1584">
        <v>5355</v>
      </c>
      <c r="B413" s="1585" t="s">
        <v>2842</v>
      </c>
      <c r="C413" s="1579" t="s">
        <v>2445</v>
      </c>
      <c r="D413" s="1580"/>
      <c r="E413" s="1580"/>
      <c r="F413" s="1581">
        <f t="shared" si="12"/>
        <v>0</v>
      </c>
      <c r="G413" s="1582" t="e">
        <f t="shared" si="13"/>
        <v>#DIV/0!</v>
      </c>
      <c r="H413" s="2294">
        <v>0.14399999999999999</v>
      </c>
      <c r="I413" s="2295"/>
      <c r="J413" s="1550"/>
    </row>
    <row r="414" spans="1:10" ht="16.5">
      <c r="A414" s="1584">
        <v>5356</v>
      </c>
      <c r="B414" s="1585" t="s">
        <v>2843</v>
      </c>
      <c r="C414" s="1579" t="s">
        <v>2445</v>
      </c>
      <c r="D414" s="1580"/>
      <c r="E414" s="1580"/>
      <c r="F414" s="1581">
        <f t="shared" si="12"/>
        <v>0</v>
      </c>
      <c r="G414" s="1582" t="e">
        <f t="shared" si="13"/>
        <v>#DIV/0!</v>
      </c>
      <c r="H414" s="2294">
        <v>0.90880000000000005</v>
      </c>
      <c r="I414" s="2295"/>
      <c r="J414" s="1550"/>
    </row>
    <row r="415" spans="1:10" ht="16.5">
      <c r="A415" s="1584">
        <v>5364</v>
      </c>
      <c r="B415" s="1585" t="s">
        <v>2844</v>
      </c>
      <c r="C415" s="1579" t="s">
        <v>2445</v>
      </c>
      <c r="D415" s="1580"/>
      <c r="E415" s="1580"/>
      <c r="F415" s="1581">
        <f t="shared" si="12"/>
        <v>0</v>
      </c>
      <c r="G415" s="1582" t="e">
        <f t="shared" si="13"/>
        <v>#DIV/0!</v>
      </c>
      <c r="H415" s="2294">
        <v>5.3499999999999999E-2</v>
      </c>
      <c r="I415" s="2295"/>
      <c r="J415" s="1550"/>
    </row>
    <row r="416" spans="1:10" ht="16.5">
      <c r="A416" s="1584">
        <v>5371</v>
      </c>
      <c r="B416" s="1585" t="s">
        <v>2845</v>
      </c>
      <c r="C416" s="1579" t="s">
        <v>2445</v>
      </c>
      <c r="D416" s="1580"/>
      <c r="E416" s="1580"/>
      <c r="F416" s="1581">
        <f t="shared" si="12"/>
        <v>0</v>
      </c>
      <c r="G416" s="1582" t="e">
        <f t="shared" si="13"/>
        <v>#DIV/0!</v>
      </c>
      <c r="H416" s="2294">
        <v>0.79859999999999998</v>
      </c>
      <c r="I416" s="2295"/>
      <c r="J416" s="1550"/>
    </row>
    <row r="417" spans="1:10" ht="16.5">
      <c r="A417" s="1584">
        <v>5381</v>
      </c>
      <c r="B417" s="1585" t="s">
        <v>2846</v>
      </c>
      <c r="C417" s="1579" t="s">
        <v>2445</v>
      </c>
      <c r="D417" s="1580"/>
      <c r="E417" s="1580"/>
      <c r="F417" s="1581">
        <f t="shared" si="12"/>
        <v>0</v>
      </c>
      <c r="G417" s="1582" t="e">
        <f t="shared" si="13"/>
        <v>#DIV/0!</v>
      </c>
      <c r="H417" s="2294">
        <v>0.1789</v>
      </c>
      <c r="I417" s="2295"/>
      <c r="J417" s="1550"/>
    </row>
    <row r="418" spans="1:10" ht="16.5">
      <c r="A418" s="1584">
        <v>5383</v>
      </c>
      <c r="B418" s="1585" t="s">
        <v>2847</v>
      </c>
      <c r="C418" s="1579" t="s">
        <v>2445</v>
      </c>
      <c r="D418" s="1580"/>
      <c r="E418" s="1580"/>
      <c r="F418" s="1581">
        <f t="shared" si="12"/>
        <v>0</v>
      </c>
      <c r="G418" s="1582" t="e">
        <f t="shared" si="13"/>
        <v>#DIV/0!</v>
      </c>
      <c r="H418" s="2294">
        <v>0.36359999999999998</v>
      </c>
      <c r="I418" s="2295"/>
      <c r="J418" s="1550"/>
    </row>
    <row r="419" spans="1:10" ht="16.5">
      <c r="A419" s="1584">
        <v>5386</v>
      </c>
      <c r="B419" s="1585" t="s">
        <v>2848</v>
      </c>
      <c r="C419" s="1579" t="s">
        <v>2445</v>
      </c>
      <c r="D419" s="1580"/>
      <c r="E419" s="1580"/>
      <c r="F419" s="1581">
        <f t="shared" si="12"/>
        <v>0</v>
      </c>
      <c r="G419" s="1582" t="e">
        <f t="shared" si="13"/>
        <v>#DIV/0!</v>
      </c>
      <c r="H419" s="2294">
        <v>0.90080000000000005</v>
      </c>
      <c r="I419" s="2295"/>
      <c r="J419" s="1550"/>
    </row>
    <row r="420" spans="1:10" ht="16.5">
      <c r="A420" s="1584">
        <v>5392</v>
      </c>
      <c r="B420" s="1585" t="s">
        <v>2849</v>
      </c>
      <c r="C420" s="1579" t="s">
        <v>2445</v>
      </c>
      <c r="D420" s="1580"/>
      <c r="E420" s="1580"/>
      <c r="F420" s="1581">
        <f t="shared" si="12"/>
        <v>0</v>
      </c>
      <c r="G420" s="1582" t="e">
        <f t="shared" si="13"/>
        <v>#DIV/0!</v>
      </c>
      <c r="H420" s="2294">
        <v>0.91920000000000002</v>
      </c>
      <c r="I420" s="2295"/>
      <c r="J420" s="1550"/>
    </row>
    <row r="421" spans="1:10" ht="16.5">
      <c r="A421" s="1584">
        <v>5398</v>
      </c>
      <c r="B421" s="1585" t="s">
        <v>2850</v>
      </c>
      <c r="C421" s="1579" t="s">
        <v>2445</v>
      </c>
      <c r="D421" s="1580"/>
      <c r="E421" s="1580"/>
      <c r="F421" s="1581">
        <f t="shared" si="12"/>
        <v>0</v>
      </c>
      <c r="G421" s="1582" t="e">
        <f t="shared" si="13"/>
        <v>#DIV/0!</v>
      </c>
      <c r="H421" s="2294">
        <v>3.5700000000000003E-2</v>
      </c>
      <c r="I421" s="2295"/>
      <c r="J421" s="1550"/>
    </row>
    <row r="422" spans="1:10" ht="16.5">
      <c r="A422" s="1584">
        <v>5403</v>
      </c>
      <c r="B422" s="1585" t="s">
        <v>2851</v>
      </c>
      <c r="C422" s="1579" t="s">
        <v>2445</v>
      </c>
      <c r="D422" s="1580"/>
      <c r="E422" s="1580"/>
      <c r="F422" s="1581">
        <f t="shared" si="12"/>
        <v>0</v>
      </c>
      <c r="G422" s="1582" t="e">
        <f t="shared" si="13"/>
        <v>#DIV/0!</v>
      </c>
      <c r="H422" s="2294">
        <v>0.13120000000000001</v>
      </c>
      <c r="I422" s="2295"/>
      <c r="J422" s="1550"/>
    </row>
    <row r="423" spans="1:10" ht="16.5">
      <c r="A423" s="1584">
        <v>5410</v>
      </c>
      <c r="B423" s="1585" t="s">
        <v>2852</v>
      </c>
      <c r="C423" s="1579" t="s">
        <v>2445</v>
      </c>
      <c r="D423" s="1580"/>
      <c r="E423" s="1580"/>
      <c r="F423" s="1581">
        <f t="shared" si="12"/>
        <v>0</v>
      </c>
      <c r="G423" s="1582" t="e">
        <f t="shared" si="13"/>
        <v>#DIV/0!</v>
      </c>
      <c r="H423" s="2294">
        <v>0.39100000000000001</v>
      </c>
      <c r="I423" s="2295"/>
      <c r="J423" s="1550"/>
    </row>
    <row r="424" spans="1:10" ht="16.5">
      <c r="A424" s="1584">
        <v>5425</v>
      </c>
      <c r="B424" s="1585" t="s">
        <v>2853</v>
      </c>
      <c r="C424" s="1579" t="s">
        <v>2445</v>
      </c>
      <c r="D424" s="1580"/>
      <c r="E424" s="1580"/>
      <c r="F424" s="1581">
        <f t="shared" si="12"/>
        <v>0</v>
      </c>
      <c r="G424" s="1582" t="e">
        <f t="shared" si="13"/>
        <v>#DIV/0!</v>
      </c>
      <c r="H424" s="2294">
        <v>1.6561999999999999</v>
      </c>
      <c r="I424" s="2295"/>
      <c r="J424" s="1550"/>
    </row>
    <row r="425" spans="1:10" ht="16.5">
      <c r="A425" s="1584">
        <v>5426</v>
      </c>
      <c r="B425" s="1585" t="s">
        <v>2854</v>
      </c>
      <c r="C425" s="1579" t="s">
        <v>2445</v>
      </c>
      <c r="D425" s="1580"/>
      <c r="E425" s="1580"/>
      <c r="F425" s="1581">
        <f t="shared" si="12"/>
        <v>0</v>
      </c>
      <c r="G425" s="1582" t="e">
        <f t="shared" si="13"/>
        <v>#DIV/0!</v>
      </c>
      <c r="H425" s="2294">
        <v>0.1206</v>
      </c>
      <c r="I425" s="2295"/>
      <c r="J425" s="1550"/>
    </row>
    <row r="426" spans="1:10" ht="16.5">
      <c r="A426" s="1584">
        <v>5432</v>
      </c>
      <c r="B426" s="1585" t="s">
        <v>2855</v>
      </c>
      <c r="C426" s="1579" t="s">
        <v>2445</v>
      </c>
      <c r="D426" s="1580"/>
      <c r="E426" s="1580"/>
      <c r="F426" s="1581">
        <f t="shared" si="12"/>
        <v>0</v>
      </c>
      <c r="G426" s="1582" t="e">
        <f t="shared" si="13"/>
        <v>#DIV/0!</v>
      </c>
      <c r="H426" s="2294">
        <v>0.78620000000000001</v>
      </c>
      <c r="I426" s="2295"/>
      <c r="J426" s="1550"/>
    </row>
    <row r="427" spans="1:10" ht="16.5">
      <c r="A427" s="1584">
        <v>5438</v>
      </c>
      <c r="B427" s="1585" t="s">
        <v>2856</v>
      </c>
      <c r="C427" s="1579" t="s">
        <v>2445</v>
      </c>
      <c r="D427" s="1580"/>
      <c r="E427" s="1580"/>
      <c r="F427" s="1581">
        <f t="shared" si="12"/>
        <v>0</v>
      </c>
      <c r="G427" s="1582" t="e">
        <f t="shared" si="13"/>
        <v>#DIV/0!</v>
      </c>
      <c r="H427" s="2294">
        <v>0.25230000000000002</v>
      </c>
      <c r="I427" s="2295"/>
      <c r="J427" s="1550"/>
    </row>
    <row r="428" spans="1:10" ht="16.5">
      <c r="A428" s="1584">
        <v>5439</v>
      </c>
      <c r="B428" s="1585" t="s">
        <v>2857</v>
      </c>
      <c r="C428" s="1579" t="s">
        <v>2445</v>
      </c>
      <c r="D428" s="1580"/>
      <c r="E428" s="1580"/>
      <c r="F428" s="1581">
        <f t="shared" si="12"/>
        <v>0</v>
      </c>
      <c r="G428" s="1582" t="e">
        <f t="shared" si="13"/>
        <v>#DIV/0!</v>
      </c>
      <c r="H428" s="2294">
        <v>1.3461000000000001</v>
      </c>
      <c r="I428" s="2295"/>
      <c r="J428" s="1550"/>
    </row>
    <row r="429" spans="1:10" ht="16.5">
      <c r="A429" s="1584">
        <v>5443</v>
      </c>
      <c r="B429" s="1585" t="s">
        <v>2858</v>
      </c>
      <c r="C429" s="1579" t="s">
        <v>2445</v>
      </c>
      <c r="D429" s="1580"/>
      <c r="E429" s="1580"/>
      <c r="F429" s="1581">
        <f t="shared" si="12"/>
        <v>0</v>
      </c>
      <c r="G429" s="1582" t="e">
        <f t="shared" si="13"/>
        <v>#DIV/0!</v>
      </c>
      <c r="H429" s="2294">
        <v>1.0203</v>
      </c>
      <c r="I429" s="2295"/>
      <c r="J429" s="1550"/>
    </row>
    <row r="430" spans="1:10" ht="16.5">
      <c r="A430" s="1584">
        <v>5450</v>
      </c>
      <c r="B430" s="1585" t="s">
        <v>2859</v>
      </c>
      <c r="C430" s="1579" t="s">
        <v>2445</v>
      </c>
      <c r="D430" s="1580"/>
      <c r="E430" s="1580"/>
      <c r="F430" s="1581">
        <f t="shared" si="12"/>
        <v>0</v>
      </c>
      <c r="G430" s="1582" t="e">
        <f t="shared" si="13"/>
        <v>#DIV/0!</v>
      </c>
      <c r="H430" s="2294">
        <v>0.92290000000000005</v>
      </c>
      <c r="I430" s="2295"/>
      <c r="J430" s="1550"/>
    </row>
    <row r="431" spans="1:10" ht="16.5">
      <c r="A431" s="1584">
        <v>5452</v>
      </c>
      <c r="B431" s="1585" t="s">
        <v>2860</v>
      </c>
      <c r="C431" s="1579" t="s">
        <v>2445</v>
      </c>
      <c r="D431" s="1580"/>
      <c r="E431" s="1580"/>
      <c r="F431" s="1581">
        <f t="shared" si="12"/>
        <v>0</v>
      </c>
      <c r="G431" s="1582" t="e">
        <f t="shared" si="13"/>
        <v>#DIV/0!</v>
      </c>
      <c r="H431" s="2294">
        <v>0.73070000000000002</v>
      </c>
      <c r="I431" s="2295"/>
      <c r="J431" s="1550"/>
    </row>
    <row r="432" spans="1:10" ht="16.5">
      <c r="A432" s="1584">
        <v>5455</v>
      </c>
      <c r="B432" s="1585" t="s">
        <v>2861</v>
      </c>
      <c r="C432" s="1579" t="s">
        <v>2445</v>
      </c>
      <c r="D432" s="1580"/>
      <c r="E432" s="1580"/>
      <c r="F432" s="1581">
        <f t="shared" si="12"/>
        <v>0</v>
      </c>
      <c r="G432" s="1582" t="e">
        <f t="shared" si="13"/>
        <v>#DIV/0!</v>
      </c>
      <c r="H432" s="2294">
        <v>0.52070000000000005</v>
      </c>
      <c r="I432" s="2295"/>
      <c r="J432" s="1550"/>
    </row>
    <row r="433" spans="1:10" ht="16.5">
      <c r="A433" s="1584">
        <v>5457</v>
      </c>
      <c r="B433" s="1585" t="s">
        <v>2862</v>
      </c>
      <c r="C433" s="1579" t="s">
        <v>2445</v>
      </c>
      <c r="D433" s="1580"/>
      <c r="E433" s="1580"/>
      <c r="F433" s="1581">
        <f t="shared" si="12"/>
        <v>0</v>
      </c>
      <c r="G433" s="1582" t="e">
        <f t="shared" si="13"/>
        <v>#DIV/0!</v>
      </c>
      <c r="H433" s="2294">
        <v>1.2327999999999999</v>
      </c>
      <c r="I433" s="2295"/>
      <c r="J433" s="1550"/>
    </row>
    <row r="434" spans="1:10" ht="16.5">
      <c r="A434" s="1584">
        <v>5460</v>
      </c>
      <c r="B434" s="1585" t="s">
        <v>2863</v>
      </c>
      <c r="C434" s="1579" t="s">
        <v>2445</v>
      </c>
      <c r="D434" s="1580"/>
      <c r="E434" s="1580"/>
      <c r="F434" s="1581">
        <f t="shared" si="12"/>
        <v>0</v>
      </c>
      <c r="G434" s="1582" t="e">
        <f t="shared" si="13"/>
        <v>#DIV/0!</v>
      </c>
      <c r="H434" s="2294">
        <v>0.1492</v>
      </c>
      <c r="I434" s="2295"/>
      <c r="J434" s="1550"/>
    </row>
    <row r="435" spans="1:10" ht="16.5">
      <c r="A435" s="1584">
        <v>5464</v>
      </c>
      <c r="B435" s="1585" t="s">
        <v>2864</v>
      </c>
      <c r="C435" s="1579" t="s">
        <v>2445</v>
      </c>
      <c r="D435" s="1580"/>
      <c r="E435" s="1580"/>
      <c r="F435" s="1581">
        <f t="shared" si="12"/>
        <v>0</v>
      </c>
      <c r="G435" s="1582" t="e">
        <f t="shared" si="13"/>
        <v>#DIV/0!</v>
      </c>
      <c r="H435" s="2294">
        <v>0.69599999999999995</v>
      </c>
      <c r="I435" s="2295"/>
      <c r="J435" s="1550"/>
    </row>
    <row r="436" spans="1:10" ht="16.5">
      <c r="A436" s="1584">
        <v>5465</v>
      </c>
      <c r="B436" s="1585" t="s">
        <v>2865</v>
      </c>
      <c r="C436" s="1579" t="s">
        <v>2445</v>
      </c>
      <c r="D436" s="1580"/>
      <c r="E436" s="1580"/>
      <c r="F436" s="1581">
        <f t="shared" si="12"/>
        <v>0</v>
      </c>
      <c r="G436" s="1582" t="e">
        <f t="shared" si="13"/>
        <v>#DIV/0!</v>
      </c>
      <c r="H436" s="2294">
        <v>0.46210000000000001</v>
      </c>
      <c r="I436" s="2295"/>
      <c r="J436" s="1550"/>
    </row>
    <row r="437" spans="1:10" ht="16.5">
      <c r="A437" s="1584">
        <v>5468</v>
      </c>
      <c r="B437" s="1585" t="s">
        <v>2866</v>
      </c>
      <c r="C437" s="1579" t="s">
        <v>2445</v>
      </c>
      <c r="D437" s="1580"/>
      <c r="E437" s="1580"/>
      <c r="F437" s="1581">
        <f t="shared" si="12"/>
        <v>0</v>
      </c>
      <c r="G437" s="1582" t="e">
        <f t="shared" si="13"/>
        <v>#DIV/0!</v>
      </c>
      <c r="H437" s="2294">
        <v>-0.75570000000000004</v>
      </c>
      <c r="I437" s="2295"/>
      <c r="J437" s="1550"/>
    </row>
    <row r="438" spans="1:10" ht="16.5">
      <c r="A438" s="1584">
        <v>5474</v>
      </c>
      <c r="B438" s="1585" t="s">
        <v>2867</v>
      </c>
      <c r="C438" s="1579" t="s">
        <v>2445</v>
      </c>
      <c r="D438" s="1580"/>
      <c r="E438" s="1580"/>
      <c r="F438" s="1581">
        <f t="shared" si="12"/>
        <v>0</v>
      </c>
      <c r="G438" s="1582" t="e">
        <f t="shared" si="13"/>
        <v>#DIV/0!</v>
      </c>
      <c r="H438" s="2294">
        <v>0.76739999999999997</v>
      </c>
      <c r="I438" s="2295"/>
      <c r="J438" s="1550"/>
    </row>
    <row r="439" spans="1:10" ht="16.5">
      <c r="A439" s="1584">
        <v>5475</v>
      </c>
      <c r="B439" s="1585" t="s">
        <v>2868</v>
      </c>
      <c r="C439" s="1579" t="s">
        <v>2445</v>
      </c>
      <c r="D439" s="1580"/>
      <c r="E439" s="1580"/>
      <c r="F439" s="1581">
        <f t="shared" si="12"/>
        <v>0</v>
      </c>
      <c r="G439" s="1582" t="e">
        <f t="shared" si="13"/>
        <v>#DIV/0!</v>
      </c>
      <c r="H439" s="2294">
        <v>0.65300000000000002</v>
      </c>
      <c r="I439" s="2295"/>
      <c r="J439" s="1550"/>
    </row>
    <row r="440" spans="1:10" ht="16.5">
      <c r="A440" s="1584">
        <v>5478</v>
      </c>
      <c r="B440" s="1585" t="s">
        <v>2869</v>
      </c>
      <c r="C440" s="1579" t="s">
        <v>2445</v>
      </c>
      <c r="D440" s="1580"/>
      <c r="E440" s="1580"/>
      <c r="F440" s="1581">
        <f t="shared" si="12"/>
        <v>0</v>
      </c>
      <c r="G440" s="1582" t="e">
        <f t="shared" si="13"/>
        <v>#DIV/0!</v>
      </c>
      <c r="H440" s="2294">
        <v>0.69840000000000002</v>
      </c>
      <c r="I440" s="2295"/>
      <c r="J440" s="1550"/>
    </row>
    <row r="441" spans="1:10" ht="16.5">
      <c r="A441" s="1584">
        <v>5481</v>
      </c>
      <c r="B441" s="1585" t="s">
        <v>2870</v>
      </c>
      <c r="C441" s="1579" t="s">
        <v>2445</v>
      </c>
      <c r="D441" s="1580"/>
      <c r="E441" s="1580"/>
      <c r="F441" s="1581">
        <f t="shared" si="12"/>
        <v>0</v>
      </c>
      <c r="G441" s="1582" t="e">
        <f t="shared" si="13"/>
        <v>#DIV/0!</v>
      </c>
      <c r="H441" s="2294">
        <v>0.63280000000000003</v>
      </c>
      <c r="I441" s="2295"/>
      <c r="J441" s="1550"/>
    </row>
    <row r="442" spans="1:10" ht="16.5">
      <c r="A442" s="1584">
        <v>5483</v>
      </c>
      <c r="B442" s="1585" t="s">
        <v>2871</v>
      </c>
      <c r="C442" s="1579" t="s">
        <v>2445</v>
      </c>
      <c r="D442" s="1580"/>
      <c r="E442" s="1580"/>
      <c r="F442" s="1581">
        <f t="shared" si="12"/>
        <v>0</v>
      </c>
      <c r="G442" s="1582" t="e">
        <f t="shared" si="13"/>
        <v>#DIV/0!</v>
      </c>
      <c r="H442" s="2294">
        <v>1.5307999999999999</v>
      </c>
      <c r="I442" s="2295"/>
      <c r="J442" s="1550"/>
    </row>
    <row r="443" spans="1:10" ht="16.5">
      <c r="A443" s="1584">
        <v>5487</v>
      </c>
      <c r="B443" s="1585" t="s">
        <v>2872</v>
      </c>
      <c r="C443" s="1579" t="s">
        <v>2445</v>
      </c>
      <c r="D443" s="1580"/>
      <c r="E443" s="1580"/>
      <c r="F443" s="1581">
        <f t="shared" si="12"/>
        <v>0</v>
      </c>
      <c r="G443" s="1582" t="e">
        <f t="shared" si="13"/>
        <v>#DIV/0!</v>
      </c>
      <c r="H443" s="2294">
        <v>0.38490000000000002</v>
      </c>
      <c r="I443" s="2295"/>
      <c r="J443" s="1550"/>
    </row>
    <row r="444" spans="1:10" ht="16.5">
      <c r="A444" s="1584">
        <v>5488</v>
      </c>
      <c r="B444" s="1585" t="s">
        <v>2873</v>
      </c>
      <c r="C444" s="1579" t="s">
        <v>2445</v>
      </c>
      <c r="D444" s="1580"/>
      <c r="E444" s="1580"/>
      <c r="F444" s="1581">
        <f t="shared" si="12"/>
        <v>0</v>
      </c>
      <c r="G444" s="1582" t="e">
        <f t="shared" si="13"/>
        <v>#DIV/0!</v>
      </c>
      <c r="H444" s="2294">
        <v>0.92779999999999996</v>
      </c>
      <c r="I444" s="2295"/>
      <c r="J444" s="1550"/>
    </row>
    <row r="445" spans="1:10" ht="16.5">
      <c r="A445" s="1584">
        <v>5489</v>
      </c>
      <c r="B445" s="1585" t="s">
        <v>2874</v>
      </c>
      <c r="C445" s="1579" t="s">
        <v>2445</v>
      </c>
      <c r="D445" s="1580"/>
      <c r="E445" s="1580"/>
      <c r="F445" s="1581">
        <f t="shared" si="12"/>
        <v>0</v>
      </c>
      <c r="G445" s="1582" t="e">
        <f t="shared" si="13"/>
        <v>#DIV/0!</v>
      </c>
      <c r="H445" s="2294">
        <v>8.0299999999999996E-2</v>
      </c>
      <c r="I445" s="2295"/>
      <c r="J445" s="1550"/>
    </row>
    <row r="446" spans="1:10" ht="16.5">
      <c r="A446" s="1584">
        <v>5490</v>
      </c>
      <c r="B446" s="1585" t="s">
        <v>2875</v>
      </c>
      <c r="C446" s="1579" t="s">
        <v>2445</v>
      </c>
      <c r="D446" s="1580"/>
      <c r="E446" s="1580"/>
      <c r="F446" s="1581">
        <f t="shared" si="12"/>
        <v>0</v>
      </c>
      <c r="G446" s="1582" t="e">
        <f t="shared" si="13"/>
        <v>#DIV/0!</v>
      </c>
      <c r="H446" s="2294">
        <v>1.0703</v>
      </c>
      <c r="I446" s="2295"/>
      <c r="J446" s="1550"/>
    </row>
    <row r="447" spans="1:10" ht="16.5">
      <c r="A447" s="1584">
        <v>5493</v>
      </c>
      <c r="B447" s="1585" t="s">
        <v>2876</v>
      </c>
      <c r="C447" s="1579" t="s">
        <v>2445</v>
      </c>
      <c r="D447" s="1580"/>
      <c r="E447" s="1580"/>
      <c r="F447" s="1581">
        <f t="shared" si="12"/>
        <v>0</v>
      </c>
      <c r="G447" s="1582" t="e">
        <f t="shared" si="13"/>
        <v>#DIV/0!</v>
      </c>
      <c r="H447" s="2294">
        <v>0.1376</v>
      </c>
      <c r="I447" s="2295"/>
      <c r="J447" s="1550"/>
    </row>
    <row r="448" spans="1:10" ht="16.5">
      <c r="A448" s="1584">
        <v>5498</v>
      </c>
      <c r="B448" s="1585" t="s">
        <v>2877</v>
      </c>
      <c r="C448" s="1579" t="s">
        <v>2445</v>
      </c>
      <c r="D448" s="1580"/>
      <c r="E448" s="1580"/>
      <c r="F448" s="1581">
        <f t="shared" si="12"/>
        <v>0</v>
      </c>
      <c r="G448" s="1582" t="e">
        <f t="shared" si="13"/>
        <v>#DIV/0!</v>
      </c>
      <c r="H448" s="2294">
        <v>0.26569999999999999</v>
      </c>
      <c r="I448" s="2295"/>
      <c r="J448" s="1550"/>
    </row>
    <row r="449" spans="1:10" ht="16.5">
      <c r="A449" s="1584">
        <v>5508</v>
      </c>
      <c r="B449" s="1585" t="s">
        <v>2878</v>
      </c>
      <c r="C449" s="1579" t="s">
        <v>2445</v>
      </c>
      <c r="D449" s="1580"/>
      <c r="E449" s="1580"/>
      <c r="F449" s="1581">
        <f t="shared" si="12"/>
        <v>0</v>
      </c>
      <c r="G449" s="1582" t="e">
        <f t="shared" si="13"/>
        <v>#DIV/0!</v>
      </c>
      <c r="H449" s="2294">
        <v>0.14430000000000001</v>
      </c>
      <c r="I449" s="2295"/>
      <c r="J449" s="1550"/>
    </row>
    <row r="450" spans="1:10" ht="16.5">
      <c r="A450" s="1584">
        <v>5511</v>
      </c>
      <c r="B450" s="1585" t="s">
        <v>2879</v>
      </c>
      <c r="C450" s="1579" t="s">
        <v>2445</v>
      </c>
      <c r="D450" s="1580"/>
      <c r="E450" s="1580"/>
      <c r="F450" s="1581">
        <f t="shared" si="12"/>
        <v>0</v>
      </c>
      <c r="G450" s="1582" t="e">
        <f t="shared" si="13"/>
        <v>#DIV/0!</v>
      </c>
      <c r="H450" s="2294">
        <v>0.36</v>
      </c>
      <c r="I450" s="2295"/>
      <c r="J450" s="1550"/>
    </row>
    <row r="451" spans="1:10" ht="16.5">
      <c r="A451" s="1584">
        <v>5512</v>
      </c>
      <c r="B451" s="1585" t="s">
        <v>2880</v>
      </c>
      <c r="C451" s="1579" t="s">
        <v>2445</v>
      </c>
      <c r="D451" s="1580"/>
      <c r="E451" s="1580"/>
      <c r="F451" s="1581">
        <f t="shared" si="12"/>
        <v>0</v>
      </c>
      <c r="G451" s="1582" t="e">
        <f t="shared" si="13"/>
        <v>#DIV/0!</v>
      </c>
      <c r="H451" s="2294">
        <v>0.32919999999999999</v>
      </c>
      <c r="I451" s="2295"/>
      <c r="J451" s="1550"/>
    </row>
    <row r="452" spans="1:10" ht="16.5">
      <c r="A452" s="1584">
        <v>5514</v>
      </c>
      <c r="B452" s="1585" t="s">
        <v>2881</v>
      </c>
      <c r="C452" s="1579" t="s">
        <v>2445</v>
      </c>
      <c r="D452" s="1580"/>
      <c r="E452" s="1580"/>
      <c r="F452" s="1581">
        <f t="shared" si="12"/>
        <v>0</v>
      </c>
      <c r="G452" s="1582" t="e">
        <f t="shared" si="13"/>
        <v>#DIV/0!</v>
      </c>
      <c r="H452" s="2294">
        <v>0.21540000000000001</v>
      </c>
      <c r="I452" s="2295"/>
      <c r="J452" s="1550"/>
    </row>
    <row r="453" spans="1:10" ht="16.5">
      <c r="A453" s="1584">
        <v>5516</v>
      </c>
      <c r="B453" s="1585" t="s">
        <v>2882</v>
      </c>
      <c r="C453" s="1579" t="s">
        <v>2445</v>
      </c>
      <c r="D453" s="1580"/>
      <c r="E453" s="1580"/>
      <c r="F453" s="1581">
        <f t="shared" ref="F453:F516" si="14">D453*E453</f>
        <v>0</v>
      </c>
      <c r="G453" s="1582" t="e">
        <f t="shared" ref="G453:G516" si="15">F453/$F$784</f>
        <v>#DIV/0!</v>
      </c>
      <c r="H453" s="2294">
        <v>-0.1211</v>
      </c>
      <c r="I453" s="2295"/>
      <c r="J453" s="1550"/>
    </row>
    <row r="454" spans="1:10" ht="16.5">
      <c r="A454" s="1584">
        <v>5520</v>
      </c>
      <c r="B454" s="1585" t="s">
        <v>2883</v>
      </c>
      <c r="C454" s="1579" t="s">
        <v>2445</v>
      </c>
      <c r="D454" s="1580"/>
      <c r="E454" s="1580"/>
      <c r="F454" s="1581">
        <f t="shared" si="14"/>
        <v>0</v>
      </c>
      <c r="G454" s="1582" t="e">
        <f t="shared" si="15"/>
        <v>#DIV/0!</v>
      </c>
      <c r="H454" s="2294">
        <v>0.19980000000000001</v>
      </c>
      <c r="I454" s="2295"/>
      <c r="J454" s="1550"/>
    </row>
    <row r="455" spans="1:10" ht="16.5">
      <c r="A455" s="1584">
        <v>5523</v>
      </c>
      <c r="B455" s="1585" t="s">
        <v>2884</v>
      </c>
      <c r="C455" s="1579" t="s">
        <v>2445</v>
      </c>
      <c r="D455" s="1580"/>
      <c r="E455" s="1580"/>
      <c r="F455" s="1581">
        <f t="shared" si="14"/>
        <v>0</v>
      </c>
      <c r="G455" s="1582" t="e">
        <f t="shared" si="15"/>
        <v>#DIV/0!</v>
      </c>
      <c r="H455" s="2294">
        <v>0.3488</v>
      </c>
      <c r="I455" s="2295"/>
      <c r="J455" s="1550"/>
    </row>
    <row r="456" spans="1:10" ht="16.5">
      <c r="A456" s="1584">
        <v>5529</v>
      </c>
      <c r="B456" s="1585" t="s">
        <v>2885</v>
      </c>
      <c r="C456" s="1579" t="s">
        <v>2445</v>
      </c>
      <c r="D456" s="1580"/>
      <c r="E456" s="1580"/>
      <c r="F456" s="1581">
        <f t="shared" si="14"/>
        <v>0</v>
      </c>
      <c r="G456" s="1582" t="e">
        <f t="shared" si="15"/>
        <v>#DIV/0!</v>
      </c>
      <c r="H456" s="2294">
        <v>0.52270000000000005</v>
      </c>
      <c r="I456" s="2295"/>
      <c r="J456" s="1550"/>
    </row>
    <row r="457" spans="1:10" ht="16.5">
      <c r="A457" s="1584">
        <v>5530</v>
      </c>
      <c r="B457" s="1585" t="s">
        <v>2886</v>
      </c>
      <c r="C457" s="1579" t="s">
        <v>2445</v>
      </c>
      <c r="D457" s="1580"/>
      <c r="E457" s="1580"/>
      <c r="F457" s="1581">
        <f t="shared" si="14"/>
        <v>0</v>
      </c>
      <c r="G457" s="1582" t="e">
        <f t="shared" si="15"/>
        <v>#DIV/0!</v>
      </c>
      <c r="H457" s="2294">
        <v>0.2422</v>
      </c>
      <c r="I457" s="2295"/>
      <c r="J457" s="1550"/>
    </row>
    <row r="458" spans="1:10" ht="16.5">
      <c r="A458" s="1584">
        <v>5536</v>
      </c>
      <c r="B458" s="1585" t="s">
        <v>2887</v>
      </c>
      <c r="C458" s="1579" t="s">
        <v>2445</v>
      </c>
      <c r="D458" s="1580"/>
      <c r="E458" s="1580"/>
      <c r="F458" s="1581">
        <f t="shared" si="14"/>
        <v>0</v>
      </c>
      <c r="G458" s="1582" t="e">
        <f t="shared" si="15"/>
        <v>#DIV/0!</v>
      </c>
      <c r="H458" s="2294">
        <v>0.6835</v>
      </c>
      <c r="I458" s="2295"/>
      <c r="J458" s="1550"/>
    </row>
    <row r="459" spans="1:10" ht="16.5">
      <c r="A459" s="1584">
        <v>5543</v>
      </c>
      <c r="B459" s="1585" t="s">
        <v>2888</v>
      </c>
      <c r="C459" s="1579" t="s">
        <v>2445</v>
      </c>
      <c r="D459" s="1580"/>
      <c r="E459" s="1580"/>
      <c r="F459" s="1581">
        <f t="shared" si="14"/>
        <v>0</v>
      </c>
      <c r="G459" s="1582" t="e">
        <f t="shared" si="15"/>
        <v>#DIV/0!</v>
      </c>
      <c r="H459" s="2294">
        <v>0.27279999999999999</v>
      </c>
      <c r="I459" s="2295"/>
      <c r="J459" s="1550"/>
    </row>
    <row r="460" spans="1:10" ht="16.5">
      <c r="A460" s="1584">
        <v>5601</v>
      </c>
      <c r="B460" s="1585" t="s">
        <v>2889</v>
      </c>
      <c r="C460" s="1579" t="s">
        <v>2445</v>
      </c>
      <c r="D460" s="1580"/>
      <c r="E460" s="1580"/>
      <c r="F460" s="1581">
        <f t="shared" si="14"/>
        <v>0</v>
      </c>
      <c r="G460" s="1582" t="e">
        <f t="shared" si="15"/>
        <v>#DIV/0!</v>
      </c>
      <c r="H460" s="2294">
        <v>0.12690000000000001</v>
      </c>
      <c r="I460" s="2295"/>
      <c r="J460" s="1550"/>
    </row>
    <row r="461" spans="1:10" ht="16.5">
      <c r="A461" s="1584">
        <v>5603</v>
      </c>
      <c r="B461" s="1585" t="s">
        <v>2890</v>
      </c>
      <c r="C461" s="1579" t="s">
        <v>2445</v>
      </c>
      <c r="D461" s="1580"/>
      <c r="E461" s="1580"/>
      <c r="F461" s="1581">
        <f t="shared" si="14"/>
        <v>0</v>
      </c>
      <c r="G461" s="1582" t="e">
        <f t="shared" si="15"/>
        <v>#DIV/0!</v>
      </c>
      <c r="H461" s="2294">
        <v>0.38890000000000002</v>
      </c>
      <c r="I461" s="2295"/>
      <c r="J461" s="1550"/>
    </row>
    <row r="462" spans="1:10" ht="16.5">
      <c r="A462" s="1584">
        <v>5604</v>
      </c>
      <c r="B462" s="1585" t="s">
        <v>2891</v>
      </c>
      <c r="C462" s="1579" t="s">
        <v>2445</v>
      </c>
      <c r="D462" s="1580"/>
      <c r="E462" s="1580"/>
      <c r="F462" s="1581">
        <f t="shared" si="14"/>
        <v>0</v>
      </c>
      <c r="G462" s="1582" t="e">
        <f t="shared" si="15"/>
        <v>#DIV/0!</v>
      </c>
      <c r="H462" s="2294">
        <v>7.51E-2</v>
      </c>
      <c r="I462" s="2295"/>
      <c r="J462" s="1550"/>
    </row>
    <row r="463" spans="1:10" ht="16.5">
      <c r="A463" s="1584">
        <v>5609</v>
      </c>
      <c r="B463" s="1585" t="s">
        <v>2892</v>
      </c>
      <c r="C463" s="1579" t="s">
        <v>2445</v>
      </c>
      <c r="D463" s="1580"/>
      <c r="E463" s="1580"/>
      <c r="F463" s="1581">
        <f t="shared" si="14"/>
        <v>0</v>
      </c>
      <c r="G463" s="1582" t="e">
        <f t="shared" si="15"/>
        <v>#DIV/0!</v>
      </c>
      <c r="H463" s="2294">
        <v>0.30330000000000001</v>
      </c>
      <c r="I463" s="2295"/>
      <c r="J463" s="1550"/>
    </row>
    <row r="464" spans="1:10" ht="16.5">
      <c r="A464" s="1584">
        <v>5701</v>
      </c>
      <c r="B464" s="1585" t="s">
        <v>2893</v>
      </c>
      <c r="C464" s="1579" t="s">
        <v>2445</v>
      </c>
      <c r="D464" s="1580"/>
      <c r="E464" s="1580"/>
      <c r="F464" s="1581">
        <f t="shared" si="14"/>
        <v>0</v>
      </c>
      <c r="G464" s="1582" t="e">
        <f t="shared" si="15"/>
        <v>#DIV/0!</v>
      </c>
      <c r="H464" s="2294">
        <v>0.10150000000000001</v>
      </c>
      <c r="I464" s="2295"/>
      <c r="J464" s="1550"/>
    </row>
    <row r="465" spans="1:10" ht="16.5">
      <c r="A465" s="1584">
        <v>5703</v>
      </c>
      <c r="B465" s="1585" t="s">
        <v>2894</v>
      </c>
      <c r="C465" s="1579" t="s">
        <v>2445</v>
      </c>
      <c r="D465" s="1580"/>
      <c r="E465" s="1580"/>
      <c r="F465" s="1581">
        <f t="shared" si="14"/>
        <v>0</v>
      </c>
      <c r="G465" s="1582" t="e">
        <f t="shared" si="15"/>
        <v>#DIV/0!</v>
      </c>
      <c r="H465" s="2294">
        <v>0.24479999999999999</v>
      </c>
      <c r="I465" s="2295"/>
      <c r="J465" s="1550"/>
    </row>
    <row r="466" spans="1:10" ht="16.5">
      <c r="A466" s="1584">
        <v>5704</v>
      </c>
      <c r="B466" s="1585" t="s">
        <v>2895</v>
      </c>
      <c r="C466" s="1579" t="s">
        <v>2445</v>
      </c>
      <c r="D466" s="1580"/>
      <c r="E466" s="1580"/>
      <c r="F466" s="1581">
        <f t="shared" si="14"/>
        <v>0</v>
      </c>
      <c r="G466" s="1582" t="e">
        <f t="shared" si="15"/>
        <v>#DIV/0!</v>
      </c>
      <c r="H466" s="2294">
        <v>-7.8899999999999998E-2</v>
      </c>
      <c r="I466" s="2295"/>
      <c r="J466" s="1550"/>
    </row>
    <row r="467" spans="1:10" ht="16.5">
      <c r="A467" s="1584">
        <v>5820</v>
      </c>
      <c r="B467" s="1585" t="s">
        <v>2896</v>
      </c>
      <c r="C467" s="1579" t="s">
        <v>2445</v>
      </c>
      <c r="D467" s="1580"/>
      <c r="E467" s="1580"/>
      <c r="F467" s="1581">
        <f t="shared" si="14"/>
        <v>0</v>
      </c>
      <c r="G467" s="1582" t="e">
        <f t="shared" si="15"/>
        <v>#DIV/0!</v>
      </c>
      <c r="H467" s="2294">
        <v>0.27</v>
      </c>
      <c r="I467" s="2295"/>
      <c r="J467" s="1550"/>
    </row>
    <row r="468" spans="1:10" ht="16.5">
      <c r="A468" s="1584">
        <v>5864</v>
      </c>
      <c r="B468" s="1585" t="s">
        <v>2897</v>
      </c>
      <c r="C468" s="1579" t="s">
        <v>2445</v>
      </c>
      <c r="D468" s="1580"/>
      <c r="E468" s="1580"/>
      <c r="F468" s="1581">
        <f t="shared" si="14"/>
        <v>0</v>
      </c>
      <c r="G468" s="1582" t="e">
        <f t="shared" si="15"/>
        <v>#DIV/0!</v>
      </c>
      <c r="H468" s="2294">
        <v>0.2344</v>
      </c>
      <c r="I468" s="2295"/>
      <c r="J468" s="1550"/>
    </row>
    <row r="469" spans="1:10" ht="16.5">
      <c r="A469" s="1584">
        <v>5878</v>
      </c>
      <c r="B469" s="1585" t="s">
        <v>2898</v>
      </c>
      <c r="C469" s="1579" t="s">
        <v>2445</v>
      </c>
      <c r="D469" s="1580"/>
      <c r="E469" s="1580"/>
      <c r="F469" s="1581">
        <f t="shared" si="14"/>
        <v>0</v>
      </c>
      <c r="G469" s="1582" t="e">
        <f t="shared" si="15"/>
        <v>#DIV/0!</v>
      </c>
      <c r="H469" s="2294">
        <v>7.4300000000000005E-2</v>
      </c>
      <c r="I469" s="2295"/>
      <c r="J469" s="1550"/>
    </row>
    <row r="470" spans="1:10" ht="16.5">
      <c r="A470" s="1584">
        <v>5902</v>
      </c>
      <c r="B470" s="1585" t="s">
        <v>2899</v>
      </c>
      <c r="C470" s="1579" t="s">
        <v>2445</v>
      </c>
      <c r="D470" s="1580"/>
      <c r="E470" s="1580"/>
      <c r="F470" s="1581">
        <f t="shared" si="14"/>
        <v>0</v>
      </c>
      <c r="G470" s="1582" t="e">
        <f t="shared" si="15"/>
        <v>#DIV/0!</v>
      </c>
      <c r="H470" s="2294">
        <v>0.3402</v>
      </c>
      <c r="I470" s="2295"/>
      <c r="J470" s="1550"/>
    </row>
    <row r="471" spans="1:10" ht="16.5">
      <c r="A471" s="1584">
        <v>5903</v>
      </c>
      <c r="B471" s="1585" t="s">
        <v>2900</v>
      </c>
      <c r="C471" s="1579" t="s">
        <v>2445</v>
      </c>
      <c r="D471" s="1580"/>
      <c r="E471" s="1580"/>
      <c r="F471" s="1581">
        <f t="shared" si="14"/>
        <v>0</v>
      </c>
      <c r="G471" s="1582" t="e">
        <f t="shared" si="15"/>
        <v>#DIV/0!</v>
      </c>
      <c r="H471" s="2294">
        <v>8.5000000000000006E-2</v>
      </c>
      <c r="I471" s="2295"/>
      <c r="J471" s="1550"/>
    </row>
    <row r="472" spans="1:10" ht="16.5">
      <c r="A472" s="1584">
        <v>5904</v>
      </c>
      <c r="B472" s="1585" t="s">
        <v>2901</v>
      </c>
      <c r="C472" s="1579" t="s">
        <v>2445</v>
      </c>
      <c r="D472" s="1580"/>
      <c r="E472" s="1580"/>
      <c r="F472" s="1581">
        <f t="shared" si="14"/>
        <v>0</v>
      </c>
      <c r="G472" s="1582" t="e">
        <f t="shared" si="15"/>
        <v>#DIV/0!</v>
      </c>
      <c r="H472" s="2294">
        <v>0.193</v>
      </c>
      <c r="I472" s="2295"/>
      <c r="J472" s="1550"/>
    </row>
    <row r="473" spans="1:10" ht="16.5">
      <c r="A473" s="1584">
        <v>5905</v>
      </c>
      <c r="B473" s="1585" t="s">
        <v>2902</v>
      </c>
      <c r="C473" s="1579" t="s">
        <v>2445</v>
      </c>
      <c r="D473" s="1580"/>
      <c r="E473" s="1580"/>
      <c r="F473" s="1581">
        <f t="shared" si="14"/>
        <v>0</v>
      </c>
      <c r="G473" s="1582" t="e">
        <f t="shared" si="15"/>
        <v>#DIV/0!</v>
      </c>
      <c r="H473" s="2294">
        <v>0.44650000000000001</v>
      </c>
      <c r="I473" s="2295"/>
      <c r="J473" s="1550"/>
    </row>
    <row r="474" spans="1:10" ht="16.5">
      <c r="A474" s="1584">
        <v>6015</v>
      </c>
      <c r="B474" s="1585" t="s">
        <v>2903</v>
      </c>
      <c r="C474" s="1579" t="s">
        <v>2445</v>
      </c>
      <c r="D474" s="1580"/>
      <c r="E474" s="1580"/>
      <c r="F474" s="1581">
        <f t="shared" si="14"/>
        <v>0</v>
      </c>
      <c r="G474" s="1582" t="e">
        <f t="shared" si="15"/>
        <v>#DIV/0!</v>
      </c>
      <c r="H474" s="2294">
        <v>0.34960000000000002</v>
      </c>
      <c r="I474" s="2295"/>
      <c r="J474" s="1550"/>
    </row>
    <row r="475" spans="1:10" ht="16.5">
      <c r="A475" s="1584">
        <v>6016</v>
      </c>
      <c r="B475" s="1585" t="s">
        <v>2904</v>
      </c>
      <c r="C475" s="1579" t="s">
        <v>2445</v>
      </c>
      <c r="D475" s="1580"/>
      <c r="E475" s="1580"/>
      <c r="F475" s="1581">
        <f t="shared" si="14"/>
        <v>0</v>
      </c>
      <c r="G475" s="1582" t="e">
        <f t="shared" si="15"/>
        <v>#DIV/0!</v>
      </c>
      <c r="H475" s="2294">
        <v>0.13900000000000001</v>
      </c>
      <c r="I475" s="2295"/>
      <c r="J475" s="1550"/>
    </row>
    <row r="476" spans="1:10" ht="16.5">
      <c r="A476" s="1584">
        <v>6020</v>
      </c>
      <c r="B476" s="1585" t="s">
        <v>2905</v>
      </c>
      <c r="C476" s="1579" t="s">
        <v>2445</v>
      </c>
      <c r="D476" s="1580"/>
      <c r="E476" s="1580"/>
      <c r="F476" s="1581">
        <f t="shared" si="14"/>
        <v>0</v>
      </c>
      <c r="G476" s="1582" t="e">
        <f t="shared" si="15"/>
        <v>#DIV/0!</v>
      </c>
      <c r="H476" s="2294">
        <v>0.15129999999999999</v>
      </c>
      <c r="I476" s="2295"/>
      <c r="J476" s="1550"/>
    </row>
    <row r="477" spans="1:10" ht="16.5">
      <c r="A477" s="1584">
        <v>6021</v>
      </c>
      <c r="B477" s="1585" t="s">
        <v>2906</v>
      </c>
      <c r="C477" s="1579" t="s">
        <v>2445</v>
      </c>
      <c r="D477" s="1580"/>
      <c r="E477" s="1580"/>
      <c r="F477" s="1581">
        <f t="shared" si="14"/>
        <v>0</v>
      </c>
      <c r="G477" s="1582" t="e">
        <f t="shared" si="15"/>
        <v>#DIV/0!</v>
      </c>
      <c r="H477" s="2294">
        <v>-9.9299999999999999E-2</v>
      </c>
      <c r="I477" s="2295"/>
      <c r="J477" s="1550"/>
    </row>
    <row r="478" spans="1:10" ht="16.5">
      <c r="A478" s="1584">
        <v>6023</v>
      </c>
      <c r="B478" s="1585" t="s">
        <v>2907</v>
      </c>
      <c r="C478" s="1579" t="s">
        <v>2445</v>
      </c>
      <c r="D478" s="1580"/>
      <c r="E478" s="1580"/>
      <c r="F478" s="1581">
        <f t="shared" si="14"/>
        <v>0</v>
      </c>
      <c r="G478" s="1582" t="e">
        <f t="shared" si="15"/>
        <v>#DIV/0!</v>
      </c>
      <c r="H478" s="2294">
        <v>0.30299999999999999</v>
      </c>
      <c r="I478" s="2295"/>
      <c r="J478" s="1550"/>
    </row>
    <row r="479" spans="1:10" ht="16.5">
      <c r="A479" s="1584">
        <v>6026</v>
      </c>
      <c r="B479" s="1585" t="s">
        <v>2908</v>
      </c>
      <c r="C479" s="1579" t="s">
        <v>2445</v>
      </c>
      <c r="D479" s="1580"/>
      <c r="E479" s="1580"/>
      <c r="F479" s="1581">
        <f t="shared" si="14"/>
        <v>0</v>
      </c>
      <c r="G479" s="1582" t="e">
        <f t="shared" si="15"/>
        <v>#DIV/0!</v>
      </c>
      <c r="H479" s="2294">
        <v>0.32779999999999998</v>
      </c>
      <c r="I479" s="2295"/>
      <c r="J479" s="1550"/>
    </row>
    <row r="480" spans="1:10" ht="16.5">
      <c r="A480" s="1584">
        <v>6101</v>
      </c>
      <c r="B480" s="1585" t="s">
        <v>2909</v>
      </c>
      <c r="C480" s="1579" t="s">
        <v>2445</v>
      </c>
      <c r="D480" s="1580"/>
      <c r="E480" s="1580"/>
      <c r="F480" s="1581">
        <f t="shared" si="14"/>
        <v>0</v>
      </c>
      <c r="G480" s="1582" t="e">
        <f t="shared" si="15"/>
        <v>#DIV/0!</v>
      </c>
      <c r="H480" s="2294">
        <v>0.44450000000000001</v>
      </c>
      <c r="I480" s="2295"/>
      <c r="J480" s="1550"/>
    </row>
    <row r="481" spans="1:10" ht="16.5">
      <c r="A481" s="1584">
        <v>6103</v>
      </c>
      <c r="B481" s="1585" t="s">
        <v>2910</v>
      </c>
      <c r="C481" s="1579" t="s">
        <v>2445</v>
      </c>
      <c r="D481" s="1580"/>
      <c r="E481" s="1580"/>
      <c r="F481" s="1581">
        <f t="shared" si="14"/>
        <v>0</v>
      </c>
      <c r="G481" s="1582" t="e">
        <f t="shared" si="15"/>
        <v>#DIV/0!</v>
      </c>
      <c r="H481" s="2294">
        <v>0.3503</v>
      </c>
      <c r="I481" s="2295"/>
      <c r="J481" s="1550"/>
    </row>
    <row r="482" spans="1:10" ht="16.5">
      <c r="A482" s="1584">
        <v>6104</v>
      </c>
      <c r="B482" s="1585" t="s">
        <v>2911</v>
      </c>
      <c r="C482" s="1579" t="s">
        <v>2445</v>
      </c>
      <c r="D482" s="1580"/>
      <c r="E482" s="1580"/>
      <c r="F482" s="1581">
        <f t="shared" si="14"/>
        <v>0</v>
      </c>
      <c r="G482" s="1582" t="e">
        <f t="shared" si="15"/>
        <v>#DIV/0!</v>
      </c>
      <c r="H482" s="2294">
        <v>1.4147000000000001</v>
      </c>
      <c r="I482" s="2295"/>
      <c r="J482" s="1550"/>
    </row>
    <row r="483" spans="1:10" ht="16.5">
      <c r="A483" s="1584">
        <v>6109</v>
      </c>
      <c r="B483" s="1585" t="s">
        <v>2912</v>
      </c>
      <c r="C483" s="1579" t="s">
        <v>2445</v>
      </c>
      <c r="D483" s="1580"/>
      <c r="E483" s="1580"/>
      <c r="F483" s="1581">
        <f t="shared" si="14"/>
        <v>0</v>
      </c>
      <c r="G483" s="1582" t="e">
        <f t="shared" si="15"/>
        <v>#DIV/0!</v>
      </c>
      <c r="H483" s="2294">
        <v>0.23749999999999999</v>
      </c>
      <c r="I483" s="2295"/>
      <c r="J483" s="1550"/>
    </row>
    <row r="484" spans="1:10" ht="16.5">
      <c r="A484" s="1584">
        <v>6111</v>
      </c>
      <c r="B484" s="1585" t="s">
        <v>2913</v>
      </c>
      <c r="C484" s="1579" t="s">
        <v>2445</v>
      </c>
      <c r="D484" s="1580"/>
      <c r="E484" s="1580"/>
      <c r="F484" s="1581">
        <f t="shared" si="14"/>
        <v>0</v>
      </c>
      <c r="G484" s="1582" t="e">
        <f t="shared" si="15"/>
        <v>#DIV/0!</v>
      </c>
      <c r="H484" s="2294">
        <v>1.3781000000000001</v>
      </c>
      <c r="I484" s="2295"/>
      <c r="J484" s="1550"/>
    </row>
    <row r="485" spans="1:10" ht="16.5">
      <c r="A485" s="1584">
        <v>6113</v>
      </c>
      <c r="B485" s="1585" t="s">
        <v>2914</v>
      </c>
      <c r="C485" s="1579" t="s">
        <v>2445</v>
      </c>
      <c r="D485" s="1580"/>
      <c r="E485" s="1580"/>
      <c r="F485" s="1581">
        <f t="shared" si="14"/>
        <v>0</v>
      </c>
      <c r="G485" s="1582" t="e">
        <f t="shared" si="15"/>
        <v>#DIV/0!</v>
      </c>
      <c r="H485" s="2294">
        <v>0.5524</v>
      </c>
      <c r="I485" s="2295"/>
      <c r="J485" s="1550"/>
    </row>
    <row r="486" spans="1:10" ht="16.5">
      <c r="A486" s="1584">
        <v>6114</v>
      </c>
      <c r="B486" s="1585" t="s">
        <v>2915</v>
      </c>
      <c r="C486" s="1579" t="s">
        <v>2445</v>
      </c>
      <c r="D486" s="1580"/>
      <c r="E486" s="1580"/>
      <c r="F486" s="1581">
        <f t="shared" si="14"/>
        <v>0</v>
      </c>
      <c r="G486" s="1582" t="e">
        <f t="shared" si="15"/>
        <v>#DIV/0!</v>
      </c>
      <c r="H486" s="2294">
        <v>0.7137</v>
      </c>
      <c r="I486" s="2295"/>
      <c r="J486" s="1550"/>
    </row>
    <row r="487" spans="1:10" ht="16.5">
      <c r="A487" s="1584">
        <v>6118</v>
      </c>
      <c r="B487" s="1585" t="s">
        <v>2916</v>
      </c>
      <c r="C487" s="1579" t="s">
        <v>2445</v>
      </c>
      <c r="D487" s="1580"/>
      <c r="E487" s="1580"/>
      <c r="F487" s="1581">
        <f t="shared" si="14"/>
        <v>0</v>
      </c>
      <c r="G487" s="1582" t="e">
        <f t="shared" si="15"/>
        <v>#DIV/0!</v>
      </c>
      <c r="H487" s="2294">
        <v>1.0370999999999999</v>
      </c>
      <c r="I487" s="2295"/>
      <c r="J487" s="1550"/>
    </row>
    <row r="488" spans="1:10" ht="16.5">
      <c r="A488" s="1584">
        <v>6121</v>
      </c>
      <c r="B488" s="1585" t="s">
        <v>2917</v>
      </c>
      <c r="C488" s="1579" t="s">
        <v>2445</v>
      </c>
      <c r="D488" s="1580"/>
      <c r="E488" s="1580"/>
      <c r="F488" s="1581">
        <f t="shared" si="14"/>
        <v>0</v>
      </c>
      <c r="G488" s="1582" t="e">
        <f t="shared" si="15"/>
        <v>#DIV/0!</v>
      </c>
      <c r="H488" s="2294">
        <v>1.2161999999999999</v>
      </c>
      <c r="I488" s="2295"/>
      <c r="J488" s="1550"/>
    </row>
    <row r="489" spans="1:10" ht="16.5">
      <c r="A489" s="1584">
        <v>6122</v>
      </c>
      <c r="B489" s="1585" t="s">
        <v>2918</v>
      </c>
      <c r="C489" s="1579" t="s">
        <v>2445</v>
      </c>
      <c r="D489" s="1580"/>
      <c r="E489" s="1580"/>
      <c r="F489" s="1581">
        <f t="shared" si="14"/>
        <v>0</v>
      </c>
      <c r="G489" s="1582" t="e">
        <f t="shared" si="15"/>
        <v>#DIV/0!</v>
      </c>
      <c r="H489" s="2294">
        <v>0.25390000000000001</v>
      </c>
      <c r="I489" s="2295"/>
      <c r="J489" s="1550"/>
    </row>
    <row r="490" spans="1:10" ht="16.5">
      <c r="A490" s="1584">
        <v>6123</v>
      </c>
      <c r="B490" s="1585" t="s">
        <v>2919</v>
      </c>
      <c r="C490" s="1579" t="s">
        <v>2445</v>
      </c>
      <c r="D490" s="1580"/>
      <c r="E490" s="1580"/>
      <c r="F490" s="1581">
        <f t="shared" si="14"/>
        <v>0</v>
      </c>
      <c r="G490" s="1582" t="e">
        <f t="shared" si="15"/>
        <v>#DIV/0!</v>
      </c>
      <c r="H490" s="2294">
        <v>0.72950000000000004</v>
      </c>
      <c r="I490" s="2295"/>
      <c r="J490" s="1550"/>
    </row>
    <row r="491" spans="1:10" ht="16.5">
      <c r="A491" s="1584">
        <v>6124</v>
      </c>
      <c r="B491" s="1585" t="s">
        <v>2920</v>
      </c>
      <c r="C491" s="1579" t="s">
        <v>2445</v>
      </c>
      <c r="D491" s="1580"/>
      <c r="E491" s="1580"/>
      <c r="F491" s="1581">
        <f t="shared" si="14"/>
        <v>0</v>
      </c>
      <c r="G491" s="1582" t="e">
        <f t="shared" si="15"/>
        <v>#DIV/0!</v>
      </c>
      <c r="H491" s="2294">
        <v>1.0410999999999999</v>
      </c>
      <c r="I491" s="2295"/>
      <c r="J491" s="1550"/>
    </row>
    <row r="492" spans="1:10" ht="16.5">
      <c r="A492" s="1584">
        <v>6125</v>
      </c>
      <c r="B492" s="1585" t="s">
        <v>2921</v>
      </c>
      <c r="C492" s="1579" t="s">
        <v>2445</v>
      </c>
      <c r="D492" s="1580"/>
      <c r="E492" s="1580"/>
      <c r="F492" s="1581">
        <f t="shared" si="14"/>
        <v>0</v>
      </c>
      <c r="G492" s="1582" t="e">
        <f t="shared" si="15"/>
        <v>#DIV/0!</v>
      </c>
      <c r="H492" s="2294">
        <v>0.54220000000000002</v>
      </c>
      <c r="I492" s="2295"/>
      <c r="J492" s="1550"/>
    </row>
    <row r="493" spans="1:10" ht="16.5">
      <c r="A493" s="1584">
        <v>6126</v>
      </c>
      <c r="B493" s="1585" t="s">
        <v>2922</v>
      </c>
      <c r="C493" s="1579" t="s">
        <v>2445</v>
      </c>
      <c r="D493" s="1580"/>
      <c r="E493" s="1580"/>
      <c r="F493" s="1581">
        <f t="shared" si="14"/>
        <v>0</v>
      </c>
      <c r="G493" s="1582" t="e">
        <f t="shared" si="15"/>
        <v>#DIV/0!</v>
      </c>
      <c r="H493" s="2294">
        <v>0.61119999999999997</v>
      </c>
      <c r="I493" s="2295"/>
      <c r="J493" s="1550"/>
    </row>
    <row r="494" spans="1:10" ht="16.5">
      <c r="A494" s="1584">
        <v>6127</v>
      </c>
      <c r="B494" s="1585" t="s">
        <v>2923</v>
      </c>
      <c r="C494" s="1579" t="s">
        <v>2445</v>
      </c>
      <c r="D494" s="1580"/>
      <c r="E494" s="1580"/>
      <c r="F494" s="1581">
        <f t="shared" si="14"/>
        <v>0</v>
      </c>
      <c r="G494" s="1582" t="e">
        <f t="shared" si="15"/>
        <v>#DIV/0!</v>
      </c>
      <c r="H494" s="2294">
        <v>1.7265999999999999</v>
      </c>
      <c r="I494" s="2295"/>
      <c r="J494" s="1550"/>
    </row>
    <row r="495" spans="1:10" ht="16.5">
      <c r="A495" s="1584">
        <v>6129</v>
      </c>
      <c r="B495" s="1585" t="s">
        <v>2924</v>
      </c>
      <c r="C495" s="1579" t="s">
        <v>2445</v>
      </c>
      <c r="D495" s="1580"/>
      <c r="E495" s="1580"/>
      <c r="F495" s="1581">
        <f t="shared" si="14"/>
        <v>0</v>
      </c>
      <c r="G495" s="1582" t="e">
        <f t="shared" si="15"/>
        <v>#DIV/0!</v>
      </c>
      <c r="H495" s="2294">
        <v>0.88629999999999998</v>
      </c>
      <c r="I495" s="2295"/>
      <c r="J495" s="1550"/>
    </row>
    <row r="496" spans="1:10" ht="16.5">
      <c r="A496" s="1584">
        <v>6130</v>
      </c>
      <c r="B496" s="1585" t="s">
        <v>2925</v>
      </c>
      <c r="C496" s="1579" t="s">
        <v>2445</v>
      </c>
      <c r="D496" s="1580"/>
      <c r="E496" s="1580"/>
      <c r="F496" s="1581">
        <f t="shared" si="14"/>
        <v>0</v>
      </c>
      <c r="G496" s="1582" t="e">
        <f t="shared" si="15"/>
        <v>#DIV/0!</v>
      </c>
      <c r="H496" s="2294">
        <v>0.33479999999999999</v>
      </c>
      <c r="I496" s="2295"/>
      <c r="J496" s="1550"/>
    </row>
    <row r="497" spans="1:10" ht="16.5">
      <c r="A497" s="1584">
        <v>6134</v>
      </c>
      <c r="B497" s="1585" t="s">
        <v>2926</v>
      </c>
      <c r="C497" s="1579" t="s">
        <v>2445</v>
      </c>
      <c r="D497" s="1580"/>
      <c r="E497" s="1580"/>
      <c r="F497" s="1581">
        <f t="shared" si="14"/>
        <v>0</v>
      </c>
      <c r="G497" s="1582" t="e">
        <f t="shared" si="15"/>
        <v>#DIV/0!</v>
      </c>
      <c r="H497" s="2294">
        <v>0.3</v>
      </c>
      <c r="I497" s="2295"/>
      <c r="J497" s="1550"/>
    </row>
    <row r="498" spans="1:10" ht="16.5">
      <c r="A498" s="1584">
        <v>6138</v>
      </c>
      <c r="B498" s="1585" t="s">
        <v>2927</v>
      </c>
      <c r="C498" s="1579" t="s">
        <v>2445</v>
      </c>
      <c r="D498" s="1580"/>
      <c r="E498" s="1580"/>
      <c r="F498" s="1581">
        <f t="shared" si="14"/>
        <v>0</v>
      </c>
      <c r="G498" s="1582" t="e">
        <f t="shared" si="15"/>
        <v>#DIV/0!</v>
      </c>
      <c r="H498" s="2294">
        <v>1.1033999999999999</v>
      </c>
      <c r="I498" s="2295"/>
      <c r="J498" s="1550"/>
    </row>
    <row r="499" spans="1:10" ht="16.5">
      <c r="A499" s="1584">
        <v>6140</v>
      </c>
      <c r="B499" s="1585" t="s">
        <v>2928</v>
      </c>
      <c r="C499" s="1579" t="s">
        <v>2445</v>
      </c>
      <c r="D499" s="1580"/>
      <c r="E499" s="1580"/>
      <c r="F499" s="1581">
        <f t="shared" si="14"/>
        <v>0</v>
      </c>
      <c r="G499" s="1582" t="e">
        <f t="shared" si="15"/>
        <v>#DIV/0!</v>
      </c>
      <c r="H499" s="2294">
        <v>0.67679999999999996</v>
      </c>
      <c r="I499" s="2295"/>
      <c r="J499" s="1550"/>
    </row>
    <row r="500" spans="1:10" ht="16.5">
      <c r="A500" s="1584">
        <v>6143</v>
      </c>
      <c r="B500" s="1585" t="s">
        <v>2929</v>
      </c>
      <c r="C500" s="1579" t="s">
        <v>2445</v>
      </c>
      <c r="D500" s="1580"/>
      <c r="E500" s="1580"/>
      <c r="F500" s="1581">
        <f t="shared" si="14"/>
        <v>0</v>
      </c>
      <c r="G500" s="1582" t="e">
        <f t="shared" si="15"/>
        <v>#DIV/0!</v>
      </c>
      <c r="H500" s="2294">
        <v>0.69389999999999996</v>
      </c>
      <c r="I500" s="2295"/>
      <c r="J500" s="1550"/>
    </row>
    <row r="501" spans="1:10" ht="16.5">
      <c r="A501" s="1584">
        <v>6144</v>
      </c>
      <c r="B501" s="1585" t="s">
        <v>2930</v>
      </c>
      <c r="C501" s="1579" t="s">
        <v>2445</v>
      </c>
      <c r="D501" s="1580"/>
      <c r="E501" s="1580"/>
      <c r="F501" s="1581">
        <f t="shared" si="14"/>
        <v>0</v>
      </c>
      <c r="G501" s="1582" t="e">
        <f t="shared" si="15"/>
        <v>#DIV/0!</v>
      </c>
      <c r="H501" s="2294">
        <v>0.51629999999999998</v>
      </c>
      <c r="I501" s="2295"/>
      <c r="J501" s="1550"/>
    </row>
    <row r="502" spans="1:10" ht="16.5">
      <c r="A502" s="1584">
        <v>6146</v>
      </c>
      <c r="B502" s="1585" t="s">
        <v>2931</v>
      </c>
      <c r="C502" s="1579" t="s">
        <v>2445</v>
      </c>
      <c r="D502" s="1580"/>
      <c r="E502" s="1580"/>
      <c r="F502" s="1581">
        <f t="shared" si="14"/>
        <v>0</v>
      </c>
      <c r="G502" s="1582" t="e">
        <f t="shared" si="15"/>
        <v>#DIV/0!</v>
      </c>
      <c r="H502" s="2294">
        <v>0.54610000000000003</v>
      </c>
      <c r="I502" s="2295"/>
      <c r="J502" s="1550"/>
    </row>
    <row r="503" spans="1:10" ht="16.5">
      <c r="A503" s="1584">
        <v>6147</v>
      </c>
      <c r="B503" s="1585" t="s">
        <v>2932</v>
      </c>
      <c r="C503" s="1579" t="s">
        <v>2445</v>
      </c>
      <c r="D503" s="1580"/>
      <c r="E503" s="1580"/>
      <c r="F503" s="1581">
        <f t="shared" si="14"/>
        <v>0</v>
      </c>
      <c r="G503" s="1582" t="e">
        <f t="shared" si="15"/>
        <v>#DIV/0!</v>
      </c>
      <c r="H503" s="2294">
        <v>1.613</v>
      </c>
      <c r="I503" s="2295"/>
      <c r="J503" s="1550"/>
    </row>
    <row r="504" spans="1:10" ht="16.5">
      <c r="A504" s="1584">
        <v>6148</v>
      </c>
      <c r="B504" s="1585" t="s">
        <v>2933</v>
      </c>
      <c r="C504" s="1579" t="s">
        <v>2445</v>
      </c>
      <c r="D504" s="1580"/>
      <c r="E504" s="1580"/>
      <c r="F504" s="1581">
        <f t="shared" si="14"/>
        <v>0</v>
      </c>
      <c r="G504" s="1582" t="e">
        <f t="shared" si="15"/>
        <v>#DIV/0!</v>
      </c>
      <c r="H504" s="2294">
        <v>0.49340000000000001</v>
      </c>
      <c r="I504" s="2295"/>
      <c r="J504" s="1550"/>
    </row>
    <row r="505" spans="1:10" ht="16.5">
      <c r="A505" s="1584">
        <v>6150</v>
      </c>
      <c r="B505" s="1585" t="s">
        <v>2934</v>
      </c>
      <c r="C505" s="1579" t="s">
        <v>2445</v>
      </c>
      <c r="D505" s="1580"/>
      <c r="E505" s="1580"/>
      <c r="F505" s="1581">
        <f t="shared" si="14"/>
        <v>0</v>
      </c>
      <c r="G505" s="1582" t="e">
        <f t="shared" si="15"/>
        <v>#DIV/0!</v>
      </c>
      <c r="H505" s="2294">
        <v>1.1226</v>
      </c>
      <c r="I505" s="2295"/>
      <c r="J505" s="1550"/>
    </row>
    <row r="506" spans="1:10" ht="16.5">
      <c r="A506" s="1584">
        <v>6151</v>
      </c>
      <c r="B506" s="1585" t="s">
        <v>2935</v>
      </c>
      <c r="C506" s="1579" t="s">
        <v>2445</v>
      </c>
      <c r="D506" s="1580"/>
      <c r="E506" s="1580"/>
      <c r="F506" s="1581">
        <f t="shared" si="14"/>
        <v>0</v>
      </c>
      <c r="G506" s="1582" t="e">
        <f t="shared" si="15"/>
        <v>#DIV/0!</v>
      </c>
      <c r="H506" s="2294">
        <v>0.13089999999999999</v>
      </c>
      <c r="I506" s="2295"/>
      <c r="J506" s="1550"/>
    </row>
    <row r="507" spans="1:10" ht="16.5">
      <c r="A507" s="1584">
        <v>6154</v>
      </c>
      <c r="B507" s="1585" t="s">
        <v>2936</v>
      </c>
      <c r="C507" s="1579" t="s">
        <v>2445</v>
      </c>
      <c r="D507" s="1580"/>
      <c r="E507" s="1580"/>
      <c r="F507" s="1581">
        <f t="shared" si="14"/>
        <v>0</v>
      </c>
      <c r="G507" s="1582" t="e">
        <f t="shared" si="15"/>
        <v>#DIV/0!</v>
      </c>
      <c r="H507" s="2294">
        <v>0.1239</v>
      </c>
      <c r="I507" s="2295"/>
      <c r="J507" s="1550"/>
    </row>
    <row r="508" spans="1:10" ht="16.5">
      <c r="A508" s="1584">
        <v>6156</v>
      </c>
      <c r="B508" s="1585" t="s">
        <v>2937</v>
      </c>
      <c r="C508" s="1579" t="s">
        <v>2445</v>
      </c>
      <c r="D508" s="1580"/>
      <c r="E508" s="1580"/>
      <c r="F508" s="1581">
        <f t="shared" si="14"/>
        <v>0</v>
      </c>
      <c r="G508" s="1582" t="e">
        <f t="shared" si="15"/>
        <v>#DIV/0!</v>
      </c>
      <c r="H508" s="2294">
        <v>0.59199999999999997</v>
      </c>
      <c r="I508" s="2295"/>
      <c r="J508" s="1550"/>
    </row>
    <row r="509" spans="1:10" ht="16.5">
      <c r="A509" s="1584">
        <v>6158</v>
      </c>
      <c r="B509" s="1585" t="s">
        <v>2938</v>
      </c>
      <c r="C509" s="1579" t="s">
        <v>2445</v>
      </c>
      <c r="D509" s="1580"/>
      <c r="E509" s="1580"/>
      <c r="F509" s="1581">
        <f t="shared" si="14"/>
        <v>0</v>
      </c>
      <c r="G509" s="1582" t="e">
        <f t="shared" si="15"/>
        <v>#DIV/0!</v>
      </c>
      <c r="H509" s="2294">
        <v>0.5968</v>
      </c>
      <c r="I509" s="2295"/>
      <c r="J509" s="1550"/>
    </row>
    <row r="510" spans="1:10" ht="16.5">
      <c r="A510" s="1584">
        <v>6160</v>
      </c>
      <c r="B510" s="1585" t="s">
        <v>2939</v>
      </c>
      <c r="C510" s="1579" t="s">
        <v>2445</v>
      </c>
      <c r="D510" s="1580"/>
      <c r="E510" s="1580"/>
      <c r="F510" s="1581">
        <f t="shared" si="14"/>
        <v>0</v>
      </c>
      <c r="G510" s="1582" t="e">
        <f t="shared" si="15"/>
        <v>#DIV/0!</v>
      </c>
      <c r="H510" s="2294">
        <v>0.35880000000000001</v>
      </c>
      <c r="I510" s="2295"/>
      <c r="J510" s="1550"/>
    </row>
    <row r="511" spans="1:10" ht="16.5">
      <c r="A511" s="1584">
        <v>6161</v>
      </c>
      <c r="B511" s="1585" t="s">
        <v>2940</v>
      </c>
      <c r="C511" s="1579" t="s">
        <v>2445</v>
      </c>
      <c r="D511" s="1580"/>
      <c r="E511" s="1580"/>
      <c r="F511" s="1581">
        <f t="shared" si="14"/>
        <v>0</v>
      </c>
      <c r="G511" s="1582" t="e">
        <f t="shared" si="15"/>
        <v>#DIV/0!</v>
      </c>
      <c r="H511" s="2294">
        <v>0.78669999999999995</v>
      </c>
      <c r="I511" s="2295"/>
      <c r="J511" s="1550"/>
    </row>
    <row r="512" spans="1:10" ht="16.5">
      <c r="A512" s="1584">
        <v>6163</v>
      </c>
      <c r="B512" s="1585" t="s">
        <v>2941</v>
      </c>
      <c r="C512" s="1579" t="s">
        <v>2445</v>
      </c>
      <c r="D512" s="1580"/>
      <c r="E512" s="1580"/>
      <c r="F512" s="1581">
        <f t="shared" si="14"/>
        <v>0</v>
      </c>
      <c r="G512" s="1582" t="e">
        <f t="shared" si="15"/>
        <v>#DIV/0!</v>
      </c>
      <c r="H512" s="2294">
        <v>0.89149999999999996</v>
      </c>
      <c r="I512" s="2295"/>
      <c r="J512" s="1550"/>
    </row>
    <row r="513" spans="1:10" ht="16.5">
      <c r="A513" s="1584">
        <v>6167</v>
      </c>
      <c r="B513" s="1585" t="s">
        <v>2942</v>
      </c>
      <c r="C513" s="1579" t="s">
        <v>2445</v>
      </c>
      <c r="D513" s="1580"/>
      <c r="E513" s="1580"/>
      <c r="F513" s="1581">
        <f t="shared" si="14"/>
        <v>0</v>
      </c>
      <c r="G513" s="1582" t="e">
        <f t="shared" si="15"/>
        <v>#DIV/0!</v>
      </c>
      <c r="H513" s="2294">
        <v>1.1249</v>
      </c>
      <c r="I513" s="2295"/>
      <c r="J513" s="1550"/>
    </row>
    <row r="514" spans="1:10" ht="16.5">
      <c r="A514" s="1584">
        <v>6169</v>
      </c>
      <c r="B514" s="1585" t="s">
        <v>2943</v>
      </c>
      <c r="C514" s="1579" t="s">
        <v>2445</v>
      </c>
      <c r="D514" s="1580"/>
      <c r="E514" s="1580"/>
      <c r="F514" s="1581">
        <f t="shared" si="14"/>
        <v>0</v>
      </c>
      <c r="G514" s="1582" t="e">
        <f t="shared" si="15"/>
        <v>#DIV/0!</v>
      </c>
      <c r="H514" s="2294">
        <v>0.59850000000000003</v>
      </c>
      <c r="I514" s="2295"/>
      <c r="J514" s="1550"/>
    </row>
    <row r="515" spans="1:10" ht="16.5">
      <c r="A515" s="1584">
        <v>6170</v>
      </c>
      <c r="B515" s="1585" t="s">
        <v>2944</v>
      </c>
      <c r="C515" s="1579" t="s">
        <v>2445</v>
      </c>
      <c r="D515" s="1580"/>
      <c r="E515" s="1580"/>
      <c r="F515" s="1581">
        <f t="shared" si="14"/>
        <v>0</v>
      </c>
      <c r="G515" s="1582" t="e">
        <f t="shared" si="15"/>
        <v>#DIV/0!</v>
      </c>
      <c r="H515" s="2294">
        <v>1.0490999999999999</v>
      </c>
      <c r="I515" s="2295"/>
      <c r="J515" s="1550"/>
    </row>
    <row r="516" spans="1:10" ht="16.5">
      <c r="A516" s="1584">
        <v>6171</v>
      </c>
      <c r="B516" s="1585" t="s">
        <v>2945</v>
      </c>
      <c r="C516" s="1579" t="s">
        <v>2445</v>
      </c>
      <c r="D516" s="1580"/>
      <c r="E516" s="1580"/>
      <c r="F516" s="1581">
        <f t="shared" si="14"/>
        <v>0</v>
      </c>
      <c r="G516" s="1582" t="e">
        <f t="shared" si="15"/>
        <v>#DIV/0!</v>
      </c>
      <c r="H516" s="2294">
        <v>0.20300000000000001</v>
      </c>
      <c r="I516" s="2295"/>
      <c r="J516" s="1550"/>
    </row>
    <row r="517" spans="1:10" ht="16.5">
      <c r="A517" s="1584">
        <v>6173</v>
      </c>
      <c r="B517" s="1585" t="s">
        <v>2946</v>
      </c>
      <c r="C517" s="1579" t="s">
        <v>2445</v>
      </c>
      <c r="D517" s="1580"/>
      <c r="E517" s="1580"/>
      <c r="F517" s="1581">
        <f t="shared" ref="F517:F580" si="16">D517*E517</f>
        <v>0</v>
      </c>
      <c r="G517" s="1582" t="e">
        <f t="shared" ref="G517:G580" si="17">F517/$F$784</f>
        <v>#DIV/0!</v>
      </c>
      <c r="H517" s="2294">
        <v>1.8240000000000001</v>
      </c>
      <c r="I517" s="2295"/>
      <c r="J517" s="1550"/>
    </row>
    <row r="518" spans="1:10" ht="16.5">
      <c r="A518" s="1584">
        <v>6174</v>
      </c>
      <c r="B518" s="1585" t="s">
        <v>2947</v>
      </c>
      <c r="C518" s="1579" t="s">
        <v>2445</v>
      </c>
      <c r="D518" s="1580"/>
      <c r="E518" s="1580"/>
      <c r="F518" s="1581">
        <f t="shared" si="16"/>
        <v>0</v>
      </c>
      <c r="G518" s="1582" t="e">
        <f t="shared" si="17"/>
        <v>#DIV/0!</v>
      </c>
      <c r="H518" s="2294">
        <v>0.66720000000000002</v>
      </c>
      <c r="I518" s="2295"/>
      <c r="J518" s="1550"/>
    </row>
    <row r="519" spans="1:10" ht="16.5">
      <c r="A519" s="1584">
        <v>6175</v>
      </c>
      <c r="B519" s="1585" t="s">
        <v>2948</v>
      </c>
      <c r="C519" s="1579" t="s">
        <v>2445</v>
      </c>
      <c r="D519" s="1580"/>
      <c r="E519" s="1580"/>
      <c r="F519" s="1581">
        <f t="shared" si="16"/>
        <v>0</v>
      </c>
      <c r="G519" s="1582" t="e">
        <f t="shared" si="17"/>
        <v>#DIV/0!</v>
      </c>
      <c r="H519" s="2294">
        <v>1.3555999999999999</v>
      </c>
      <c r="I519" s="2295"/>
      <c r="J519" s="1550"/>
    </row>
    <row r="520" spans="1:10" ht="16.5">
      <c r="A520" s="1584">
        <v>6179</v>
      </c>
      <c r="B520" s="1585" t="s">
        <v>2949</v>
      </c>
      <c r="C520" s="1579" t="s">
        <v>2445</v>
      </c>
      <c r="D520" s="1580"/>
      <c r="E520" s="1580"/>
      <c r="F520" s="1581">
        <f t="shared" si="16"/>
        <v>0</v>
      </c>
      <c r="G520" s="1582" t="e">
        <f t="shared" si="17"/>
        <v>#DIV/0!</v>
      </c>
      <c r="H520" s="2294">
        <v>-0.114</v>
      </c>
      <c r="I520" s="2295"/>
      <c r="J520" s="1550"/>
    </row>
    <row r="521" spans="1:10" ht="16.5">
      <c r="A521" s="1584">
        <v>6180</v>
      </c>
      <c r="B521" s="1585" t="s">
        <v>2950</v>
      </c>
      <c r="C521" s="1579" t="s">
        <v>2445</v>
      </c>
      <c r="D521" s="1580"/>
      <c r="E521" s="1580"/>
      <c r="F521" s="1581">
        <f t="shared" si="16"/>
        <v>0</v>
      </c>
      <c r="G521" s="1582" t="e">
        <f t="shared" si="17"/>
        <v>#DIV/0!</v>
      </c>
      <c r="H521" s="2294">
        <v>0.82350000000000001</v>
      </c>
      <c r="I521" s="2295"/>
      <c r="J521" s="1550"/>
    </row>
    <row r="522" spans="1:10" ht="16.5">
      <c r="A522" s="1584">
        <v>6182</v>
      </c>
      <c r="B522" s="1585" t="s">
        <v>2951</v>
      </c>
      <c r="C522" s="1579" t="s">
        <v>2445</v>
      </c>
      <c r="D522" s="1580"/>
      <c r="E522" s="1580"/>
      <c r="F522" s="1581">
        <f t="shared" si="16"/>
        <v>0</v>
      </c>
      <c r="G522" s="1582" t="e">
        <f t="shared" si="17"/>
        <v>#DIV/0!</v>
      </c>
      <c r="H522" s="2294">
        <v>1.9745999999999999</v>
      </c>
      <c r="I522" s="2295"/>
      <c r="J522" s="1550"/>
    </row>
    <row r="523" spans="1:10" ht="16.5">
      <c r="A523" s="1584">
        <v>6185</v>
      </c>
      <c r="B523" s="1585" t="s">
        <v>2952</v>
      </c>
      <c r="C523" s="1579" t="s">
        <v>2445</v>
      </c>
      <c r="D523" s="1580"/>
      <c r="E523" s="1580"/>
      <c r="F523" s="1581">
        <f t="shared" si="16"/>
        <v>0</v>
      </c>
      <c r="G523" s="1582" t="e">
        <f t="shared" si="17"/>
        <v>#DIV/0!</v>
      </c>
      <c r="H523" s="2294">
        <v>0.63629999999999998</v>
      </c>
      <c r="I523" s="2295"/>
      <c r="J523" s="1550"/>
    </row>
    <row r="524" spans="1:10" ht="16.5">
      <c r="A524" s="1584">
        <v>6186</v>
      </c>
      <c r="B524" s="1585" t="s">
        <v>2953</v>
      </c>
      <c r="C524" s="1579" t="s">
        <v>2445</v>
      </c>
      <c r="D524" s="1580"/>
      <c r="E524" s="1580"/>
      <c r="F524" s="1581">
        <f t="shared" si="16"/>
        <v>0</v>
      </c>
      <c r="G524" s="1582" t="e">
        <f t="shared" si="17"/>
        <v>#DIV/0!</v>
      </c>
      <c r="H524" s="2294">
        <v>0.28410000000000002</v>
      </c>
      <c r="I524" s="2295"/>
      <c r="J524" s="1550"/>
    </row>
    <row r="525" spans="1:10" ht="16.5">
      <c r="A525" s="1584">
        <v>6187</v>
      </c>
      <c r="B525" s="1585" t="s">
        <v>2954</v>
      </c>
      <c r="C525" s="1579" t="s">
        <v>2445</v>
      </c>
      <c r="D525" s="1580"/>
      <c r="E525" s="1580"/>
      <c r="F525" s="1581">
        <f t="shared" si="16"/>
        <v>0</v>
      </c>
      <c r="G525" s="1582" t="e">
        <f t="shared" si="17"/>
        <v>#DIV/0!</v>
      </c>
      <c r="H525" s="2294">
        <v>0.65259999999999996</v>
      </c>
      <c r="I525" s="2295"/>
      <c r="J525" s="1550"/>
    </row>
    <row r="526" spans="1:10" ht="16.5">
      <c r="A526" s="1584">
        <v>6188</v>
      </c>
      <c r="B526" s="1585" t="s">
        <v>2955</v>
      </c>
      <c r="C526" s="1579" t="s">
        <v>2445</v>
      </c>
      <c r="D526" s="1580"/>
      <c r="E526" s="1580"/>
      <c r="F526" s="1581">
        <f t="shared" si="16"/>
        <v>0</v>
      </c>
      <c r="G526" s="1582" t="e">
        <f t="shared" si="17"/>
        <v>#DIV/0!</v>
      </c>
      <c r="H526" s="2294">
        <v>2.1288</v>
      </c>
      <c r="I526" s="2295"/>
      <c r="J526" s="1550"/>
    </row>
    <row r="527" spans="1:10" ht="16.5">
      <c r="A527" s="1584">
        <v>6190</v>
      </c>
      <c r="B527" s="1585" t="s">
        <v>2956</v>
      </c>
      <c r="C527" s="1579" t="s">
        <v>2445</v>
      </c>
      <c r="D527" s="1580"/>
      <c r="E527" s="1580"/>
      <c r="F527" s="1581">
        <f t="shared" si="16"/>
        <v>0</v>
      </c>
      <c r="G527" s="1582" t="e">
        <f t="shared" si="17"/>
        <v>#DIV/0!</v>
      </c>
      <c r="H527" s="2294">
        <v>0.60960000000000003</v>
      </c>
      <c r="I527" s="2295"/>
      <c r="J527" s="1550"/>
    </row>
    <row r="528" spans="1:10" ht="16.5">
      <c r="A528" s="1584">
        <v>6194</v>
      </c>
      <c r="B528" s="1585" t="s">
        <v>2957</v>
      </c>
      <c r="C528" s="1579" t="s">
        <v>2445</v>
      </c>
      <c r="D528" s="1580"/>
      <c r="E528" s="1580"/>
      <c r="F528" s="1581">
        <f t="shared" si="16"/>
        <v>0</v>
      </c>
      <c r="G528" s="1582" t="e">
        <f t="shared" si="17"/>
        <v>#DIV/0!</v>
      </c>
      <c r="H528" s="2294">
        <v>0.6341</v>
      </c>
      <c r="I528" s="2295"/>
      <c r="J528" s="1550"/>
    </row>
    <row r="529" spans="1:10" ht="16.5">
      <c r="A529" s="1584">
        <v>6195</v>
      </c>
      <c r="B529" s="1585" t="s">
        <v>2958</v>
      </c>
      <c r="C529" s="1579" t="s">
        <v>2445</v>
      </c>
      <c r="D529" s="1580"/>
      <c r="E529" s="1580"/>
      <c r="F529" s="1581">
        <f t="shared" si="16"/>
        <v>0</v>
      </c>
      <c r="G529" s="1582" t="e">
        <f t="shared" si="17"/>
        <v>#DIV/0!</v>
      </c>
      <c r="H529" s="2294">
        <v>0.31480000000000002</v>
      </c>
      <c r="I529" s="2295"/>
      <c r="J529" s="1550"/>
    </row>
    <row r="530" spans="1:10" ht="16.5">
      <c r="A530" s="1584">
        <v>6198</v>
      </c>
      <c r="B530" s="1585" t="s">
        <v>2959</v>
      </c>
      <c r="C530" s="1579" t="s">
        <v>2445</v>
      </c>
      <c r="D530" s="1580"/>
      <c r="E530" s="1580"/>
      <c r="F530" s="1581">
        <f t="shared" si="16"/>
        <v>0</v>
      </c>
      <c r="G530" s="1582" t="e">
        <f t="shared" si="17"/>
        <v>#DIV/0!</v>
      </c>
      <c r="H530" s="2294">
        <v>4.6399999999999997E-2</v>
      </c>
      <c r="I530" s="2295"/>
      <c r="J530" s="1550"/>
    </row>
    <row r="531" spans="1:10" ht="16.5">
      <c r="A531" s="1584">
        <v>6199</v>
      </c>
      <c r="B531" s="1585" t="s">
        <v>2960</v>
      </c>
      <c r="C531" s="1579" t="s">
        <v>2445</v>
      </c>
      <c r="D531" s="1580"/>
      <c r="E531" s="1580"/>
      <c r="F531" s="1581">
        <f t="shared" si="16"/>
        <v>0</v>
      </c>
      <c r="G531" s="1582" t="e">
        <f t="shared" si="17"/>
        <v>#DIV/0!</v>
      </c>
      <c r="H531" s="2294">
        <v>0.1162</v>
      </c>
      <c r="I531" s="2295"/>
      <c r="J531" s="1550"/>
    </row>
    <row r="532" spans="1:10" ht="16.5">
      <c r="A532" s="1584">
        <v>6203</v>
      </c>
      <c r="B532" s="1585" t="s">
        <v>2961</v>
      </c>
      <c r="C532" s="1579" t="s">
        <v>2445</v>
      </c>
      <c r="D532" s="1580"/>
      <c r="E532" s="1580"/>
      <c r="F532" s="1581">
        <f t="shared" si="16"/>
        <v>0</v>
      </c>
      <c r="G532" s="1582" t="e">
        <f t="shared" si="17"/>
        <v>#DIV/0!</v>
      </c>
      <c r="H532" s="2294">
        <v>0.68410000000000004</v>
      </c>
      <c r="I532" s="2295"/>
      <c r="J532" s="1550"/>
    </row>
    <row r="533" spans="1:10" ht="16.5">
      <c r="A533" s="1584">
        <v>6204</v>
      </c>
      <c r="B533" s="1585" t="s">
        <v>2962</v>
      </c>
      <c r="C533" s="1579" t="s">
        <v>2445</v>
      </c>
      <c r="D533" s="1580"/>
      <c r="E533" s="1580"/>
      <c r="F533" s="1581">
        <f t="shared" si="16"/>
        <v>0</v>
      </c>
      <c r="G533" s="1582" t="e">
        <f t="shared" si="17"/>
        <v>#DIV/0!</v>
      </c>
      <c r="H533" s="2294">
        <v>0.1414</v>
      </c>
      <c r="I533" s="2295"/>
      <c r="J533" s="1550"/>
    </row>
    <row r="534" spans="1:10" ht="16.5">
      <c r="A534" s="1584">
        <v>6207</v>
      </c>
      <c r="B534" s="1585" t="s">
        <v>2963</v>
      </c>
      <c r="C534" s="1579" t="s">
        <v>2445</v>
      </c>
      <c r="D534" s="1580"/>
      <c r="E534" s="1580"/>
      <c r="F534" s="1581">
        <f t="shared" si="16"/>
        <v>0</v>
      </c>
      <c r="G534" s="1582" t="e">
        <f t="shared" si="17"/>
        <v>#DIV/0!</v>
      </c>
      <c r="H534" s="2294">
        <v>0.73540000000000005</v>
      </c>
      <c r="I534" s="2295"/>
      <c r="J534" s="1550"/>
    </row>
    <row r="535" spans="1:10" ht="16.5">
      <c r="A535" s="1584">
        <v>6208</v>
      </c>
      <c r="B535" s="1585" t="s">
        <v>2964</v>
      </c>
      <c r="C535" s="1579" t="s">
        <v>2445</v>
      </c>
      <c r="D535" s="1580"/>
      <c r="E535" s="1581"/>
      <c r="F535" s="1581">
        <f t="shared" si="16"/>
        <v>0</v>
      </c>
      <c r="G535" s="1582" t="e">
        <f t="shared" si="17"/>
        <v>#DIV/0!</v>
      </c>
      <c r="H535" s="2294">
        <v>0.72860000000000003</v>
      </c>
      <c r="I535" s="2295"/>
      <c r="J535" s="1550"/>
    </row>
    <row r="536" spans="1:10" ht="16.5">
      <c r="A536" s="1584">
        <v>6210</v>
      </c>
      <c r="B536" s="1585" t="s">
        <v>2965</v>
      </c>
      <c r="C536" s="1579" t="s">
        <v>2445</v>
      </c>
      <c r="D536" s="1580"/>
      <c r="E536" s="1581"/>
      <c r="F536" s="1581">
        <f t="shared" si="16"/>
        <v>0</v>
      </c>
      <c r="G536" s="1582" t="e">
        <f t="shared" si="17"/>
        <v>#DIV/0!</v>
      </c>
      <c r="H536" s="2294">
        <v>0.23860000000000001</v>
      </c>
      <c r="I536" s="2295"/>
      <c r="J536" s="1550"/>
    </row>
    <row r="537" spans="1:10" ht="16.5">
      <c r="A537" s="1584">
        <v>6212</v>
      </c>
      <c r="B537" s="1585" t="s">
        <v>2966</v>
      </c>
      <c r="C537" s="1579" t="s">
        <v>2445</v>
      </c>
      <c r="D537" s="1580"/>
      <c r="E537" s="1581"/>
      <c r="F537" s="1581">
        <f t="shared" si="16"/>
        <v>0</v>
      </c>
      <c r="G537" s="1582" t="e">
        <f t="shared" si="17"/>
        <v>#DIV/0!</v>
      </c>
      <c r="H537" s="2294">
        <v>0.1981</v>
      </c>
      <c r="I537" s="2295"/>
      <c r="J537" s="1550"/>
    </row>
    <row r="538" spans="1:10" ht="16.5">
      <c r="A538" s="1584">
        <v>6217</v>
      </c>
      <c r="B538" s="1585" t="s">
        <v>2967</v>
      </c>
      <c r="C538" s="1579" t="s">
        <v>2445</v>
      </c>
      <c r="D538" s="1580"/>
      <c r="E538" s="1581"/>
      <c r="F538" s="1581">
        <f t="shared" si="16"/>
        <v>0</v>
      </c>
      <c r="G538" s="1582" t="e">
        <f t="shared" si="17"/>
        <v>#DIV/0!</v>
      </c>
      <c r="H538" s="2294">
        <v>1.6017999999999999</v>
      </c>
      <c r="I538" s="2295"/>
      <c r="J538" s="1550"/>
    </row>
    <row r="539" spans="1:10" ht="16.5">
      <c r="A539" s="1584">
        <v>6218</v>
      </c>
      <c r="B539" s="1585" t="s">
        <v>2968</v>
      </c>
      <c r="C539" s="1579" t="s">
        <v>2445</v>
      </c>
      <c r="D539" s="1580"/>
      <c r="E539" s="1581"/>
      <c r="F539" s="1581">
        <f t="shared" si="16"/>
        <v>0</v>
      </c>
      <c r="G539" s="1582" t="e">
        <f t="shared" si="17"/>
        <v>#DIV/0!</v>
      </c>
      <c r="H539" s="2294">
        <v>0.27329999999999999</v>
      </c>
      <c r="I539" s="2295"/>
      <c r="J539" s="1550"/>
    </row>
    <row r="540" spans="1:10" ht="16.5">
      <c r="A540" s="1584">
        <v>6219</v>
      </c>
      <c r="B540" s="1585" t="s">
        <v>2969</v>
      </c>
      <c r="C540" s="1579" t="s">
        <v>2445</v>
      </c>
      <c r="D540" s="1580"/>
      <c r="E540" s="1581"/>
      <c r="F540" s="1581">
        <f t="shared" si="16"/>
        <v>0</v>
      </c>
      <c r="G540" s="1582" t="e">
        <f t="shared" si="17"/>
        <v>#DIV/0!</v>
      </c>
      <c r="H540" s="2294">
        <v>0.66569999999999996</v>
      </c>
      <c r="I540" s="2295"/>
      <c r="J540" s="1550"/>
    </row>
    <row r="541" spans="1:10" ht="16.5">
      <c r="A541" s="1584">
        <v>6220</v>
      </c>
      <c r="B541" s="1585" t="s">
        <v>2970</v>
      </c>
      <c r="C541" s="1579" t="s">
        <v>2445</v>
      </c>
      <c r="D541" s="1580"/>
      <c r="E541" s="1581"/>
      <c r="F541" s="1581">
        <f t="shared" si="16"/>
        <v>0</v>
      </c>
      <c r="G541" s="1582" t="e">
        <f t="shared" si="17"/>
        <v>#DIV/0!</v>
      </c>
      <c r="H541" s="2294">
        <v>1.0772999999999999</v>
      </c>
      <c r="I541" s="2295"/>
      <c r="J541" s="1550"/>
    </row>
    <row r="542" spans="1:10" ht="16.5">
      <c r="A542" s="1584">
        <v>6221</v>
      </c>
      <c r="B542" s="1585" t="s">
        <v>2971</v>
      </c>
      <c r="C542" s="1579" t="s">
        <v>2445</v>
      </c>
      <c r="D542" s="1580"/>
      <c r="E542" s="1581"/>
      <c r="F542" s="1581">
        <f t="shared" si="16"/>
        <v>0</v>
      </c>
      <c r="G542" s="1582" t="e">
        <f t="shared" si="17"/>
        <v>#DIV/0!</v>
      </c>
      <c r="H542" s="2294">
        <v>0.38729999999999998</v>
      </c>
      <c r="I542" s="2295"/>
      <c r="J542" s="1550"/>
    </row>
    <row r="543" spans="1:10" ht="16.5">
      <c r="A543" s="1584">
        <v>6222</v>
      </c>
      <c r="B543" s="1585" t="s">
        <v>2972</v>
      </c>
      <c r="C543" s="1579" t="s">
        <v>2445</v>
      </c>
      <c r="D543" s="1580"/>
      <c r="E543" s="1581"/>
      <c r="F543" s="1581">
        <f t="shared" si="16"/>
        <v>0</v>
      </c>
      <c r="G543" s="1582" t="e">
        <f t="shared" si="17"/>
        <v>#DIV/0!</v>
      </c>
      <c r="H543" s="2294">
        <v>1.2423999999999999</v>
      </c>
      <c r="I543" s="2295"/>
      <c r="J543" s="1550"/>
    </row>
    <row r="544" spans="1:10" ht="16.5">
      <c r="A544" s="1584">
        <v>6223</v>
      </c>
      <c r="B544" s="1585" t="s">
        <v>2973</v>
      </c>
      <c r="C544" s="1579" t="s">
        <v>2445</v>
      </c>
      <c r="D544" s="1580"/>
      <c r="E544" s="1581"/>
      <c r="F544" s="1581">
        <f t="shared" si="16"/>
        <v>0</v>
      </c>
      <c r="G544" s="1582" t="e">
        <f t="shared" si="17"/>
        <v>#DIV/0!</v>
      </c>
      <c r="H544" s="2294">
        <v>1.6935</v>
      </c>
      <c r="I544" s="2295"/>
      <c r="J544" s="1550"/>
    </row>
    <row r="545" spans="1:10" ht="16.5">
      <c r="A545" s="1584">
        <v>6227</v>
      </c>
      <c r="B545" s="1585" t="s">
        <v>2974</v>
      </c>
      <c r="C545" s="1579" t="s">
        <v>2445</v>
      </c>
      <c r="D545" s="1580"/>
      <c r="E545" s="1581"/>
      <c r="F545" s="1581">
        <f t="shared" si="16"/>
        <v>0</v>
      </c>
      <c r="G545" s="1582" t="e">
        <f t="shared" si="17"/>
        <v>#DIV/0!</v>
      </c>
      <c r="H545" s="2294">
        <v>1.2077</v>
      </c>
      <c r="I545" s="2295"/>
      <c r="J545" s="1550"/>
    </row>
    <row r="546" spans="1:10" ht="16.5">
      <c r="A546" s="1584">
        <v>6228</v>
      </c>
      <c r="B546" s="1585" t="s">
        <v>2975</v>
      </c>
      <c r="C546" s="1579" t="s">
        <v>2445</v>
      </c>
      <c r="D546" s="1580"/>
      <c r="E546" s="1581"/>
      <c r="F546" s="1581">
        <f t="shared" si="16"/>
        <v>0</v>
      </c>
      <c r="G546" s="1582" t="e">
        <f t="shared" si="17"/>
        <v>#DIV/0!</v>
      </c>
      <c r="H546" s="2294">
        <v>0.27579999999999999</v>
      </c>
      <c r="I546" s="2295"/>
      <c r="J546" s="1550"/>
    </row>
    <row r="547" spans="1:10" ht="16.5">
      <c r="A547" s="1584">
        <v>6229</v>
      </c>
      <c r="B547" s="1585" t="s">
        <v>2976</v>
      </c>
      <c r="C547" s="1579" t="s">
        <v>2445</v>
      </c>
      <c r="D547" s="1580"/>
      <c r="E547" s="1581"/>
      <c r="F547" s="1581">
        <f t="shared" si="16"/>
        <v>0</v>
      </c>
      <c r="G547" s="1582" t="e">
        <f t="shared" si="17"/>
        <v>#DIV/0!</v>
      </c>
      <c r="H547" s="2294">
        <v>0.54020000000000001</v>
      </c>
      <c r="I547" s="2295"/>
      <c r="J547" s="1550"/>
    </row>
    <row r="548" spans="1:10" ht="16.5">
      <c r="A548" s="1584">
        <v>6231</v>
      </c>
      <c r="B548" s="1585" t="s">
        <v>2977</v>
      </c>
      <c r="C548" s="1579" t="s">
        <v>2445</v>
      </c>
      <c r="D548" s="1580"/>
      <c r="E548" s="1581"/>
      <c r="F548" s="1581">
        <f t="shared" si="16"/>
        <v>0</v>
      </c>
      <c r="G548" s="1582" t="e">
        <f t="shared" si="17"/>
        <v>#DIV/0!</v>
      </c>
      <c r="H548" s="2294">
        <v>1.4211</v>
      </c>
      <c r="I548" s="2295"/>
      <c r="J548" s="1550"/>
    </row>
    <row r="549" spans="1:10" ht="16.5">
      <c r="A549" s="1584">
        <v>6233</v>
      </c>
      <c r="B549" s="1585" t="s">
        <v>2978</v>
      </c>
      <c r="C549" s="1579" t="s">
        <v>2445</v>
      </c>
      <c r="D549" s="1580"/>
      <c r="E549" s="1581"/>
      <c r="F549" s="1581">
        <f t="shared" si="16"/>
        <v>0</v>
      </c>
      <c r="G549" s="1582" t="e">
        <f t="shared" si="17"/>
        <v>#DIV/0!</v>
      </c>
      <c r="H549" s="2294">
        <v>0.67410000000000003</v>
      </c>
      <c r="I549" s="2295"/>
      <c r="J549" s="1550"/>
    </row>
    <row r="550" spans="1:10" ht="16.5">
      <c r="A550" s="1584">
        <v>6234</v>
      </c>
      <c r="B550" s="1585" t="s">
        <v>2979</v>
      </c>
      <c r="C550" s="1579" t="s">
        <v>2445</v>
      </c>
      <c r="D550" s="1580"/>
      <c r="E550" s="1581"/>
      <c r="F550" s="1581">
        <f t="shared" si="16"/>
        <v>0</v>
      </c>
      <c r="G550" s="1582" t="e">
        <f t="shared" si="17"/>
        <v>#DIV/0!</v>
      </c>
      <c r="H550" s="2294">
        <v>0.79710000000000003</v>
      </c>
      <c r="I550" s="2295"/>
    </row>
    <row r="551" spans="1:10" ht="16.5">
      <c r="A551" s="1584">
        <v>6236</v>
      </c>
      <c r="B551" s="1585" t="s">
        <v>2980</v>
      </c>
      <c r="C551" s="1579" t="s">
        <v>2445</v>
      </c>
      <c r="D551" s="1580"/>
      <c r="E551" s="1581"/>
      <c r="F551" s="1581">
        <f t="shared" si="16"/>
        <v>0</v>
      </c>
      <c r="G551" s="1582" t="e">
        <f t="shared" si="17"/>
        <v>#DIV/0!</v>
      </c>
      <c r="H551" s="2294">
        <v>-0.23400000000000001</v>
      </c>
      <c r="I551" s="2295"/>
    </row>
    <row r="552" spans="1:10" ht="16.5">
      <c r="A552" s="1584">
        <v>6237</v>
      </c>
      <c r="B552" s="1585" t="s">
        <v>2981</v>
      </c>
      <c r="C552" s="1579" t="s">
        <v>2445</v>
      </c>
      <c r="D552" s="1580"/>
      <c r="E552" s="1581"/>
      <c r="F552" s="1581">
        <f t="shared" si="16"/>
        <v>0</v>
      </c>
      <c r="G552" s="1582" t="e">
        <f t="shared" si="17"/>
        <v>#DIV/0!</v>
      </c>
      <c r="H552" s="2294">
        <v>0.73009999999999997</v>
      </c>
      <c r="I552" s="2295"/>
    </row>
    <row r="553" spans="1:10" ht="16.5">
      <c r="A553" s="1584">
        <v>6238</v>
      </c>
      <c r="B553" s="1585" t="s">
        <v>2982</v>
      </c>
      <c r="C553" s="1579" t="s">
        <v>2445</v>
      </c>
      <c r="D553" s="1580"/>
      <c r="E553" s="1581"/>
      <c r="F553" s="1581">
        <f t="shared" si="16"/>
        <v>0</v>
      </c>
      <c r="G553" s="1582" t="e">
        <f t="shared" si="17"/>
        <v>#DIV/0!</v>
      </c>
      <c r="H553" s="2294">
        <v>1.3413999999999999</v>
      </c>
      <c r="I553" s="2295"/>
    </row>
    <row r="554" spans="1:10" ht="16.5">
      <c r="A554" s="1584">
        <v>6240</v>
      </c>
      <c r="B554" s="1585" t="s">
        <v>2983</v>
      </c>
      <c r="C554" s="1579" t="s">
        <v>2445</v>
      </c>
      <c r="D554" s="1580"/>
      <c r="E554" s="1581"/>
      <c r="F554" s="1581">
        <f t="shared" si="16"/>
        <v>0</v>
      </c>
      <c r="G554" s="1582" t="e">
        <f t="shared" si="17"/>
        <v>#DIV/0!</v>
      </c>
      <c r="H554" s="2294">
        <v>0.50280000000000002</v>
      </c>
      <c r="I554" s="2295"/>
    </row>
    <row r="555" spans="1:10" ht="16.5">
      <c r="A555" s="1584">
        <v>6241</v>
      </c>
      <c r="B555" s="1585" t="s">
        <v>2984</v>
      </c>
      <c r="C555" s="1579" t="s">
        <v>2445</v>
      </c>
      <c r="D555" s="1580"/>
      <c r="E555" s="1581"/>
      <c r="F555" s="1581">
        <f t="shared" si="16"/>
        <v>0</v>
      </c>
      <c r="G555" s="1582" t="e">
        <f t="shared" si="17"/>
        <v>#DIV/0!</v>
      </c>
      <c r="H555" s="2294">
        <v>-0.15859999999999999</v>
      </c>
      <c r="I555" s="2295"/>
    </row>
    <row r="556" spans="1:10" ht="16.5">
      <c r="A556" s="1584">
        <v>6242</v>
      </c>
      <c r="B556" s="1585" t="s">
        <v>2985</v>
      </c>
      <c r="C556" s="1579" t="s">
        <v>2445</v>
      </c>
      <c r="D556" s="1580"/>
      <c r="E556" s="1581"/>
      <c r="F556" s="1581">
        <f t="shared" si="16"/>
        <v>0</v>
      </c>
      <c r="G556" s="1582" t="e">
        <f t="shared" si="17"/>
        <v>#DIV/0!</v>
      </c>
      <c r="H556" s="2294">
        <v>0.34129999999999999</v>
      </c>
      <c r="I556" s="2295"/>
    </row>
    <row r="557" spans="1:10" ht="16.5">
      <c r="A557" s="1584">
        <v>6244</v>
      </c>
      <c r="B557" s="1585" t="s">
        <v>2986</v>
      </c>
      <c r="C557" s="1579" t="s">
        <v>2445</v>
      </c>
      <c r="D557" s="1580"/>
      <c r="E557" s="1581"/>
      <c r="F557" s="1581">
        <f t="shared" si="16"/>
        <v>0</v>
      </c>
      <c r="G557" s="1582" t="e">
        <f t="shared" si="17"/>
        <v>#DIV/0!</v>
      </c>
      <c r="H557" s="2294">
        <v>0.99470000000000003</v>
      </c>
      <c r="I557" s="2295"/>
    </row>
    <row r="558" spans="1:10" ht="16.5">
      <c r="A558" s="1584">
        <v>6245</v>
      </c>
      <c r="B558" s="1585" t="s">
        <v>2987</v>
      </c>
      <c r="C558" s="1579" t="s">
        <v>2445</v>
      </c>
      <c r="D558" s="1580"/>
      <c r="E558" s="1581"/>
      <c r="F558" s="1581">
        <f t="shared" si="16"/>
        <v>0</v>
      </c>
      <c r="G558" s="1582" t="e">
        <f t="shared" si="17"/>
        <v>#DIV/0!</v>
      </c>
      <c r="H558" s="2294">
        <v>1.5481</v>
      </c>
      <c r="I558" s="2295"/>
    </row>
    <row r="559" spans="1:10" ht="16.5">
      <c r="A559" s="1584">
        <v>6246</v>
      </c>
      <c r="B559" s="1585" t="s">
        <v>2988</v>
      </c>
      <c r="C559" s="1579" t="s">
        <v>2445</v>
      </c>
      <c r="D559" s="1580"/>
      <c r="E559" s="1581"/>
      <c r="F559" s="1581">
        <f t="shared" si="16"/>
        <v>0</v>
      </c>
      <c r="G559" s="1582" t="e">
        <f t="shared" si="17"/>
        <v>#DIV/0!</v>
      </c>
      <c r="H559" s="2294">
        <v>0.46410000000000001</v>
      </c>
      <c r="I559" s="2295"/>
    </row>
    <row r="560" spans="1:10" ht="16.5">
      <c r="A560" s="1584">
        <v>6247</v>
      </c>
      <c r="B560" s="1585" t="s">
        <v>2989</v>
      </c>
      <c r="C560" s="1579" t="s">
        <v>2445</v>
      </c>
      <c r="D560" s="1580"/>
      <c r="E560" s="1581"/>
      <c r="F560" s="1581">
        <f t="shared" si="16"/>
        <v>0</v>
      </c>
      <c r="G560" s="1582" t="e">
        <f t="shared" si="17"/>
        <v>#DIV/0!</v>
      </c>
      <c r="H560" s="2294">
        <v>6.4000000000000003E-3</v>
      </c>
      <c r="I560" s="2295"/>
    </row>
    <row r="561" spans="1:9" ht="16.5">
      <c r="A561" s="1584">
        <v>6248</v>
      </c>
      <c r="B561" s="1585" t="s">
        <v>2990</v>
      </c>
      <c r="C561" s="1579" t="s">
        <v>2445</v>
      </c>
      <c r="D561" s="1580"/>
      <c r="E561" s="1581"/>
      <c r="F561" s="1581">
        <f t="shared" si="16"/>
        <v>0</v>
      </c>
      <c r="G561" s="1582" t="e">
        <f t="shared" si="17"/>
        <v>#DIV/0!</v>
      </c>
      <c r="H561" s="2294">
        <v>0.15049999999999999</v>
      </c>
      <c r="I561" s="2295"/>
    </row>
    <row r="562" spans="1:9" ht="16.5">
      <c r="A562" s="1584">
        <v>6259</v>
      </c>
      <c r="B562" s="1585" t="s">
        <v>2991</v>
      </c>
      <c r="C562" s="1579" t="s">
        <v>2445</v>
      </c>
      <c r="D562" s="1580"/>
      <c r="E562" s="1581"/>
      <c r="F562" s="1581">
        <f t="shared" si="16"/>
        <v>0</v>
      </c>
      <c r="G562" s="1582" t="e">
        <f t="shared" si="17"/>
        <v>#DIV/0!</v>
      </c>
      <c r="H562" s="2294">
        <v>3.44E-2</v>
      </c>
      <c r="I562" s="2295"/>
    </row>
    <row r="563" spans="1:9" ht="16.5">
      <c r="A563" s="1584">
        <v>6261</v>
      </c>
      <c r="B563" s="1585" t="s">
        <v>2992</v>
      </c>
      <c r="C563" s="1579" t="s">
        <v>2445</v>
      </c>
      <c r="D563" s="1580"/>
      <c r="E563" s="1581"/>
      <c r="F563" s="1581">
        <f t="shared" si="16"/>
        <v>0</v>
      </c>
      <c r="G563" s="1582" t="e">
        <f t="shared" si="17"/>
        <v>#DIV/0!</v>
      </c>
      <c r="H563" s="2294">
        <v>0.69269999999999998</v>
      </c>
      <c r="I563" s="2295"/>
    </row>
    <row r="564" spans="1:9" ht="16.5">
      <c r="A564" s="1584">
        <v>6263</v>
      </c>
      <c r="B564" s="1585" t="s">
        <v>2993</v>
      </c>
      <c r="C564" s="1579" t="s">
        <v>2445</v>
      </c>
      <c r="D564" s="1580"/>
      <c r="E564" s="1581"/>
      <c r="F564" s="1581">
        <f t="shared" si="16"/>
        <v>0</v>
      </c>
      <c r="G564" s="1582" t="e">
        <f t="shared" si="17"/>
        <v>#DIV/0!</v>
      </c>
      <c r="H564" s="2294">
        <v>0.2248</v>
      </c>
      <c r="I564" s="2295"/>
    </row>
    <row r="565" spans="1:9" ht="16.5">
      <c r="A565" s="1584">
        <v>6264</v>
      </c>
      <c r="B565" s="1585" t="s">
        <v>2994</v>
      </c>
      <c r="C565" s="1579" t="s">
        <v>2445</v>
      </c>
      <c r="D565" s="1580"/>
      <c r="E565" s="1581"/>
      <c r="F565" s="1581">
        <f t="shared" si="16"/>
        <v>0</v>
      </c>
      <c r="G565" s="1582" t="e">
        <f t="shared" si="17"/>
        <v>#DIV/0!</v>
      </c>
      <c r="H565" s="2294">
        <v>0.25990000000000002</v>
      </c>
      <c r="I565" s="2295"/>
    </row>
    <row r="566" spans="1:9" ht="16.5">
      <c r="A566" s="1584">
        <v>6265</v>
      </c>
      <c r="B566" s="1585" t="s">
        <v>2995</v>
      </c>
      <c r="C566" s="1579" t="s">
        <v>2445</v>
      </c>
      <c r="D566" s="1580"/>
      <c r="E566" s="1581"/>
      <c r="F566" s="1581">
        <f t="shared" si="16"/>
        <v>0</v>
      </c>
      <c r="G566" s="1582" t="e">
        <f t="shared" si="17"/>
        <v>#DIV/0!</v>
      </c>
      <c r="H566" s="2294">
        <v>0.16520000000000001</v>
      </c>
      <c r="I566" s="2295"/>
    </row>
    <row r="567" spans="1:9" ht="16.5">
      <c r="A567" s="1584">
        <v>6266</v>
      </c>
      <c r="B567" s="1585" t="s">
        <v>2996</v>
      </c>
      <c r="C567" s="1579" t="s">
        <v>2445</v>
      </c>
      <c r="D567" s="1580"/>
      <c r="E567" s="1581"/>
      <c r="F567" s="1581">
        <f t="shared" si="16"/>
        <v>0</v>
      </c>
      <c r="G567" s="1582" t="e">
        <f t="shared" si="17"/>
        <v>#DIV/0!</v>
      </c>
      <c r="H567" s="2294">
        <v>1.3453999999999999</v>
      </c>
      <c r="I567" s="2295"/>
    </row>
    <row r="568" spans="1:9" ht="16.5">
      <c r="A568" s="1584">
        <v>6270</v>
      </c>
      <c r="B568" s="1585" t="s">
        <v>2997</v>
      </c>
      <c r="C568" s="1579" t="s">
        <v>2445</v>
      </c>
      <c r="D568" s="1580"/>
      <c r="E568" s="1581"/>
      <c r="F568" s="1581">
        <f t="shared" si="16"/>
        <v>0</v>
      </c>
      <c r="G568" s="1582" t="e">
        <f t="shared" si="17"/>
        <v>#DIV/0!</v>
      </c>
      <c r="H568" s="2294">
        <v>0.52139999999999997</v>
      </c>
      <c r="I568" s="2295"/>
    </row>
    <row r="569" spans="1:9" ht="16.5">
      <c r="A569" s="1584">
        <v>6274</v>
      </c>
      <c r="B569" s="1585" t="s">
        <v>2998</v>
      </c>
      <c r="C569" s="1579" t="s">
        <v>2445</v>
      </c>
      <c r="D569" s="1580"/>
      <c r="E569" s="1581"/>
      <c r="F569" s="1581">
        <f t="shared" si="16"/>
        <v>0</v>
      </c>
      <c r="G569" s="1582" t="e">
        <f t="shared" si="17"/>
        <v>#DIV/0!</v>
      </c>
      <c r="H569" s="2294">
        <v>2.1606999999999998</v>
      </c>
      <c r="I569" s="2295"/>
    </row>
    <row r="570" spans="1:9" ht="16.5">
      <c r="A570" s="1584">
        <v>6275</v>
      </c>
      <c r="B570" s="1585" t="s">
        <v>2999</v>
      </c>
      <c r="C570" s="1579" t="s">
        <v>2445</v>
      </c>
      <c r="D570" s="1580"/>
      <c r="E570" s="1581"/>
      <c r="F570" s="1581">
        <f t="shared" si="16"/>
        <v>0</v>
      </c>
      <c r="G570" s="1582" t="e">
        <f t="shared" si="17"/>
        <v>#DIV/0!</v>
      </c>
      <c r="H570" s="2294">
        <v>1.0809</v>
      </c>
      <c r="I570" s="2295"/>
    </row>
    <row r="571" spans="1:9" ht="16.5">
      <c r="A571" s="1584">
        <v>6276</v>
      </c>
      <c r="B571" s="1585" t="s">
        <v>3000</v>
      </c>
      <c r="C571" s="1579" t="s">
        <v>2445</v>
      </c>
      <c r="D571" s="1580"/>
      <c r="E571" s="1581"/>
      <c r="F571" s="1581">
        <f t="shared" si="16"/>
        <v>0</v>
      </c>
      <c r="G571" s="1582" t="e">
        <f t="shared" si="17"/>
        <v>#DIV/0!</v>
      </c>
      <c r="H571" s="2294">
        <v>0.67810000000000004</v>
      </c>
      <c r="I571" s="2295"/>
    </row>
    <row r="572" spans="1:9" ht="16.5">
      <c r="A572" s="1584">
        <v>6279</v>
      </c>
      <c r="B572" s="1585" t="s">
        <v>3001</v>
      </c>
      <c r="C572" s="1579" t="s">
        <v>2445</v>
      </c>
      <c r="D572" s="1580"/>
      <c r="E572" s="1581"/>
      <c r="F572" s="1581">
        <f t="shared" si="16"/>
        <v>0</v>
      </c>
      <c r="G572" s="1582" t="e">
        <f t="shared" si="17"/>
        <v>#DIV/0!</v>
      </c>
      <c r="H572" s="2294">
        <v>1.1019000000000001</v>
      </c>
      <c r="I572" s="2295"/>
    </row>
    <row r="573" spans="1:9" ht="16.5">
      <c r="A573" s="1584">
        <v>6284</v>
      </c>
      <c r="B573" s="1585" t="s">
        <v>3002</v>
      </c>
      <c r="C573" s="1579" t="s">
        <v>2445</v>
      </c>
      <c r="D573" s="1581"/>
      <c r="E573" s="1581"/>
      <c r="F573" s="1581">
        <f t="shared" si="16"/>
        <v>0</v>
      </c>
      <c r="G573" s="1582" t="e">
        <f t="shared" si="17"/>
        <v>#DIV/0!</v>
      </c>
      <c r="H573" s="2294">
        <v>1.7456</v>
      </c>
      <c r="I573" s="2295"/>
    </row>
    <row r="574" spans="1:9" ht="16.5">
      <c r="A574" s="1584">
        <v>6287</v>
      </c>
      <c r="B574" s="1585" t="s">
        <v>3003</v>
      </c>
      <c r="C574" s="1579" t="s">
        <v>2445</v>
      </c>
      <c r="D574" s="1581"/>
      <c r="E574" s="1581"/>
      <c r="F574" s="1581">
        <f t="shared" si="16"/>
        <v>0</v>
      </c>
      <c r="G574" s="1582" t="e">
        <f t="shared" si="17"/>
        <v>#DIV/0!</v>
      </c>
      <c r="H574" s="2294">
        <v>0.77400000000000002</v>
      </c>
      <c r="I574" s="2295"/>
    </row>
    <row r="575" spans="1:9" ht="16.5">
      <c r="A575" s="1584">
        <v>6290</v>
      </c>
      <c r="B575" s="1585" t="s">
        <v>3004</v>
      </c>
      <c r="C575" s="1579" t="s">
        <v>2445</v>
      </c>
      <c r="D575" s="1581"/>
      <c r="E575" s="1581"/>
      <c r="F575" s="1581">
        <f t="shared" si="16"/>
        <v>0</v>
      </c>
      <c r="G575" s="1582" t="e">
        <f t="shared" si="17"/>
        <v>#DIV/0!</v>
      </c>
      <c r="H575" s="2294">
        <v>1.7714000000000001</v>
      </c>
      <c r="I575" s="2295"/>
    </row>
    <row r="576" spans="1:9" ht="16.5">
      <c r="A576" s="1584">
        <v>6291</v>
      </c>
      <c r="B576" s="1585" t="s">
        <v>3005</v>
      </c>
      <c r="C576" s="1579" t="s">
        <v>2445</v>
      </c>
      <c r="D576" s="1581"/>
      <c r="E576" s="1581"/>
      <c r="F576" s="1581">
        <f t="shared" si="16"/>
        <v>0</v>
      </c>
      <c r="G576" s="1582" t="e">
        <f t="shared" si="17"/>
        <v>#DIV/0!</v>
      </c>
      <c r="H576" s="2294">
        <v>7.17E-2</v>
      </c>
      <c r="I576" s="2295"/>
    </row>
    <row r="577" spans="1:9" ht="16.5">
      <c r="A577" s="1584">
        <v>6292</v>
      </c>
      <c r="B577" s="1585" t="s">
        <v>3006</v>
      </c>
      <c r="C577" s="1579" t="s">
        <v>2445</v>
      </c>
      <c r="D577" s="1581"/>
      <c r="E577" s="1581"/>
      <c r="F577" s="1581">
        <f t="shared" si="16"/>
        <v>0</v>
      </c>
      <c r="G577" s="1582" t="e">
        <f t="shared" si="17"/>
        <v>#DIV/0!</v>
      </c>
      <c r="H577" s="2294">
        <v>0.13589999999999999</v>
      </c>
      <c r="I577" s="2295"/>
    </row>
    <row r="578" spans="1:9" ht="16.5">
      <c r="A578" s="1584">
        <v>6294</v>
      </c>
      <c r="B578" s="1585" t="s">
        <v>3007</v>
      </c>
      <c r="C578" s="1579" t="s">
        <v>2445</v>
      </c>
      <c r="D578" s="1581"/>
      <c r="E578" s="1581"/>
      <c r="F578" s="1581">
        <f t="shared" si="16"/>
        <v>0</v>
      </c>
      <c r="G578" s="1582" t="e">
        <f t="shared" si="17"/>
        <v>#DIV/0!</v>
      </c>
      <c r="H578" s="2294">
        <v>0.26719999999999999</v>
      </c>
      <c r="I578" s="2295"/>
    </row>
    <row r="579" spans="1:9" ht="16.5">
      <c r="A579" s="1584">
        <v>6404</v>
      </c>
      <c r="B579" s="1585" t="s">
        <v>3008</v>
      </c>
      <c r="C579" s="1579" t="s">
        <v>2445</v>
      </c>
      <c r="D579" s="1581"/>
      <c r="E579" s="1581"/>
      <c r="F579" s="1581">
        <f t="shared" si="16"/>
        <v>0</v>
      </c>
      <c r="G579" s="1582" t="e">
        <f t="shared" si="17"/>
        <v>#DIV/0!</v>
      </c>
      <c r="H579" s="2294">
        <v>1.1425000000000001</v>
      </c>
      <c r="I579" s="2295"/>
    </row>
    <row r="580" spans="1:9" ht="16.5">
      <c r="A580" s="1584">
        <v>6411</v>
      </c>
      <c r="B580" s="1585" t="s">
        <v>3009</v>
      </c>
      <c r="C580" s="1579" t="s">
        <v>2445</v>
      </c>
      <c r="D580" s="1581"/>
      <c r="E580" s="1581"/>
      <c r="F580" s="1581">
        <f t="shared" si="16"/>
        <v>0</v>
      </c>
      <c r="G580" s="1582" t="e">
        <f t="shared" si="17"/>
        <v>#DIV/0!</v>
      </c>
      <c r="H580" s="2294">
        <v>1.0818000000000001</v>
      </c>
      <c r="I580" s="2295"/>
    </row>
    <row r="581" spans="1:9" ht="16.5">
      <c r="A581" s="1584">
        <v>6417</v>
      </c>
      <c r="B581" s="1585" t="s">
        <v>3010</v>
      </c>
      <c r="C581" s="1579" t="s">
        <v>2445</v>
      </c>
      <c r="D581" s="1581"/>
      <c r="E581" s="1581"/>
      <c r="F581" s="1581">
        <f t="shared" ref="F581:F644" si="18">D581*E581</f>
        <v>0</v>
      </c>
      <c r="G581" s="1582" t="e">
        <f t="shared" ref="G581:G644" si="19">F581/$F$784</f>
        <v>#DIV/0!</v>
      </c>
      <c r="H581" s="2294">
        <v>0.2102</v>
      </c>
      <c r="I581" s="2295"/>
    </row>
    <row r="582" spans="1:9" ht="16.5">
      <c r="A582" s="1584">
        <v>6418</v>
      </c>
      <c r="B582" s="1585" t="s">
        <v>5394</v>
      </c>
      <c r="C582" s="1579" t="s">
        <v>2445</v>
      </c>
      <c r="D582" s="1581"/>
      <c r="E582" s="1581"/>
      <c r="F582" s="1581">
        <f t="shared" si="18"/>
        <v>0</v>
      </c>
      <c r="G582" s="1582" t="e">
        <f t="shared" si="19"/>
        <v>#DIV/0!</v>
      </c>
      <c r="H582" s="2294">
        <v>1</v>
      </c>
      <c r="I582" s="2295" t="s">
        <v>5478</v>
      </c>
    </row>
    <row r="583" spans="1:9" ht="16.5">
      <c r="A583" s="1584">
        <v>6419</v>
      </c>
      <c r="B583" s="1585" t="s">
        <v>3011</v>
      </c>
      <c r="C583" s="1579" t="s">
        <v>2445</v>
      </c>
      <c r="D583" s="1581"/>
      <c r="E583" s="1581"/>
      <c r="F583" s="1581">
        <f t="shared" si="18"/>
        <v>0</v>
      </c>
      <c r="G583" s="1582" t="e">
        <f t="shared" si="19"/>
        <v>#DIV/0!</v>
      </c>
      <c r="H583" s="2294">
        <v>0.3604</v>
      </c>
      <c r="I583" s="2295"/>
    </row>
    <row r="584" spans="1:9" ht="16.5">
      <c r="A584" s="1584">
        <v>6425</v>
      </c>
      <c r="B584" s="1585" t="s">
        <v>5395</v>
      </c>
      <c r="C584" s="1579" t="s">
        <v>2445</v>
      </c>
      <c r="D584" s="1581"/>
      <c r="E584" s="1581"/>
      <c r="F584" s="1581">
        <f t="shared" si="18"/>
        <v>0</v>
      </c>
      <c r="G584" s="1582" t="e">
        <f t="shared" si="19"/>
        <v>#DIV/0!</v>
      </c>
      <c r="H584" s="2294">
        <v>1</v>
      </c>
      <c r="I584" s="2295" t="s">
        <v>5478</v>
      </c>
    </row>
    <row r="585" spans="1:9" ht="16.5">
      <c r="A585" s="1584">
        <v>6426</v>
      </c>
      <c r="B585" s="1585" t="s">
        <v>3012</v>
      </c>
      <c r="C585" s="1579" t="s">
        <v>2445</v>
      </c>
      <c r="D585" s="1581"/>
      <c r="E585" s="1581"/>
      <c r="F585" s="1581">
        <f t="shared" si="18"/>
        <v>0</v>
      </c>
      <c r="G585" s="1582" t="e">
        <f t="shared" si="19"/>
        <v>#DIV/0!</v>
      </c>
      <c r="H585" s="2294">
        <v>1.8320000000000001</v>
      </c>
      <c r="I585" s="2295"/>
    </row>
    <row r="586" spans="1:9" ht="16.5">
      <c r="A586" s="1584">
        <v>6432</v>
      </c>
      <c r="B586" s="1585" t="s">
        <v>3013</v>
      </c>
      <c r="C586" s="1579" t="s">
        <v>2445</v>
      </c>
      <c r="D586" s="1581"/>
      <c r="E586" s="1581"/>
      <c r="F586" s="1581">
        <f t="shared" si="18"/>
        <v>0</v>
      </c>
      <c r="G586" s="1582" t="e">
        <f t="shared" si="19"/>
        <v>#DIV/0!</v>
      </c>
      <c r="H586" s="2294">
        <v>1.1333</v>
      </c>
      <c r="I586" s="2295"/>
    </row>
    <row r="587" spans="1:9" ht="16.5">
      <c r="A587" s="1584">
        <v>6435</v>
      </c>
      <c r="B587" s="1585" t="s">
        <v>3014</v>
      </c>
      <c r="C587" s="1579" t="s">
        <v>2445</v>
      </c>
      <c r="D587" s="1581"/>
      <c r="E587" s="1581"/>
      <c r="F587" s="1581">
        <f t="shared" si="18"/>
        <v>0</v>
      </c>
      <c r="G587" s="1582" t="e">
        <f t="shared" si="19"/>
        <v>#DIV/0!</v>
      </c>
      <c r="H587" s="2294">
        <v>1.6948000000000001</v>
      </c>
      <c r="I587" s="2295"/>
    </row>
    <row r="588" spans="1:9" ht="16.5">
      <c r="A588" s="1584">
        <v>6438</v>
      </c>
      <c r="B588" s="1585" t="s">
        <v>3015</v>
      </c>
      <c r="C588" s="1579" t="s">
        <v>2445</v>
      </c>
      <c r="D588" s="1581"/>
      <c r="E588" s="1581"/>
      <c r="F588" s="1581">
        <f t="shared" si="18"/>
        <v>0</v>
      </c>
      <c r="G588" s="1582" t="e">
        <f t="shared" si="19"/>
        <v>#DIV/0!</v>
      </c>
      <c r="H588" s="2294">
        <v>1.5079</v>
      </c>
      <c r="I588" s="2295"/>
    </row>
    <row r="589" spans="1:9" ht="16.5">
      <c r="A589" s="1584">
        <v>6441</v>
      </c>
      <c r="B589" s="1585" t="s">
        <v>3016</v>
      </c>
      <c r="C589" s="1579" t="s">
        <v>2445</v>
      </c>
      <c r="D589" s="1581"/>
      <c r="E589" s="1581"/>
      <c r="F589" s="1581">
        <f t="shared" si="18"/>
        <v>0</v>
      </c>
      <c r="G589" s="1582" t="e">
        <f t="shared" si="19"/>
        <v>#DIV/0!</v>
      </c>
      <c r="H589" s="2294">
        <v>0.60360000000000003</v>
      </c>
      <c r="I589" s="2295"/>
    </row>
    <row r="590" spans="1:9" ht="16.5">
      <c r="A590" s="1584">
        <v>6446</v>
      </c>
      <c r="B590" s="1585" t="s">
        <v>5396</v>
      </c>
      <c r="C590" s="1579" t="s">
        <v>2445</v>
      </c>
      <c r="D590" s="1581"/>
      <c r="E590" s="1581"/>
      <c r="F590" s="1581">
        <f t="shared" si="18"/>
        <v>0</v>
      </c>
      <c r="G590" s="1582" t="e">
        <f t="shared" si="19"/>
        <v>#DIV/0!</v>
      </c>
      <c r="H590" s="2294">
        <v>0.89549999999999996</v>
      </c>
      <c r="I590" s="2295"/>
    </row>
    <row r="591" spans="1:9" ht="16.5">
      <c r="A591" s="1584">
        <v>6457</v>
      </c>
      <c r="B591" s="1585" t="s">
        <v>3017</v>
      </c>
      <c r="C591" s="1579" t="s">
        <v>2445</v>
      </c>
      <c r="D591" s="1581"/>
      <c r="E591" s="1581"/>
      <c r="F591" s="1581">
        <f t="shared" si="18"/>
        <v>0</v>
      </c>
      <c r="G591" s="1582" t="e">
        <f t="shared" si="19"/>
        <v>#DIV/0!</v>
      </c>
      <c r="H591" s="2294">
        <v>0.13880000000000001</v>
      </c>
      <c r="I591" s="2295"/>
    </row>
    <row r="592" spans="1:9" ht="16.5">
      <c r="A592" s="1584">
        <v>6461</v>
      </c>
      <c r="B592" s="1585" t="s">
        <v>3018</v>
      </c>
      <c r="C592" s="1579" t="s">
        <v>2445</v>
      </c>
      <c r="D592" s="1581"/>
      <c r="E592" s="1581"/>
      <c r="F592" s="1581">
        <f t="shared" si="18"/>
        <v>0</v>
      </c>
      <c r="G592" s="1582" t="e">
        <f t="shared" si="19"/>
        <v>#DIV/0!</v>
      </c>
      <c r="H592" s="2294">
        <v>0.84330000000000005</v>
      </c>
      <c r="I592" s="2295"/>
    </row>
    <row r="593" spans="1:9" ht="16.5">
      <c r="A593" s="1584">
        <v>6462</v>
      </c>
      <c r="B593" s="1585" t="s">
        <v>3019</v>
      </c>
      <c r="C593" s="1579" t="s">
        <v>2445</v>
      </c>
      <c r="D593" s="1581"/>
      <c r="E593" s="1581"/>
      <c r="F593" s="1581">
        <f t="shared" si="18"/>
        <v>0</v>
      </c>
      <c r="G593" s="1582" t="e">
        <f t="shared" si="19"/>
        <v>#DIV/0!</v>
      </c>
      <c r="H593" s="2294">
        <v>1.9024000000000001</v>
      </c>
      <c r="I593" s="2295"/>
    </row>
    <row r="594" spans="1:9" ht="16.5">
      <c r="A594" s="1584">
        <v>6465</v>
      </c>
      <c r="B594" s="1585" t="s">
        <v>3020</v>
      </c>
      <c r="C594" s="1579" t="s">
        <v>2445</v>
      </c>
      <c r="D594" s="1581"/>
      <c r="E594" s="1581"/>
      <c r="F594" s="1581">
        <f t="shared" si="18"/>
        <v>0</v>
      </c>
      <c r="G594" s="1582" t="e">
        <f t="shared" si="19"/>
        <v>#DIV/0!</v>
      </c>
      <c r="H594" s="2294">
        <v>0.47899999999999998</v>
      </c>
      <c r="I594" s="2295"/>
    </row>
    <row r="595" spans="1:9" ht="16.5">
      <c r="A595" s="1584">
        <v>6469</v>
      </c>
      <c r="B595" s="1585" t="s">
        <v>3021</v>
      </c>
      <c r="C595" s="1579" t="s">
        <v>2445</v>
      </c>
      <c r="D595" s="1581"/>
      <c r="E595" s="1581"/>
      <c r="F595" s="1581">
        <f t="shared" si="18"/>
        <v>0</v>
      </c>
      <c r="G595" s="1582" t="e">
        <f t="shared" si="19"/>
        <v>#DIV/0!</v>
      </c>
      <c r="H595" s="2294">
        <v>0.26469999999999999</v>
      </c>
      <c r="I595" s="2295"/>
    </row>
    <row r="596" spans="1:9" ht="16.5">
      <c r="A596" s="1584">
        <v>6470</v>
      </c>
      <c r="B596" s="1585" t="s">
        <v>3022</v>
      </c>
      <c r="C596" s="1579" t="s">
        <v>2445</v>
      </c>
      <c r="D596" s="1581"/>
      <c r="E596" s="1581"/>
      <c r="F596" s="1581">
        <f t="shared" si="18"/>
        <v>0</v>
      </c>
      <c r="G596" s="1582" t="e">
        <f t="shared" si="19"/>
        <v>#DIV/0!</v>
      </c>
      <c r="H596" s="2294">
        <v>1.1100000000000001</v>
      </c>
      <c r="I596" s="2295"/>
    </row>
    <row r="597" spans="1:9" ht="16.5">
      <c r="A597" s="1584">
        <v>6472</v>
      </c>
      <c r="B597" s="1585" t="s">
        <v>3023</v>
      </c>
      <c r="C597" s="1579" t="s">
        <v>2445</v>
      </c>
      <c r="D597" s="1581"/>
      <c r="E597" s="1581"/>
      <c r="F597" s="1581">
        <f t="shared" si="18"/>
        <v>0</v>
      </c>
      <c r="G597" s="1582" t="e">
        <f t="shared" si="19"/>
        <v>#DIV/0!</v>
      </c>
      <c r="H597" s="2294">
        <v>0.78100000000000003</v>
      </c>
      <c r="I597" s="2295"/>
    </row>
    <row r="598" spans="1:9" ht="16.5">
      <c r="A598" s="1584">
        <v>6482</v>
      </c>
      <c r="B598" s="1585" t="s">
        <v>3024</v>
      </c>
      <c r="C598" s="1579" t="s">
        <v>2445</v>
      </c>
      <c r="D598" s="1581"/>
      <c r="E598" s="1581"/>
      <c r="F598" s="1581">
        <f t="shared" si="18"/>
        <v>0</v>
      </c>
      <c r="G598" s="1582" t="e">
        <f t="shared" si="19"/>
        <v>#DIV/0!</v>
      </c>
      <c r="H598" s="2294">
        <v>-4.2999999999999997E-2</v>
      </c>
      <c r="I598" s="2295"/>
    </row>
    <row r="599" spans="1:9" ht="16.5">
      <c r="A599" s="1584">
        <v>6485</v>
      </c>
      <c r="B599" s="1585" t="s">
        <v>3025</v>
      </c>
      <c r="C599" s="1579" t="s">
        <v>2445</v>
      </c>
      <c r="D599" s="1581"/>
      <c r="E599" s="1581"/>
      <c r="F599" s="1581">
        <f t="shared" si="18"/>
        <v>0</v>
      </c>
      <c r="G599" s="1582" t="e">
        <f t="shared" si="19"/>
        <v>#DIV/0!</v>
      </c>
      <c r="H599" s="2294">
        <v>0.52729999999999999</v>
      </c>
      <c r="I599" s="2295"/>
    </row>
    <row r="600" spans="1:9" ht="16.5">
      <c r="A600" s="1584">
        <v>6486</v>
      </c>
      <c r="B600" s="1585" t="s">
        <v>3026</v>
      </c>
      <c r="C600" s="1579" t="s">
        <v>2445</v>
      </c>
      <c r="D600" s="1581"/>
      <c r="E600" s="1581"/>
      <c r="F600" s="1581">
        <f t="shared" si="18"/>
        <v>0</v>
      </c>
      <c r="G600" s="1582" t="e">
        <f t="shared" si="19"/>
        <v>#DIV/0!</v>
      </c>
      <c r="H600" s="2294">
        <v>0.93369999999999997</v>
      </c>
      <c r="I600" s="2295"/>
    </row>
    <row r="601" spans="1:9" ht="16.5">
      <c r="A601" s="1584">
        <v>6488</v>
      </c>
      <c r="B601" s="1585" t="s">
        <v>3027</v>
      </c>
      <c r="C601" s="1579" t="s">
        <v>2445</v>
      </c>
      <c r="D601" s="1581"/>
      <c r="E601" s="1581"/>
      <c r="F601" s="1581">
        <f t="shared" si="18"/>
        <v>0</v>
      </c>
      <c r="G601" s="1582" t="e">
        <f t="shared" si="19"/>
        <v>#DIV/0!</v>
      </c>
      <c r="H601" s="2294">
        <v>2.4866000000000001</v>
      </c>
      <c r="I601" s="2295"/>
    </row>
    <row r="602" spans="1:9" ht="16.5">
      <c r="A602" s="1584">
        <v>6492</v>
      </c>
      <c r="B602" s="1585" t="s">
        <v>3028</v>
      </c>
      <c r="C602" s="1579" t="s">
        <v>2445</v>
      </c>
      <c r="D602" s="1581"/>
      <c r="E602" s="1581"/>
      <c r="F602" s="1581">
        <f t="shared" si="18"/>
        <v>0</v>
      </c>
      <c r="G602" s="1582" t="e">
        <f t="shared" si="19"/>
        <v>#DIV/0!</v>
      </c>
      <c r="H602" s="2294">
        <v>0.28360000000000002</v>
      </c>
      <c r="I602" s="2295"/>
    </row>
    <row r="603" spans="1:9" ht="16.5">
      <c r="A603" s="1584">
        <v>6494</v>
      </c>
      <c r="B603" s="1585" t="s">
        <v>3029</v>
      </c>
      <c r="C603" s="1579" t="s">
        <v>2445</v>
      </c>
      <c r="D603" s="1581"/>
      <c r="E603" s="1581"/>
      <c r="F603" s="1581">
        <f t="shared" si="18"/>
        <v>0</v>
      </c>
      <c r="G603" s="1582" t="e">
        <f t="shared" si="19"/>
        <v>#DIV/0!</v>
      </c>
      <c r="H603" s="2294">
        <v>0.39169999999999999</v>
      </c>
      <c r="I603" s="2295"/>
    </row>
    <row r="604" spans="1:9" ht="16.5">
      <c r="A604" s="1584">
        <v>6496</v>
      </c>
      <c r="B604" s="1585" t="s">
        <v>3030</v>
      </c>
      <c r="C604" s="1579" t="s">
        <v>2445</v>
      </c>
      <c r="D604" s="1581"/>
      <c r="E604" s="1581"/>
      <c r="F604" s="1581">
        <f t="shared" si="18"/>
        <v>0</v>
      </c>
      <c r="G604" s="1582" t="e">
        <f t="shared" si="19"/>
        <v>#DIV/0!</v>
      </c>
      <c r="H604" s="2294">
        <v>0.49080000000000001</v>
      </c>
      <c r="I604" s="2295"/>
    </row>
    <row r="605" spans="1:9" ht="16.5">
      <c r="A605" s="1584">
        <v>6497</v>
      </c>
      <c r="B605" s="1585" t="s">
        <v>3031</v>
      </c>
      <c r="C605" s="1579" t="s">
        <v>2445</v>
      </c>
      <c r="D605" s="1581"/>
      <c r="E605" s="1581"/>
      <c r="F605" s="1581">
        <f t="shared" si="18"/>
        <v>0</v>
      </c>
      <c r="G605" s="1582" t="e">
        <f t="shared" si="19"/>
        <v>#DIV/0!</v>
      </c>
      <c r="H605" s="2294">
        <v>0.45500000000000002</v>
      </c>
      <c r="I605" s="2295"/>
    </row>
    <row r="606" spans="1:9" ht="16.5">
      <c r="A606" s="1584">
        <v>6499</v>
      </c>
      <c r="B606" s="1585" t="s">
        <v>3032</v>
      </c>
      <c r="C606" s="1579" t="s">
        <v>2445</v>
      </c>
      <c r="D606" s="1581"/>
      <c r="E606" s="1581"/>
      <c r="F606" s="1581">
        <f t="shared" si="18"/>
        <v>0</v>
      </c>
      <c r="G606" s="1582" t="e">
        <f t="shared" si="19"/>
        <v>#DIV/0!</v>
      </c>
      <c r="H606" s="2294">
        <v>0.76339999999999997</v>
      </c>
      <c r="I606" s="2295"/>
    </row>
    <row r="607" spans="1:9" ht="16.5">
      <c r="A607" s="1584">
        <v>6506</v>
      </c>
      <c r="B607" s="1585" t="s">
        <v>3033</v>
      </c>
      <c r="C607" s="1579" t="s">
        <v>2445</v>
      </c>
      <c r="D607" s="1581"/>
      <c r="E607" s="1581"/>
      <c r="F607" s="1581">
        <f t="shared" si="18"/>
        <v>0</v>
      </c>
      <c r="G607" s="1582" t="e">
        <f t="shared" si="19"/>
        <v>#DIV/0!</v>
      </c>
      <c r="H607" s="2294">
        <v>8.1000000000000003E-2</v>
      </c>
      <c r="I607" s="2295"/>
    </row>
    <row r="608" spans="1:9" ht="16.5">
      <c r="A608" s="1584">
        <v>6508</v>
      </c>
      <c r="B608" s="1585" t="s">
        <v>3034</v>
      </c>
      <c r="C608" s="1579" t="s">
        <v>2445</v>
      </c>
      <c r="D608" s="1581"/>
      <c r="E608" s="1581"/>
      <c r="F608" s="1581">
        <f t="shared" si="18"/>
        <v>0</v>
      </c>
      <c r="G608" s="1582" t="e">
        <f t="shared" si="19"/>
        <v>#DIV/0!</v>
      </c>
      <c r="H608" s="2294">
        <v>0.21929999999999999</v>
      </c>
      <c r="I608" s="2295"/>
    </row>
    <row r="609" spans="1:9" ht="16.5">
      <c r="A609" s="1584">
        <v>6509</v>
      </c>
      <c r="B609" s="1585" t="s">
        <v>3035</v>
      </c>
      <c r="C609" s="1579" t="s">
        <v>2445</v>
      </c>
      <c r="D609" s="1581"/>
      <c r="E609" s="1581"/>
      <c r="F609" s="1581">
        <f t="shared" si="18"/>
        <v>0</v>
      </c>
      <c r="G609" s="1582" t="e">
        <f t="shared" si="19"/>
        <v>#DIV/0!</v>
      </c>
      <c r="H609" s="2294">
        <v>0.57079999999999997</v>
      </c>
      <c r="I609" s="2295"/>
    </row>
    <row r="610" spans="1:9" ht="16.5">
      <c r="A610" s="1584">
        <v>6510</v>
      </c>
      <c r="B610" s="1585" t="s">
        <v>3036</v>
      </c>
      <c r="C610" s="1579" t="s">
        <v>2445</v>
      </c>
      <c r="D610" s="1581"/>
      <c r="E610" s="1581"/>
      <c r="F610" s="1581">
        <f t="shared" si="18"/>
        <v>0</v>
      </c>
      <c r="G610" s="1582" t="e">
        <f t="shared" si="19"/>
        <v>#DIV/0!</v>
      </c>
      <c r="H610" s="2294">
        <v>1.7319</v>
      </c>
      <c r="I610" s="2295"/>
    </row>
    <row r="611" spans="1:9" ht="16.5">
      <c r="A611" s="1584">
        <v>6512</v>
      </c>
      <c r="B611" s="1585" t="s">
        <v>3037</v>
      </c>
      <c r="C611" s="1579" t="s">
        <v>2445</v>
      </c>
      <c r="D611" s="1581"/>
      <c r="E611" s="1581"/>
      <c r="F611" s="1581">
        <f t="shared" si="18"/>
        <v>0</v>
      </c>
      <c r="G611" s="1582" t="e">
        <f t="shared" si="19"/>
        <v>#DIV/0!</v>
      </c>
      <c r="H611" s="2294">
        <v>0.3664</v>
      </c>
      <c r="I611" s="2295"/>
    </row>
    <row r="612" spans="1:9" ht="16.5">
      <c r="A612" s="1584">
        <v>6514</v>
      </c>
      <c r="B612" s="1585" t="s">
        <v>3038</v>
      </c>
      <c r="C612" s="1579" t="s">
        <v>2445</v>
      </c>
      <c r="D612" s="1581"/>
      <c r="E612" s="1581"/>
      <c r="F612" s="1581">
        <f t="shared" si="18"/>
        <v>0</v>
      </c>
      <c r="G612" s="1582" t="e">
        <f t="shared" si="19"/>
        <v>#DIV/0!</v>
      </c>
      <c r="H612" s="2294">
        <v>1.6372</v>
      </c>
      <c r="I612" s="2295"/>
    </row>
    <row r="613" spans="1:9" ht="16.5">
      <c r="A613" s="1584">
        <v>6516</v>
      </c>
      <c r="B613" s="1585" t="s">
        <v>5397</v>
      </c>
      <c r="C613" s="1579" t="s">
        <v>2445</v>
      </c>
      <c r="D613" s="1581"/>
      <c r="E613" s="1581"/>
      <c r="F613" s="1581">
        <f t="shared" si="18"/>
        <v>0</v>
      </c>
      <c r="G613" s="1582" t="e">
        <f t="shared" si="19"/>
        <v>#DIV/0!</v>
      </c>
      <c r="H613" s="2294">
        <v>1</v>
      </c>
      <c r="I613" s="2295" t="s">
        <v>5478</v>
      </c>
    </row>
    <row r="614" spans="1:9" ht="16.5">
      <c r="A614" s="1584">
        <v>6523</v>
      </c>
      <c r="B614" s="1585" t="s">
        <v>3039</v>
      </c>
      <c r="C614" s="1579" t="s">
        <v>2445</v>
      </c>
      <c r="D614" s="1581"/>
      <c r="E614" s="1581"/>
      <c r="F614" s="1581">
        <f t="shared" si="18"/>
        <v>0</v>
      </c>
      <c r="G614" s="1582" t="e">
        <f t="shared" si="19"/>
        <v>#DIV/0!</v>
      </c>
      <c r="H614" s="2294">
        <v>0.51600000000000001</v>
      </c>
      <c r="I614" s="2295"/>
    </row>
    <row r="615" spans="1:9" ht="16.5">
      <c r="A615" s="1584">
        <v>6527</v>
      </c>
      <c r="B615" s="1585" t="s">
        <v>5398</v>
      </c>
      <c r="C615" s="1579" t="s">
        <v>2445</v>
      </c>
      <c r="D615" s="1581"/>
      <c r="E615" s="1581"/>
      <c r="F615" s="1581">
        <f t="shared" si="18"/>
        <v>0</v>
      </c>
      <c r="G615" s="1582" t="e">
        <f t="shared" si="19"/>
        <v>#DIV/0!</v>
      </c>
      <c r="H615" s="2294">
        <v>1</v>
      </c>
      <c r="I615" s="2295" t="s">
        <v>5478</v>
      </c>
    </row>
    <row r="616" spans="1:9" ht="16.5">
      <c r="A616" s="1584">
        <v>6530</v>
      </c>
      <c r="B616" s="1585" t="s">
        <v>3040</v>
      </c>
      <c r="C616" s="1579" t="s">
        <v>2445</v>
      </c>
      <c r="D616" s="1581"/>
      <c r="E616" s="1581"/>
      <c r="F616" s="1581">
        <f t="shared" si="18"/>
        <v>0</v>
      </c>
      <c r="G616" s="1582" t="e">
        <f t="shared" si="19"/>
        <v>#DIV/0!</v>
      </c>
      <c r="H616" s="2294">
        <v>0.41799999999999998</v>
      </c>
      <c r="I616" s="2295"/>
    </row>
    <row r="617" spans="1:9" ht="16.5">
      <c r="A617" s="1584">
        <v>6532</v>
      </c>
      <c r="B617" s="1585" t="s">
        <v>3041</v>
      </c>
      <c r="C617" s="1579" t="s">
        <v>2445</v>
      </c>
      <c r="D617" s="1581"/>
      <c r="E617" s="1581"/>
      <c r="F617" s="1581">
        <f t="shared" si="18"/>
        <v>0</v>
      </c>
      <c r="G617" s="1582" t="e">
        <f t="shared" si="19"/>
        <v>#DIV/0!</v>
      </c>
      <c r="H617" s="2294">
        <v>0.67030000000000001</v>
      </c>
      <c r="I617" s="2295"/>
    </row>
    <row r="618" spans="1:9" ht="16.5">
      <c r="A618" s="1584">
        <v>6535</v>
      </c>
      <c r="B618" s="1585" t="s">
        <v>3042</v>
      </c>
      <c r="C618" s="1579" t="s">
        <v>2445</v>
      </c>
      <c r="D618" s="1581"/>
      <c r="E618" s="1581"/>
      <c r="F618" s="1581">
        <f t="shared" si="18"/>
        <v>0</v>
      </c>
      <c r="G618" s="1582" t="e">
        <f t="shared" si="19"/>
        <v>#DIV/0!</v>
      </c>
      <c r="H618" s="2294">
        <v>0.28970000000000001</v>
      </c>
      <c r="I618" s="2295"/>
    </row>
    <row r="619" spans="1:9" ht="16.5">
      <c r="A619" s="1584">
        <v>6538</v>
      </c>
      <c r="B619" s="1585" t="s">
        <v>3043</v>
      </c>
      <c r="C619" s="1579" t="s">
        <v>2445</v>
      </c>
      <c r="D619" s="1581"/>
      <c r="E619" s="1581"/>
      <c r="F619" s="1581">
        <f t="shared" si="18"/>
        <v>0</v>
      </c>
      <c r="G619" s="1582" t="e">
        <f t="shared" si="19"/>
        <v>#DIV/0!</v>
      </c>
      <c r="H619" s="2294">
        <v>1.8624000000000001</v>
      </c>
      <c r="I619" s="2295"/>
    </row>
    <row r="620" spans="1:9" ht="16.5">
      <c r="A620" s="1584">
        <v>6542</v>
      </c>
      <c r="B620" s="1585" t="s">
        <v>3044</v>
      </c>
      <c r="C620" s="1579" t="s">
        <v>2445</v>
      </c>
      <c r="D620" s="1581"/>
      <c r="E620" s="1581"/>
      <c r="F620" s="1581">
        <f t="shared" si="18"/>
        <v>0</v>
      </c>
      <c r="G620" s="1582" t="e">
        <f t="shared" si="19"/>
        <v>#DIV/0!</v>
      </c>
      <c r="H620" s="2294">
        <v>0.27610000000000001</v>
      </c>
      <c r="I620" s="2295"/>
    </row>
    <row r="621" spans="1:9" ht="16.5">
      <c r="A621" s="1584">
        <v>6547</v>
      </c>
      <c r="B621" s="1585" t="s">
        <v>3045</v>
      </c>
      <c r="C621" s="1579" t="s">
        <v>2445</v>
      </c>
      <c r="D621" s="1581"/>
      <c r="E621" s="1581"/>
      <c r="F621" s="1581">
        <f t="shared" si="18"/>
        <v>0</v>
      </c>
      <c r="G621" s="1582" t="e">
        <f t="shared" si="19"/>
        <v>#DIV/0!</v>
      </c>
      <c r="H621" s="2294">
        <v>0.35539999999999999</v>
      </c>
      <c r="I621" s="2295"/>
    </row>
    <row r="622" spans="1:9" ht="16.5">
      <c r="A622" s="1584">
        <v>6548</v>
      </c>
      <c r="B622" s="1585" t="s">
        <v>5399</v>
      </c>
      <c r="C622" s="1579" t="s">
        <v>2445</v>
      </c>
      <c r="D622" s="1581"/>
      <c r="E622" s="1581"/>
      <c r="F622" s="1581">
        <f t="shared" si="18"/>
        <v>0</v>
      </c>
      <c r="G622" s="1582" t="e">
        <f t="shared" si="19"/>
        <v>#DIV/0!</v>
      </c>
      <c r="H622" s="2294">
        <v>0.60460000000000003</v>
      </c>
      <c r="I622" s="2295"/>
    </row>
    <row r="623" spans="1:9" ht="16.5">
      <c r="A623" s="1584">
        <v>6556</v>
      </c>
      <c r="B623" s="1585" t="s">
        <v>3046</v>
      </c>
      <c r="C623" s="1579" t="s">
        <v>2445</v>
      </c>
      <c r="D623" s="1581"/>
      <c r="E623" s="1581"/>
      <c r="F623" s="1581">
        <f t="shared" si="18"/>
        <v>0</v>
      </c>
      <c r="G623" s="1582" t="e">
        <f t="shared" si="19"/>
        <v>#DIV/0!</v>
      </c>
      <c r="H623" s="2294">
        <v>0.1154</v>
      </c>
      <c r="I623" s="2295"/>
    </row>
    <row r="624" spans="1:9" ht="16.5">
      <c r="A624" s="1584">
        <v>6560</v>
      </c>
      <c r="B624" s="1585" t="s">
        <v>3047</v>
      </c>
      <c r="C624" s="1579" t="s">
        <v>2445</v>
      </c>
      <c r="D624" s="1581"/>
      <c r="E624" s="1581"/>
      <c r="F624" s="1581">
        <f t="shared" si="18"/>
        <v>0</v>
      </c>
      <c r="G624" s="1582" t="e">
        <f t="shared" si="19"/>
        <v>#DIV/0!</v>
      </c>
      <c r="H624" s="2294">
        <v>0.13539999999999999</v>
      </c>
      <c r="I624" s="2295"/>
    </row>
    <row r="625" spans="1:9" ht="16.5">
      <c r="A625" s="1584">
        <v>6561</v>
      </c>
      <c r="B625" s="1585" t="s">
        <v>3048</v>
      </c>
      <c r="C625" s="1579" t="s">
        <v>2445</v>
      </c>
      <c r="D625" s="1581"/>
      <c r="E625" s="1581"/>
      <c r="F625" s="1581">
        <f t="shared" si="18"/>
        <v>0</v>
      </c>
      <c r="G625" s="1582" t="e">
        <f t="shared" si="19"/>
        <v>#DIV/0!</v>
      </c>
      <c r="H625" s="2294">
        <v>0.67149999999999999</v>
      </c>
      <c r="I625" s="2295"/>
    </row>
    <row r="626" spans="1:9" ht="16.5">
      <c r="A626" s="1584">
        <v>6568</v>
      </c>
      <c r="B626" s="1585" t="s">
        <v>3049</v>
      </c>
      <c r="C626" s="1579" t="s">
        <v>2445</v>
      </c>
      <c r="D626" s="1581"/>
      <c r="E626" s="1581"/>
      <c r="F626" s="1581">
        <f t="shared" si="18"/>
        <v>0</v>
      </c>
      <c r="G626" s="1582" t="e">
        <f t="shared" si="19"/>
        <v>#DIV/0!</v>
      </c>
      <c r="H626" s="2294">
        <v>0.92120000000000002</v>
      </c>
      <c r="I626" s="2295"/>
    </row>
    <row r="627" spans="1:9" ht="16.5">
      <c r="A627" s="1584">
        <v>6569</v>
      </c>
      <c r="B627" s="1585" t="s">
        <v>3050</v>
      </c>
      <c r="C627" s="1579" t="s">
        <v>2445</v>
      </c>
      <c r="D627" s="1581"/>
      <c r="E627" s="1581"/>
      <c r="F627" s="1581">
        <f t="shared" si="18"/>
        <v>0</v>
      </c>
      <c r="G627" s="1582" t="e">
        <f t="shared" si="19"/>
        <v>#DIV/0!</v>
      </c>
      <c r="H627" s="2294">
        <v>0.71989999999999998</v>
      </c>
      <c r="I627" s="2295"/>
    </row>
    <row r="628" spans="1:9" ht="16.5">
      <c r="A628" s="1584">
        <v>6570</v>
      </c>
      <c r="B628" s="1585" t="s">
        <v>3051</v>
      </c>
      <c r="C628" s="1579" t="s">
        <v>2445</v>
      </c>
      <c r="D628" s="1581"/>
      <c r="E628" s="1581"/>
      <c r="F628" s="1581">
        <f t="shared" si="18"/>
        <v>0</v>
      </c>
      <c r="G628" s="1582" t="e">
        <f t="shared" si="19"/>
        <v>#DIV/0!</v>
      </c>
      <c r="H628" s="2294">
        <v>0.54869999999999997</v>
      </c>
      <c r="I628" s="2295"/>
    </row>
    <row r="629" spans="1:9" ht="16.5">
      <c r="A629" s="1584">
        <v>6574</v>
      </c>
      <c r="B629" s="1585" t="s">
        <v>3052</v>
      </c>
      <c r="C629" s="1579" t="s">
        <v>2445</v>
      </c>
      <c r="D629" s="1581"/>
      <c r="E629" s="1581"/>
      <c r="F629" s="1581">
        <f t="shared" si="18"/>
        <v>0</v>
      </c>
      <c r="G629" s="1582" t="e">
        <f t="shared" si="19"/>
        <v>#DIV/0!</v>
      </c>
      <c r="H629" s="2294">
        <v>-0.3</v>
      </c>
      <c r="I629" s="2295"/>
    </row>
    <row r="630" spans="1:9" ht="16.5">
      <c r="A630" s="1584">
        <v>6576</v>
      </c>
      <c r="B630" s="1585" t="s">
        <v>3053</v>
      </c>
      <c r="C630" s="1579" t="s">
        <v>2445</v>
      </c>
      <c r="D630" s="1581"/>
      <c r="E630" s="1581"/>
      <c r="F630" s="1581">
        <f t="shared" si="18"/>
        <v>0</v>
      </c>
      <c r="G630" s="1582" t="e">
        <f t="shared" si="19"/>
        <v>#DIV/0!</v>
      </c>
      <c r="H630" s="2294">
        <v>0.54459999999999997</v>
      </c>
      <c r="I630" s="2295"/>
    </row>
    <row r="631" spans="1:9" ht="16.5">
      <c r="A631" s="1584">
        <v>6577</v>
      </c>
      <c r="B631" s="1585" t="s">
        <v>3054</v>
      </c>
      <c r="C631" s="1579" t="s">
        <v>2445</v>
      </c>
      <c r="D631" s="1581"/>
      <c r="E631" s="1581"/>
      <c r="F631" s="1581">
        <f t="shared" si="18"/>
        <v>0</v>
      </c>
      <c r="G631" s="1582" t="e">
        <f t="shared" si="19"/>
        <v>#DIV/0!</v>
      </c>
      <c r="H631" s="2294">
        <v>0.4279</v>
      </c>
      <c r="I631" s="2295"/>
    </row>
    <row r="632" spans="1:9" ht="16.5">
      <c r="A632" s="1584">
        <v>6578</v>
      </c>
      <c r="B632" s="1585" t="s">
        <v>3055</v>
      </c>
      <c r="C632" s="1579" t="s">
        <v>2445</v>
      </c>
      <c r="D632" s="1581"/>
      <c r="E632" s="1581"/>
      <c r="F632" s="1581">
        <f t="shared" si="18"/>
        <v>0</v>
      </c>
      <c r="G632" s="1582" t="e">
        <f t="shared" si="19"/>
        <v>#DIV/0!</v>
      </c>
      <c r="H632" s="2294">
        <v>0.34699999999999998</v>
      </c>
      <c r="I632" s="2295"/>
    </row>
    <row r="633" spans="1:9" ht="16.5">
      <c r="A633" s="1584">
        <v>6589</v>
      </c>
      <c r="B633" s="1585" t="s">
        <v>5400</v>
      </c>
      <c r="C633" s="1579" t="s">
        <v>2445</v>
      </c>
      <c r="D633" s="1581"/>
      <c r="E633" s="1581"/>
      <c r="F633" s="1581">
        <f t="shared" si="18"/>
        <v>0</v>
      </c>
      <c r="G633" s="1582" t="e">
        <f t="shared" si="19"/>
        <v>#DIV/0!</v>
      </c>
      <c r="H633" s="2294">
        <v>1</v>
      </c>
      <c r="I633" s="2295" t="s">
        <v>5478</v>
      </c>
    </row>
    <row r="634" spans="1:9" ht="16.5">
      <c r="A634" s="1584">
        <v>6590</v>
      </c>
      <c r="B634" s="1585" t="s">
        <v>3056</v>
      </c>
      <c r="C634" s="1579" t="s">
        <v>2445</v>
      </c>
      <c r="D634" s="1581"/>
      <c r="E634" s="1581"/>
      <c r="F634" s="1581">
        <f t="shared" si="18"/>
        <v>0</v>
      </c>
      <c r="G634" s="1582" t="e">
        <f t="shared" si="19"/>
        <v>#DIV/0!</v>
      </c>
      <c r="H634" s="2294">
        <v>0.69679999999999997</v>
      </c>
      <c r="I634" s="2295"/>
    </row>
    <row r="635" spans="1:9" ht="16.5">
      <c r="A635" s="1584">
        <v>6593</v>
      </c>
      <c r="B635" s="1585" t="s">
        <v>3057</v>
      </c>
      <c r="C635" s="1579" t="s">
        <v>2445</v>
      </c>
      <c r="D635" s="1581"/>
      <c r="E635" s="1581"/>
      <c r="F635" s="1581">
        <f t="shared" si="18"/>
        <v>0</v>
      </c>
      <c r="G635" s="1582" t="e">
        <f t="shared" si="19"/>
        <v>#DIV/0!</v>
      </c>
      <c r="H635" s="2294">
        <v>7.5499999999999998E-2</v>
      </c>
      <c r="I635" s="2295"/>
    </row>
    <row r="636" spans="1:9" ht="16.5">
      <c r="A636" s="1584">
        <v>6594</v>
      </c>
      <c r="B636" s="1585" t="s">
        <v>3058</v>
      </c>
      <c r="C636" s="1579" t="s">
        <v>2445</v>
      </c>
      <c r="D636" s="1581"/>
      <c r="E636" s="1581"/>
      <c r="F636" s="1581">
        <f t="shared" si="18"/>
        <v>0</v>
      </c>
      <c r="G636" s="1582" t="e">
        <f t="shared" si="19"/>
        <v>#DIV/0!</v>
      </c>
      <c r="H636" s="2294">
        <v>0.49759999999999999</v>
      </c>
      <c r="I636" s="2295"/>
    </row>
    <row r="637" spans="1:9" ht="16.5">
      <c r="A637" s="1584">
        <v>6596</v>
      </c>
      <c r="B637" s="1585" t="s">
        <v>3059</v>
      </c>
      <c r="C637" s="1579" t="s">
        <v>2445</v>
      </c>
      <c r="D637" s="1581"/>
      <c r="E637" s="1581"/>
      <c r="F637" s="1581">
        <f t="shared" si="18"/>
        <v>0</v>
      </c>
      <c r="G637" s="1582" t="e">
        <f t="shared" si="19"/>
        <v>#DIV/0!</v>
      </c>
      <c r="H637" s="2294">
        <v>0.1174</v>
      </c>
      <c r="I637" s="2295"/>
    </row>
    <row r="638" spans="1:9" ht="16.5">
      <c r="A638" s="1584">
        <v>6603</v>
      </c>
      <c r="B638" s="1585" t="s">
        <v>3060</v>
      </c>
      <c r="C638" s="1579" t="s">
        <v>2445</v>
      </c>
      <c r="D638" s="1581"/>
      <c r="E638" s="1581"/>
      <c r="F638" s="1581">
        <f t="shared" si="18"/>
        <v>0</v>
      </c>
      <c r="G638" s="1582" t="e">
        <f t="shared" si="19"/>
        <v>#DIV/0!</v>
      </c>
      <c r="H638" s="2294">
        <v>0.37330000000000002</v>
      </c>
      <c r="I638" s="2295"/>
    </row>
    <row r="639" spans="1:9" ht="16.5">
      <c r="A639" s="1584">
        <v>6609</v>
      </c>
      <c r="B639" s="1585" t="s">
        <v>3061</v>
      </c>
      <c r="C639" s="1579" t="s">
        <v>2445</v>
      </c>
      <c r="D639" s="1581"/>
      <c r="E639" s="1581"/>
      <c r="F639" s="1581">
        <f t="shared" si="18"/>
        <v>0</v>
      </c>
      <c r="G639" s="1582" t="e">
        <f t="shared" si="19"/>
        <v>#DIV/0!</v>
      </c>
      <c r="H639" s="2294">
        <v>0.55010000000000003</v>
      </c>
      <c r="I639" s="2295"/>
    </row>
    <row r="640" spans="1:9" ht="16.5">
      <c r="A640" s="1584">
        <v>6612</v>
      </c>
      <c r="B640" s="1585" t="s">
        <v>3062</v>
      </c>
      <c r="C640" s="1579" t="s">
        <v>2445</v>
      </c>
      <c r="D640" s="1581"/>
      <c r="E640" s="1581"/>
      <c r="F640" s="1581">
        <f t="shared" si="18"/>
        <v>0</v>
      </c>
      <c r="G640" s="1582" t="e">
        <f t="shared" si="19"/>
        <v>#DIV/0!</v>
      </c>
      <c r="H640" s="2294">
        <v>0.67410000000000003</v>
      </c>
      <c r="I640" s="2295"/>
    </row>
    <row r="641" spans="1:9" ht="16.5">
      <c r="A641" s="1584">
        <v>6613</v>
      </c>
      <c r="B641" s="1585" t="s">
        <v>3063</v>
      </c>
      <c r="C641" s="1579" t="s">
        <v>2445</v>
      </c>
      <c r="D641" s="1581"/>
      <c r="E641" s="1581"/>
      <c r="F641" s="1581">
        <f t="shared" si="18"/>
        <v>0</v>
      </c>
      <c r="G641" s="1582" t="e">
        <f t="shared" si="19"/>
        <v>#DIV/0!</v>
      </c>
      <c r="H641" s="2294">
        <v>0.65159999999999996</v>
      </c>
      <c r="I641" s="2295"/>
    </row>
    <row r="642" spans="1:9" ht="16.5">
      <c r="A642" s="1584">
        <v>6615</v>
      </c>
      <c r="B642" s="1585" t="s">
        <v>3064</v>
      </c>
      <c r="C642" s="1579" t="s">
        <v>2445</v>
      </c>
      <c r="D642" s="1581"/>
      <c r="E642" s="1581"/>
      <c r="F642" s="1581">
        <f t="shared" si="18"/>
        <v>0</v>
      </c>
      <c r="G642" s="1582" t="e">
        <f t="shared" si="19"/>
        <v>#DIV/0!</v>
      </c>
      <c r="H642" s="2294">
        <v>0.25969999999999999</v>
      </c>
      <c r="I642" s="2295"/>
    </row>
    <row r="643" spans="1:9" ht="16.5">
      <c r="A643" s="1584">
        <v>6616</v>
      </c>
      <c r="B643" s="1585" t="s">
        <v>3065</v>
      </c>
      <c r="C643" s="1579" t="s">
        <v>2445</v>
      </c>
      <c r="D643" s="1581"/>
      <c r="E643" s="1581"/>
      <c r="F643" s="1581">
        <f t="shared" si="18"/>
        <v>0</v>
      </c>
      <c r="G643" s="1582" t="e">
        <f t="shared" si="19"/>
        <v>#DIV/0!</v>
      </c>
      <c r="H643" s="2294">
        <v>0.12429999999999999</v>
      </c>
      <c r="I643" s="2295"/>
    </row>
    <row r="644" spans="1:9" ht="16.5">
      <c r="A644" s="1584">
        <v>6624</v>
      </c>
      <c r="B644" s="1585" t="s">
        <v>5401</v>
      </c>
      <c r="C644" s="1579" t="s">
        <v>2445</v>
      </c>
      <c r="D644" s="1581"/>
      <c r="E644" s="1581"/>
      <c r="F644" s="1581">
        <f t="shared" si="18"/>
        <v>0</v>
      </c>
      <c r="G644" s="1582" t="e">
        <f t="shared" si="19"/>
        <v>#DIV/0!</v>
      </c>
      <c r="H644" s="2294">
        <v>1</v>
      </c>
      <c r="I644" s="2295" t="s">
        <v>5478</v>
      </c>
    </row>
    <row r="645" spans="1:9" ht="16.5">
      <c r="A645" s="1584">
        <v>6629</v>
      </c>
      <c r="B645" s="1585" t="s">
        <v>5402</v>
      </c>
      <c r="C645" s="1579" t="s">
        <v>2445</v>
      </c>
      <c r="D645" s="1581"/>
      <c r="E645" s="1581"/>
      <c r="F645" s="1581">
        <f t="shared" ref="F645:F708" si="20">D645*E645</f>
        <v>0</v>
      </c>
      <c r="G645" s="1582" t="e">
        <f t="shared" ref="G645:G708" si="21">F645/$F$784</f>
        <v>#DIV/0!</v>
      </c>
      <c r="H645" s="2294">
        <v>1</v>
      </c>
      <c r="I645" s="2295" t="s">
        <v>5478</v>
      </c>
    </row>
    <row r="646" spans="1:9" ht="16.5">
      <c r="A646" s="1584">
        <v>6640</v>
      </c>
      <c r="B646" s="1585" t="s">
        <v>3066</v>
      </c>
      <c r="C646" s="1579" t="s">
        <v>2445</v>
      </c>
      <c r="D646" s="1581"/>
      <c r="E646" s="1581"/>
      <c r="F646" s="1581">
        <f t="shared" si="20"/>
        <v>0</v>
      </c>
      <c r="G646" s="1582" t="e">
        <f t="shared" si="21"/>
        <v>#DIV/0!</v>
      </c>
      <c r="H646" s="2294">
        <v>0.65139999999999998</v>
      </c>
      <c r="I646" s="2295"/>
    </row>
    <row r="647" spans="1:9" ht="16.5">
      <c r="A647" s="1584">
        <v>6642</v>
      </c>
      <c r="B647" s="1585" t="s">
        <v>5403</v>
      </c>
      <c r="C647" s="1579" t="s">
        <v>2445</v>
      </c>
      <c r="D647" s="1581"/>
      <c r="E647" s="1581"/>
      <c r="F647" s="1581">
        <f t="shared" si="20"/>
        <v>0</v>
      </c>
      <c r="G647" s="1582" t="e">
        <f t="shared" si="21"/>
        <v>#DIV/0!</v>
      </c>
      <c r="H647" s="2294">
        <v>1</v>
      </c>
      <c r="I647" s="2295" t="s">
        <v>5478</v>
      </c>
    </row>
    <row r="648" spans="1:9" ht="16.5">
      <c r="A648" s="1584">
        <v>6643</v>
      </c>
      <c r="B648" s="1585" t="s">
        <v>5404</v>
      </c>
      <c r="C648" s="1579" t="s">
        <v>2445</v>
      </c>
      <c r="D648" s="1581"/>
      <c r="E648" s="1581"/>
      <c r="F648" s="1581">
        <f t="shared" si="20"/>
        <v>0</v>
      </c>
      <c r="G648" s="1582" t="e">
        <f t="shared" si="21"/>
        <v>#DIV/0!</v>
      </c>
      <c r="H648" s="2294">
        <v>1</v>
      </c>
      <c r="I648" s="2295" t="s">
        <v>5478</v>
      </c>
    </row>
    <row r="649" spans="1:9" ht="16.5">
      <c r="A649" s="1584">
        <v>6649</v>
      </c>
      <c r="B649" s="1585" t="s">
        <v>5405</v>
      </c>
      <c r="C649" s="1579" t="s">
        <v>2445</v>
      </c>
      <c r="D649" s="1581"/>
      <c r="E649" s="1581"/>
      <c r="F649" s="1581">
        <f t="shared" si="20"/>
        <v>0</v>
      </c>
      <c r="G649" s="1582" t="e">
        <f t="shared" si="21"/>
        <v>#DIV/0!</v>
      </c>
      <c r="H649" s="2294">
        <v>1</v>
      </c>
      <c r="I649" s="2295" t="s">
        <v>5478</v>
      </c>
    </row>
    <row r="650" spans="1:9" ht="16.5">
      <c r="A650" s="1584">
        <v>6654</v>
      </c>
      <c r="B650" s="1585" t="s">
        <v>3067</v>
      </c>
      <c r="C650" s="1579" t="s">
        <v>2445</v>
      </c>
      <c r="D650" s="1581"/>
      <c r="E650" s="1581"/>
      <c r="F650" s="1581">
        <f t="shared" si="20"/>
        <v>0</v>
      </c>
      <c r="G650" s="1582" t="e">
        <f t="shared" si="21"/>
        <v>#DIV/0!</v>
      </c>
      <c r="H650" s="2294">
        <v>0.87309999999999999</v>
      </c>
      <c r="I650" s="2295"/>
    </row>
    <row r="651" spans="1:9" ht="16.5">
      <c r="A651" s="1584">
        <v>6662</v>
      </c>
      <c r="B651" s="1585" t="s">
        <v>5406</v>
      </c>
      <c r="C651" s="1579" t="s">
        <v>2445</v>
      </c>
      <c r="D651" s="1581"/>
      <c r="E651" s="1581"/>
      <c r="F651" s="1581">
        <f t="shared" si="20"/>
        <v>0</v>
      </c>
      <c r="G651" s="1582" t="e">
        <f t="shared" si="21"/>
        <v>#DIV/0!</v>
      </c>
      <c r="H651" s="2294">
        <v>1</v>
      </c>
      <c r="I651" s="2295" t="s">
        <v>5478</v>
      </c>
    </row>
    <row r="652" spans="1:9" ht="16.5">
      <c r="A652" s="1584">
        <v>6664</v>
      </c>
      <c r="B652" s="1585" t="s">
        <v>3068</v>
      </c>
      <c r="C652" s="1579" t="s">
        <v>2445</v>
      </c>
      <c r="D652" s="1581"/>
      <c r="E652" s="1581"/>
      <c r="F652" s="1581">
        <f t="shared" si="20"/>
        <v>0</v>
      </c>
      <c r="G652" s="1582" t="e">
        <f t="shared" si="21"/>
        <v>#DIV/0!</v>
      </c>
      <c r="H652" s="2294">
        <v>0.99850000000000005</v>
      </c>
      <c r="I652" s="2295"/>
    </row>
    <row r="653" spans="1:9" ht="16.5">
      <c r="A653" s="1584">
        <v>6667</v>
      </c>
      <c r="B653" s="1585" t="s">
        <v>5407</v>
      </c>
      <c r="C653" s="1579" t="s">
        <v>2445</v>
      </c>
      <c r="D653" s="1581"/>
      <c r="E653" s="1581"/>
      <c r="F653" s="1581">
        <f t="shared" si="20"/>
        <v>0</v>
      </c>
      <c r="G653" s="1582" t="e">
        <f t="shared" si="21"/>
        <v>#DIV/0!</v>
      </c>
      <c r="H653" s="2294">
        <v>0.84689999999999999</v>
      </c>
      <c r="I653" s="2295"/>
    </row>
    <row r="654" spans="1:9" ht="16.5">
      <c r="A654" s="1584">
        <v>6679</v>
      </c>
      <c r="B654" s="1585" t="s">
        <v>5408</v>
      </c>
      <c r="C654" s="1579" t="s">
        <v>2445</v>
      </c>
      <c r="D654" s="1581"/>
      <c r="E654" s="1581"/>
      <c r="F654" s="1581">
        <f t="shared" si="20"/>
        <v>0</v>
      </c>
      <c r="G654" s="1582" t="e">
        <f t="shared" si="21"/>
        <v>#DIV/0!</v>
      </c>
      <c r="H654" s="2294">
        <v>1</v>
      </c>
      <c r="I654" s="2295" t="s">
        <v>5478</v>
      </c>
    </row>
    <row r="655" spans="1:9" ht="16.5">
      <c r="A655" s="1584">
        <v>6680</v>
      </c>
      <c r="B655" s="1585" t="s">
        <v>5409</v>
      </c>
      <c r="C655" s="1579" t="s">
        <v>2445</v>
      </c>
      <c r="D655" s="1581"/>
      <c r="E655" s="1581"/>
      <c r="F655" s="1581">
        <f t="shared" si="20"/>
        <v>0</v>
      </c>
      <c r="G655" s="1582" t="e">
        <f t="shared" si="21"/>
        <v>#DIV/0!</v>
      </c>
      <c r="H655" s="2294">
        <v>1</v>
      </c>
      <c r="I655" s="2295" t="s">
        <v>5478</v>
      </c>
    </row>
    <row r="656" spans="1:9" ht="16.5">
      <c r="A656" s="1584">
        <v>6683</v>
      </c>
      <c r="B656" s="1585" t="s">
        <v>5410</v>
      </c>
      <c r="C656" s="1579" t="s">
        <v>2445</v>
      </c>
      <c r="D656" s="1581"/>
      <c r="E656" s="1581"/>
      <c r="F656" s="1581">
        <f t="shared" si="20"/>
        <v>0</v>
      </c>
      <c r="G656" s="1582" t="e">
        <f t="shared" si="21"/>
        <v>#DIV/0!</v>
      </c>
      <c r="H656" s="2294">
        <v>1</v>
      </c>
      <c r="I656" s="2295" t="s">
        <v>5478</v>
      </c>
    </row>
    <row r="657" spans="1:9" ht="16.5">
      <c r="A657" s="1584">
        <v>6690</v>
      </c>
      <c r="B657" s="1585" t="s">
        <v>5411</v>
      </c>
      <c r="C657" s="1579" t="s">
        <v>2445</v>
      </c>
      <c r="D657" s="1581"/>
      <c r="E657" s="1581"/>
      <c r="F657" s="1581">
        <f t="shared" si="20"/>
        <v>0</v>
      </c>
      <c r="G657" s="1582" t="e">
        <f t="shared" si="21"/>
        <v>#DIV/0!</v>
      </c>
      <c r="H657" s="2294">
        <v>1</v>
      </c>
      <c r="I657" s="2295" t="s">
        <v>5478</v>
      </c>
    </row>
    <row r="658" spans="1:9" ht="16.5">
      <c r="A658" s="1584">
        <v>6697</v>
      </c>
      <c r="B658" s="1585" t="s">
        <v>5412</v>
      </c>
      <c r="C658" s="1579" t="s">
        <v>2445</v>
      </c>
      <c r="D658" s="1581"/>
      <c r="E658" s="1581"/>
      <c r="F658" s="1581">
        <f t="shared" si="20"/>
        <v>0</v>
      </c>
      <c r="G658" s="1582" t="e">
        <f t="shared" si="21"/>
        <v>#DIV/0!</v>
      </c>
      <c r="H658" s="2294">
        <v>1</v>
      </c>
      <c r="I658" s="2295" t="s">
        <v>5478</v>
      </c>
    </row>
    <row r="659" spans="1:9" ht="16.5">
      <c r="A659" s="1584">
        <v>6803</v>
      </c>
      <c r="B659" s="1585" t="s">
        <v>3069</v>
      </c>
      <c r="C659" s="1579" t="s">
        <v>2445</v>
      </c>
      <c r="D659" s="1581"/>
      <c r="E659" s="1581"/>
      <c r="F659" s="1581">
        <f t="shared" si="20"/>
        <v>0</v>
      </c>
      <c r="G659" s="1582" t="e">
        <f t="shared" si="21"/>
        <v>#DIV/0!</v>
      </c>
      <c r="H659" s="2294">
        <v>0.18229999999999999</v>
      </c>
      <c r="I659" s="2295"/>
    </row>
    <row r="660" spans="1:9" ht="16.5">
      <c r="A660" s="1584">
        <v>7402</v>
      </c>
      <c r="B660" s="1585" t="s">
        <v>3070</v>
      </c>
      <c r="C660" s="1579" t="s">
        <v>2445</v>
      </c>
      <c r="D660" s="1581"/>
      <c r="E660" s="1581"/>
      <c r="F660" s="1581">
        <f t="shared" si="20"/>
        <v>0</v>
      </c>
      <c r="G660" s="1582" t="e">
        <f t="shared" si="21"/>
        <v>#DIV/0!</v>
      </c>
      <c r="H660" s="2294">
        <v>0.34789999999999999</v>
      </c>
      <c r="I660" s="2295"/>
    </row>
    <row r="661" spans="1:9" ht="16.5">
      <c r="A661" s="1584">
        <v>8024</v>
      </c>
      <c r="B661" s="1585" t="s">
        <v>3071</v>
      </c>
      <c r="C661" s="1579" t="s">
        <v>2445</v>
      </c>
      <c r="D661" s="1581"/>
      <c r="E661" s="1581"/>
      <c r="F661" s="1581">
        <f t="shared" si="20"/>
        <v>0</v>
      </c>
      <c r="G661" s="1582" t="e">
        <f t="shared" si="21"/>
        <v>#DIV/0!</v>
      </c>
      <c r="H661" s="2294">
        <v>0.22520000000000001</v>
      </c>
      <c r="I661" s="2295"/>
    </row>
    <row r="662" spans="1:9" ht="16.5">
      <c r="A662" s="1584">
        <v>8027</v>
      </c>
      <c r="B662" s="1585" t="s">
        <v>3072</v>
      </c>
      <c r="C662" s="1579" t="s">
        <v>2445</v>
      </c>
      <c r="D662" s="1581"/>
      <c r="E662" s="1581"/>
      <c r="F662" s="1581">
        <f t="shared" si="20"/>
        <v>0</v>
      </c>
      <c r="G662" s="1582" t="e">
        <f t="shared" si="21"/>
        <v>#DIV/0!</v>
      </c>
      <c r="H662" s="2294">
        <v>0.65820000000000001</v>
      </c>
      <c r="I662" s="2295"/>
    </row>
    <row r="663" spans="1:9" ht="16.5">
      <c r="A663" s="1584">
        <v>8032</v>
      </c>
      <c r="B663" s="1585" t="s">
        <v>3073</v>
      </c>
      <c r="C663" s="1579" t="s">
        <v>2445</v>
      </c>
      <c r="D663" s="1581"/>
      <c r="E663" s="1581"/>
      <c r="F663" s="1581">
        <f t="shared" si="20"/>
        <v>0</v>
      </c>
      <c r="G663" s="1582" t="e">
        <f t="shared" si="21"/>
        <v>#DIV/0!</v>
      </c>
      <c r="H663" s="2294">
        <v>0.23150000000000001</v>
      </c>
      <c r="I663" s="2295"/>
    </row>
    <row r="664" spans="1:9" ht="16.5">
      <c r="A664" s="1584">
        <v>8034</v>
      </c>
      <c r="B664" s="1585" t="s">
        <v>3074</v>
      </c>
      <c r="C664" s="1579" t="s">
        <v>2445</v>
      </c>
      <c r="D664" s="1581"/>
      <c r="E664" s="1581"/>
      <c r="F664" s="1581">
        <f t="shared" si="20"/>
        <v>0</v>
      </c>
      <c r="G664" s="1582" t="e">
        <f t="shared" si="21"/>
        <v>#DIV/0!</v>
      </c>
      <c r="H664" s="2294">
        <v>0.68600000000000005</v>
      </c>
      <c r="I664" s="2295"/>
    </row>
    <row r="665" spans="1:9" ht="16.5">
      <c r="A665" s="1584">
        <v>8038</v>
      </c>
      <c r="B665" s="1585" t="s">
        <v>3075</v>
      </c>
      <c r="C665" s="1579" t="s">
        <v>2445</v>
      </c>
      <c r="D665" s="1581"/>
      <c r="E665" s="1581"/>
      <c r="F665" s="1581">
        <f t="shared" si="20"/>
        <v>0</v>
      </c>
      <c r="G665" s="1582" t="e">
        <f t="shared" si="21"/>
        <v>#DIV/0!</v>
      </c>
      <c r="H665" s="2294">
        <v>0.94010000000000005</v>
      </c>
      <c r="I665" s="2295"/>
    </row>
    <row r="666" spans="1:9" ht="16.5">
      <c r="A666" s="1584">
        <v>8040</v>
      </c>
      <c r="B666" s="1585" t="s">
        <v>3076</v>
      </c>
      <c r="C666" s="1579" t="s">
        <v>2445</v>
      </c>
      <c r="D666" s="1581"/>
      <c r="E666" s="1581"/>
      <c r="F666" s="1581">
        <f t="shared" si="20"/>
        <v>0</v>
      </c>
      <c r="G666" s="1582" t="e">
        <f t="shared" si="21"/>
        <v>#DIV/0!</v>
      </c>
      <c r="H666" s="2294">
        <v>0.31909999999999999</v>
      </c>
      <c r="I666" s="2295"/>
    </row>
    <row r="667" spans="1:9" ht="16.5">
      <c r="A667" s="1584">
        <v>8042</v>
      </c>
      <c r="B667" s="1585" t="s">
        <v>3077</v>
      </c>
      <c r="C667" s="1579" t="s">
        <v>2445</v>
      </c>
      <c r="D667" s="1581"/>
      <c r="E667" s="1581"/>
      <c r="F667" s="1581">
        <f t="shared" si="20"/>
        <v>0</v>
      </c>
      <c r="G667" s="1582" t="e">
        <f t="shared" si="21"/>
        <v>#DIV/0!</v>
      </c>
      <c r="H667" s="2294">
        <v>0.5736</v>
      </c>
      <c r="I667" s="2295"/>
    </row>
    <row r="668" spans="1:9" ht="16.5">
      <c r="A668" s="1584">
        <v>8043</v>
      </c>
      <c r="B668" s="1585" t="s">
        <v>3078</v>
      </c>
      <c r="C668" s="1579" t="s">
        <v>2445</v>
      </c>
      <c r="D668" s="1581"/>
      <c r="E668" s="1581"/>
      <c r="F668" s="1581">
        <f t="shared" si="20"/>
        <v>0</v>
      </c>
      <c r="G668" s="1582" t="e">
        <f t="shared" si="21"/>
        <v>#DIV/0!</v>
      </c>
      <c r="H668" s="2294">
        <v>1.4222999999999999</v>
      </c>
      <c r="I668" s="2295"/>
    </row>
    <row r="669" spans="1:9" ht="16.5">
      <c r="A669" s="1584">
        <v>8044</v>
      </c>
      <c r="B669" s="1585" t="s">
        <v>3079</v>
      </c>
      <c r="C669" s="1579" t="s">
        <v>2445</v>
      </c>
      <c r="D669" s="1581"/>
      <c r="E669" s="1581"/>
      <c r="F669" s="1581">
        <f t="shared" si="20"/>
        <v>0</v>
      </c>
      <c r="G669" s="1582" t="e">
        <f t="shared" si="21"/>
        <v>#DIV/0!</v>
      </c>
      <c r="H669" s="2294">
        <v>1.0004999999999999</v>
      </c>
      <c r="I669" s="2295"/>
    </row>
    <row r="670" spans="1:9" ht="16.5">
      <c r="A670" s="1584">
        <v>8047</v>
      </c>
      <c r="B670" s="1585" t="s">
        <v>3080</v>
      </c>
      <c r="C670" s="1579" t="s">
        <v>2445</v>
      </c>
      <c r="D670" s="1581"/>
      <c r="E670" s="1581"/>
      <c r="F670" s="1581">
        <f t="shared" si="20"/>
        <v>0</v>
      </c>
      <c r="G670" s="1582" t="e">
        <f t="shared" si="21"/>
        <v>#DIV/0!</v>
      </c>
      <c r="H670" s="2294">
        <v>0.48399999999999999</v>
      </c>
      <c r="I670" s="2295"/>
    </row>
    <row r="671" spans="1:9" ht="16.5">
      <c r="A671" s="1584">
        <v>8048</v>
      </c>
      <c r="B671" s="1585" t="s">
        <v>3081</v>
      </c>
      <c r="C671" s="1579" t="s">
        <v>2445</v>
      </c>
      <c r="D671" s="1581"/>
      <c r="E671" s="1581"/>
      <c r="F671" s="1581">
        <f t="shared" si="20"/>
        <v>0</v>
      </c>
      <c r="G671" s="1582" t="e">
        <f t="shared" si="21"/>
        <v>#DIV/0!</v>
      </c>
      <c r="H671" s="2294">
        <v>0.18920000000000001</v>
      </c>
      <c r="I671" s="2295"/>
    </row>
    <row r="672" spans="1:9" ht="16.5">
      <c r="A672" s="1584">
        <v>8049</v>
      </c>
      <c r="B672" s="1585" t="s">
        <v>3082</v>
      </c>
      <c r="C672" s="1579" t="s">
        <v>2445</v>
      </c>
      <c r="D672" s="1581"/>
      <c r="E672" s="1581"/>
      <c r="F672" s="1581">
        <f t="shared" si="20"/>
        <v>0</v>
      </c>
      <c r="G672" s="1582" t="e">
        <f t="shared" si="21"/>
        <v>#DIV/0!</v>
      </c>
      <c r="H672" s="2294">
        <v>0.85770000000000002</v>
      </c>
      <c r="I672" s="2295"/>
    </row>
    <row r="673" spans="1:9" ht="16.5">
      <c r="A673" s="1584">
        <v>8050</v>
      </c>
      <c r="B673" s="1585" t="s">
        <v>3083</v>
      </c>
      <c r="C673" s="1579" t="s">
        <v>2445</v>
      </c>
      <c r="D673" s="1581"/>
      <c r="E673" s="1581"/>
      <c r="F673" s="1581">
        <f t="shared" si="20"/>
        <v>0</v>
      </c>
      <c r="G673" s="1582" t="e">
        <f t="shared" si="21"/>
        <v>#DIV/0!</v>
      </c>
      <c r="H673" s="2294">
        <v>0.27239999999999998</v>
      </c>
      <c r="I673" s="2295"/>
    </row>
    <row r="674" spans="1:9" ht="16.5">
      <c r="A674" s="1584">
        <v>8054</v>
      </c>
      <c r="B674" s="1585" t="s">
        <v>3084</v>
      </c>
      <c r="C674" s="1579" t="s">
        <v>2445</v>
      </c>
      <c r="D674" s="1581"/>
      <c r="E674" s="1581"/>
      <c r="F674" s="1581">
        <f t="shared" si="20"/>
        <v>0</v>
      </c>
      <c r="G674" s="1582" t="e">
        <f t="shared" si="21"/>
        <v>#DIV/0!</v>
      </c>
      <c r="H674" s="2294">
        <v>0.65490000000000004</v>
      </c>
      <c r="I674" s="2295"/>
    </row>
    <row r="675" spans="1:9" ht="16.5">
      <c r="A675" s="1584">
        <v>8059</v>
      </c>
      <c r="B675" s="1585" t="s">
        <v>3085</v>
      </c>
      <c r="C675" s="1579" t="s">
        <v>2445</v>
      </c>
      <c r="D675" s="1581"/>
      <c r="E675" s="1581"/>
      <c r="F675" s="1581">
        <f t="shared" si="20"/>
        <v>0</v>
      </c>
      <c r="G675" s="1582" t="e">
        <f t="shared" si="21"/>
        <v>#DIV/0!</v>
      </c>
      <c r="H675" s="2294">
        <v>1.3105</v>
      </c>
      <c r="I675" s="2295"/>
    </row>
    <row r="676" spans="1:9" ht="16.5">
      <c r="A676" s="1584">
        <v>8064</v>
      </c>
      <c r="B676" s="1585" t="s">
        <v>3086</v>
      </c>
      <c r="C676" s="1579" t="s">
        <v>2445</v>
      </c>
      <c r="D676" s="1581"/>
      <c r="E676" s="1581"/>
      <c r="F676" s="1581">
        <f t="shared" si="20"/>
        <v>0</v>
      </c>
      <c r="G676" s="1582" t="e">
        <f t="shared" si="21"/>
        <v>#DIV/0!</v>
      </c>
      <c r="H676" s="2294">
        <v>1.2322</v>
      </c>
      <c r="I676" s="2295"/>
    </row>
    <row r="677" spans="1:9" ht="16.5">
      <c r="A677" s="1584">
        <v>8066</v>
      </c>
      <c r="B677" s="1585" t="s">
        <v>3087</v>
      </c>
      <c r="C677" s="1579" t="s">
        <v>2445</v>
      </c>
      <c r="D677" s="1581"/>
      <c r="E677" s="1581"/>
      <c r="F677" s="1581">
        <f t="shared" si="20"/>
        <v>0</v>
      </c>
      <c r="G677" s="1582" t="e">
        <f t="shared" si="21"/>
        <v>#DIV/0!</v>
      </c>
      <c r="H677" s="2294">
        <v>0.1638</v>
      </c>
      <c r="I677" s="2295"/>
    </row>
    <row r="678" spans="1:9" ht="16.5">
      <c r="A678" s="1584">
        <v>8067</v>
      </c>
      <c r="B678" s="1585" t="s">
        <v>3088</v>
      </c>
      <c r="C678" s="1579" t="s">
        <v>2445</v>
      </c>
      <c r="D678" s="1581"/>
      <c r="E678" s="1581"/>
      <c r="F678" s="1581">
        <f t="shared" si="20"/>
        <v>0</v>
      </c>
      <c r="G678" s="1582" t="e">
        <f t="shared" si="21"/>
        <v>#DIV/0!</v>
      </c>
      <c r="H678" s="2294">
        <v>-0.83169999999999999</v>
      </c>
      <c r="I678" s="2295"/>
    </row>
    <row r="679" spans="1:9" ht="16.5">
      <c r="A679" s="1584">
        <v>8068</v>
      </c>
      <c r="B679" s="1585" t="s">
        <v>3089</v>
      </c>
      <c r="C679" s="1579" t="s">
        <v>2445</v>
      </c>
      <c r="D679" s="1581"/>
      <c r="E679" s="1581"/>
      <c r="F679" s="1581">
        <f t="shared" si="20"/>
        <v>0</v>
      </c>
      <c r="G679" s="1582" t="e">
        <f t="shared" si="21"/>
        <v>#DIV/0!</v>
      </c>
      <c r="H679" s="2294">
        <v>1.1686000000000001</v>
      </c>
      <c r="I679" s="2295"/>
    </row>
    <row r="680" spans="1:9" ht="16.5">
      <c r="A680" s="1584">
        <v>8069</v>
      </c>
      <c r="B680" s="1585" t="s">
        <v>3090</v>
      </c>
      <c r="C680" s="1579" t="s">
        <v>2445</v>
      </c>
      <c r="D680" s="1581"/>
      <c r="E680" s="1581"/>
      <c r="F680" s="1581">
        <f t="shared" si="20"/>
        <v>0</v>
      </c>
      <c r="G680" s="1582" t="e">
        <f t="shared" si="21"/>
        <v>#DIV/0!</v>
      </c>
      <c r="H680" s="2294">
        <v>1.2639</v>
      </c>
      <c r="I680" s="2295"/>
    </row>
    <row r="681" spans="1:9" ht="16.5">
      <c r="A681" s="1584">
        <v>8071</v>
      </c>
      <c r="B681" s="1585" t="s">
        <v>3091</v>
      </c>
      <c r="C681" s="1579" t="s">
        <v>2445</v>
      </c>
      <c r="D681" s="1581"/>
      <c r="E681" s="1581"/>
      <c r="F681" s="1581">
        <f t="shared" si="20"/>
        <v>0</v>
      </c>
      <c r="G681" s="1582" t="e">
        <f t="shared" si="21"/>
        <v>#DIV/0!</v>
      </c>
      <c r="H681" s="2294">
        <v>0.78320000000000001</v>
      </c>
      <c r="I681" s="2295"/>
    </row>
    <row r="682" spans="1:9" ht="16.5">
      <c r="A682" s="1584">
        <v>8074</v>
      </c>
      <c r="B682" s="1585" t="s">
        <v>3092</v>
      </c>
      <c r="C682" s="1579" t="s">
        <v>2445</v>
      </c>
      <c r="D682" s="1581"/>
      <c r="E682" s="1581"/>
      <c r="F682" s="1581">
        <f t="shared" si="20"/>
        <v>0</v>
      </c>
      <c r="G682" s="1582" t="e">
        <f t="shared" si="21"/>
        <v>#DIV/0!</v>
      </c>
      <c r="H682" s="2294">
        <v>0.44330000000000003</v>
      </c>
      <c r="I682" s="2295"/>
    </row>
    <row r="683" spans="1:9" ht="16.5">
      <c r="A683" s="1584">
        <v>8076</v>
      </c>
      <c r="B683" s="1585" t="s">
        <v>3093</v>
      </c>
      <c r="C683" s="1579" t="s">
        <v>2445</v>
      </c>
      <c r="D683" s="1581"/>
      <c r="E683" s="1581"/>
      <c r="F683" s="1581">
        <f t="shared" si="20"/>
        <v>0</v>
      </c>
      <c r="G683" s="1582" t="e">
        <f t="shared" si="21"/>
        <v>#DIV/0!</v>
      </c>
      <c r="H683" s="2294">
        <v>1.0486</v>
      </c>
      <c r="I683" s="2295"/>
    </row>
    <row r="684" spans="1:9" ht="16.5">
      <c r="A684" s="1584">
        <v>8077</v>
      </c>
      <c r="B684" s="1585" t="s">
        <v>3094</v>
      </c>
      <c r="C684" s="1579" t="s">
        <v>2445</v>
      </c>
      <c r="D684" s="1581"/>
      <c r="E684" s="1581"/>
      <c r="F684" s="1581">
        <f t="shared" si="20"/>
        <v>0</v>
      </c>
      <c r="G684" s="1582" t="e">
        <f t="shared" si="21"/>
        <v>#DIV/0!</v>
      </c>
      <c r="H684" s="2294">
        <v>0.10489999999999999</v>
      </c>
      <c r="I684" s="2295"/>
    </row>
    <row r="685" spans="1:9" ht="16.5">
      <c r="A685" s="1584">
        <v>8083</v>
      </c>
      <c r="B685" s="1585" t="s">
        <v>3095</v>
      </c>
      <c r="C685" s="1579" t="s">
        <v>2445</v>
      </c>
      <c r="D685" s="1581"/>
      <c r="E685" s="1581"/>
      <c r="F685" s="1581">
        <f t="shared" si="20"/>
        <v>0</v>
      </c>
      <c r="G685" s="1582" t="e">
        <f t="shared" si="21"/>
        <v>#DIV/0!</v>
      </c>
      <c r="H685" s="2294">
        <v>0.2777</v>
      </c>
      <c r="I685" s="2295"/>
    </row>
    <row r="686" spans="1:9" ht="16.5">
      <c r="A686" s="1584">
        <v>8084</v>
      </c>
      <c r="B686" s="1585" t="s">
        <v>3096</v>
      </c>
      <c r="C686" s="1579" t="s">
        <v>2445</v>
      </c>
      <c r="D686" s="1581"/>
      <c r="E686" s="1581"/>
      <c r="F686" s="1581">
        <f t="shared" si="20"/>
        <v>0</v>
      </c>
      <c r="G686" s="1582" t="e">
        <f t="shared" si="21"/>
        <v>#DIV/0!</v>
      </c>
      <c r="H686" s="2294">
        <v>-0.2316</v>
      </c>
      <c r="I686" s="2295"/>
    </row>
    <row r="687" spans="1:9" ht="16.5">
      <c r="A687" s="1584">
        <v>8085</v>
      </c>
      <c r="B687" s="1585" t="s">
        <v>3097</v>
      </c>
      <c r="C687" s="1579" t="s">
        <v>2445</v>
      </c>
      <c r="D687" s="1581"/>
      <c r="E687" s="1581"/>
      <c r="F687" s="1581">
        <f t="shared" si="20"/>
        <v>0</v>
      </c>
      <c r="G687" s="1582" t="e">
        <f t="shared" si="21"/>
        <v>#DIV/0!</v>
      </c>
      <c r="H687" s="2294">
        <v>0.70399999999999996</v>
      </c>
      <c r="I687" s="2295"/>
    </row>
    <row r="688" spans="1:9" ht="16.5">
      <c r="A688" s="1584">
        <v>8086</v>
      </c>
      <c r="B688" s="1585" t="s">
        <v>3098</v>
      </c>
      <c r="C688" s="1579" t="s">
        <v>2445</v>
      </c>
      <c r="D688" s="1581"/>
      <c r="E688" s="1581"/>
      <c r="F688" s="1581">
        <f t="shared" si="20"/>
        <v>0</v>
      </c>
      <c r="G688" s="1582" t="e">
        <f t="shared" si="21"/>
        <v>#DIV/0!</v>
      </c>
      <c r="H688" s="2294">
        <v>2.004</v>
      </c>
      <c r="I688" s="2295"/>
    </row>
    <row r="689" spans="1:9" ht="16.5">
      <c r="A689" s="1584">
        <v>8087</v>
      </c>
      <c r="B689" s="1585" t="s">
        <v>3099</v>
      </c>
      <c r="C689" s="1579" t="s">
        <v>2445</v>
      </c>
      <c r="D689" s="1581"/>
      <c r="E689" s="1581"/>
      <c r="F689" s="1581">
        <f t="shared" si="20"/>
        <v>0</v>
      </c>
      <c r="G689" s="1582" t="e">
        <f t="shared" si="21"/>
        <v>#DIV/0!</v>
      </c>
      <c r="H689" s="2294">
        <v>0.2223</v>
      </c>
      <c r="I689" s="2295"/>
    </row>
    <row r="690" spans="1:9" ht="16.5">
      <c r="A690" s="1584">
        <v>8088</v>
      </c>
      <c r="B690" s="1585" t="s">
        <v>3100</v>
      </c>
      <c r="C690" s="1579" t="s">
        <v>2445</v>
      </c>
      <c r="D690" s="1581"/>
      <c r="E690" s="1581"/>
      <c r="F690" s="1581">
        <f t="shared" si="20"/>
        <v>0</v>
      </c>
      <c r="G690" s="1582" t="e">
        <f t="shared" si="21"/>
        <v>#DIV/0!</v>
      </c>
      <c r="H690" s="2294">
        <v>1.4739</v>
      </c>
      <c r="I690" s="2295"/>
    </row>
    <row r="691" spans="1:9" ht="16.5">
      <c r="A691" s="1578">
        <v>8091</v>
      </c>
      <c r="B691" s="1579" t="s">
        <v>3101</v>
      </c>
      <c r="C691" s="1586" t="s">
        <v>2445</v>
      </c>
      <c r="D691" s="1581"/>
      <c r="E691" s="1581"/>
      <c r="F691" s="1581">
        <f t="shared" si="20"/>
        <v>0</v>
      </c>
      <c r="G691" s="1582" t="e">
        <f t="shared" si="21"/>
        <v>#DIV/0!</v>
      </c>
      <c r="H691" s="2294">
        <v>0.90180000000000005</v>
      </c>
      <c r="I691" s="2295"/>
    </row>
    <row r="692" spans="1:9" ht="16.5">
      <c r="A692" s="1578">
        <v>8092</v>
      </c>
      <c r="B692" s="1579" t="s">
        <v>3102</v>
      </c>
      <c r="C692" s="1586" t="s">
        <v>2445</v>
      </c>
      <c r="D692" s="1581"/>
      <c r="E692" s="1581"/>
      <c r="F692" s="1581">
        <f t="shared" si="20"/>
        <v>0</v>
      </c>
      <c r="G692" s="1582" t="e">
        <f t="shared" si="21"/>
        <v>#DIV/0!</v>
      </c>
      <c r="H692" s="2294">
        <v>0.32250000000000001</v>
      </c>
      <c r="I692" s="2295"/>
    </row>
    <row r="693" spans="1:9" ht="16.5">
      <c r="A693" s="1578">
        <v>8093</v>
      </c>
      <c r="B693" s="1579" t="s">
        <v>3103</v>
      </c>
      <c r="C693" s="1586" t="s">
        <v>2445</v>
      </c>
      <c r="D693" s="1581"/>
      <c r="E693" s="1581"/>
      <c r="F693" s="1581">
        <f t="shared" si="20"/>
        <v>0</v>
      </c>
      <c r="G693" s="1582" t="e">
        <f t="shared" si="21"/>
        <v>#DIV/0!</v>
      </c>
      <c r="H693" s="2294">
        <v>0.27329999999999999</v>
      </c>
      <c r="I693" s="2295"/>
    </row>
    <row r="694" spans="1:9" ht="16.5">
      <c r="A694" s="1578">
        <v>8096</v>
      </c>
      <c r="B694" s="1579" t="s">
        <v>3104</v>
      </c>
      <c r="C694" s="1586" t="s">
        <v>2445</v>
      </c>
      <c r="D694" s="1581"/>
      <c r="E694" s="1581"/>
      <c r="F694" s="1581">
        <f t="shared" si="20"/>
        <v>0</v>
      </c>
      <c r="G694" s="1582" t="e">
        <f t="shared" si="21"/>
        <v>#DIV/0!</v>
      </c>
      <c r="H694" s="2294">
        <v>0.21029999999999999</v>
      </c>
      <c r="I694" s="2295"/>
    </row>
    <row r="695" spans="1:9" ht="16.5">
      <c r="A695" s="1578">
        <v>8097</v>
      </c>
      <c r="B695" s="1579" t="s">
        <v>3105</v>
      </c>
      <c r="C695" s="1586" t="s">
        <v>2445</v>
      </c>
      <c r="D695" s="1581"/>
      <c r="E695" s="1581"/>
      <c r="F695" s="1581">
        <f t="shared" si="20"/>
        <v>0</v>
      </c>
      <c r="G695" s="1582" t="e">
        <f t="shared" si="21"/>
        <v>#DIV/0!</v>
      </c>
      <c r="H695" s="2294">
        <v>0.15640000000000001</v>
      </c>
      <c r="I695" s="2295"/>
    </row>
    <row r="696" spans="1:9" ht="16.5">
      <c r="A696" s="1578">
        <v>8099</v>
      </c>
      <c r="B696" s="1579" t="s">
        <v>3106</v>
      </c>
      <c r="C696" s="1586" t="s">
        <v>2445</v>
      </c>
      <c r="D696" s="1581"/>
      <c r="E696" s="1581"/>
      <c r="F696" s="1581">
        <f t="shared" si="20"/>
        <v>0</v>
      </c>
      <c r="G696" s="1582" t="e">
        <f t="shared" si="21"/>
        <v>#DIV/0!</v>
      </c>
      <c r="H696" s="2294">
        <v>0.25490000000000002</v>
      </c>
      <c r="I696" s="2295"/>
    </row>
    <row r="697" spans="1:9" ht="16.5">
      <c r="A697" s="1578">
        <v>8107</v>
      </c>
      <c r="B697" s="1579" t="s">
        <v>3107</v>
      </c>
      <c r="C697" s="1586" t="s">
        <v>2445</v>
      </c>
      <c r="D697" s="1581"/>
      <c r="E697" s="1581"/>
      <c r="F697" s="1581">
        <f t="shared" si="20"/>
        <v>0</v>
      </c>
      <c r="G697" s="1582" t="e">
        <f t="shared" si="21"/>
        <v>#DIV/0!</v>
      </c>
      <c r="H697" s="2294">
        <v>0.58850000000000002</v>
      </c>
      <c r="I697" s="2295"/>
    </row>
    <row r="698" spans="1:9" ht="16.5">
      <c r="A698" s="1578">
        <v>8109</v>
      </c>
      <c r="B698" s="1579" t="s">
        <v>3108</v>
      </c>
      <c r="C698" s="1586" t="s">
        <v>2445</v>
      </c>
      <c r="D698" s="1581"/>
      <c r="E698" s="1581"/>
      <c r="F698" s="1581">
        <f t="shared" si="20"/>
        <v>0</v>
      </c>
      <c r="G698" s="1582" t="e">
        <f t="shared" si="21"/>
        <v>#DIV/0!</v>
      </c>
      <c r="H698" s="2294">
        <v>0.53910000000000002</v>
      </c>
      <c r="I698" s="2295"/>
    </row>
    <row r="699" spans="1:9" ht="16.5">
      <c r="A699" s="1578">
        <v>8111</v>
      </c>
      <c r="B699" s="1579" t="s">
        <v>3109</v>
      </c>
      <c r="C699" s="1586" t="s">
        <v>2445</v>
      </c>
      <c r="D699" s="1581"/>
      <c r="E699" s="1581"/>
      <c r="F699" s="1581">
        <f t="shared" si="20"/>
        <v>0</v>
      </c>
      <c r="G699" s="1582" t="e">
        <f t="shared" si="21"/>
        <v>#DIV/0!</v>
      </c>
      <c r="H699" s="2294">
        <v>0.72389999999999999</v>
      </c>
      <c r="I699" s="2295"/>
    </row>
    <row r="700" spans="1:9" ht="16.5">
      <c r="A700" s="1578">
        <v>8121</v>
      </c>
      <c r="B700" s="1579" t="s">
        <v>3110</v>
      </c>
      <c r="C700" s="1586" t="s">
        <v>2445</v>
      </c>
      <c r="D700" s="1581"/>
      <c r="E700" s="1581"/>
      <c r="F700" s="1581">
        <f t="shared" si="20"/>
        <v>0</v>
      </c>
      <c r="G700" s="1582" t="e">
        <f t="shared" si="21"/>
        <v>#DIV/0!</v>
      </c>
      <c r="H700" s="2294">
        <v>1.1813</v>
      </c>
      <c r="I700" s="2295"/>
    </row>
    <row r="701" spans="1:9" ht="16.5">
      <c r="A701" s="1578">
        <v>8147</v>
      </c>
      <c r="B701" s="1579" t="s">
        <v>3111</v>
      </c>
      <c r="C701" s="1586" t="s">
        <v>2445</v>
      </c>
      <c r="D701" s="1581"/>
      <c r="E701" s="1581"/>
      <c r="F701" s="1581">
        <f t="shared" si="20"/>
        <v>0</v>
      </c>
      <c r="G701" s="1582" t="e">
        <f t="shared" si="21"/>
        <v>#DIV/0!</v>
      </c>
      <c r="H701" s="2294">
        <v>0.19139999999999999</v>
      </c>
      <c r="I701" s="2295"/>
    </row>
    <row r="702" spans="1:9" ht="16.5">
      <c r="A702" s="1578">
        <v>8155</v>
      </c>
      <c r="B702" s="1579" t="s">
        <v>3112</v>
      </c>
      <c r="C702" s="1586" t="s">
        <v>2445</v>
      </c>
      <c r="D702" s="1581"/>
      <c r="E702" s="1581"/>
      <c r="F702" s="1581">
        <f t="shared" si="20"/>
        <v>0</v>
      </c>
      <c r="G702" s="1582" t="e">
        <f t="shared" si="21"/>
        <v>#DIV/0!</v>
      </c>
      <c r="H702" s="2294">
        <v>1.5479000000000001</v>
      </c>
      <c r="I702" s="2295"/>
    </row>
    <row r="703" spans="1:9" ht="16.5">
      <c r="A703" s="1578">
        <v>8171</v>
      </c>
      <c r="B703" s="1579" t="s">
        <v>3113</v>
      </c>
      <c r="C703" s="1586" t="s">
        <v>2445</v>
      </c>
      <c r="D703" s="1581"/>
      <c r="E703" s="1581"/>
      <c r="F703" s="1581">
        <f t="shared" si="20"/>
        <v>0</v>
      </c>
      <c r="G703" s="1582" t="e">
        <f t="shared" si="21"/>
        <v>#DIV/0!</v>
      </c>
      <c r="H703" s="2294">
        <v>0.39479999999999998</v>
      </c>
      <c r="I703" s="2295"/>
    </row>
    <row r="704" spans="1:9" ht="16.5">
      <c r="A704" s="1578">
        <v>8176</v>
      </c>
      <c r="B704" s="1579" t="s">
        <v>3114</v>
      </c>
      <c r="C704" s="1586" t="s">
        <v>2445</v>
      </c>
      <c r="D704" s="1581"/>
      <c r="E704" s="1581"/>
      <c r="F704" s="1581">
        <f t="shared" si="20"/>
        <v>0</v>
      </c>
      <c r="G704" s="1582" t="e">
        <f t="shared" si="21"/>
        <v>#DIV/0!</v>
      </c>
      <c r="H704" s="2294">
        <v>0.84060000000000001</v>
      </c>
      <c r="I704" s="2295"/>
    </row>
    <row r="705" spans="1:9" ht="16.5">
      <c r="A705" s="1578">
        <v>8182</v>
      </c>
      <c r="B705" s="1579" t="s">
        <v>3115</v>
      </c>
      <c r="C705" s="1586" t="s">
        <v>2445</v>
      </c>
      <c r="D705" s="1581"/>
      <c r="E705" s="1581"/>
      <c r="F705" s="1581">
        <f t="shared" si="20"/>
        <v>0</v>
      </c>
      <c r="G705" s="1582" t="e">
        <f t="shared" si="21"/>
        <v>#DIV/0!</v>
      </c>
      <c r="H705" s="2294">
        <v>1.0670999999999999</v>
      </c>
      <c r="I705" s="2295"/>
    </row>
    <row r="706" spans="1:9" ht="16.5">
      <c r="A706" s="1578">
        <v>8183</v>
      </c>
      <c r="B706" s="1579" t="s">
        <v>3116</v>
      </c>
      <c r="C706" s="1586" t="s">
        <v>2445</v>
      </c>
      <c r="D706" s="1581"/>
      <c r="E706" s="1581"/>
      <c r="F706" s="1581">
        <f t="shared" si="20"/>
        <v>0</v>
      </c>
      <c r="G706" s="1582" t="e">
        <f t="shared" si="21"/>
        <v>#DIV/0!</v>
      </c>
      <c r="H706" s="2294">
        <v>1.1706000000000001</v>
      </c>
      <c r="I706" s="2295"/>
    </row>
    <row r="707" spans="1:9" ht="16.5">
      <c r="A707" s="1578">
        <v>8234</v>
      </c>
      <c r="B707" s="1579" t="s">
        <v>3117</v>
      </c>
      <c r="C707" s="1586" t="s">
        <v>2445</v>
      </c>
      <c r="D707" s="1581"/>
      <c r="E707" s="1581"/>
      <c r="F707" s="1581">
        <f t="shared" si="20"/>
        <v>0</v>
      </c>
      <c r="G707" s="1582" t="e">
        <f t="shared" si="21"/>
        <v>#DIV/0!</v>
      </c>
      <c r="H707" s="2294">
        <v>0.98899999999999999</v>
      </c>
      <c r="I707" s="2295"/>
    </row>
    <row r="708" spans="1:9" ht="16.5">
      <c r="A708" s="1578">
        <v>8240</v>
      </c>
      <c r="B708" s="1579" t="s">
        <v>3118</v>
      </c>
      <c r="C708" s="1586" t="s">
        <v>2445</v>
      </c>
      <c r="D708" s="1581"/>
      <c r="E708" s="1581"/>
      <c r="F708" s="1581">
        <f t="shared" si="20"/>
        <v>0</v>
      </c>
      <c r="G708" s="1582" t="e">
        <f t="shared" si="21"/>
        <v>#DIV/0!</v>
      </c>
      <c r="H708" s="2294">
        <v>1.0991</v>
      </c>
      <c r="I708" s="2295"/>
    </row>
    <row r="709" spans="1:9" ht="16.5">
      <c r="A709" s="1578">
        <v>8255</v>
      </c>
      <c r="B709" s="1579" t="s">
        <v>3119</v>
      </c>
      <c r="C709" s="1586" t="s">
        <v>2445</v>
      </c>
      <c r="D709" s="1581"/>
      <c r="E709" s="1581"/>
      <c r="F709" s="1581">
        <f t="shared" ref="F709:F736" si="22">D709*E709</f>
        <v>0</v>
      </c>
      <c r="G709" s="1582" t="e">
        <f t="shared" ref="G709:G772" si="23">F709/$F$784</f>
        <v>#DIV/0!</v>
      </c>
      <c r="H709" s="2294">
        <v>0.57769999999999999</v>
      </c>
      <c r="I709" s="2295"/>
    </row>
    <row r="710" spans="1:9" ht="16.5">
      <c r="A710" s="1578">
        <v>8277</v>
      </c>
      <c r="B710" s="1579" t="s">
        <v>3120</v>
      </c>
      <c r="C710" s="1586" t="s">
        <v>2445</v>
      </c>
      <c r="D710" s="1581"/>
      <c r="E710" s="1581"/>
      <c r="F710" s="1581">
        <f t="shared" si="22"/>
        <v>0</v>
      </c>
      <c r="G710" s="1582" t="e">
        <f t="shared" si="23"/>
        <v>#DIV/0!</v>
      </c>
      <c r="H710" s="2294">
        <v>1.2476</v>
      </c>
      <c r="I710" s="2295"/>
    </row>
    <row r="711" spans="1:9" ht="16.5">
      <c r="A711" s="1578">
        <v>8279</v>
      </c>
      <c r="B711" s="1579" t="s">
        <v>3121</v>
      </c>
      <c r="C711" s="1586" t="s">
        <v>2445</v>
      </c>
      <c r="D711" s="1581"/>
      <c r="E711" s="1581"/>
      <c r="F711" s="1581">
        <f t="shared" si="22"/>
        <v>0</v>
      </c>
      <c r="G711" s="1582" t="e">
        <f t="shared" si="23"/>
        <v>#DIV/0!</v>
      </c>
      <c r="H711" s="2294">
        <v>1.0224</v>
      </c>
      <c r="I711" s="2295"/>
    </row>
    <row r="712" spans="1:9" ht="16.5">
      <c r="A712" s="1578">
        <v>8287</v>
      </c>
      <c r="B712" s="1579" t="s">
        <v>3122</v>
      </c>
      <c r="C712" s="1586" t="s">
        <v>2445</v>
      </c>
      <c r="D712" s="1581"/>
      <c r="E712" s="1581"/>
      <c r="F712" s="1581">
        <f t="shared" si="22"/>
        <v>0</v>
      </c>
      <c r="G712" s="1582" t="e">
        <f t="shared" si="23"/>
        <v>#DIV/0!</v>
      </c>
      <c r="H712" s="2294">
        <v>1.9599999999999999E-2</v>
      </c>
      <c r="I712" s="2295"/>
    </row>
    <row r="713" spans="1:9" ht="16.5">
      <c r="A713" s="1578">
        <v>8289</v>
      </c>
      <c r="B713" s="1579" t="s">
        <v>3123</v>
      </c>
      <c r="C713" s="1586" t="s">
        <v>2445</v>
      </c>
      <c r="D713" s="1581"/>
      <c r="E713" s="1581"/>
      <c r="F713" s="1581">
        <f t="shared" si="22"/>
        <v>0</v>
      </c>
      <c r="G713" s="1582" t="e">
        <f t="shared" si="23"/>
        <v>#DIV/0!</v>
      </c>
      <c r="H713" s="2294">
        <v>0.3896</v>
      </c>
      <c r="I713" s="2295"/>
    </row>
    <row r="714" spans="1:9" ht="16.5">
      <c r="A714" s="1578">
        <v>8291</v>
      </c>
      <c r="B714" s="1579" t="s">
        <v>3124</v>
      </c>
      <c r="C714" s="1586" t="s">
        <v>2445</v>
      </c>
      <c r="D714" s="1581"/>
      <c r="E714" s="1581"/>
      <c r="F714" s="1581">
        <f t="shared" si="22"/>
        <v>0</v>
      </c>
      <c r="G714" s="1582" t="e">
        <f t="shared" si="23"/>
        <v>#DIV/0!</v>
      </c>
      <c r="H714" s="2294">
        <v>0.21679999999999999</v>
      </c>
      <c r="I714" s="2295"/>
    </row>
    <row r="715" spans="1:9" ht="16.5">
      <c r="A715" s="1578">
        <v>8299</v>
      </c>
      <c r="B715" s="1579" t="s">
        <v>3125</v>
      </c>
      <c r="C715" s="1586" t="s">
        <v>2445</v>
      </c>
      <c r="D715" s="1581"/>
      <c r="E715" s="1581"/>
      <c r="F715" s="1581">
        <f t="shared" si="22"/>
        <v>0</v>
      </c>
      <c r="G715" s="1582" t="e">
        <f t="shared" si="23"/>
        <v>#DIV/0!</v>
      </c>
      <c r="H715" s="2294">
        <v>1.2361</v>
      </c>
      <c r="I715" s="2295"/>
    </row>
    <row r="716" spans="1:9" ht="16.5">
      <c r="A716" s="1578">
        <v>8342</v>
      </c>
      <c r="B716" s="1579" t="s">
        <v>3126</v>
      </c>
      <c r="C716" s="1586" t="s">
        <v>2445</v>
      </c>
      <c r="D716" s="1581"/>
      <c r="E716" s="1581"/>
      <c r="F716" s="1581">
        <f t="shared" si="22"/>
        <v>0</v>
      </c>
      <c r="G716" s="1582" t="e">
        <f t="shared" si="23"/>
        <v>#DIV/0!</v>
      </c>
      <c r="H716" s="2294">
        <v>0.26190000000000002</v>
      </c>
      <c r="I716" s="2295"/>
    </row>
    <row r="717" spans="1:9" ht="16.5">
      <c r="A717" s="1578">
        <v>8349</v>
      </c>
      <c r="B717" s="1579" t="s">
        <v>3127</v>
      </c>
      <c r="C717" s="1586" t="s">
        <v>2445</v>
      </c>
      <c r="D717" s="1581"/>
      <c r="E717" s="1581"/>
      <c r="F717" s="1581">
        <f t="shared" si="22"/>
        <v>0</v>
      </c>
      <c r="G717" s="1582" t="e">
        <f t="shared" si="23"/>
        <v>#DIV/0!</v>
      </c>
      <c r="H717" s="2294">
        <v>0.46779999999999999</v>
      </c>
      <c r="I717" s="2295"/>
    </row>
    <row r="718" spans="1:9" ht="16.5">
      <c r="A718" s="1578">
        <v>8354</v>
      </c>
      <c r="B718" s="1579" t="s">
        <v>3128</v>
      </c>
      <c r="C718" s="1586" t="s">
        <v>2445</v>
      </c>
      <c r="D718" s="1581"/>
      <c r="E718" s="1581"/>
      <c r="F718" s="1581">
        <f t="shared" si="22"/>
        <v>0</v>
      </c>
      <c r="G718" s="1582" t="e">
        <f t="shared" si="23"/>
        <v>#DIV/0!</v>
      </c>
      <c r="H718" s="2294">
        <v>0.1174</v>
      </c>
      <c r="I718" s="2295"/>
    </row>
    <row r="719" spans="1:9" ht="16.5">
      <c r="A719" s="1578">
        <v>8358</v>
      </c>
      <c r="B719" s="1579" t="s">
        <v>3129</v>
      </c>
      <c r="C719" s="1586" t="s">
        <v>2445</v>
      </c>
      <c r="D719" s="1581"/>
      <c r="E719" s="1581"/>
      <c r="F719" s="1581">
        <f t="shared" si="22"/>
        <v>0</v>
      </c>
      <c r="G719" s="1582" t="e">
        <f t="shared" si="23"/>
        <v>#DIV/0!</v>
      </c>
      <c r="H719" s="2294">
        <v>1.5230999999999999</v>
      </c>
      <c r="I719" s="2295"/>
    </row>
    <row r="720" spans="1:9" ht="16.5">
      <c r="A720" s="1578">
        <v>8383</v>
      </c>
      <c r="B720" s="1579" t="s">
        <v>3130</v>
      </c>
      <c r="C720" s="1586" t="s">
        <v>2445</v>
      </c>
      <c r="D720" s="1581"/>
      <c r="E720" s="1581"/>
      <c r="F720" s="1581">
        <f t="shared" si="22"/>
        <v>0</v>
      </c>
      <c r="G720" s="1582" t="e">
        <f t="shared" si="23"/>
        <v>#DIV/0!</v>
      </c>
      <c r="H720" s="2294">
        <v>0.58389999999999997</v>
      </c>
      <c r="I720" s="2295"/>
    </row>
    <row r="721" spans="1:9" ht="16.5">
      <c r="A721" s="1578">
        <v>8390</v>
      </c>
      <c r="B721" s="1579" t="s">
        <v>3131</v>
      </c>
      <c r="C721" s="1586" t="s">
        <v>2445</v>
      </c>
      <c r="D721" s="1581"/>
      <c r="E721" s="1581"/>
      <c r="F721" s="1581">
        <f t="shared" si="22"/>
        <v>0</v>
      </c>
      <c r="G721" s="1582" t="e">
        <f t="shared" si="23"/>
        <v>#DIV/0!</v>
      </c>
      <c r="H721" s="2294">
        <v>-5.1000000000000004E-3</v>
      </c>
      <c r="I721" s="2295"/>
    </row>
    <row r="722" spans="1:9" ht="16.5">
      <c r="A722" s="1578">
        <v>8401</v>
      </c>
      <c r="B722" s="1579" t="s">
        <v>3132</v>
      </c>
      <c r="C722" s="1586" t="s">
        <v>2445</v>
      </c>
      <c r="D722" s="1581"/>
      <c r="E722" s="1581"/>
      <c r="F722" s="1581">
        <f t="shared" si="22"/>
        <v>0</v>
      </c>
      <c r="G722" s="1582" t="e">
        <f t="shared" si="23"/>
        <v>#DIV/0!</v>
      </c>
      <c r="H722" s="2294">
        <v>0.2873</v>
      </c>
      <c r="I722" s="2295"/>
    </row>
    <row r="723" spans="1:9" ht="16.5">
      <c r="A723" s="1578">
        <v>8403</v>
      </c>
      <c r="B723" s="1579" t="s">
        <v>3133</v>
      </c>
      <c r="C723" s="1586" t="s">
        <v>2445</v>
      </c>
      <c r="D723" s="1581"/>
      <c r="E723" s="1581"/>
      <c r="F723" s="1581">
        <f t="shared" si="22"/>
        <v>0</v>
      </c>
      <c r="G723" s="1582" t="e">
        <f t="shared" si="23"/>
        <v>#DIV/0!</v>
      </c>
      <c r="H723" s="2294">
        <v>0.46250000000000002</v>
      </c>
      <c r="I723" s="2295"/>
    </row>
    <row r="724" spans="1:9" ht="16.5">
      <c r="A724" s="1578">
        <v>8406</v>
      </c>
      <c r="B724" s="1579" t="s">
        <v>3134</v>
      </c>
      <c r="C724" s="1586" t="s">
        <v>2445</v>
      </c>
      <c r="D724" s="1581"/>
      <c r="E724" s="1581"/>
      <c r="F724" s="1581">
        <f t="shared" si="22"/>
        <v>0</v>
      </c>
      <c r="G724" s="1582" t="e">
        <f t="shared" si="23"/>
        <v>#DIV/0!</v>
      </c>
      <c r="H724" s="2294">
        <v>1.1355999999999999</v>
      </c>
      <c r="I724" s="2295"/>
    </row>
    <row r="725" spans="1:9" ht="16.5">
      <c r="A725" s="1578">
        <v>8409</v>
      </c>
      <c r="B725" s="1579" t="s">
        <v>3135</v>
      </c>
      <c r="C725" s="1586" t="s">
        <v>2445</v>
      </c>
      <c r="D725" s="1581"/>
      <c r="E725" s="1581"/>
      <c r="F725" s="1581">
        <f t="shared" si="22"/>
        <v>0</v>
      </c>
      <c r="G725" s="1582" t="e">
        <f t="shared" si="23"/>
        <v>#DIV/0!</v>
      </c>
      <c r="H725" s="2294">
        <v>0.37009999999999998</v>
      </c>
      <c r="I725" s="2295"/>
    </row>
    <row r="726" spans="1:9" ht="16.5">
      <c r="A726" s="1578">
        <v>8410</v>
      </c>
      <c r="B726" s="1579" t="s">
        <v>3136</v>
      </c>
      <c r="C726" s="1586" t="s">
        <v>2445</v>
      </c>
      <c r="D726" s="1581"/>
      <c r="E726" s="1581"/>
      <c r="F726" s="1581">
        <f t="shared" si="22"/>
        <v>0</v>
      </c>
      <c r="G726" s="1582" t="e">
        <f t="shared" si="23"/>
        <v>#DIV/0!</v>
      </c>
      <c r="H726" s="2294">
        <v>0.36549999999999999</v>
      </c>
      <c r="I726" s="2295"/>
    </row>
    <row r="727" spans="1:9" ht="16.5">
      <c r="A727" s="1578">
        <v>8415</v>
      </c>
      <c r="B727" s="1579" t="s">
        <v>3137</v>
      </c>
      <c r="C727" s="1586" t="s">
        <v>2445</v>
      </c>
      <c r="D727" s="1581"/>
      <c r="E727" s="1581"/>
      <c r="F727" s="1581">
        <f t="shared" si="22"/>
        <v>0</v>
      </c>
      <c r="G727" s="1582" t="e">
        <f t="shared" si="23"/>
        <v>#DIV/0!</v>
      </c>
      <c r="H727" s="2294">
        <v>0.14480000000000001</v>
      </c>
      <c r="I727" s="2295"/>
    </row>
    <row r="728" spans="1:9" ht="16.5">
      <c r="A728" s="1578">
        <v>8416</v>
      </c>
      <c r="B728" s="1579" t="s">
        <v>3138</v>
      </c>
      <c r="C728" s="1586" t="s">
        <v>2445</v>
      </c>
      <c r="D728" s="1581"/>
      <c r="E728" s="1581"/>
      <c r="F728" s="1581">
        <f t="shared" si="22"/>
        <v>0</v>
      </c>
      <c r="G728" s="1582" t="e">
        <f t="shared" si="23"/>
        <v>#DIV/0!</v>
      </c>
      <c r="H728" s="2294">
        <v>0.36370000000000002</v>
      </c>
      <c r="I728" s="2295"/>
    </row>
    <row r="729" spans="1:9" ht="16.5">
      <c r="A729" s="1578">
        <v>8418</v>
      </c>
      <c r="B729" s="1579" t="s">
        <v>3139</v>
      </c>
      <c r="C729" s="1586" t="s">
        <v>2445</v>
      </c>
      <c r="D729" s="1581"/>
      <c r="E729" s="1581"/>
      <c r="F729" s="1581">
        <f t="shared" si="22"/>
        <v>0</v>
      </c>
      <c r="G729" s="1582" t="e">
        <f t="shared" si="23"/>
        <v>#DIV/0!</v>
      </c>
      <c r="H729" s="2294">
        <v>0.17630000000000001</v>
      </c>
      <c r="I729" s="2295"/>
    </row>
    <row r="730" spans="1:9" ht="16.5">
      <c r="A730" s="1578">
        <v>8420</v>
      </c>
      <c r="B730" s="1579" t="s">
        <v>3140</v>
      </c>
      <c r="C730" s="1586" t="s">
        <v>2445</v>
      </c>
      <c r="D730" s="1581"/>
      <c r="E730" s="1581"/>
      <c r="F730" s="1581">
        <f t="shared" si="22"/>
        <v>0</v>
      </c>
      <c r="G730" s="1582" t="e">
        <f t="shared" si="23"/>
        <v>#DIV/0!</v>
      </c>
      <c r="H730" s="2294">
        <v>0.61629999999999996</v>
      </c>
      <c r="I730" s="2295"/>
    </row>
    <row r="731" spans="1:9" ht="16.5">
      <c r="A731" s="1578">
        <v>8421</v>
      </c>
      <c r="B731" s="1579" t="s">
        <v>3141</v>
      </c>
      <c r="C731" s="1586" t="s">
        <v>2445</v>
      </c>
      <c r="D731" s="1581"/>
      <c r="E731" s="1581"/>
      <c r="F731" s="1581">
        <f t="shared" si="22"/>
        <v>0</v>
      </c>
      <c r="G731" s="1582" t="e">
        <f t="shared" si="23"/>
        <v>#DIV/0!</v>
      </c>
      <c r="H731" s="2294">
        <v>0.39219999999999999</v>
      </c>
      <c r="I731" s="2295"/>
    </row>
    <row r="732" spans="1:9" ht="16.5">
      <c r="A732" s="1578">
        <v>8423</v>
      </c>
      <c r="B732" s="1579" t="s">
        <v>3142</v>
      </c>
      <c r="C732" s="1586" t="s">
        <v>2445</v>
      </c>
      <c r="D732" s="1581"/>
      <c r="E732" s="1581"/>
      <c r="F732" s="1581">
        <f t="shared" si="22"/>
        <v>0</v>
      </c>
      <c r="G732" s="1582" t="e">
        <f t="shared" si="23"/>
        <v>#DIV/0!</v>
      </c>
      <c r="H732" s="2294">
        <v>-0.14829999999999999</v>
      </c>
      <c r="I732" s="2295"/>
    </row>
    <row r="733" spans="1:9" ht="16.5">
      <c r="A733" s="1578">
        <v>8424</v>
      </c>
      <c r="B733" s="1579" t="s">
        <v>3143</v>
      </c>
      <c r="C733" s="1586" t="s">
        <v>2445</v>
      </c>
      <c r="D733" s="1581"/>
      <c r="E733" s="1581"/>
      <c r="F733" s="1581">
        <f t="shared" si="22"/>
        <v>0</v>
      </c>
      <c r="G733" s="1582" t="e">
        <f t="shared" si="23"/>
        <v>#DIV/0!</v>
      </c>
      <c r="H733" s="2294">
        <v>4.4400000000000002E-2</v>
      </c>
      <c r="I733" s="2295"/>
    </row>
    <row r="734" spans="1:9" ht="16.5">
      <c r="A734" s="1578">
        <v>8426</v>
      </c>
      <c r="B734" s="1579" t="s">
        <v>3144</v>
      </c>
      <c r="C734" s="1586" t="s">
        <v>2445</v>
      </c>
      <c r="D734" s="1581"/>
      <c r="E734" s="1581"/>
      <c r="F734" s="1581">
        <f t="shared" si="22"/>
        <v>0</v>
      </c>
      <c r="G734" s="1582" t="e">
        <f t="shared" si="23"/>
        <v>#DIV/0!</v>
      </c>
      <c r="H734" s="2294">
        <v>0.22750000000000001</v>
      </c>
      <c r="I734" s="2295"/>
    </row>
    <row r="735" spans="1:9" ht="16.5">
      <c r="A735" s="1578">
        <v>8431</v>
      </c>
      <c r="B735" s="1579" t="s">
        <v>3145</v>
      </c>
      <c r="C735" s="1586" t="s">
        <v>2445</v>
      </c>
      <c r="D735" s="1581"/>
      <c r="E735" s="1581"/>
      <c r="F735" s="1581">
        <f t="shared" si="22"/>
        <v>0</v>
      </c>
      <c r="G735" s="1582" t="e">
        <f t="shared" si="23"/>
        <v>#DIV/0!</v>
      </c>
      <c r="H735" s="2294">
        <v>1.6718999999999999</v>
      </c>
      <c r="I735" s="2295"/>
    </row>
    <row r="736" spans="1:9" ht="16.5">
      <c r="A736" s="1578">
        <v>8432</v>
      </c>
      <c r="B736" s="1579" t="s">
        <v>3146</v>
      </c>
      <c r="C736" s="1586" t="s">
        <v>2445</v>
      </c>
      <c r="D736" s="1581"/>
      <c r="E736" s="1581"/>
      <c r="F736" s="1581">
        <f t="shared" si="22"/>
        <v>0</v>
      </c>
      <c r="G736" s="1582" t="e">
        <f t="shared" si="23"/>
        <v>#DIV/0!</v>
      </c>
      <c r="H736" s="2294">
        <v>8.3000000000000004E-2</v>
      </c>
      <c r="I736" s="2295"/>
    </row>
    <row r="737" spans="1:9" ht="16.5">
      <c r="A737" s="1578">
        <v>8433</v>
      </c>
      <c r="B737" s="1579" t="s">
        <v>3147</v>
      </c>
      <c r="C737" s="1586" t="s">
        <v>2445</v>
      </c>
      <c r="D737" s="1581"/>
      <c r="E737" s="1581"/>
      <c r="F737" s="1581">
        <f>D737*E737</f>
        <v>0</v>
      </c>
      <c r="G737" s="1582" t="e">
        <f t="shared" si="23"/>
        <v>#DIV/0!</v>
      </c>
      <c r="H737" s="2294">
        <v>0.37309999999999999</v>
      </c>
      <c r="I737" s="2295"/>
    </row>
    <row r="738" spans="1:9" ht="16.5">
      <c r="A738" s="1578">
        <v>8435</v>
      </c>
      <c r="B738" s="1579" t="s">
        <v>3148</v>
      </c>
      <c r="C738" s="1586" t="s">
        <v>2445</v>
      </c>
      <c r="D738" s="1581"/>
      <c r="E738" s="1581"/>
      <c r="F738" s="1581">
        <f>D738*E738</f>
        <v>0</v>
      </c>
      <c r="G738" s="1582" t="e">
        <f t="shared" si="23"/>
        <v>#DIV/0!</v>
      </c>
      <c r="H738" s="2294">
        <v>0.1439</v>
      </c>
      <c r="I738" s="2295"/>
    </row>
    <row r="739" spans="1:9" ht="16.5">
      <c r="A739" s="1578">
        <v>8436</v>
      </c>
      <c r="B739" s="1579" t="s">
        <v>3149</v>
      </c>
      <c r="C739" s="1586" t="s">
        <v>2445</v>
      </c>
      <c r="D739" s="1581"/>
      <c r="E739" s="1581"/>
      <c r="F739" s="1581">
        <f>D739*E739</f>
        <v>0</v>
      </c>
      <c r="G739" s="1582" t="e">
        <f t="shared" si="23"/>
        <v>#DIV/0!</v>
      </c>
      <c r="H739" s="2294">
        <v>1.0119</v>
      </c>
      <c r="I739" s="2295"/>
    </row>
    <row r="740" spans="1:9" ht="16.5">
      <c r="A740" s="1578">
        <v>8437</v>
      </c>
      <c r="B740" s="1579" t="s">
        <v>3150</v>
      </c>
      <c r="C740" s="1586" t="s">
        <v>2445</v>
      </c>
      <c r="D740" s="1581"/>
      <c r="E740" s="1581"/>
      <c r="F740" s="1581">
        <f t="shared" ref="F740:F780" si="24">D740*E740</f>
        <v>0</v>
      </c>
      <c r="G740" s="1582" t="e">
        <f t="shared" si="23"/>
        <v>#DIV/0!</v>
      </c>
      <c r="H740" s="2294">
        <v>0.24</v>
      </c>
      <c r="I740" s="2295"/>
    </row>
    <row r="741" spans="1:9" ht="16.5">
      <c r="A741" s="1578">
        <v>8440</v>
      </c>
      <c r="B741" s="1579" t="s">
        <v>3151</v>
      </c>
      <c r="C741" s="1586" t="s">
        <v>2445</v>
      </c>
      <c r="D741" s="1581"/>
      <c r="E741" s="1581"/>
      <c r="F741" s="1581">
        <f t="shared" si="24"/>
        <v>0</v>
      </c>
      <c r="G741" s="1582" t="e">
        <f t="shared" si="23"/>
        <v>#DIV/0!</v>
      </c>
      <c r="H741" s="2294">
        <v>0.3362</v>
      </c>
      <c r="I741" s="2295"/>
    </row>
    <row r="742" spans="1:9" ht="16.5">
      <c r="A742" s="1578">
        <v>8444</v>
      </c>
      <c r="B742" s="1579" t="s">
        <v>3152</v>
      </c>
      <c r="C742" s="1586" t="s">
        <v>2445</v>
      </c>
      <c r="D742" s="1581"/>
      <c r="E742" s="1581"/>
      <c r="F742" s="1581">
        <f t="shared" si="24"/>
        <v>0</v>
      </c>
      <c r="G742" s="1582" t="e">
        <f t="shared" si="23"/>
        <v>#DIV/0!</v>
      </c>
      <c r="H742" s="2294">
        <v>0.1671</v>
      </c>
      <c r="I742" s="2295"/>
    </row>
    <row r="743" spans="1:9" ht="16.5">
      <c r="A743" s="1578">
        <v>8446</v>
      </c>
      <c r="B743" s="1579" t="s">
        <v>3153</v>
      </c>
      <c r="C743" s="1586" t="s">
        <v>2445</v>
      </c>
      <c r="D743" s="1581"/>
      <c r="E743" s="1581"/>
      <c r="F743" s="1581">
        <f t="shared" si="24"/>
        <v>0</v>
      </c>
      <c r="G743" s="1582" t="e">
        <f t="shared" si="23"/>
        <v>#DIV/0!</v>
      </c>
      <c r="H743" s="2294">
        <v>0.51859999999999995</v>
      </c>
      <c r="I743" s="2295"/>
    </row>
    <row r="744" spans="1:9" ht="16.5">
      <c r="A744" s="1578">
        <v>8450</v>
      </c>
      <c r="B744" s="1579" t="s">
        <v>3154</v>
      </c>
      <c r="C744" s="1586" t="s">
        <v>2445</v>
      </c>
      <c r="D744" s="1581"/>
      <c r="E744" s="1581"/>
      <c r="F744" s="1581">
        <f t="shared" si="24"/>
        <v>0</v>
      </c>
      <c r="G744" s="1582" t="e">
        <f t="shared" si="23"/>
        <v>#DIV/0!</v>
      </c>
      <c r="H744" s="2294">
        <v>0.28010000000000002</v>
      </c>
      <c r="I744" s="2295"/>
    </row>
    <row r="745" spans="1:9" ht="16.5">
      <c r="A745" s="1578">
        <v>8455</v>
      </c>
      <c r="B745" s="1579" t="s">
        <v>3155</v>
      </c>
      <c r="C745" s="1586" t="s">
        <v>2445</v>
      </c>
      <c r="D745" s="1581"/>
      <c r="E745" s="1581"/>
      <c r="F745" s="1581">
        <f t="shared" si="24"/>
        <v>0</v>
      </c>
      <c r="G745" s="1582" t="e">
        <f t="shared" si="23"/>
        <v>#DIV/0!</v>
      </c>
      <c r="H745" s="2294">
        <v>1.0239</v>
      </c>
      <c r="I745" s="2295"/>
    </row>
    <row r="746" spans="1:9" ht="16.5">
      <c r="A746" s="1578">
        <v>8472</v>
      </c>
      <c r="B746" s="1579" t="s">
        <v>3156</v>
      </c>
      <c r="C746" s="1586" t="s">
        <v>2445</v>
      </c>
      <c r="D746" s="1581"/>
      <c r="E746" s="1581"/>
      <c r="F746" s="1581">
        <f t="shared" si="24"/>
        <v>0</v>
      </c>
      <c r="G746" s="1582" t="e">
        <f t="shared" si="23"/>
        <v>#DIV/0!</v>
      </c>
      <c r="H746" s="2294">
        <v>7.7600000000000002E-2</v>
      </c>
      <c r="I746" s="2295"/>
    </row>
    <row r="747" spans="1:9" ht="16.5">
      <c r="A747" s="1578">
        <v>8476</v>
      </c>
      <c r="B747" s="1579" t="s">
        <v>3157</v>
      </c>
      <c r="C747" s="1586" t="s">
        <v>2445</v>
      </c>
      <c r="D747" s="1581"/>
      <c r="E747" s="1581"/>
      <c r="F747" s="1581">
        <f t="shared" si="24"/>
        <v>0</v>
      </c>
      <c r="G747" s="1582" t="e">
        <f t="shared" si="23"/>
        <v>#DIV/0!</v>
      </c>
      <c r="H747" s="2294">
        <v>-0.24390000000000001</v>
      </c>
      <c r="I747" s="2295"/>
    </row>
    <row r="748" spans="1:9" ht="16.5">
      <c r="A748" s="1578">
        <v>8477</v>
      </c>
      <c r="B748" s="1579" t="s">
        <v>3158</v>
      </c>
      <c r="C748" s="1586" t="s">
        <v>2445</v>
      </c>
      <c r="D748" s="1581"/>
      <c r="E748" s="1581"/>
      <c r="F748" s="1581">
        <f t="shared" si="24"/>
        <v>0</v>
      </c>
      <c r="G748" s="1582" t="e">
        <f t="shared" si="23"/>
        <v>#DIV/0!</v>
      </c>
      <c r="H748" s="2294">
        <v>0.51290000000000002</v>
      </c>
      <c r="I748" s="2295"/>
    </row>
    <row r="749" spans="1:9" ht="16.5">
      <c r="A749" s="1578">
        <v>8489</v>
      </c>
      <c r="B749" s="1579" t="s">
        <v>3159</v>
      </c>
      <c r="C749" s="1586" t="s">
        <v>2445</v>
      </c>
      <c r="D749" s="1581"/>
      <c r="E749" s="1581"/>
      <c r="F749" s="1581">
        <f t="shared" si="24"/>
        <v>0</v>
      </c>
      <c r="G749" s="1582" t="e">
        <f t="shared" si="23"/>
        <v>#DIV/0!</v>
      </c>
      <c r="H749" s="2294">
        <v>1.1639999999999999</v>
      </c>
      <c r="I749" s="2295"/>
    </row>
    <row r="750" spans="1:9" ht="16.5">
      <c r="A750" s="1578">
        <v>8905</v>
      </c>
      <c r="B750" s="1579" t="s">
        <v>3160</v>
      </c>
      <c r="C750" s="1586" t="s">
        <v>2445</v>
      </c>
      <c r="D750" s="1581"/>
      <c r="E750" s="1581"/>
      <c r="F750" s="1581">
        <f t="shared" si="24"/>
        <v>0</v>
      </c>
      <c r="G750" s="1582" t="e">
        <f t="shared" si="23"/>
        <v>#DIV/0!</v>
      </c>
      <c r="H750" s="2294">
        <v>0.25979999999999998</v>
      </c>
      <c r="I750" s="2295"/>
    </row>
    <row r="751" spans="1:9" ht="16.5">
      <c r="A751" s="1578">
        <v>8906</v>
      </c>
      <c r="B751" s="1579" t="s">
        <v>3161</v>
      </c>
      <c r="C751" s="1586" t="s">
        <v>2445</v>
      </c>
      <c r="D751" s="1581"/>
      <c r="E751" s="1581"/>
      <c r="F751" s="1581">
        <f t="shared" si="24"/>
        <v>0</v>
      </c>
      <c r="G751" s="1582" t="e">
        <f t="shared" si="23"/>
        <v>#DIV/0!</v>
      </c>
      <c r="H751" s="2294">
        <v>0.53869999999999996</v>
      </c>
      <c r="I751" s="2295"/>
    </row>
    <row r="752" spans="1:9" ht="16.5">
      <c r="A752" s="1578">
        <v>8908</v>
      </c>
      <c r="B752" s="1579" t="s">
        <v>3162</v>
      </c>
      <c r="C752" s="1586" t="s">
        <v>2445</v>
      </c>
      <c r="D752" s="1581"/>
      <c r="E752" s="1581"/>
      <c r="F752" s="1581">
        <f t="shared" si="24"/>
        <v>0</v>
      </c>
      <c r="G752" s="1582" t="e">
        <f t="shared" si="23"/>
        <v>#DIV/0!</v>
      </c>
      <c r="H752" s="2294">
        <v>0.10290000000000001</v>
      </c>
      <c r="I752" s="2295"/>
    </row>
    <row r="753" spans="1:9" ht="16.5">
      <c r="A753" s="1578">
        <v>8913</v>
      </c>
      <c r="B753" s="1579" t="s">
        <v>3163</v>
      </c>
      <c r="C753" s="1586" t="s">
        <v>2445</v>
      </c>
      <c r="D753" s="1581"/>
      <c r="E753" s="1581"/>
      <c r="F753" s="1581">
        <f t="shared" si="24"/>
        <v>0</v>
      </c>
      <c r="G753" s="1582" t="e">
        <f t="shared" si="23"/>
        <v>#DIV/0!</v>
      </c>
      <c r="H753" s="2294">
        <v>0.35809999999999997</v>
      </c>
      <c r="I753" s="2295"/>
    </row>
    <row r="754" spans="1:9" ht="16.5">
      <c r="A754" s="1578">
        <v>8916</v>
      </c>
      <c r="B754" s="1579" t="s">
        <v>3164</v>
      </c>
      <c r="C754" s="1586" t="s">
        <v>2445</v>
      </c>
      <c r="D754" s="1581"/>
      <c r="E754" s="1581"/>
      <c r="F754" s="1581">
        <f t="shared" si="24"/>
        <v>0</v>
      </c>
      <c r="G754" s="1582" t="e">
        <f t="shared" si="23"/>
        <v>#DIV/0!</v>
      </c>
      <c r="H754" s="2294">
        <v>0.41789999999999999</v>
      </c>
      <c r="I754" s="2295"/>
    </row>
    <row r="755" spans="1:9" ht="16.5">
      <c r="A755" s="1578">
        <v>8917</v>
      </c>
      <c r="B755" s="1579" t="s">
        <v>3165</v>
      </c>
      <c r="C755" s="1586" t="s">
        <v>2445</v>
      </c>
      <c r="D755" s="1581"/>
      <c r="E755" s="1581"/>
      <c r="F755" s="1581">
        <f t="shared" si="24"/>
        <v>0</v>
      </c>
      <c r="G755" s="1582" t="e">
        <f t="shared" si="23"/>
        <v>#DIV/0!</v>
      </c>
      <c r="H755" s="2294">
        <v>-8.5000000000000006E-2</v>
      </c>
      <c r="I755" s="2295"/>
    </row>
    <row r="756" spans="1:9" ht="16.5">
      <c r="A756" s="1578">
        <v>8921</v>
      </c>
      <c r="B756" s="1579" t="s">
        <v>3166</v>
      </c>
      <c r="C756" s="1586" t="s">
        <v>2445</v>
      </c>
      <c r="D756" s="1581"/>
      <c r="E756" s="1581"/>
      <c r="F756" s="1581">
        <f t="shared" si="24"/>
        <v>0</v>
      </c>
      <c r="G756" s="1582" t="e">
        <f t="shared" si="23"/>
        <v>#DIV/0!</v>
      </c>
      <c r="H756" s="2294">
        <v>-1.8200000000000001E-2</v>
      </c>
      <c r="I756" s="2295"/>
    </row>
    <row r="757" spans="1:9" ht="16.5">
      <c r="A757" s="1578">
        <v>8923</v>
      </c>
      <c r="B757" s="1579" t="s">
        <v>3167</v>
      </c>
      <c r="C757" s="1586" t="s">
        <v>2445</v>
      </c>
      <c r="D757" s="1581"/>
      <c r="E757" s="1581"/>
      <c r="F757" s="1581">
        <f t="shared" si="24"/>
        <v>0</v>
      </c>
      <c r="G757" s="1582" t="e">
        <f t="shared" si="23"/>
        <v>#DIV/0!</v>
      </c>
      <c r="H757" s="2294">
        <v>0.19489999999999999</v>
      </c>
      <c r="I757" s="2295"/>
    </row>
    <row r="758" spans="1:9" ht="16.5">
      <c r="A758" s="1578">
        <v>8924</v>
      </c>
      <c r="B758" s="1579" t="s">
        <v>3168</v>
      </c>
      <c r="C758" s="1586" t="s">
        <v>2445</v>
      </c>
      <c r="D758" s="1581"/>
      <c r="E758" s="1581"/>
      <c r="F758" s="1581">
        <f t="shared" si="24"/>
        <v>0</v>
      </c>
      <c r="G758" s="1582" t="e">
        <f t="shared" si="23"/>
        <v>#DIV/0!</v>
      </c>
      <c r="H758" s="2294">
        <v>0.92510000000000003</v>
      </c>
      <c r="I758" s="2295"/>
    </row>
    <row r="759" spans="1:9" ht="16.5">
      <c r="A759" s="1578">
        <v>8927</v>
      </c>
      <c r="B759" s="1579" t="s">
        <v>3169</v>
      </c>
      <c r="C759" s="1586" t="s">
        <v>2445</v>
      </c>
      <c r="D759" s="1581"/>
      <c r="E759" s="1581"/>
      <c r="F759" s="1581">
        <f t="shared" si="24"/>
        <v>0</v>
      </c>
      <c r="G759" s="1582" t="e">
        <f t="shared" si="23"/>
        <v>#DIV/0!</v>
      </c>
      <c r="H759" s="2294">
        <v>5.16E-2</v>
      </c>
      <c r="I759" s="2295"/>
    </row>
    <row r="760" spans="1:9" ht="16.5">
      <c r="A760" s="1578">
        <v>8928</v>
      </c>
      <c r="B760" s="1579" t="s">
        <v>3170</v>
      </c>
      <c r="C760" s="1586" t="s">
        <v>2445</v>
      </c>
      <c r="D760" s="1581"/>
      <c r="E760" s="1581"/>
      <c r="F760" s="1581">
        <f t="shared" si="24"/>
        <v>0</v>
      </c>
      <c r="G760" s="1582" t="e">
        <f t="shared" si="23"/>
        <v>#DIV/0!</v>
      </c>
      <c r="H760" s="2294">
        <v>0.33750000000000002</v>
      </c>
      <c r="I760" s="2295"/>
    </row>
    <row r="761" spans="1:9" ht="16.5">
      <c r="A761" s="1578">
        <v>8929</v>
      </c>
      <c r="B761" s="1579" t="s">
        <v>3171</v>
      </c>
      <c r="C761" s="1586" t="s">
        <v>2445</v>
      </c>
      <c r="D761" s="1581"/>
      <c r="E761" s="1581"/>
      <c r="F761" s="1581">
        <f t="shared" si="24"/>
        <v>0</v>
      </c>
      <c r="G761" s="1582" t="e">
        <f t="shared" si="23"/>
        <v>#DIV/0!</v>
      </c>
      <c r="H761" s="2294">
        <v>0.34949999999999998</v>
      </c>
      <c r="I761" s="2295"/>
    </row>
    <row r="762" spans="1:9" ht="16.5">
      <c r="A762" s="1578">
        <v>8930</v>
      </c>
      <c r="B762" s="1579" t="s">
        <v>3172</v>
      </c>
      <c r="C762" s="1586" t="s">
        <v>2445</v>
      </c>
      <c r="D762" s="1581"/>
      <c r="E762" s="1581"/>
      <c r="F762" s="1581">
        <f t="shared" si="24"/>
        <v>0</v>
      </c>
      <c r="G762" s="1582" t="e">
        <f t="shared" si="23"/>
        <v>#DIV/0!</v>
      </c>
      <c r="H762" s="2294">
        <v>0.17749999999999999</v>
      </c>
      <c r="I762" s="2295"/>
    </row>
    <row r="763" spans="1:9" ht="16.5">
      <c r="A763" s="1578">
        <v>8931</v>
      </c>
      <c r="B763" s="1579" t="s">
        <v>3173</v>
      </c>
      <c r="C763" s="1586" t="s">
        <v>2445</v>
      </c>
      <c r="D763" s="1581"/>
      <c r="E763" s="1581"/>
      <c r="F763" s="1581">
        <f t="shared" si="24"/>
        <v>0</v>
      </c>
      <c r="G763" s="1582" t="e">
        <f t="shared" si="23"/>
        <v>#DIV/0!</v>
      </c>
      <c r="H763" s="2294">
        <v>4.48E-2</v>
      </c>
      <c r="I763" s="2295"/>
    </row>
    <row r="764" spans="1:9" ht="16.5">
      <c r="A764" s="1578">
        <v>8932</v>
      </c>
      <c r="B764" s="1579" t="s">
        <v>3174</v>
      </c>
      <c r="C764" s="1586" t="s">
        <v>2445</v>
      </c>
      <c r="D764" s="1581"/>
      <c r="E764" s="1581"/>
      <c r="F764" s="1581">
        <f t="shared" si="24"/>
        <v>0</v>
      </c>
      <c r="G764" s="1582" t="e">
        <f t="shared" si="23"/>
        <v>#DIV/0!</v>
      </c>
      <c r="H764" s="2294">
        <v>-1.6500000000000001E-2</v>
      </c>
      <c r="I764" s="2295"/>
    </row>
    <row r="765" spans="1:9" ht="16.5">
      <c r="A765" s="1578">
        <v>8933</v>
      </c>
      <c r="B765" s="1579" t="s">
        <v>3175</v>
      </c>
      <c r="C765" s="1586" t="s">
        <v>2445</v>
      </c>
      <c r="D765" s="1581"/>
      <c r="E765" s="1581"/>
      <c r="F765" s="1581">
        <f t="shared" si="24"/>
        <v>0</v>
      </c>
      <c r="G765" s="1582" t="e">
        <f t="shared" si="23"/>
        <v>#DIV/0!</v>
      </c>
      <c r="H765" s="2294">
        <v>1.3645</v>
      </c>
      <c r="I765" s="2295"/>
    </row>
    <row r="766" spans="1:9" ht="16.5">
      <c r="A766" s="1578">
        <v>8934</v>
      </c>
      <c r="B766" s="1579" t="s">
        <v>3176</v>
      </c>
      <c r="C766" s="1586" t="s">
        <v>2445</v>
      </c>
      <c r="D766" s="1581"/>
      <c r="E766" s="1581"/>
      <c r="F766" s="1581">
        <f t="shared" si="24"/>
        <v>0</v>
      </c>
      <c r="G766" s="1582" t="e">
        <f t="shared" si="23"/>
        <v>#DIV/0!</v>
      </c>
      <c r="H766" s="2294">
        <v>6.3399999999999998E-2</v>
      </c>
      <c r="I766" s="2295"/>
    </row>
    <row r="767" spans="1:9" ht="16.5">
      <c r="A767" s="1578">
        <v>8935</v>
      </c>
      <c r="B767" s="1579" t="s">
        <v>3177</v>
      </c>
      <c r="C767" s="1586" t="s">
        <v>2445</v>
      </c>
      <c r="D767" s="1581"/>
      <c r="E767" s="1581"/>
      <c r="F767" s="1581">
        <f t="shared" si="24"/>
        <v>0</v>
      </c>
      <c r="G767" s="1582" t="e">
        <f t="shared" si="23"/>
        <v>#DIV/0!</v>
      </c>
      <c r="H767" s="2294">
        <v>0.22900000000000001</v>
      </c>
      <c r="I767" s="2295"/>
    </row>
    <row r="768" spans="1:9" ht="16.5">
      <c r="A768" s="1578">
        <v>8936</v>
      </c>
      <c r="B768" s="1579" t="s">
        <v>3178</v>
      </c>
      <c r="C768" s="1586" t="s">
        <v>2445</v>
      </c>
      <c r="D768" s="1581"/>
      <c r="E768" s="1581"/>
      <c r="F768" s="1581">
        <f t="shared" si="24"/>
        <v>0</v>
      </c>
      <c r="G768" s="1582" t="e">
        <f t="shared" si="23"/>
        <v>#DIV/0!</v>
      </c>
      <c r="H768" s="2294">
        <v>0.49419999999999997</v>
      </c>
      <c r="I768" s="2295"/>
    </row>
    <row r="769" spans="1:9" ht="16.5">
      <c r="A769" s="1578">
        <v>8937</v>
      </c>
      <c r="B769" s="1579" t="s">
        <v>3179</v>
      </c>
      <c r="C769" s="1586" t="s">
        <v>2445</v>
      </c>
      <c r="D769" s="1581"/>
      <c r="E769" s="1581"/>
      <c r="F769" s="1581">
        <f t="shared" si="24"/>
        <v>0</v>
      </c>
      <c r="G769" s="1582" t="e">
        <f t="shared" si="23"/>
        <v>#DIV/0!</v>
      </c>
      <c r="H769" s="2294">
        <v>0.18090000000000001</v>
      </c>
      <c r="I769" s="2295"/>
    </row>
    <row r="770" spans="1:9" ht="16.5">
      <c r="A770" s="1578">
        <v>8938</v>
      </c>
      <c r="B770" s="1579" t="s">
        <v>3180</v>
      </c>
      <c r="C770" s="1586" t="s">
        <v>2445</v>
      </c>
      <c r="D770" s="1581"/>
      <c r="E770" s="1581"/>
      <c r="F770" s="1581"/>
      <c r="G770" s="1582" t="e">
        <f t="shared" si="23"/>
        <v>#DIV/0!</v>
      </c>
      <c r="H770" s="2294">
        <v>0.58909999999999996</v>
      </c>
      <c r="I770" s="2295"/>
    </row>
    <row r="771" spans="1:9" ht="16.5">
      <c r="A771" s="1578">
        <v>8941</v>
      </c>
      <c r="B771" s="1579" t="s">
        <v>3181</v>
      </c>
      <c r="C771" s="1586" t="s">
        <v>2445</v>
      </c>
      <c r="D771" s="1581"/>
      <c r="E771" s="1581"/>
      <c r="F771" s="1581"/>
      <c r="G771" s="1582" t="e">
        <f t="shared" si="23"/>
        <v>#DIV/0!</v>
      </c>
      <c r="H771" s="2294">
        <v>9.5600000000000004E-2</v>
      </c>
      <c r="I771" s="2295"/>
    </row>
    <row r="772" spans="1:9" ht="16.5">
      <c r="A772" s="1578">
        <v>8942</v>
      </c>
      <c r="B772" s="1579" t="s">
        <v>3182</v>
      </c>
      <c r="C772" s="1586" t="s">
        <v>2445</v>
      </c>
      <c r="D772" s="1581"/>
      <c r="E772" s="1581"/>
      <c r="F772" s="1581">
        <f t="shared" si="24"/>
        <v>0</v>
      </c>
      <c r="G772" s="1582" t="e">
        <f t="shared" si="23"/>
        <v>#DIV/0!</v>
      </c>
      <c r="H772" s="2294">
        <v>0.54490000000000005</v>
      </c>
      <c r="I772" s="2295"/>
    </row>
    <row r="773" spans="1:9" ht="16.5">
      <c r="A773" s="1578">
        <v>9949</v>
      </c>
      <c r="B773" s="1579" t="s">
        <v>3183</v>
      </c>
      <c r="C773" s="1586" t="s">
        <v>2445</v>
      </c>
      <c r="D773" s="1581"/>
      <c r="E773" s="1581"/>
      <c r="F773" s="1581"/>
      <c r="G773" s="1582" t="e">
        <f t="shared" ref="G773:G783" si="25">F773/$F$784</f>
        <v>#DIV/0!</v>
      </c>
      <c r="H773" s="2294">
        <v>0.1022</v>
      </c>
      <c r="I773" s="2295"/>
    </row>
    <row r="774" spans="1:9" ht="16.5">
      <c r="A774" s="1578">
        <v>9950</v>
      </c>
      <c r="B774" s="1579" t="s">
        <v>3184</v>
      </c>
      <c r="C774" s="1586" t="s">
        <v>2445</v>
      </c>
      <c r="D774" s="1581"/>
      <c r="E774" s="1581"/>
      <c r="F774" s="1581">
        <f t="shared" si="24"/>
        <v>0</v>
      </c>
      <c r="G774" s="1582" t="e">
        <f t="shared" si="25"/>
        <v>#DIV/0!</v>
      </c>
      <c r="H774" s="2294">
        <v>-7.6E-3</v>
      </c>
      <c r="I774" s="2295"/>
    </row>
    <row r="775" spans="1:9" ht="16.5">
      <c r="A775" s="1578">
        <v>9951</v>
      </c>
      <c r="B775" s="1579" t="s">
        <v>3185</v>
      </c>
      <c r="C775" s="1586" t="s">
        <v>2445</v>
      </c>
      <c r="D775" s="1581"/>
      <c r="E775" s="1581"/>
      <c r="F775" s="1581"/>
      <c r="G775" s="1582" t="e">
        <f t="shared" si="25"/>
        <v>#DIV/0!</v>
      </c>
      <c r="H775" s="2294">
        <v>1.1676</v>
      </c>
      <c r="I775" s="2295"/>
    </row>
    <row r="776" spans="1:9" ht="16.5">
      <c r="A776" s="1578">
        <v>9960</v>
      </c>
      <c r="B776" s="1587" t="s">
        <v>3186</v>
      </c>
      <c r="C776" s="1586" t="s">
        <v>2445</v>
      </c>
      <c r="D776" s="1581"/>
      <c r="E776" s="1581"/>
      <c r="F776" s="1581">
        <f t="shared" si="24"/>
        <v>0</v>
      </c>
      <c r="G776" s="1582" t="e">
        <f t="shared" si="25"/>
        <v>#DIV/0!</v>
      </c>
      <c r="H776" s="2294">
        <v>-0.1394</v>
      </c>
      <c r="I776" s="2295"/>
    </row>
    <row r="777" spans="1:9" ht="16.5">
      <c r="A777" s="1578">
        <v>9962</v>
      </c>
      <c r="B777" s="1587" t="s">
        <v>3187</v>
      </c>
      <c r="C777" s="1586" t="s">
        <v>2445</v>
      </c>
      <c r="D777" s="1581"/>
      <c r="E777" s="1581"/>
      <c r="F777" s="1581"/>
      <c r="G777" s="1582" t="e">
        <f t="shared" si="25"/>
        <v>#DIV/0!</v>
      </c>
      <c r="H777" s="2294">
        <v>0.21740000000000001</v>
      </c>
      <c r="I777" s="2295"/>
    </row>
    <row r="778" spans="1:9" ht="16.5">
      <c r="A778" s="1578" t="s">
        <v>5413</v>
      </c>
      <c r="B778" s="1587" t="s">
        <v>3188</v>
      </c>
      <c r="C778" s="1586" t="s">
        <v>3189</v>
      </c>
      <c r="D778" s="1581"/>
      <c r="E778" s="1581"/>
      <c r="F778" s="1581">
        <f t="shared" si="24"/>
        <v>0</v>
      </c>
      <c r="G778" s="1582" t="e">
        <f t="shared" si="25"/>
        <v>#DIV/0!</v>
      </c>
      <c r="H778" s="2294">
        <v>1.2185999999999999</v>
      </c>
      <c r="I778" s="2295"/>
    </row>
    <row r="779" spans="1:9" ht="17.25" customHeight="1">
      <c r="A779" s="1578" t="s">
        <v>5414</v>
      </c>
      <c r="B779" s="1587" t="s">
        <v>3190</v>
      </c>
      <c r="C779" s="1586" t="s">
        <v>3189</v>
      </c>
      <c r="D779" s="1581"/>
      <c r="E779" s="1581"/>
      <c r="F779" s="1581">
        <f t="shared" si="24"/>
        <v>0</v>
      </c>
      <c r="G779" s="1582" t="e">
        <f t="shared" si="25"/>
        <v>#DIV/0!</v>
      </c>
      <c r="H779" s="2294">
        <v>1.3607</v>
      </c>
      <c r="I779" s="2295"/>
    </row>
    <row r="780" spans="1:9" ht="16.5">
      <c r="A780" s="1578" t="s">
        <v>5415</v>
      </c>
      <c r="B780" s="1587" t="s">
        <v>3191</v>
      </c>
      <c r="C780" s="1586" t="s">
        <v>3189</v>
      </c>
      <c r="D780" s="1581"/>
      <c r="E780" s="1581"/>
      <c r="F780" s="1581">
        <f t="shared" si="24"/>
        <v>0</v>
      </c>
      <c r="G780" s="1582" t="e">
        <f t="shared" si="25"/>
        <v>#DIV/0!</v>
      </c>
      <c r="H780" s="2294">
        <v>1.3512</v>
      </c>
      <c r="I780" s="2295"/>
    </row>
    <row r="781" spans="1:9" ht="16.5">
      <c r="A781" s="1578" t="s">
        <v>5416</v>
      </c>
      <c r="B781" s="1587" t="s">
        <v>3192</v>
      </c>
      <c r="C781" s="1586" t="s">
        <v>3189</v>
      </c>
      <c r="D781" s="1581"/>
      <c r="E781" s="1581"/>
      <c r="F781" s="1581">
        <f>D781*E781</f>
        <v>0</v>
      </c>
      <c r="G781" s="1582" t="e">
        <f t="shared" si="25"/>
        <v>#DIV/0!</v>
      </c>
      <c r="H781" s="2294">
        <v>1.175</v>
      </c>
      <c r="I781" s="2297"/>
    </row>
    <row r="782" spans="1:9" ht="16.5">
      <c r="A782" s="1578" t="s">
        <v>5417</v>
      </c>
      <c r="B782" s="1587" t="s">
        <v>3193</v>
      </c>
      <c r="C782" s="1586" t="s">
        <v>3189</v>
      </c>
      <c r="D782" s="1581"/>
      <c r="E782" s="1581"/>
      <c r="F782" s="1581">
        <f>D782*E782</f>
        <v>0</v>
      </c>
      <c r="G782" s="1582" t="e">
        <f t="shared" si="25"/>
        <v>#DIV/0!</v>
      </c>
      <c r="H782" s="2294">
        <v>1.2618</v>
      </c>
      <c r="I782" s="2297"/>
    </row>
    <row r="783" spans="1:9" ht="16.5" thickBot="1">
      <c r="A783" s="1588"/>
      <c r="B783" s="1589"/>
      <c r="C783" s="1590"/>
      <c r="D783" s="1591"/>
      <c r="E783" s="1591"/>
      <c r="F783" s="1591">
        <f>D783*E783</f>
        <v>0</v>
      </c>
      <c r="G783" s="1592" t="e">
        <f t="shared" si="25"/>
        <v>#DIV/0!</v>
      </c>
      <c r="H783" s="1565"/>
      <c r="I783" s="1593"/>
    </row>
    <row r="784" spans="1:9" ht="17.25" thickTop="1" thickBot="1">
      <c r="A784" s="3139" t="s">
        <v>3194</v>
      </c>
      <c r="B784" s="3140"/>
      <c r="C784" s="3140"/>
      <c r="D784" s="3140"/>
      <c r="E784" s="3141"/>
      <c r="F784" s="1594">
        <f>SUM(F4:F783)</f>
        <v>0</v>
      </c>
      <c r="G784" s="1595" t="e">
        <f>F784/$F$784</f>
        <v>#DIV/0!</v>
      </c>
      <c r="H784" s="1596"/>
      <c r="I784" s="1597"/>
    </row>
    <row r="786" spans="1:1" ht="16.5">
      <c r="A786" s="1546" t="s">
        <v>3195</v>
      </c>
    </row>
  </sheetData>
  <mergeCells count="1">
    <mergeCell ref="A784:E784"/>
  </mergeCells>
  <phoneticPr fontId="26" type="noConversion"/>
  <pageMargins left="0.47244094488188981" right="0.47244094488188981" top="0.39370078740157483" bottom="0.39370078740157483" header="0" footer="0"/>
  <pageSetup paperSize="9" scale="40" fitToHeight="7" orientation="portrait" cellComments="asDisplayed" horizontalDpi="4294967295" verticalDpi="4294967295" r:id="rId1"/>
  <headerFooter alignWithMargins="0">
    <oddFooter>&amp;C175&amp;R&amp;"Times New Roman,標準"&amp;A</oddFooter>
  </headerFooter>
  <rowBreaks count="1" manualBreakCount="1">
    <brk id="647" max="12"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99"/>
  <sheetViews>
    <sheetView workbookViewId="0">
      <selection activeCell="B5" sqref="B5:E186"/>
    </sheetView>
  </sheetViews>
  <sheetFormatPr defaultColWidth="24.625" defaultRowHeight="15.75"/>
  <cols>
    <col min="1" max="5" width="15.625" style="1419" customWidth="1"/>
    <col min="6" max="6" width="1.625" style="1419" customWidth="1"/>
    <col min="7" max="7" width="30.625" style="1419" customWidth="1"/>
    <col min="8" max="11" width="15.625" style="1419" customWidth="1"/>
    <col min="12" max="16384" width="24.625" style="1419"/>
  </cols>
  <sheetData>
    <row r="1" spans="1:11" ht="16.5">
      <c r="A1" s="1419" t="s">
        <v>2407</v>
      </c>
      <c r="G1" s="1538" t="s">
        <v>2408</v>
      </c>
      <c r="H1" s="2200">
        <v>44012</v>
      </c>
    </row>
    <row r="2" spans="1:11" ht="16.5">
      <c r="A2" s="2197" t="s">
        <v>7300</v>
      </c>
      <c r="G2" s="1538" t="s">
        <v>2409</v>
      </c>
      <c r="H2" s="2201">
        <f>IF(MONTH(H1)=12,VALUE(CONCATENATE(YEAR(H1)-2,"/",1,"/",1)),
IF(MONTH(H1)=6,VALUE(CONCATENATE(YEAR(H1)-3,"/",7,"/",1)),))</f>
        <v>42917</v>
      </c>
      <c r="I2" s="1539"/>
    </row>
    <row r="3" spans="1:11" s="1347" customFormat="1" ht="63">
      <c r="A3" s="1522" t="s">
        <v>2410</v>
      </c>
      <c r="B3" s="1522" t="s">
        <v>2411</v>
      </c>
      <c r="C3" s="1522" t="s">
        <v>2412</v>
      </c>
      <c r="D3" s="1522" t="s">
        <v>2353</v>
      </c>
      <c r="E3" s="1522" t="s">
        <v>2354</v>
      </c>
      <c r="G3" s="1522" t="s">
        <v>2413</v>
      </c>
      <c r="H3" s="1522" t="s">
        <v>2411</v>
      </c>
      <c r="I3" s="1522" t="s">
        <v>2412</v>
      </c>
      <c r="J3" s="1522" t="s">
        <v>2353</v>
      </c>
      <c r="K3" s="1522" t="s">
        <v>2354</v>
      </c>
    </row>
    <row r="4" spans="1:11" s="1528" customFormat="1" ht="16.5">
      <c r="A4" s="1540" t="s">
        <v>2414</v>
      </c>
      <c r="B4" s="1540" t="s">
        <v>2415</v>
      </c>
      <c r="C4" s="1540" t="s">
        <v>2416</v>
      </c>
      <c r="D4" s="1540" t="s">
        <v>2416</v>
      </c>
      <c r="E4" s="1540" t="s">
        <v>2417</v>
      </c>
      <c r="G4" s="1540" t="s">
        <v>2418</v>
      </c>
      <c r="H4" s="2202">
        <f t="array" aca="1" ref="H4" ca="1">VLOOKUP(MAX((OFFSET($A$5,,,9999,)&lt;=$H$1)*OFFSET($A$5,,,9999,)*(OFFSET(B$5,,,9999,)&lt;&gt;"")),OFFSET($A$5,,,9999,5),2,FALSE)</f>
        <v>21851.5</v>
      </c>
      <c r="I4" s="2202">
        <f t="array" aca="1" ref="I4" ca="1">VLOOKUP(MAX((OFFSET($A$5,,,9999,)&lt;=$H$1)*OFFSET($A$5,,,9999,)*(OFFSET(C$5,,,9999,)&lt;&gt;"")),OFFSET($A$5,,,9999,5),3,FALSE)</f>
        <v>245.03</v>
      </c>
      <c r="J4" s="2202">
        <f t="array" aca="1" ref="J4" ca="1">VLOOKUP(MAX((OFFSET($A$5,,,9999,)&lt;=$H$1)*OFFSET($A$5,,,9999,)*(OFFSET(D$5,,,9999,)&lt;&gt;"")),OFFSET($A$5,,,9999,5),4,FALSE)</f>
        <v>9432.11</v>
      </c>
      <c r="K4" s="2202">
        <f t="array" aca="1" ref="K4" ca="1">VLOOKUP(MAX((OFFSET($A$5,,,9999,)&lt;=$H$1)*OFFSET($A$5,,,9999,)*(OFFSET(E$5,,,9999,)&lt;&gt;"")),OFFSET($A$5,,,9999,5),5,FALSE)</f>
        <v>2322.5100000000002</v>
      </c>
    </row>
    <row r="5" spans="1:11" ht="18.75">
      <c r="A5" s="2198">
        <v>44012</v>
      </c>
      <c r="B5" s="2502">
        <v>21851.5</v>
      </c>
      <c r="C5" s="2502">
        <v>245.03</v>
      </c>
      <c r="D5" s="2502">
        <v>9432.11</v>
      </c>
      <c r="E5" s="2502">
        <v>2322.5100000000002</v>
      </c>
      <c r="F5" s="2199"/>
      <c r="G5" s="1540" t="s">
        <v>2419</v>
      </c>
      <c r="H5" s="2202">
        <f ca="1">AVERAGE(OFFSET(INDIRECT(ADDRESS(MATCH($H$1,OFFSET($A$5,,,9999,),0)+4,COLUMN(B5),1,1)),,,MATCH($H$2,OFFSET($A$5,,,9999,),0)-MATCH($H$1,OFFSET($A$5,,,9999,),0)+1,))</f>
        <v>19138.951909959087</v>
      </c>
      <c r="I5" s="2202">
        <f ca="1">AVERAGE(OFFSET(INDIRECT(ADDRESS(MATCH($H$1,OFFSET($A$5,,,9999,),0)+4,COLUMN(C5),1,1)),,,MATCH($H$2,OFFSET($A$5,,,9999,),0)-MATCH($H$1,OFFSET($A$5,,,9999,),0)+1,))</f>
        <v>206.62289222373809</v>
      </c>
      <c r="J5" s="2202">
        <f ca="1">AVERAGE(OFFSET(INDIRECT(ADDRESS(MATCH($H$1,OFFSET($A$5,,,9999,),0)+4,COLUMN(D5),1,1)),,,MATCH($H$2,OFFSET($A$5,,,9999,),0)-MATCH($H$1,OFFSET($A$5,,,9999,),0)+1,))</f>
        <v>8712.1047698209713</v>
      </c>
      <c r="K5" s="2202">
        <f ca="1">AVERAGE(OFFSET(INDIRECT(ADDRESS(MATCH($H$1,OFFSET($A$5,,,9999,),0)+4,COLUMN(E5),1,1)),,,MATCH($H$2,OFFSET($A$5,,,9999,),0)-MATCH($H$1,OFFSET($A$5,,,9999,),0)+1,))</f>
        <v>2361.2431329923302</v>
      </c>
    </row>
    <row r="6" spans="1:11" ht="16.5">
      <c r="A6" s="2198">
        <v>44011</v>
      </c>
      <c r="B6" s="2502">
        <v>21695.37</v>
      </c>
      <c r="C6" s="2502">
        <v>243.05</v>
      </c>
      <c r="D6" s="2502">
        <v>9323.0499999999993</v>
      </c>
      <c r="E6" s="2502">
        <v>2319.33</v>
      </c>
      <c r="F6" s="2199"/>
      <c r="G6" s="1540" t="s">
        <v>2420</v>
      </c>
      <c r="H6" s="2203">
        <f ca="1">ROUND(MIN(MAX(((H4-H5)/H5-8%)*0.5,-10%),10%)*0.85,4)</f>
        <v>2.6200000000000001E-2</v>
      </c>
      <c r="I6" s="2203">
        <f ca="1">ROUND(MIN(MAX(((I4-I5)/I5-8%)*0.5,-10%),10%)*0.85,4)</f>
        <v>4.4999999999999998E-2</v>
      </c>
      <c r="J6" s="2203">
        <f ca="1">ROUND(MIN(MAX(((J4-J5)/J5-8%)*0.5,-10%),10%)*0.85,4)</f>
        <v>1.1000000000000001E-3</v>
      </c>
      <c r="K6" s="2203">
        <f ca="1">ROUND(MIN(MAX(((K4-K5)/K5-8%)*0.5,-10%),10%)*0.85,4)</f>
        <v>-4.1000000000000002E-2</v>
      </c>
    </row>
    <row r="7" spans="1:11">
      <c r="A7" s="2198">
        <v>44010</v>
      </c>
      <c r="B7" s="2502" t="s">
        <v>1643</v>
      </c>
      <c r="C7" s="2502" t="s">
        <v>1643</v>
      </c>
      <c r="D7" s="2502"/>
      <c r="E7" s="2502"/>
      <c r="F7" s="2199"/>
      <c r="G7" s="1543"/>
      <c r="H7" s="1544"/>
    </row>
    <row r="8" spans="1:11">
      <c r="A8" s="2198">
        <v>44009</v>
      </c>
      <c r="B8" s="2502" t="s">
        <v>1643</v>
      </c>
      <c r="C8" s="2502" t="s">
        <v>1643</v>
      </c>
      <c r="D8" s="2502"/>
      <c r="E8" s="2502"/>
      <c r="F8" s="2199"/>
      <c r="H8" s="1539"/>
    </row>
    <row r="9" spans="1:11">
      <c r="A9" s="2198">
        <v>44008</v>
      </c>
      <c r="B9" s="2502" t="s">
        <v>1643</v>
      </c>
      <c r="C9" s="2502" t="s">
        <v>1643</v>
      </c>
      <c r="D9" s="2502">
        <v>9237.2900000000009</v>
      </c>
      <c r="E9" s="2502">
        <v>2329.5100000000002</v>
      </c>
      <c r="F9" s="2199"/>
    </row>
    <row r="10" spans="1:11">
      <c r="A10" s="2198">
        <v>44007</v>
      </c>
      <c r="B10" s="2502" t="s">
        <v>1643</v>
      </c>
      <c r="C10" s="2502" t="s">
        <v>1643</v>
      </c>
      <c r="D10" s="2502">
        <v>9392.11</v>
      </c>
      <c r="E10" s="2502">
        <v>2342.37</v>
      </c>
      <c r="F10" s="2199"/>
    </row>
    <row r="11" spans="1:11">
      <c r="A11" s="2198">
        <v>44006</v>
      </c>
      <c r="B11" s="2502">
        <v>21909.4</v>
      </c>
      <c r="C11" s="2502">
        <v>244.13</v>
      </c>
      <c r="D11" s="2502">
        <v>9334.82</v>
      </c>
      <c r="E11" s="2502">
        <v>2357.06</v>
      </c>
      <c r="F11" s="2199"/>
    </row>
    <row r="12" spans="1:11">
      <c r="A12" s="2198">
        <v>44005</v>
      </c>
      <c r="B12" s="2502">
        <v>21811.11</v>
      </c>
      <c r="C12" s="2502">
        <v>243.55</v>
      </c>
      <c r="D12" s="2502">
        <v>9574.2000000000007</v>
      </c>
      <c r="E12" s="2502">
        <v>2365.4699999999998</v>
      </c>
      <c r="F12" s="2199"/>
    </row>
    <row r="13" spans="1:11">
      <c r="A13" s="2198">
        <v>44004</v>
      </c>
      <c r="B13" s="2502">
        <v>21726.25</v>
      </c>
      <c r="C13" s="2502">
        <v>244.5</v>
      </c>
      <c r="D13" s="2502">
        <v>9495.8799999999992</v>
      </c>
      <c r="E13" s="2502">
        <v>2331.5300000000002</v>
      </c>
      <c r="F13" s="2199"/>
    </row>
    <row r="14" spans="1:11">
      <c r="A14" s="2198">
        <v>44003</v>
      </c>
      <c r="B14" s="2502" t="s">
        <v>1643</v>
      </c>
      <c r="C14" s="2502" t="s">
        <v>1643</v>
      </c>
      <c r="D14" s="2502"/>
      <c r="E14" s="2502"/>
      <c r="F14" s="2199"/>
    </row>
    <row r="15" spans="1:11">
      <c r="A15" s="2198">
        <v>44002</v>
      </c>
      <c r="B15" s="2502" t="s">
        <v>1643</v>
      </c>
      <c r="C15" s="2502" t="s">
        <v>1643</v>
      </c>
      <c r="D15" s="2502"/>
      <c r="E15" s="2502"/>
      <c r="F15" s="2199"/>
    </row>
    <row r="16" spans="1:11">
      <c r="A16" s="2198">
        <v>44001</v>
      </c>
      <c r="B16" s="2502">
        <v>21678.39</v>
      </c>
      <c r="C16" s="2502">
        <v>242.88</v>
      </c>
      <c r="D16" s="2502">
        <v>9457.19</v>
      </c>
      <c r="E16" s="2502">
        <v>2332.88</v>
      </c>
      <c r="F16" s="2199"/>
    </row>
    <row r="17" spans="1:6">
      <c r="A17" s="2198">
        <v>44000</v>
      </c>
      <c r="B17" s="2502">
        <v>21674.97</v>
      </c>
      <c r="C17" s="2502">
        <v>241.67</v>
      </c>
      <c r="D17" s="2502">
        <v>9483.8700000000008</v>
      </c>
      <c r="E17" s="2502">
        <v>2318.3000000000002</v>
      </c>
      <c r="F17" s="2199"/>
    </row>
    <row r="18" spans="1:6">
      <c r="A18" s="2198">
        <v>43999</v>
      </c>
      <c r="B18" s="2502">
        <v>21607.63</v>
      </c>
      <c r="C18" s="2502">
        <v>238.04</v>
      </c>
      <c r="D18" s="2502">
        <v>9493.0300000000007</v>
      </c>
      <c r="E18" s="2502">
        <v>2315.69</v>
      </c>
      <c r="F18" s="2199"/>
    </row>
    <row r="19" spans="1:6">
      <c r="A19" s="2198">
        <v>43998</v>
      </c>
      <c r="B19" s="2502">
        <v>21545.48</v>
      </c>
      <c r="C19" s="2502">
        <v>236.23</v>
      </c>
      <c r="D19" s="2502">
        <v>9497.99</v>
      </c>
      <c r="E19" s="2502">
        <v>2304.4699999999998</v>
      </c>
      <c r="F19" s="2199"/>
    </row>
    <row r="20" spans="1:6">
      <c r="A20" s="2198">
        <v>43997</v>
      </c>
      <c r="B20" s="2502">
        <v>21158.29</v>
      </c>
      <c r="C20" s="2502">
        <v>231.37</v>
      </c>
      <c r="D20" s="2502">
        <v>9293.99</v>
      </c>
      <c r="E20" s="2502">
        <v>2249.44</v>
      </c>
      <c r="F20" s="2199"/>
    </row>
    <row r="21" spans="1:6">
      <c r="A21" s="2198">
        <v>43996</v>
      </c>
      <c r="B21" s="2502" t="s">
        <v>1643</v>
      </c>
      <c r="C21" s="2502" t="s">
        <v>1643</v>
      </c>
      <c r="D21" s="2502"/>
      <c r="E21" s="2502"/>
      <c r="F21" s="2199"/>
    </row>
    <row r="22" spans="1:6">
      <c r="A22" s="2198">
        <v>43995</v>
      </c>
      <c r="B22" s="2502" t="s">
        <v>1643</v>
      </c>
      <c r="C22" s="2502" t="s">
        <v>1643</v>
      </c>
      <c r="D22" s="2502"/>
      <c r="E22" s="2502"/>
      <c r="F22" s="2199"/>
    </row>
    <row r="23" spans="1:6">
      <c r="A23" s="2198">
        <v>43994</v>
      </c>
      <c r="B23" s="2502">
        <v>21387.58</v>
      </c>
      <c r="C23" s="2502">
        <v>232.02</v>
      </c>
      <c r="D23" s="2502">
        <v>9263.66</v>
      </c>
      <c r="E23" s="2502">
        <v>2297.37</v>
      </c>
      <c r="F23" s="2199"/>
    </row>
    <row r="24" spans="1:6">
      <c r="A24" s="2198">
        <v>43993</v>
      </c>
      <c r="B24" s="2502">
        <v>21583.83</v>
      </c>
      <c r="C24" s="2502">
        <v>232.86</v>
      </c>
      <c r="D24" s="2502">
        <v>9218.89</v>
      </c>
      <c r="E24" s="2502">
        <v>2312.5500000000002</v>
      </c>
      <c r="F24" s="2199"/>
    </row>
    <row r="25" spans="1:6">
      <c r="A25" s="2198">
        <v>43992</v>
      </c>
      <c r="B25" s="2502">
        <v>21921.72</v>
      </c>
      <c r="C25" s="2502">
        <v>237.89</v>
      </c>
      <c r="D25" s="2502">
        <v>9700.81</v>
      </c>
      <c r="E25" s="2502">
        <v>2356.1999999999998</v>
      </c>
      <c r="F25" s="2199"/>
    </row>
    <row r="26" spans="1:6">
      <c r="A26" s="2198">
        <v>43991</v>
      </c>
      <c r="B26" s="2502">
        <v>21764.92</v>
      </c>
      <c r="C26" s="2502">
        <v>236.04</v>
      </c>
      <c r="D26" s="2502">
        <v>9734.5400000000009</v>
      </c>
      <c r="E26" s="2502">
        <v>2349.23</v>
      </c>
      <c r="F26" s="2199"/>
    </row>
    <row r="27" spans="1:6">
      <c r="A27" s="2198">
        <v>43990</v>
      </c>
      <c r="B27" s="2502">
        <v>21714</v>
      </c>
      <c r="C27" s="2502">
        <v>236.13</v>
      </c>
      <c r="D27" s="2502">
        <v>9788.5</v>
      </c>
      <c r="E27" s="2502">
        <v>2344.1799999999998</v>
      </c>
      <c r="F27" s="2199"/>
    </row>
    <row r="28" spans="1:6">
      <c r="A28" s="2198">
        <v>43989</v>
      </c>
      <c r="B28" s="2502" t="s">
        <v>1643</v>
      </c>
      <c r="C28" s="2502" t="s">
        <v>1643</v>
      </c>
      <c r="D28" s="2502"/>
      <c r="E28" s="2502"/>
      <c r="F28" s="2199"/>
    </row>
    <row r="29" spans="1:6">
      <c r="A29" s="2198">
        <v>43988</v>
      </c>
      <c r="B29" s="2502" t="s">
        <v>1643</v>
      </c>
      <c r="C29" s="2502" t="s">
        <v>1643</v>
      </c>
      <c r="D29" s="2502"/>
      <c r="E29" s="2502"/>
      <c r="F29" s="2199"/>
    </row>
    <row r="30" spans="1:6">
      <c r="A30" s="2198">
        <v>43987</v>
      </c>
      <c r="B30" s="2502">
        <v>21468.9</v>
      </c>
      <c r="C30" s="2502">
        <v>234.24</v>
      </c>
      <c r="D30" s="2502">
        <v>9697.09</v>
      </c>
      <c r="E30" s="2502">
        <v>2332.91</v>
      </c>
      <c r="F30" s="2199"/>
    </row>
    <row r="31" spans="1:6">
      <c r="A31" s="2198">
        <v>43986</v>
      </c>
      <c r="B31" s="2502">
        <v>21307.75</v>
      </c>
      <c r="C31" s="2502">
        <v>232.2</v>
      </c>
      <c r="D31" s="2502">
        <v>9490.4599999999991</v>
      </c>
      <c r="E31" s="2502">
        <v>2300.5700000000002</v>
      </c>
      <c r="F31" s="2199"/>
    </row>
    <row r="32" spans="1:6">
      <c r="A32" s="2198">
        <v>43985</v>
      </c>
      <c r="B32" s="2502">
        <v>21171.1</v>
      </c>
      <c r="C32" s="2502">
        <v>230.58</v>
      </c>
      <c r="D32" s="2502">
        <v>9506.44</v>
      </c>
      <c r="E32" s="2502">
        <v>2297.9899999999998</v>
      </c>
      <c r="F32" s="2199"/>
    </row>
    <row r="33" spans="1:6">
      <c r="A33" s="2198">
        <v>43984</v>
      </c>
      <c r="B33" s="2502">
        <v>20811.580000000002</v>
      </c>
      <c r="C33" s="2502">
        <v>227.56</v>
      </c>
      <c r="D33" s="2502">
        <v>9353.6</v>
      </c>
      <c r="E33" s="2502">
        <v>2250.0500000000002</v>
      </c>
      <c r="F33" s="2199"/>
    </row>
    <row r="34" spans="1:6">
      <c r="A34" s="2198">
        <v>43983</v>
      </c>
      <c r="B34" s="2502">
        <v>20719.37</v>
      </c>
      <c r="C34" s="2502">
        <v>228</v>
      </c>
      <c r="D34" s="2502">
        <v>9254.2199999999993</v>
      </c>
      <c r="E34" s="2502">
        <v>2212.34</v>
      </c>
      <c r="F34" s="2199"/>
    </row>
    <row r="35" spans="1:6">
      <c r="A35" s="2198">
        <v>43982</v>
      </c>
      <c r="B35" s="2502" t="s">
        <v>1643</v>
      </c>
      <c r="C35" s="2502" t="s">
        <v>1643</v>
      </c>
      <c r="D35" s="2502"/>
      <c r="E35" s="2502"/>
      <c r="F35" s="2199"/>
    </row>
    <row r="36" spans="1:6">
      <c r="A36" s="2198">
        <v>43981</v>
      </c>
      <c r="B36" s="2502" t="s">
        <v>1643</v>
      </c>
      <c r="C36" s="2502" t="s">
        <v>1643</v>
      </c>
      <c r="D36" s="2502"/>
      <c r="E36" s="2502"/>
      <c r="F36" s="2199"/>
    </row>
    <row r="37" spans="1:6">
      <c r="A37" s="2198">
        <v>43980</v>
      </c>
      <c r="B37" s="2502">
        <v>20463</v>
      </c>
      <c r="C37" s="2502">
        <v>225</v>
      </c>
      <c r="D37" s="2502">
        <v>9185.25</v>
      </c>
      <c r="E37" s="2502">
        <v>2162.44</v>
      </c>
      <c r="F37" s="2199"/>
    </row>
    <row r="38" spans="1:6">
      <c r="A38" s="2198">
        <v>43979</v>
      </c>
      <c r="B38" s="2502">
        <v>20466.810000000001</v>
      </c>
      <c r="C38" s="2502">
        <v>223.71</v>
      </c>
      <c r="D38" s="2502">
        <v>9185.91</v>
      </c>
      <c r="E38" s="2502">
        <v>2150.36</v>
      </c>
      <c r="F38" s="2199"/>
    </row>
    <row r="39" spans="1:6">
      <c r="A39" s="2198">
        <v>43978</v>
      </c>
      <c r="B39" s="2502">
        <v>20597.560000000001</v>
      </c>
      <c r="C39" s="2502">
        <v>224.11</v>
      </c>
      <c r="D39" s="2502">
        <v>9136.01</v>
      </c>
      <c r="E39" s="2502">
        <v>2154.83</v>
      </c>
      <c r="F39" s="2199"/>
    </row>
    <row r="40" spans="1:6">
      <c r="A40" s="2198">
        <v>43977</v>
      </c>
      <c r="B40" s="2502">
        <v>20564.919999999998</v>
      </c>
      <c r="C40" s="2502">
        <v>224.12</v>
      </c>
      <c r="D40" s="2502">
        <v>9039.17</v>
      </c>
      <c r="E40" s="2502">
        <v>2153</v>
      </c>
      <c r="F40" s="2199"/>
    </row>
    <row r="41" spans="1:6">
      <c r="A41" s="2198">
        <v>43976</v>
      </c>
      <c r="B41" s="2502">
        <v>20329.25</v>
      </c>
      <c r="C41" s="2502">
        <v>223.81</v>
      </c>
      <c r="D41" s="2502">
        <v>8900.32</v>
      </c>
      <c r="E41" s="2502">
        <v>2117.33</v>
      </c>
      <c r="F41" s="2199"/>
    </row>
    <row r="42" spans="1:6">
      <c r="A42" s="2198">
        <v>43975</v>
      </c>
      <c r="B42" s="2502" t="s">
        <v>1643</v>
      </c>
      <c r="C42" s="2502" t="s">
        <v>1643</v>
      </c>
      <c r="D42" s="2502"/>
      <c r="E42" s="2502"/>
      <c r="F42" s="2199"/>
    </row>
    <row r="43" spans="1:6">
      <c r="A43" s="2198">
        <v>43974</v>
      </c>
      <c r="B43" s="2502" t="s">
        <v>1643</v>
      </c>
      <c r="C43" s="2502" t="s">
        <v>1643</v>
      </c>
      <c r="D43" s="2502"/>
      <c r="E43" s="2502"/>
      <c r="F43" s="2199"/>
    </row>
    <row r="44" spans="1:6">
      <c r="A44" s="2198">
        <v>43973</v>
      </c>
      <c r="B44" s="2502">
        <v>20216.98</v>
      </c>
      <c r="C44" s="2502">
        <v>220.05</v>
      </c>
      <c r="D44" s="2502">
        <v>8857.84</v>
      </c>
      <c r="E44" s="2502">
        <v>2102.1999999999998</v>
      </c>
      <c r="F44" s="2199"/>
    </row>
    <row r="45" spans="1:6">
      <c r="A45" s="2198">
        <v>43972</v>
      </c>
      <c r="B45" s="2502">
        <v>20585.68</v>
      </c>
      <c r="C45" s="2502">
        <v>221.49</v>
      </c>
      <c r="D45" s="2502">
        <v>8866.0300000000007</v>
      </c>
      <c r="E45" s="2502">
        <v>2159.23</v>
      </c>
      <c r="F45" s="2199"/>
    </row>
    <row r="46" spans="1:6">
      <c r="A46" s="2198">
        <v>43971</v>
      </c>
      <c r="B46" s="2502">
        <v>20397.73</v>
      </c>
      <c r="C46" s="2502">
        <v>218.75</v>
      </c>
      <c r="D46" s="2502">
        <v>8941.51</v>
      </c>
      <c r="E46" s="2502">
        <v>2162.69</v>
      </c>
      <c r="F46" s="2199"/>
    </row>
    <row r="47" spans="1:6">
      <c r="A47" s="2198">
        <v>43970</v>
      </c>
      <c r="B47" s="2502">
        <v>20309.169999999998</v>
      </c>
      <c r="C47" s="2502">
        <v>217.75</v>
      </c>
      <c r="D47" s="2502">
        <v>8809.31</v>
      </c>
      <c r="E47" s="2502">
        <v>2148.04</v>
      </c>
      <c r="F47" s="2199"/>
    </row>
    <row r="48" spans="1:6">
      <c r="A48" s="2198">
        <v>43969</v>
      </c>
      <c r="B48" s="2502">
        <v>20084.97</v>
      </c>
      <c r="C48" s="2502">
        <v>215.19</v>
      </c>
      <c r="D48" s="2502">
        <v>8840.99</v>
      </c>
      <c r="E48" s="2502">
        <v>2118.5500000000002</v>
      </c>
      <c r="F48" s="2199"/>
    </row>
    <row r="49" spans="1:6">
      <c r="A49" s="2198">
        <v>43968</v>
      </c>
      <c r="B49" s="2502" t="s">
        <v>1643</v>
      </c>
      <c r="C49" s="2502" t="s">
        <v>1643</v>
      </c>
      <c r="D49" s="2502"/>
      <c r="E49" s="2502"/>
      <c r="F49" s="2199"/>
    </row>
    <row r="50" spans="1:6">
      <c r="A50" s="2198">
        <v>43967</v>
      </c>
      <c r="B50" s="2502" t="s">
        <v>1643</v>
      </c>
      <c r="C50" s="2502" t="s">
        <v>1643</v>
      </c>
      <c r="D50" s="2502"/>
      <c r="E50" s="2502"/>
      <c r="F50" s="2199"/>
    </row>
    <row r="51" spans="1:6">
      <c r="A51" s="2198">
        <v>43966</v>
      </c>
      <c r="B51" s="2502">
        <v>20224.04</v>
      </c>
      <c r="C51" s="2502">
        <v>216.21</v>
      </c>
      <c r="D51" s="2502">
        <v>8580.68</v>
      </c>
      <c r="E51" s="2502">
        <v>2091.98</v>
      </c>
      <c r="F51" s="2199"/>
    </row>
    <row r="52" spans="1:6">
      <c r="A52" s="2198">
        <v>43965</v>
      </c>
      <c r="B52" s="2502">
        <v>20160.38</v>
      </c>
      <c r="C52" s="2502">
        <v>214.7</v>
      </c>
      <c r="D52" s="2502">
        <v>8542.91</v>
      </c>
      <c r="E52" s="2502">
        <v>2090.9</v>
      </c>
      <c r="F52" s="2199"/>
    </row>
    <row r="53" spans="1:6">
      <c r="A53" s="2198">
        <v>43964</v>
      </c>
      <c r="B53" s="2502">
        <v>20454.71</v>
      </c>
      <c r="C53" s="2502">
        <v>218.15</v>
      </c>
      <c r="D53" s="2502">
        <v>8534.67</v>
      </c>
      <c r="E53" s="2502">
        <v>2109.86</v>
      </c>
      <c r="F53" s="2199"/>
    </row>
    <row r="54" spans="1:6">
      <c r="A54" s="2198">
        <v>43963</v>
      </c>
      <c r="B54" s="2502">
        <v>20344.75</v>
      </c>
      <c r="C54" s="2502">
        <v>215.89</v>
      </c>
      <c r="D54" s="2502">
        <v>8685.99</v>
      </c>
      <c r="E54" s="2502">
        <v>2110.06</v>
      </c>
      <c r="F54" s="2199"/>
    </row>
    <row r="55" spans="1:6">
      <c r="A55" s="2198">
        <v>43962</v>
      </c>
      <c r="B55" s="2502">
        <v>20594.93</v>
      </c>
      <c r="C55" s="2502">
        <v>216.45</v>
      </c>
      <c r="D55" s="2502">
        <v>8798.27</v>
      </c>
      <c r="E55" s="2502">
        <v>2125.37</v>
      </c>
      <c r="F55" s="2199"/>
    </row>
    <row r="56" spans="1:6">
      <c r="A56" s="2198">
        <v>43961</v>
      </c>
      <c r="B56" s="2502" t="s">
        <v>1643</v>
      </c>
      <c r="C56" s="2502" t="s">
        <v>1643</v>
      </c>
      <c r="D56" s="2502"/>
      <c r="E56" s="2502"/>
      <c r="F56" s="2199"/>
    </row>
    <row r="57" spans="1:6">
      <c r="A57" s="2198">
        <v>43960</v>
      </c>
      <c r="B57" s="2502" t="s">
        <v>1643</v>
      </c>
      <c r="C57" s="2502" t="s">
        <v>1643</v>
      </c>
      <c r="D57" s="2502"/>
      <c r="E57" s="2502"/>
      <c r="F57" s="2199"/>
    </row>
    <row r="58" spans="1:6">
      <c r="A58" s="2198">
        <v>43959</v>
      </c>
      <c r="B58" s="2502">
        <v>20385.8</v>
      </c>
      <c r="C58" s="2502">
        <v>215.31</v>
      </c>
      <c r="D58" s="2502">
        <v>8802.8799999999992</v>
      </c>
      <c r="E58" s="2502">
        <v>2115.5</v>
      </c>
      <c r="F58" s="2199"/>
    </row>
    <row r="59" spans="1:6">
      <c r="A59" s="2198">
        <v>43958</v>
      </c>
      <c r="B59" s="2502">
        <v>20276.39</v>
      </c>
      <c r="C59" s="2502">
        <v>214.92</v>
      </c>
      <c r="D59" s="2502">
        <v>8649.07</v>
      </c>
      <c r="E59" s="2502">
        <v>2080.7399999999998</v>
      </c>
      <c r="F59" s="2199"/>
    </row>
    <row r="60" spans="1:6">
      <c r="A60" s="2198">
        <v>43957</v>
      </c>
      <c r="B60" s="2502">
        <v>20149.349999999999</v>
      </c>
      <c r="C60" s="2502">
        <v>211.69</v>
      </c>
      <c r="D60" s="2502">
        <v>8566.4</v>
      </c>
      <c r="E60" s="2502">
        <v>2084.7199999999998</v>
      </c>
      <c r="F60" s="2199"/>
    </row>
    <row r="61" spans="1:6">
      <c r="A61" s="2198">
        <v>43956</v>
      </c>
      <c r="B61" s="2502">
        <v>20148.650000000001</v>
      </c>
      <c r="C61" s="2502">
        <v>211.28</v>
      </c>
      <c r="D61" s="2502">
        <v>8610.84</v>
      </c>
      <c r="E61" s="2502">
        <v>2077.8200000000002</v>
      </c>
      <c r="F61" s="2199"/>
    </row>
    <row r="62" spans="1:6">
      <c r="A62" s="2198">
        <v>43955</v>
      </c>
      <c r="B62" s="2502">
        <v>20047.43</v>
      </c>
      <c r="C62" s="2502">
        <v>209.22</v>
      </c>
      <c r="D62" s="2502">
        <v>8523.0400000000009</v>
      </c>
      <c r="E62" s="2502">
        <v>2059.8000000000002</v>
      </c>
      <c r="F62" s="2199"/>
    </row>
    <row r="63" spans="1:6">
      <c r="A63" s="2198">
        <v>43954</v>
      </c>
      <c r="B63" s="2502" t="s">
        <v>1643</v>
      </c>
      <c r="C63" s="2502" t="s">
        <v>1643</v>
      </c>
      <c r="D63" s="2502"/>
      <c r="E63" s="2502"/>
      <c r="F63" s="2199"/>
    </row>
    <row r="64" spans="1:6">
      <c r="A64" s="2198">
        <v>43953</v>
      </c>
      <c r="B64" s="2502" t="s">
        <v>1643</v>
      </c>
      <c r="C64" s="2502" t="s">
        <v>1643</v>
      </c>
      <c r="D64" s="2502"/>
      <c r="E64" s="2502"/>
      <c r="F64" s="2199"/>
    </row>
    <row r="65" spans="1:6">
      <c r="A65" s="2198">
        <v>43952</v>
      </c>
      <c r="B65" s="2502" t="s">
        <v>1643</v>
      </c>
      <c r="C65" s="2502" t="s">
        <v>1643</v>
      </c>
      <c r="D65" s="2502">
        <v>8552.27</v>
      </c>
      <c r="E65" s="2502">
        <v>2126.56</v>
      </c>
      <c r="F65" s="2199"/>
    </row>
    <row r="66" spans="1:6">
      <c r="A66" s="2198">
        <v>43951</v>
      </c>
      <c r="B66" s="2502">
        <v>20555.45</v>
      </c>
      <c r="C66" s="2502">
        <v>210.19</v>
      </c>
      <c r="D66" s="2502">
        <v>8756.4599999999991</v>
      </c>
      <c r="E66" s="2502">
        <v>2145.5</v>
      </c>
      <c r="F66" s="2199"/>
    </row>
    <row r="67" spans="1:6">
      <c r="A67" s="2198">
        <v>43950</v>
      </c>
      <c r="B67" s="2502">
        <v>20144.18</v>
      </c>
      <c r="C67" s="2502">
        <v>206.9</v>
      </c>
      <c r="D67" s="2502">
        <v>8831.92</v>
      </c>
      <c r="E67" s="2502">
        <v>2133.16</v>
      </c>
      <c r="F67" s="2199"/>
    </row>
    <row r="68" spans="1:6">
      <c r="A68" s="2198">
        <v>43949</v>
      </c>
      <c r="B68" s="2502">
        <v>19852.16</v>
      </c>
      <c r="C68" s="2502">
        <v>204.54</v>
      </c>
      <c r="D68" s="2502">
        <v>8628.59</v>
      </c>
      <c r="E68" s="2502">
        <v>2093.62</v>
      </c>
      <c r="F68" s="2199"/>
    </row>
    <row r="69" spans="1:6">
      <c r="A69" s="2198">
        <v>43948</v>
      </c>
      <c r="B69" s="2502">
        <v>19760.919999999998</v>
      </c>
      <c r="C69" s="2502">
        <v>203.21</v>
      </c>
      <c r="D69" s="2502">
        <v>8624.84</v>
      </c>
      <c r="E69" s="2502">
        <v>2076.4699999999998</v>
      </c>
      <c r="F69" s="2199"/>
    </row>
    <row r="70" spans="1:6">
      <c r="A70" s="2198">
        <v>43947</v>
      </c>
      <c r="B70" s="2502" t="s">
        <v>1643</v>
      </c>
      <c r="C70" s="2502" t="s">
        <v>1643</v>
      </c>
      <c r="D70" s="2502"/>
      <c r="E70" s="2502"/>
      <c r="F70" s="2199"/>
    </row>
    <row r="71" spans="1:6">
      <c r="A71" s="2198">
        <v>43946</v>
      </c>
      <c r="B71" s="2502" t="s">
        <v>1643</v>
      </c>
      <c r="C71" s="2502" t="s">
        <v>1643</v>
      </c>
      <c r="D71" s="2502"/>
      <c r="E71" s="2502"/>
      <c r="F71" s="2199"/>
    </row>
    <row r="72" spans="1:6">
      <c r="A72" s="2198">
        <v>43945</v>
      </c>
      <c r="B72" s="2502">
        <v>19349.7</v>
      </c>
      <c r="C72" s="2502">
        <v>200.51</v>
      </c>
      <c r="D72" s="2502">
        <v>8474.0300000000007</v>
      </c>
      <c r="E72" s="2502">
        <v>2039.52</v>
      </c>
      <c r="F72" s="2199"/>
    </row>
    <row r="73" spans="1:6">
      <c r="A73" s="2198">
        <v>43944</v>
      </c>
      <c r="B73" s="2502">
        <v>19385.509999999998</v>
      </c>
      <c r="C73" s="2502">
        <v>200.09</v>
      </c>
      <c r="D73" s="2502">
        <v>8416.84</v>
      </c>
      <c r="E73" s="2502">
        <v>2068.2600000000002</v>
      </c>
      <c r="F73" s="2199"/>
    </row>
    <row r="74" spans="1:6">
      <c r="A74" s="2198">
        <v>43943</v>
      </c>
      <c r="B74" s="2502">
        <v>19274.78</v>
      </c>
      <c r="C74" s="2502">
        <v>198.28</v>
      </c>
      <c r="D74" s="2502">
        <v>8389.98</v>
      </c>
      <c r="E74" s="2502">
        <v>2060.8000000000002</v>
      </c>
      <c r="F74" s="2199"/>
    </row>
    <row r="75" spans="1:6">
      <c r="A75" s="2198">
        <v>43942</v>
      </c>
      <c r="B75" s="2502">
        <v>19238.560000000001</v>
      </c>
      <c r="C75" s="2502">
        <v>196.49</v>
      </c>
      <c r="D75" s="2502">
        <v>8235.92</v>
      </c>
      <c r="E75" s="2502">
        <v>2036.28</v>
      </c>
      <c r="F75" s="2199"/>
    </row>
    <row r="76" spans="1:6">
      <c r="A76" s="2198">
        <v>43941</v>
      </c>
      <c r="B76" s="2502">
        <v>19796.34</v>
      </c>
      <c r="C76" s="2502">
        <v>201.13</v>
      </c>
      <c r="D76" s="2502">
        <v>8498.51</v>
      </c>
      <c r="E76" s="2502">
        <v>2084.9699999999998</v>
      </c>
      <c r="F76" s="2199"/>
    </row>
    <row r="77" spans="1:6">
      <c r="A77" s="2198">
        <v>43940</v>
      </c>
      <c r="B77" s="2502" t="s">
        <v>1643</v>
      </c>
      <c r="C77" s="2502" t="s">
        <v>1643</v>
      </c>
      <c r="D77" s="2502"/>
      <c r="E77" s="2502"/>
      <c r="F77" s="2199"/>
    </row>
    <row r="78" spans="1:6">
      <c r="A78" s="2198">
        <v>43939</v>
      </c>
      <c r="B78" s="2502" t="s">
        <v>1643</v>
      </c>
      <c r="C78" s="2502" t="s">
        <v>1643</v>
      </c>
      <c r="D78" s="2502"/>
      <c r="E78" s="2502"/>
      <c r="F78" s="2199"/>
    </row>
    <row r="79" spans="1:6">
      <c r="A79" s="2198">
        <v>43938</v>
      </c>
      <c r="B79" s="2502">
        <v>19815.66</v>
      </c>
      <c r="C79" s="2502">
        <v>199.58</v>
      </c>
      <c r="D79" s="2502">
        <v>8598.5400000000009</v>
      </c>
      <c r="E79" s="2502">
        <v>2089.56</v>
      </c>
      <c r="F79" s="2199"/>
    </row>
    <row r="80" spans="1:6">
      <c r="A80" s="2198">
        <v>43937</v>
      </c>
      <c r="B80" s="2502">
        <v>19401.34</v>
      </c>
      <c r="C80" s="2502">
        <v>199.37</v>
      </c>
      <c r="D80" s="2502">
        <v>8371.6</v>
      </c>
      <c r="E80" s="2502">
        <v>2051.3200000000002</v>
      </c>
      <c r="F80" s="2199"/>
    </row>
    <row r="81" spans="1:6">
      <c r="A81" s="2198">
        <v>43936</v>
      </c>
      <c r="B81" s="2502">
        <v>19535.48</v>
      </c>
      <c r="C81" s="2502">
        <v>198.58</v>
      </c>
      <c r="D81" s="2502">
        <v>8353.58</v>
      </c>
      <c r="E81" s="2502">
        <v>2058.87</v>
      </c>
      <c r="F81" s="2199"/>
    </row>
    <row r="82" spans="1:6">
      <c r="A82" s="2198">
        <v>43935</v>
      </c>
      <c r="B82" s="2502">
        <v>19321.8</v>
      </c>
      <c r="C82" s="2502">
        <v>196.12</v>
      </c>
      <c r="D82" s="2502">
        <v>8551.84</v>
      </c>
      <c r="E82" s="2502">
        <v>2077.4</v>
      </c>
      <c r="F82" s="2199"/>
    </row>
    <row r="83" spans="1:6">
      <c r="A83" s="2198">
        <v>43934</v>
      </c>
      <c r="B83" s="2502">
        <v>18884.77</v>
      </c>
      <c r="C83" s="2502">
        <v>192.32</v>
      </c>
      <c r="D83" s="2502">
        <v>8337.85</v>
      </c>
      <c r="E83" s="2502">
        <v>2046.88</v>
      </c>
      <c r="F83" s="2199"/>
    </row>
    <row r="84" spans="1:6">
      <c r="A84" s="2198">
        <v>43933</v>
      </c>
      <c r="B84" s="2502" t="s">
        <v>1643</v>
      </c>
      <c r="C84" s="2502" t="s">
        <v>1643</v>
      </c>
      <c r="D84" s="2502"/>
      <c r="E84" s="2502"/>
      <c r="F84" s="2199"/>
    </row>
    <row r="85" spans="1:6">
      <c r="A85" s="2198">
        <v>43932</v>
      </c>
      <c r="B85" s="2502" t="s">
        <v>1643</v>
      </c>
      <c r="C85" s="2502" t="s">
        <v>1643</v>
      </c>
      <c r="D85" s="2502"/>
      <c r="E85" s="2502"/>
      <c r="F85" s="2199"/>
    </row>
    <row r="86" spans="1:6">
      <c r="A86" s="2198">
        <v>43931</v>
      </c>
      <c r="B86" s="2502">
        <v>18993.95</v>
      </c>
      <c r="C86" s="2502">
        <v>192.77</v>
      </c>
      <c r="D86" s="2502">
        <v>8402.52</v>
      </c>
      <c r="E86" s="2502">
        <v>2058.48</v>
      </c>
      <c r="F86" s="2199"/>
    </row>
    <row r="87" spans="1:6">
      <c r="A87" s="2198">
        <v>43930</v>
      </c>
      <c r="B87" s="2502">
        <v>18922.57</v>
      </c>
      <c r="C87" s="2502">
        <v>191.17</v>
      </c>
      <c r="D87" s="2502">
        <v>8397.0499999999993</v>
      </c>
      <c r="E87" s="2502">
        <v>2057</v>
      </c>
      <c r="F87" s="2199"/>
    </row>
    <row r="88" spans="1:6">
      <c r="A88" s="2198">
        <v>43929</v>
      </c>
      <c r="B88" s="2502">
        <v>18952.66</v>
      </c>
      <c r="C88" s="2502">
        <v>191.72</v>
      </c>
      <c r="D88" s="2502">
        <v>8266.02</v>
      </c>
      <c r="E88" s="2502">
        <v>2024.67</v>
      </c>
      <c r="F88" s="2199"/>
    </row>
    <row r="89" spans="1:6">
      <c r="A89" s="2198">
        <v>43928</v>
      </c>
      <c r="B89" s="2502">
        <v>18688.580000000002</v>
      </c>
      <c r="C89" s="2502">
        <v>187.82</v>
      </c>
      <c r="D89" s="2502">
        <v>8072.49</v>
      </c>
      <c r="E89" s="2502">
        <v>2034.6</v>
      </c>
      <c r="F89" s="2199"/>
    </row>
    <row r="90" spans="1:6">
      <c r="A90" s="2198">
        <v>43927</v>
      </c>
      <c r="B90" s="2502">
        <v>18356.45</v>
      </c>
      <c r="C90" s="2502">
        <v>184.21</v>
      </c>
      <c r="D90" s="2502">
        <v>8014.41</v>
      </c>
      <c r="E90" s="2502">
        <v>1978.11</v>
      </c>
      <c r="F90" s="2199"/>
    </row>
    <row r="91" spans="1:6">
      <c r="A91" s="2198">
        <v>43926</v>
      </c>
      <c r="B91" s="2502" t="s">
        <v>1643</v>
      </c>
      <c r="C91" s="2502" t="s">
        <v>1643</v>
      </c>
      <c r="D91" s="2502"/>
      <c r="E91" s="2502"/>
      <c r="F91" s="2199"/>
    </row>
    <row r="92" spans="1:6">
      <c r="A92" s="2198">
        <v>43925</v>
      </c>
      <c r="B92" s="2502" t="s">
        <v>1643</v>
      </c>
      <c r="C92" s="2502" t="s">
        <v>1643</v>
      </c>
      <c r="D92" s="2502"/>
      <c r="E92" s="2502"/>
      <c r="F92" s="2199"/>
    </row>
    <row r="93" spans="1:6">
      <c r="A93" s="2198">
        <v>43924</v>
      </c>
      <c r="B93" s="2502" t="s">
        <v>1643</v>
      </c>
      <c r="C93" s="2502" t="s">
        <v>1643</v>
      </c>
      <c r="D93" s="2502">
        <v>7568.57</v>
      </c>
      <c r="E93" s="2502">
        <v>1926.86</v>
      </c>
      <c r="F93" s="2199"/>
    </row>
    <row r="94" spans="1:6">
      <c r="A94" s="2198">
        <v>43923</v>
      </c>
      <c r="B94" s="2502" t="s">
        <v>1643</v>
      </c>
      <c r="C94" s="2502" t="s">
        <v>1643</v>
      </c>
      <c r="D94" s="2502">
        <v>7678.51</v>
      </c>
      <c r="E94" s="2502">
        <v>1942.59</v>
      </c>
      <c r="F94" s="2199"/>
    </row>
    <row r="95" spans="1:6">
      <c r="A95" s="2198">
        <v>43922</v>
      </c>
      <c r="B95" s="2502">
        <v>18066.47</v>
      </c>
      <c r="C95" s="2502">
        <v>180.93</v>
      </c>
      <c r="D95" s="2502">
        <v>7586.14</v>
      </c>
      <c r="E95" s="2502">
        <v>1916.33</v>
      </c>
      <c r="F95" s="2199"/>
    </row>
    <row r="96" spans="1:6">
      <c r="A96" s="2198">
        <v>43921</v>
      </c>
      <c r="B96" s="2502">
        <v>18149.52</v>
      </c>
      <c r="C96" s="2502">
        <v>179.74</v>
      </c>
      <c r="D96" s="2502">
        <v>7890.18</v>
      </c>
      <c r="E96" s="2502">
        <v>1965.16</v>
      </c>
      <c r="F96" s="2199"/>
    </row>
    <row r="97" spans="1:6">
      <c r="A97" s="2198">
        <v>43920</v>
      </c>
      <c r="B97" s="2502">
        <v>18002.36</v>
      </c>
      <c r="C97" s="2502">
        <v>179.07</v>
      </c>
      <c r="D97" s="2502">
        <v>7965.26</v>
      </c>
      <c r="E97" s="2502">
        <v>1926.75</v>
      </c>
      <c r="F97" s="2199"/>
    </row>
    <row r="98" spans="1:6">
      <c r="A98" s="2198">
        <v>43919</v>
      </c>
      <c r="B98" s="2502" t="s">
        <v>1643</v>
      </c>
      <c r="C98" s="2502" t="s">
        <v>1643</v>
      </c>
      <c r="D98" s="2502"/>
      <c r="E98" s="2502"/>
      <c r="F98" s="2199"/>
    </row>
    <row r="99" spans="1:6">
      <c r="A99" s="2198">
        <v>43918</v>
      </c>
      <c r="B99" s="2502" t="s">
        <v>1643</v>
      </c>
      <c r="C99" s="2502" t="s">
        <v>1643</v>
      </c>
      <c r="D99" s="2502"/>
      <c r="E99" s="2502"/>
      <c r="F99" s="2199"/>
    </row>
    <row r="100" spans="1:6">
      <c r="A100" s="2198">
        <v>43917</v>
      </c>
      <c r="B100" s="2502">
        <v>18132.189999999999</v>
      </c>
      <c r="C100" s="2502">
        <v>178.75</v>
      </c>
      <c r="D100" s="2502">
        <v>7770.76</v>
      </c>
      <c r="E100" s="2502">
        <v>1949.9</v>
      </c>
      <c r="F100" s="2199"/>
    </row>
    <row r="101" spans="1:6">
      <c r="A101" s="2198">
        <v>43916</v>
      </c>
      <c r="B101" s="2502">
        <v>18201.16</v>
      </c>
      <c r="C101" s="2502">
        <v>178.89</v>
      </c>
      <c r="D101" s="2502">
        <v>7976.03</v>
      </c>
      <c r="E101" s="2502">
        <v>1970.12</v>
      </c>
      <c r="F101" s="2199"/>
    </row>
    <row r="102" spans="1:6">
      <c r="A102" s="2198">
        <v>43915</v>
      </c>
      <c r="B102" s="2502">
        <v>18029.759999999998</v>
      </c>
      <c r="C102" s="2502">
        <v>175.95</v>
      </c>
      <c r="D102" s="2502">
        <v>7594.07</v>
      </c>
      <c r="E102" s="2502">
        <v>1935.5</v>
      </c>
      <c r="F102" s="2199"/>
    </row>
    <row r="103" spans="1:6">
      <c r="A103" s="2198">
        <v>43914</v>
      </c>
      <c r="B103" s="2502">
        <v>17358.419999999998</v>
      </c>
      <c r="C103" s="2502">
        <v>169.44</v>
      </c>
      <c r="D103" s="2502">
        <v>7409.52</v>
      </c>
      <c r="E103" s="2502">
        <v>1854.71</v>
      </c>
      <c r="F103" s="2199"/>
    </row>
    <row r="104" spans="1:6">
      <c r="A104" s="2198">
        <v>43913</v>
      </c>
      <c r="B104" s="2502">
        <v>16618.900000000001</v>
      </c>
      <c r="C104" s="2502">
        <v>162.29</v>
      </c>
      <c r="D104" s="2502">
        <v>6811.45</v>
      </c>
      <c r="E104" s="2502">
        <v>1754.01</v>
      </c>
      <c r="F104" s="2199"/>
    </row>
    <row r="105" spans="1:6">
      <c r="A105" s="2198">
        <v>43912</v>
      </c>
      <c r="B105" s="2502" t="s">
        <v>1643</v>
      </c>
      <c r="C105" s="2502" t="s">
        <v>1643</v>
      </c>
      <c r="D105" s="2502"/>
      <c r="E105" s="2502"/>
      <c r="F105" s="2199"/>
    </row>
    <row r="106" spans="1:6">
      <c r="A106" s="2198">
        <v>43911</v>
      </c>
      <c r="B106" s="2502" t="s">
        <v>1643</v>
      </c>
      <c r="C106" s="2502" t="s">
        <v>1643</v>
      </c>
      <c r="D106" s="2502"/>
      <c r="E106" s="2502"/>
      <c r="F106" s="2199"/>
    </row>
    <row r="107" spans="1:6">
      <c r="A107" s="2198">
        <v>43910</v>
      </c>
      <c r="B107" s="2502">
        <v>17262.09</v>
      </c>
      <c r="C107" s="2502">
        <v>166.96</v>
      </c>
      <c r="D107" s="2502">
        <v>7018.95</v>
      </c>
      <c r="E107" s="2502">
        <v>1857.89</v>
      </c>
      <c r="F107" s="2199"/>
    </row>
    <row r="108" spans="1:6">
      <c r="A108" s="2198">
        <v>43909</v>
      </c>
      <c r="B108" s="2502">
        <v>16228.6</v>
      </c>
      <c r="C108" s="2502">
        <v>157.38</v>
      </c>
      <c r="D108" s="2502">
        <v>7203.14</v>
      </c>
      <c r="E108" s="2502">
        <v>1772.71</v>
      </c>
      <c r="F108" s="2199"/>
    </row>
    <row r="109" spans="1:6">
      <c r="A109" s="2198">
        <v>43908</v>
      </c>
      <c r="B109" s="2502">
        <v>17192.79</v>
      </c>
      <c r="C109" s="2502">
        <v>170.21</v>
      </c>
      <c r="D109" s="2502">
        <v>7149.18</v>
      </c>
      <c r="E109" s="2502">
        <v>1821.01</v>
      </c>
      <c r="F109" s="2199"/>
    </row>
    <row r="110" spans="1:6">
      <c r="A110" s="2198">
        <v>43907</v>
      </c>
      <c r="B110" s="2502">
        <v>17604.87</v>
      </c>
      <c r="C110" s="2502">
        <v>172.71</v>
      </c>
      <c r="D110" s="2502">
        <v>7534.47</v>
      </c>
      <c r="E110" s="2502">
        <v>1910.81</v>
      </c>
      <c r="F110" s="2199"/>
    </row>
    <row r="111" spans="1:6">
      <c r="A111" s="2198">
        <v>43906</v>
      </c>
      <c r="B111" s="2502">
        <v>18123.61</v>
      </c>
      <c r="C111" s="2502">
        <v>180.3</v>
      </c>
      <c r="D111" s="2502">
        <v>7236.13</v>
      </c>
      <c r="E111" s="2502">
        <v>1925.82</v>
      </c>
      <c r="F111" s="2199"/>
    </row>
    <row r="112" spans="1:6">
      <c r="A112" s="2198">
        <v>43905</v>
      </c>
      <c r="B112" s="2502" t="s">
        <v>1643</v>
      </c>
      <c r="C112" s="2502" t="s">
        <v>1643</v>
      </c>
      <c r="D112" s="2502"/>
      <c r="E112" s="2502"/>
      <c r="F112" s="2199"/>
    </row>
    <row r="113" spans="1:6">
      <c r="A113" s="2198">
        <v>43904</v>
      </c>
      <c r="B113" s="2502" t="s">
        <v>1643</v>
      </c>
      <c r="C113" s="2502" t="s">
        <v>1643</v>
      </c>
      <c r="D113" s="2502"/>
      <c r="E113" s="2502"/>
      <c r="F113" s="2199"/>
    </row>
    <row r="114" spans="1:6">
      <c r="A114" s="2198">
        <v>43903</v>
      </c>
      <c r="B114" s="2502">
        <v>18890.22</v>
      </c>
      <c r="C114" s="2502">
        <v>188.15</v>
      </c>
      <c r="D114" s="2502">
        <v>7995.9</v>
      </c>
      <c r="E114" s="2502">
        <v>2059.63</v>
      </c>
      <c r="F114" s="2199"/>
    </row>
    <row r="115" spans="1:6">
      <c r="A115" s="2198">
        <v>43902</v>
      </c>
      <c r="B115" s="2502">
        <v>19437.490000000002</v>
      </c>
      <c r="C115" s="2502">
        <v>196.5</v>
      </c>
      <c r="D115" s="2502">
        <v>7547.61</v>
      </c>
      <c r="E115" s="2502">
        <v>2040.92</v>
      </c>
      <c r="F115" s="2199"/>
    </row>
    <row r="116" spans="1:6">
      <c r="A116" s="2198">
        <v>43901</v>
      </c>
      <c r="B116" s="2502">
        <v>20316.330000000002</v>
      </c>
      <c r="C116" s="2502">
        <v>208.62</v>
      </c>
      <c r="D116" s="2502">
        <v>8376.69</v>
      </c>
      <c r="E116" s="2502">
        <v>2187.54</v>
      </c>
      <c r="F116" s="2199"/>
    </row>
    <row r="117" spans="1:6">
      <c r="A117" s="2198">
        <v>43900</v>
      </c>
      <c r="B117" s="2502">
        <v>20521.09</v>
      </c>
      <c r="C117" s="2502">
        <v>211.86</v>
      </c>
      <c r="D117" s="2502">
        <v>8715.4</v>
      </c>
      <c r="E117" s="2502">
        <v>2228.63</v>
      </c>
      <c r="F117" s="2199"/>
    </row>
    <row r="118" spans="1:6">
      <c r="A118" s="2198">
        <v>43899</v>
      </c>
      <c r="B118" s="2502">
        <v>20472.79</v>
      </c>
      <c r="C118" s="2502">
        <v>211.95</v>
      </c>
      <c r="D118" s="2502">
        <v>8474.2199999999993</v>
      </c>
      <c r="E118" s="2502">
        <v>2190.16</v>
      </c>
      <c r="F118" s="2199"/>
    </row>
    <row r="119" spans="1:6">
      <c r="A119" s="2198">
        <v>43898</v>
      </c>
      <c r="B119" s="2502" t="s">
        <v>1643</v>
      </c>
      <c r="C119" s="2502" t="s">
        <v>1643</v>
      </c>
      <c r="D119" s="2502"/>
      <c r="E119" s="2502"/>
      <c r="F119" s="2199"/>
    </row>
    <row r="120" spans="1:6">
      <c r="A120" s="2198">
        <v>43897</v>
      </c>
      <c r="B120" s="2502" t="s">
        <v>1643</v>
      </c>
      <c r="C120" s="2502" t="s">
        <v>1643</v>
      </c>
      <c r="D120" s="2502"/>
      <c r="E120" s="2502"/>
      <c r="F120" s="2199"/>
    </row>
    <row r="121" spans="1:6">
      <c r="A121" s="2198">
        <v>43896</v>
      </c>
      <c r="B121" s="2502">
        <v>21114.65</v>
      </c>
      <c r="C121" s="2502">
        <v>219.87</v>
      </c>
      <c r="D121" s="2502">
        <v>9127.76</v>
      </c>
      <c r="E121" s="2502">
        <v>2338.37</v>
      </c>
      <c r="F121" s="2199"/>
    </row>
    <row r="122" spans="1:6">
      <c r="A122" s="2198">
        <v>43895</v>
      </c>
      <c r="B122" s="2502">
        <v>21474.61</v>
      </c>
      <c r="C122" s="2502">
        <v>221.28</v>
      </c>
      <c r="D122" s="2502">
        <v>9310.32</v>
      </c>
      <c r="E122" s="2502">
        <v>2401.3200000000002</v>
      </c>
      <c r="F122" s="2199"/>
    </row>
    <row r="123" spans="1:6">
      <c r="A123" s="2198">
        <v>43894</v>
      </c>
      <c r="B123" s="2502">
        <v>21246.2</v>
      </c>
      <c r="C123" s="2502">
        <v>217.43</v>
      </c>
      <c r="D123" s="2502">
        <v>9522.49</v>
      </c>
      <c r="E123" s="2502">
        <v>2397.6799999999998</v>
      </c>
      <c r="F123" s="2199"/>
    </row>
    <row r="124" spans="1:6">
      <c r="A124" s="2198">
        <v>43893</v>
      </c>
      <c r="B124" s="2502">
        <v>21125.66</v>
      </c>
      <c r="C124" s="2502">
        <v>218.53</v>
      </c>
      <c r="D124" s="2502">
        <v>9251.94</v>
      </c>
      <c r="E124" s="2502">
        <v>2374.1</v>
      </c>
      <c r="F124" s="2199"/>
    </row>
    <row r="125" spans="1:6">
      <c r="A125" s="2198">
        <v>43892</v>
      </c>
      <c r="B125" s="2502">
        <v>20832.38</v>
      </c>
      <c r="C125" s="2502">
        <v>215.54</v>
      </c>
      <c r="D125" s="2502">
        <v>9389.58</v>
      </c>
      <c r="E125" s="2502">
        <v>2349.06</v>
      </c>
      <c r="F125" s="2199"/>
    </row>
    <row r="126" spans="1:6">
      <c r="A126" s="2198">
        <v>43891</v>
      </c>
      <c r="B126" s="2502" t="s">
        <v>1643</v>
      </c>
      <c r="C126" s="2502" t="s">
        <v>1643</v>
      </c>
      <c r="D126" s="2502"/>
      <c r="E126" s="2502"/>
      <c r="F126" s="2199"/>
    </row>
    <row r="127" spans="1:6">
      <c r="A127" s="2198">
        <v>43890</v>
      </c>
      <c r="B127" s="2502" t="s">
        <v>1643</v>
      </c>
      <c r="C127" s="2502" t="s">
        <v>1643</v>
      </c>
      <c r="D127" s="2502"/>
      <c r="E127" s="2502"/>
      <c r="F127" s="2199"/>
    </row>
    <row r="128" spans="1:6">
      <c r="A128" s="2198">
        <v>43889</v>
      </c>
      <c r="B128" s="2502" t="s">
        <v>1643</v>
      </c>
      <c r="C128" s="2502" t="s">
        <v>1643</v>
      </c>
      <c r="D128" s="2502">
        <v>9086.7900000000009</v>
      </c>
      <c r="E128" s="2502">
        <v>2322.2600000000002</v>
      </c>
      <c r="F128" s="2199"/>
    </row>
    <row r="129" spans="1:6">
      <c r="A129" s="2198">
        <v>43888</v>
      </c>
      <c r="B129" s="2502">
        <v>21059.37</v>
      </c>
      <c r="C129" s="2502">
        <v>216.33</v>
      </c>
      <c r="D129" s="2502">
        <v>9239.07</v>
      </c>
      <c r="E129" s="2502">
        <v>2380.11</v>
      </c>
      <c r="F129" s="2199"/>
    </row>
    <row r="130" spans="1:6">
      <c r="A130" s="2198">
        <v>43887</v>
      </c>
      <c r="B130" s="2502">
        <v>21323.17</v>
      </c>
      <c r="C130" s="2502">
        <v>221.43</v>
      </c>
      <c r="D130" s="2502">
        <v>9580.5</v>
      </c>
      <c r="E130" s="2502">
        <v>2409.0100000000002</v>
      </c>
      <c r="F130" s="2199"/>
    </row>
    <row r="131" spans="1:6">
      <c r="A131" s="2198">
        <v>43886</v>
      </c>
      <c r="B131" s="2502">
        <v>21521.99</v>
      </c>
      <c r="C131" s="2502">
        <v>223.23</v>
      </c>
      <c r="D131" s="2502">
        <v>9626.02</v>
      </c>
      <c r="E131" s="2502">
        <v>2439.4499999999998</v>
      </c>
      <c r="F131" s="2199"/>
    </row>
    <row r="132" spans="1:6">
      <c r="A132" s="2198">
        <v>43885</v>
      </c>
      <c r="B132" s="2502">
        <v>21512</v>
      </c>
      <c r="C132" s="2502">
        <v>223.34</v>
      </c>
      <c r="D132" s="2502">
        <v>9885.98</v>
      </c>
      <c r="E132" s="2502">
        <v>2436.52</v>
      </c>
      <c r="F132" s="2199"/>
    </row>
    <row r="133" spans="1:6">
      <c r="A133" s="2198">
        <v>43884</v>
      </c>
      <c r="B133" s="2502" t="s">
        <v>1643</v>
      </c>
      <c r="C133" s="2502" t="s">
        <v>1643</v>
      </c>
      <c r="D133" s="2502"/>
      <c r="E133" s="2502"/>
      <c r="F133" s="2199"/>
    </row>
    <row r="134" spans="1:6">
      <c r="A134" s="2198">
        <v>43883</v>
      </c>
      <c r="B134" s="2502" t="s">
        <v>1643</v>
      </c>
      <c r="C134" s="2502" t="s">
        <v>1643</v>
      </c>
      <c r="D134" s="2502"/>
      <c r="E134" s="2502"/>
      <c r="F134" s="2199"/>
    </row>
    <row r="135" spans="1:6">
      <c r="A135" s="2198">
        <v>43882</v>
      </c>
      <c r="B135" s="2502">
        <v>21794.5</v>
      </c>
      <c r="C135" s="2502">
        <v>225.28</v>
      </c>
      <c r="D135" s="2502">
        <v>10190.34</v>
      </c>
      <c r="E135" s="2502">
        <v>2503.21</v>
      </c>
      <c r="F135" s="2199"/>
    </row>
    <row r="136" spans="1:6">
      <c r="A136" s="2198">
        <v>43881</v>
      </c>
      <c r="B136" s="2502">
        <v>21866.74</v>
      </c>
      <c r="C136" s="2502">
        <v>225.41</v>
      </c>
      <c r="D136" s="2502">
        <v>10263.81</v>
      </c>
      <c r="E136" s="2502">
        <v>2528.17</v>
      </c>
      <c r="F136" s="2199"/>
    </row>
    <row r="137" spans="1:6">
      <c r="A137" s="2198">
        <v>43880</v>
      </c>
      <c r="B137" s="2502">
        <v>21928.959999999999</v>
      </c>
      <c r="C137" s="2502">
        <v>224.46</v>
      </c>
      <c r="D137" s="2502">
        <v>10309.42</v>
      </c>
      <c r="E137" s="2502">
        <v>2547.4899999999998</v>
      </c>
      <c r="F137" s="2199"/>
    </row>
    <row r="138" spans="1:6">
      <c r="A138" s="2198">
        <v>43879</v>
      </c>
      <c r="B138" s="2502">
        <v>21724.09</v>
      </c>
      <c r="C138" s="2502">
        <v>221.98</v>
      </c>
      <c r="D138" s="2502">
        <v>10266.459999999999</v>
      </c>
      <c r="E138" s="2502">
        <v>2528.9</v>
      </c>
      <c r="F138" s="2199"/>
    </row>
    <row r="139" spans="1:6">
      <c r="A139" s="2198">
        <v>43878</v>
      </c>
      <c r="B139" s="2502">
        <v>21937.67</v>
      </c>
      <c r="C139" s="2502">
        <v>223.63</v>
      </c>
      <c r="D139" s="2502">
        <v>10305.049999999999</v>
      </c>
      <c r="E139" s="2502">
        <v>2557.3000000000002</v>
      </c>
      <c r="F139" s="2199"/>
    </row>
    <row r="140" spans="1:6">
      <c r="A140" s="2198">
        <v>43877</v>
      </c>
      <c r="B140" s="2502" t="s">
        <v>1643</v>
      </c>
      <c r="C140" s="2502" t="s">
        <v>1643</v>
      </c>
      <c r="D140" s="2502"/>
      <c r="E140" s="2502"/>
      <c r="F140" s="2199"/>
    </row>
    <row r="141" spans="1:6">
      <c r="A141" s="2198">
        <v>43876</v>
      </c>
      <c r="B141" s="2502" t="s">
        <v>1643</v>
      </c>
      <c r="C141" s="2502" t="s">
        <v>1643</v>
      </c>
      <c r="D141" s="2502"/>
      <c r="E141" s="2502"/>
      <c r="F141" s="2199"/>
    </row>
    <row r="142" spans="1:6">
      <c r="A142" s="2198">
        <v>43875</v>
      </c>
      <c r="B142" s="2502">
        <v>22035</v>
      </c>
      <c r="C142" s="2502">
        <v>224.42</v>
      </c>
      <c r="D142" s="2502">
        <v>10307.86</v>
      </c>
      <c r="E142" s="2502">
        <v>2553.2600000000002</v>
      </c>
      <c r="F142" s="2199"/>
    </row>
    <row r="143" spans="1:6">
      <c r="A143" s="2198">
        <v>43874</v>
      </c>
      <c r="B143" s="2502">
        <v>21990.39</v>
      </c>
      <c r="C143" s="2502">
        <v>221.76</v>
      </c>
      <c r="D143" s="2502">
        <v>10300.56</v>
      </c>
      <c r="E143" s="2502">
        <v>2552.59</v>
      </c>
      <c r="F143" s="2199"/>
    </row>
    <row r="144" spans="1:6">
      <c r="A144" s="2198">
        <v>43873</v>
      </c>
      <c r="B144" s="2502">
        <v>21957.59</v>
      </c>
      <c r="C144" s="2502">
        <v>221.73</v>
      </c>
      <c r="D144" s="2502">
        <v>10318.200000000001</v>
      </c>
      <c r="E144" s="2502">
        <v>2560.88</v>
      </c>
      <c r="F144" s="2199"/>
    </row>
    <row r="145" spans="1:6">
      <c r="A145" s="2198">
        <v>43872</v>
      </c>
      <c r="B145" s="2502">
        <v>21752.18</v>
      </c>
      <c r="C145" s="2502">
        <v>218.84</v>
      </c>
      <c r="D145" s="2502">
        <v>10259.91</v>
      </c>
      <c r="E145" s="2502">
        <v>2537.13</v>
      </c>
      <c r="F145" s="2199"/>
    </row>
    <row r="146" spans="1:6">
      <c r="A146" s="2198">
        <v>43871</v>
      </c>
      <c r="B146" s="2502">
        <v>21584.38</v>
      </c>
      <c r="C146" s="2502">
        <v>215.78</v>
      </c>
      <c r="D146" s="2502">
        <v>10225.06</v>
      </c>
      <c r="E146" s="2502">
        <v>2508.2800000000002</v>
      </c>
      <c r="F146" s="2199"/>
    </row>
    <row r="147" spans="1:6">
      <c r="A147" s="2198">
        <v>43870</v>
      </c>
      <c r="B147" s="2502" t="s">
        <v>1643</v>
      </c>
      <c r="C147" s="2502" t="s">
        <v>1643</v>
      </c>
      <c r="D147" s="2502"/>
      <c r="E147" s="2502"/>
      <c r="F147" s="2199"/>
    </row>
    <row r="148" spans="1:6">
      <c r="A148" s="2198">
        <v>43869</v>
      </c>
      <c r="B148" s="2502" t="s">
        <v>1643</v>
      </c>
      <c r="C148" s="2502" t="s">
        <v>1643</v>
      </c>
      <c r="D148" s="2502"/>
      <c r="E148" s="2502"/>
      <c r="F148" s="2199"/>
    </row>
    <row r="149" spans="1:6">
      <c r="A149" s="2198">
        <v>43868</v>
      </c>
      <c r="B149" s="2502">
        <v>21656.63</v>
      </c>
      <c r="C149" s="2502">
        <v>217.27</v>
      </c>
      <c r="D149" s="2502">
        <v>10188.73</v>
      </c>
      <c r="E149" s="2502">
        <v>2518.81</v>
      </c>
      <c r="F149" s="2199"/>
    </row>
    <row r="150" spans="1:6">
      <c r="A150" s="2198">
        <v>43867</v>
      </c>
      <c r="B150" s="2502">
        <v>21911.88</v>
      </c>
      <c r="C150" s="2502">
        <v>219.92</v>
      </c>
      <c r="D150" s="2502">
        <v>10237.040000000001</v>
      </c>
      <c r="E150" s="2502">
        <v>2543.5100000000002</v>
      </c>
      <c r="F150" s="2199"/>
    </row>
    <row r="151" spans="1:6">
      <c r="A151" s="2198">
        <v>43866</v>
      </c>
      <c r="B151" s="2502">
        <v>21583.55</v>
      </c>
      <c r="C151" s="2502">
        <v>216.99</v>
      </c>
      <c r="D151" s="2502">
        <v>10186.41</v>
      </c>
      <c r="E151" s="2502">
        <v>2513.54</v>
      </c>
      <c r="F151" s="2199"/>
    </row>
    <row r="152" spans="1:6">
      <c r="A152" s="2198">
        <v>43865</v>
      </c>
      <c r="B152" s="2502">
        <v>21550.55</v>
      </c>
      <c r="C152" s="2502">
        <v>216.24</v>
      </c>
      <c r="D152" s="2502">
        <v>10094.49</v>
      </c>
      <c r="E152" s="2502">
        <v>2504.36</v>
      </c>
      <c r="F152" s="2199"/>
    </row>
    <row r="153" spans="1:6">
      <c r="A153" s="2198">
        <v>43864</v>
      </c>
      <c r="B153" s="2502">
        <v>21175.7</v>
      </c>
      <c r="C153" s="2502">
        <v>211.92</v>
      </c>
      <c r="D153" s="2502">
        <v>9959.56</v>
      </c>
      <c r="E153" s="2502">
        <v>2446.62</v>
      </c>
      <c r="F153" s="2199"/>
    </row>
    <row r="154" spans="1:6">
      <c r="A154" s="2198">
        <v>43863</v>
      </c>
      <c r="B154" s="2502" t="s">
        <v>1643</v>
      </c>
      <c r="C154" s="2502" t="s">
        <v>1643</v>
      </c>
      <c r="D154" s="2502"/>
      <c r="E154" s="2502"/>
      <c r="F154" s="2199"/>
    </row>
    <row r="155" spans="1:6">
      <c r="A155" s="2198">
        <v>43862</v>
      </c>
      <c r="B155" s="2502" t="s">
        <v>1643</v>
      </c>
      <c r="C155" s="2502" t="s">
        <v>1643</v>
      </c>
      <c r="D155" s="2502"/>
      <c r="E155" s="2502"/>
      <c r="F155" s="2199"/>
    </row>
    <row r="156" spans="1:6">
      <c r="A156" s="2198">
        <v>43861</v>
      </c>
      <c r="B156" s="2502">
        <v>21437.11</v>
      </c>
      <c r="C156" s="2502">
        <v>216.05</v>
      </c>
      <c r="D156" s="2502">
        <v>9921.11</v>
      </c>
      <c r="E156" s="2502">
        <v>2451.39</v>
      </c>
      <c r="F156" s="2199"/>
    </row>
    <row r="157" spans="1:6">
      <c r="A157" s="2198">
        <v>43860</v>
      </c>
      <c r="B157" s="2502">
        <v>21300.31</v>
      </c>
      <c r="C157" s="2502">
        <v>214.9</v>
      </c>
      <c r="D157" s="2502">
        <v>10045.82</v>
      </c>
      <c r="E157" s="2502">
        <v>2475.48</v>
      </c>
      <c r="F157" s="2199"/>
    </row>
    <row r="158" spans="1:6">
      <c r="A158" s="2198">
        <v>43859</v>
      </c>
      <c r="B158" s="2502" t="s">
        <v>1643</v>
      </c>
      <c r="C158" s="2502" t="s">
        <v>1643</v>
      </c>
      <c r="D158" s="2502">
        <v>10050.92</v>
      </c>
      <c r="E158" s="2502">
        <v>2532.52</v>
      </c>
      <c r="F158" s="2199"/>
    </row>
    <row r="159" spans="1:6">
      <c r="A159" s="2198">
        <v>43858</v>
      </c>
      <c r="B159" s="2502" t="s">
        <v>1643</v>
      </c>
      <c r="C159" s="2502" t="s">
        <v>1643</v>
      </c>
      <c r="D159" s="2502">
        <v>10046.549999999999</v>
      </c>
      <c r="E159" s="2502">
        <v>2542.2199999999998</v>
      </c>
      <c r="F159" s="2199"/>
    </row>
    <row r="160" spans="1:6">
      <c r="A160" s="2198">
        <v>43857</v>
      </c>
      <c r="B160" s="2502" t="s">
        <v>1643</v>
      </c>
      <c r="C160" s="2502" t="s">
        <v>1643</v>
      </c>
      <c r="D160" s="2502">
        <v>9976.86</v>
      </c>
      <c r="E160" s="2502">
        <v>2545.1</v>
      </c>
      <c r="F160" s="2199"/>
    </row>
    <row r="161" spans="1:6">
      <c r="A161" s="2198">
        <v>43856</v>
      </c>
      <c r="B161" s="2502" t="s">
        <v>1643</v>
      </c>
      <c r="C161" s="2502" t="s">
        <v>1643</v>
      </c>
      <c r="D161" s="2502"/>
      <c r="E161" s="2502"/>
      <c r="F161" s="2199"/>
    </row>
    <row r="162" spans="1:6">
      <c r="A162" s="2198">
        <v>43855</v>
      </c>
      <c r="B162" s="2502" t="s">
        <v>1643</v>
      </c>
      <c r="C162" s="2502" t="s">
        <v>1643</v>
      </c>
      <c r="D162" s="2502"/>
      <c r="E162" s="2502"/>
      <c r="F162" s="2199"/>
    </row>
    <row r="163" spans="1:6">
      <c r="A163" s="2198">
        <v>43854</v>
      </c>
      <c r="B163" s="2502" t="s">
        <v>1643</v>
      </c>
      <c r="C163" s="2502" t="s">
        <v>1643</v>
      </c>
      <c r="D163" s="2502">
        <v>10142.92</v>
      </c>
      <c r="E163" s="2502">
        <v>2582.94</v>
      </c>
      <c r="F163" s="2199"/>
    </row>
    <row r="164" spans="1:6">
      <c r="A164" s="2198">
        <v>43853</v>
      </c>
      <c r="B164" s="2502" t="s">
        <v>1643</v>
      </c>
      <c r="C164" s="2502" t="s">
        <v>1643</v>
      </c>
      <c r="D164" s="2502">
        <v>10188.34</v>
      </c>
      <c r="E164" s="2502">
        <v>2589.36</v>
      </c>
      <c r="F164" s="2199"/>
    </row>
    <row r="165" spans="1:6">
      <c r="A165" s="2198">
        <v>43852</v>
      </c>
      <c r="B165" s="2502" t="s">
        <v>1643</v>
      </c>
      <c r="C165" s="2502" t="s">
        <v>1643</v>
      </c>
      <c r="D165" s="2502">
        <v>10205.19</v>
      </c>
      <c r="E165" s="2502">
        <v>2615.1999999999998</v>
      </c>
      <c r="F165" s="2199"/>
    </row>
    <row r="166" spans="1:6">
      <c r="A166" s="2198">
        <v>43851</v>
      </c>
      <c r="B166" s="2502" t="s">
        <v>1643</v>
      </c>
      <c r="C166" s="2502" t="s">
        <v>1643</v>
      </c>
      <c r="D166" s="2502">
        <v>10201</v>
      </c>
      <c r="E166" s="2502">
        <v>2600.0500000000002</v>
      </c>
      <c r="F166" s="2199"/>
    </row>
    <row r="167" spans="1:6">
      <c r="A167" s="2198">
        <v>43850</v>
      </c>
      <c r="B167" s="2502">
        <v>22600.080000000002</v>
      </c>
      <c r="C167" s="2502">
        <v>229.16</v>
      </c>
      <c r="D167" s="2502">
        <v>10225.18</v>
      </c>
      <c r="E167" s="2502">
        <v>2643.48</v>
      </c>
      <c r="F167" s="2199"/>
    </row>
    <row r="168" spans="1:6">
      <c r="A168" s="2198">
        <v>43849</v>
      </c>
      <c r="B168" s="2502" t="s">
        <v>1643</v>
      </c>
      <c r="C168" s="2502" t="s">
        <v>1643</v>
      </c>
      <c r="D168" s="2502"/>
      <c r="E168" s="2502"/>
      <c r="F168" s="2199"/>
    </row>
    <row r="169" spans="1:6">
      <c r="A169" s="2198">
        <v>43848</v>
      </c>
      <c r="B169" s="2502" t="s">
        <v>1643</v>
      </c>
      <c r="C169" s="2502" t="s">
        <v>1643</v>
      </c>
      <c r="D169" s="2502"/>
      <c r="E169" s="2502"/>
      <c r="F169" s="2199"/>
    </row>
    <row r="170" spans="1:6">
      <c r="A170" s="2198">
        <v>43847</v>
      </c>
      <c r="B170" s="2502">
        <v>22547.09</v>
      </c>
      <c r="C170" s="2502">
        <v>228.39</v>
      </c>
      <c r="D170" s="2502">
        <v>10226.83</v>
      </c>
      <c r="E170" s="2502">
        <v>2646.09</v>
      </c>
      <c r="F170" s="2199"/>
    </row>
    <row r="171" spans="1:6">
      <c r="A171" s="2198">
        <v>43846</v>
      </c>
      <c r="B171" s="2502">
        <v>22503.52</v>
      </c>
      <c r="C171" s="2502">
        <v>228.5</v>
      </c>
      <c r="D171" s="2502">
        <v>10187.14</v>
      </c>
      <c r="E171" s="2502">
        <v>2631.61</v>
      </c>
      <c r="F171" s="2199"/>
    </row>
    <row r="172" spans="1:6">
      <c r="A172" s="2198">
        <v>43845</v>
      </c>
      <c r="B172" s="2502">
        <v>22550.04</v>
      </c>
      <c r="C172" s="2502">
        <v>227.89</v>
      </c>
      <c r="D172" s="2502">
        <v>10126.9</v>
      </c>
      <c r="E172" s="2502">
        <v>2625.52</v>
      </c>
      <c r="F172" s="2199"/>
    </row>
    <row r="173" spans="1:6">
      <c r="A173" s="2198">
        <v>43844</v>
      </c>
      <c r="B173" s="2502">
        <v>22714.03</v>
      </c>
      <c r="C173" s="2502">
        <v>228.01</v>
      </c>
      <c r="D173" s="2502">
        <v>10111.61</v>
      </c>
      <c r="E173" s="2502">
        <v>2639.08</v>
      </c>
      <c r="F173" s="2199"/>
    </row>
    <row r="174" spans="1:6">
      <c r="A174" s="2198">
        <v>43843</v>
      </c>
      <c r="B174" s="2502">
        <v>22590.21</v>
      </c>
      <c r="C174" s="2502">
        <v>225.95</v>
      </c>
      <c r="D174" s="2502">
        <v>10109.89</v>
      </c>
      <c r="E174" s="2502">
        <v>2639.38</v>
      </c>
      <c r="F174" s="2199"/>
    </row>
    <row r="175" spans="1:6">
      <c r="A175" s="2198">
        <v>43842</v>
      </c>
      <c r="B175" s="2502" t="s">
        <v>1643</v>
      </c>
      <c r="C175" s="2502" t="s">
        <v>1643</v>
      </c>
      <c r="D175" s="2502"/>
      <c r="E175" s="2502"/>
      <c r="F175" s="2199"/>
    </row>
    <row r="176" spans="1:6">
      <c r="A176" s="2198">
        <v>43841</v>
      </c>
      <c r="B176" s="2502" t="s">
        <v>1643</v>
      </c>
      <c r="C176" s="2502" t="s">
        <v>1643</v>
      </c>
      <c r="D176" s="2502"/>
      <c r="E176" s="2502"/>
      <c r="F176" s="2199"/>
    </row>
    <row r="177" spans="1:6">
      <c r="A177" s="2198">
        <v>43840</v>
      </c>
      <c r="B177" s="2502">
        <v>22424.68</v>
      </c>
      <c r="C177" s="2502">
        <v>223.54</v>
      </c>
      <c r="D177" s="2502">
        <v>10064.879999999999</v>
      </c>
      <c r="E177" s="2502">
        <v>2615.4499999999998</v>
      </c>
      <c r="F177" s="2199"/>
    </row>
    <row r="178" spans="1:6">
      <c r="A178" s="2198">
        <v>43839</v>
      </c>
      <c r="B178" s="2502">
        <v>22323.919999999998</v>
      </c>
      <c r="C178" s="2502">
        <v>223.37</v>
      </c>
      <c r="D178" s="2502">
        <v>10074.33</v>
      </c>
      <c r="E178" s="2502">
        <v>2605.62</v>
      </c>
      <c r="F178" s="2199"/>
    </row>
    <row r="179" spans="1:6">
      <c r="A179" s="2198">
        <v>43838</v>
      </c>
      <c r="B179" s="2502">
        <v>22037.599999999999</v>
      </c>
      <c r="C179" s="2502">
        <v>220.84</v>
      </c>
      <c r="D179" s="2502">
        <v>10017.77</v>
      </c>
      <c r="E179" s="2502">
        <v>2563.9699999999998</v>
      </c>
      <c r="F179" s="2199"/>
    </row>
    <row r="180" spans="1:6">
      <c r="A180" s="2198">
        <v>43837</v>
      </c>
      <c r="B180" s="2502">
        <v>22155.51</v>
      </c>
      <c r="C180" s="2502">
        <v>222.94</v>
      </c>
      <c r="D180" s="2502">
        <v>9998.51</v>
      </c>
      <c r="E180" s="2502">
        <v>2574.16</v>
      </c>
      <c r="F180" s="2199"/>
    </row>
    <row r="181" spans="1:6">
      <c r="A181" s="2198">
        <v>43836</v>
      </c>
      <c r="B181" s="2502">
        <v>22291.72</v>
      </c>
      <c r="C181" s="2502">
        <v>224.4</v>
      </c>
      <c r="D181" s="2502">
        <v>10006.64</v>
      </c>
      <c r="E181" s="2502">
        <v>2566.5100000000002</v>
      </c>
      <c r="F181" s="2199"/>
    </row>
    <row r="182" spans="1:6">
      <c r="A182" s="2198">
        <v>43835</v>
      </c>
      <c r="B182" s="2502" t="s">
        <v>1643</v>
      </c>
      <c r="C182" s="2502" t="s">
        <v>1643</v>
      </c>
      <c r="D182" s="2502"/>
      <c r="E182" s="2502"/>
      <c r="F182" s="2199"/>
    </row>
    <row r="183" spans="1:6">
      <c r="A183" s="2198">
        <v>43834</v>
      </c>
      <c r="B183" s="2502" t="s">
        <v>1643</v>
      </c>
      <c r="C183" s="2502" t="s">
        <v>1643</v>
      </c>
      <c r="D183" s="2502"/>
      <c r="E183" s="2502"/>
      <c r="F183" s="2199"/>
    </row>
    <row r="184" spans="1:6">
      <c r="A184" s="2198">
        <v>43833</v>
      </c>
      <c r="B184" s="2502">
        <v>22584.65</v>
      </c>
      <c r="C184" s="2502">
        <v>226.97</v>
      </c>
      <c r="D184" s="2502">
        <v>10000.209999999999</v>
      </c>
      <c r="E184" s="2502">
        <v>2592.5700000000002</v>
      </c>
      <c r="F184" s="2199"/>
    </row>
    <row r="185" spans="1:6">
      <c r="A185" s="2198">
        <v>43832</v>
      </c>
      <c r="B185" s="2502">
        <v>22566.080000000002</v>
      </c>
      <c r="C185" s="2502">
        <v>229.98</v>
      </c>
      <c r="D185" s="2502">
        <v>10053.780000000001</v>
      </c>
      <c r="E185" s="2502">
        <v>2602.09</v>
      </c>
      <c r="F185" s="2199"/>
    </row>
    <row r="186" spans="1:6">
      <c r="A186" s="2198">
        <v>43831</v>
      </c>
      <c r="B186" s="2502" t="s">
        <v>1643</v>
      </c>
      <c r="C186" s="2502" t="s">
        <v>1643</v>
      </c>
      <c r="D186" s="2502">
        <v>9979.06</v>
      </c>
      <c r="E186" s="2502">
        <v>2571.1</v>
      </c>
      <c r="F186" s="2199"/>
    </row>
    <row r="187" spans="1:6">
      <c r="A187" s="1541">
        <v>43830</v>
      </c>
      <c r="B187" s="1542">
        <v>22373.360000000001</v>
      </c>
      <c r="C187" s="1542">
        <v>227.62</v>
      </c>
      <c r="D187" s="1542">
        <v>9979.0300000000007</v>
      </c>
      <c r="E187" s="1542">
        <v>2571.14</v>
      </c>
      <c r="F187" s="2199"/>
    </row>
    <row r="188" spans="1:6">
      <c r="A188" s="1541">
        <v>43829</v>
      </c>
      <c r="B188" s="1542">
        <v>22478.22</v>
      </c>
      <c r="C188" s="1542">
        <v>227.57</v>
      </c>
      <c r="D188" s="1542">
        <v>9956.56</v>
      </c>
      <c r="E188" s="1542">
        <v>2579.8000000000002</v>
      </c>
      <c r="F188" s="2199"/>
    </row>
    <row r="189" spans="1:6">
      <c r="A189" s="1541">
        <v>43828</v>
      </c>
      <c r="B189" s="1542"/>
      <c r="C189" s="1542"/>
      <c r="D189" s="1542"/>
      <c r="E189" s="1542"/>
    </row>
    <row r="190" spans="1:6">
      <c r="A190" s="1541">
        <v>43827</v>
      </c>
      <c r="B190" s="1542"/>
      <c r="C190" s="1542"/>
      <c r="D190" s="1542"/>
      <c r="E190" s="1542"/>
    </row>
    <row r="191" spans="1:6">
      <c r="A191" s="1541">
        <v>43826</v>
      </c>
      <c r="B191" s="1542">
        <v>22549.52</v>
      </c>
      <c r="C191" s="1542">
        <v>227.44</v>
      </c>
      <c r="D191" s="1542">
        <v>10004.06</v>
      </c>
      <c r="E191" s="1542">
        <v>2580.23</v>
      </c>
    </row>
    <row r="192" spans="1:6">
      <c r="A192" s="1541">
        <v>43825</v>
      </c>
      <c r="B192" s="1542">
        <v>22380.58</v>
      </c>
      <c r="C192" s="1542">
        <v>226.68</v>
      </c>
      <c r="D192" s="1542">
        <v>9982.7800000000007</v>
      </c>
      <c r="E192" s="1542">
        <v>2560.04</v>
      </c>
    </row>
    <row r="193" spans="1:5">
      <c r="A193" s="1541">
        <v>43824</v>
      </c>
      <c r="B193" s="1542">
        <v>22393.86</v>
      </c>
      <c r="C193" s="1542">
        <v>226.25</v>
      </c>
      <c r="D193" s="1542">
        <v>9944.15</v>
      </c>
      <c r="E193" s="1542">
        <v>2552.9699999999998</v>
      </c>
    </row>
    <row r="194" spans="1:5">
      <c r="A194" s="1541">
        <v>43823</v>
      </c>
      <c r="B194" s="1542">
        <v>22334.66</v>
      </c>
      <c r="C194" s="1542">
        <v>224.6</v>
      </c>
      <c r="D194" s="1542">
        <v>9946.7800000000007</v>
      </c>
      <c r="E194" s="1542">
        <v>2552.81</v>
      </c>
    </row>
    <row r="195" spans="1:5">
      <c r="A195" s="1541">
        <v>43822</v>
      </c>
      <c r="B195" s="1542">
        <v>22420.16</v>
      </c>
      <c r="C195" s="1542">
        <v>224.09</v>
      </c>
      <c r="D195" s="1542">
        <v>9941.09</v>
      </c>
      <c r="E195" s="1542">
        <v>2558.69</v>
      </c>
    </row>
    <row r="196" spans="1:5">
      <c r="A196" s="1541">
        <v>43821</v>
      </c>
      <c r="B196" s="1542"/>
      <c r="C196" s="1542"/>
      <c r="D196" s="1542"/>
      <c r="E196" s="1542"/>
    </row>
    <row r="197" spans="1:5">
      <c r="A197" s="1541">
        <v>43820</v>
      </c>
      <c r="B197" s="1542"/>
      <c r="C197" s="1542"/>
      <c r="D197" s="1542"/>
      <c r="E197" s="1542"/>
    </row>
    <row r="198" spans="1:5">
      <c r="A198" s="1541">
        <v>43819</v>
      </c>
      <c r="B198" s="1542">
        <v>22302.39</v>
      </c>
      <c r="C198" s="1542">
        <v>223.9</v>
      </c>
      <c r="D198" s="1542">
        <v>9937.3799999999992</v>
      </c>
      <c r="E198" s="1542">
        <v>2549.48</v>
      </c>
    </row>
    <row r="199" spans="1:5">
      <c r="A199" s="1541">
        <v>43818</v>
      </c>
      <c r="B199" s="1542">
        <v>22413.94</v>
      </c>
      <c r="C199" s="1542">
        <v>224.12</v>
      </c>
      <c r="D199" s="1542">
        <v>9898.08</v>
      </c>
      <c r="E199" s="1542">
        <v>2546.62</v>
      </c>
    </row>
    <row r="200" spans="1:5">
      <c r="A200" s="1541">
        <v>43817</v>
      </c>
      <c r="B200" s="1542">
        <v>22566.75</v>
      </c>
      <c r="C200" s="1542">
        <v>224.88</v>
      </c>
      <c r="D200" s="1542">
        <v>9866.4</v>
      </c>
      <c r="E200" s="1542">
        <v>2551.1</v>
      </c>
    </row>
    <row r="201" spans="1:5">
      <c r="A201" s="1541">
        <v>43816</v>
      </c>
      <c r="B201" s="1542">
        <v>22519.39</v>
      </c>
      <c r="C201" s="1542">
        <v>225.23</v>
      </c>
      <c r="D201" s="1542">
        <v>9879.92</v>
      </c>
      <c r="E201" s="1542">
        <v>2535.9299999999998</v>
      </c>
    </row>
    <row r="202" spans="1:5">
      <c r="A202" s="1541">
        <v>43815</v>
      </c>
      <c r="B202" s="1542">
        <v>22226.67</v>
      </c>
      <c r="C202" s="1542">
        <v>224.36</v>
      </c>
      <c r="D202" s="1542">
        <v>9883.17</v>
      </c>
      <c r="E202" s="1542">
        <v>2502.1799999999998</v>
      </c>
    </row>
    <row r="203" spans="1:5">
      <c r="A203" s="1541">
        <v>43814</v>
      </c>
      <c r="B203" s="1542"/>
      <c r="C203" s="1542"/>
      <c r="D203" s="1542"/>
      <c r="E203" s="1542"/>
    </row>
    <row r="204" spans="1:5">
      <c r="A204" s="1541">
        <v>43813</v>
      </c>
      <c r="B204" s="1542"/>
      <c r="C204" s="1542"/>
      <c r="D204" s="1542"/>
      <c r="E204" s="1542"/>
    </row>
    <row r="205" spans="1:5">
      <c r="A205" s="1541">
        <v>43812</v>
      </c>
      <c r="B205" s="1542">
        <v>22204.27</v>
      </c>
      <c r="C205" s="1542">
        <v>222.88</v>
      </c>
      <c r="D205" s="1542">
        <v>9808.0300000000007</v>
      </c>
      <c r="E205" s="1542">
        <v>2499.77</v>
      </c>
    </row>
    <row r="206" spans="1:5">
      <c r="A206" s="1541">
        <v>43811</v>
      </c>
      <c r="B206" s="1542">
        <v>22034.28</v>
      </c>
      <c r="C206" s="1542">
        <v>223.99</v>
      </c>
      <c r="D206" s="1542">
        <v>9763.06</v>
      </c>
      <c r="E206" s="1542">
        <v>2462.42</v>
      </c>
    </row>
    <row r="207" spans="1:5">
      <c r="A207" s="1541">
        <v>43810</v>
      </c>
      <c r="B207" s="1542">
        <v>21781.599999999999</v>
      </c>
      <c r="C207" s="1542">
        <v>223.68</v>
      </c>
      <c r="D207" s="1542">
        <v>9701.4699999999993</v>
      </c>
      <c r="E207" s="1542">
        <v>2433.64</v>
      </c>
    </row>
    <row r="208" spans="1:5">
      <c r="A208" s="1541">
        <v>43809</v>
      </c>
      <c r="B208" s="1542">
        <v>21645.83</v>
      </c>
      <c r="C208" s="1542">
        <v>223.39</v>
      </c>
      <c r="D208" s="1542">
        <v>9678.75</v>
      </c>
      <c r="E208" s="1542">
        <v>2413.5</v>
      </c>
    </row>
    <row r="209" spans="1:5">
      <c r="A209" s="1541">
        <v>43808</v>
      </c>
      <c r="B209" s="1542">
        <v>21707.13</v>
      </c>
      <c r="C209" s="1542">
        <v>223.43</v>
      </c>
      <c r="D209" s="1542">
        <v>9690.73</v>
      </c>
      <c r="E209" s="1542">
        <v>2417.17</v>
      </c>
    </row>
    <row r="210" spans="1:5">
      <c r="A210" s="1541">
        <v>43807</v>
      </c>
      <c r="B210" s="1542"/>
      <c r="C210" s="1542"/>
      <c r="D210" s="1542"/>
      <c r="E210" s="1542"/>
    </row>
    <row r="211" spans="1:5">
      <c r="A211" s="1541">
        <v>43806</v>
      </c>
      <c r="B211" s="1542"/>
      <c r="C211" s="1542"/>
      <c r="D211" s="1542"/>
      <c r="E211" s="1542"/>
    </row>
    <row r="212" spans="1:5">
      <c r="A212" s="1541">
        <v>43805</v>
      </c>
      <c r="B212" s="1542">
        <v>21611.96</v>
      </c>
      <c r="C212" s="1542">
        <v>223.13</v>
      </c>
      <c r="D212" s="1542">
        <v>9706.33</v>
      </c>
      <c r="E212" s="1542">
        <v>2412.19</v>
      </c>
    </row>
    <row r="213" spans="1:5">
      <c r="A213" s="1541">
        <v>43804</v>
      </c>
      <c r="B213" s="1542">
        <v>21584.04</v>
      </c>
      <c r="C213" s="1542">
        <v>222.65</v>
      </c>
      <c r="D213" s="1542">
        <v>9630.69</v>
      </c>
      <c r="E213" s="1542">
        <v>2398.11</v>
      </c>
    </row>
    <row r="214" spans="1:5">
      <c r="A214" s="1541">
        <v>43803</v>
      </c>
      <c r="B214" s="1542">
        <v>21427.33</v>
      </c>
      <c r="C214" s="1542">
        <v>220.15</v>
      </c>
      <c r="D214" s="1542">
        <v>9615.66</v>
      </c>
      <c r="E214" s="1542">
        <v>2383.38</v>
      </c>
    </row>
    <row r="215" spans="1:5">
      <c r="A215" s="1541">
        <v>43802</v>
      </c>
      <c r="B215" s="1542">
        <v>21466.65</v>
      </c>
      <c r="C215" s="1542">
        <v>219.63</v>
      </c>
      <c r="D215" s="1542">
        <v>9562.7099999999991</v>
      </c>
      <c r="E215" s="1542">
        <v>2385.1799999999998</v>
      </c>
    </row>
    <row r="216" spans="1:5">
      <c r="A216" s="1541">
        <v>43801</v>
      </c>
      <c r="B216" s="1542">
        <v>21413.13</v>
      </c>
      <c r="C216" s="1542">
        <v>218.87</v>
      </c>
      <c r="D216" s="1542">
        <v>9618.69</v>
      </c>
      <c r="E216" s="1542">
        <v>2391.63</v>
      </c>
    </row>
    <row r="217" spans="1:5">
      <c r="A217" s="1541">
        <v>43800</v>
      </c>
      <c r="B217" s="1542"/>
      <c r="C217" s="1542"/>
      <c r="D217" s="1542"/>
      <c r="E217" s="1542"/>
    </row>
    <row r="218" spans="1:5">
      <c r="A218" s="1541">
        <v>43799</v>
      </c>
      <c r="B218" s="1542"/>
      <c r="C218" s="1542"/>
      <c r="D218" s="1542"/>
      <c r="E218" s="1542"/>
    </row>
    <row r="219" spans="1:5">
      <c r="A219" s="1541">
        <v>43798</v>
      </c>
      <c r="B219" s="1542">
        <v>21388.44</v>
      </c>
      <c r="C219" s="1542">
        <v>220.08</v>
      </c>
      <c r="D219" s="1542">
        <v>9685.18</v>
      </c>
      <c r="E219" s="1542">
        <v>2391.17</v>
      </c>
    </row>
    <row r="220" spans="1:5">
      <c r="A220" s="1541">
        <v>43797</v>
      </c>
      <c r="B220" s="1542">
        <v>21625.8</v>
      </c>
      <c r="C220" s="1542">
        <v>221.89</v>
      </c>
      <c r="D220" s="1542">
        <v>9724.07</v>
      </c>
      <c r="E220" s="1542">
        <v>2414.92</v>
      </c>
    </row>
    <row r="221" spans="1:5">
      <c r="A221" s="1541">
        <v>43796</v>
      </c>
      <c r="B221" s="1542">
        <v>21682.19</v>
      </c>
      <c r="C221" s="1542">
        <v>221.63</v>
      </c>
      <c r="D221" s="1542">
        <v>9727.1</v>
      </c>
      <c r="E221" s="1542">
        <v>2420.73</v>
      </c>
    </row>
    <row r="222" spans="1:5">
      <c r="A222" s="1541">
        <v>43795</v>
      </c>
      <c r="B222" s="1542">
        <v>21550.55</v>
      </c>
      <c r="C222" s="1542">
        <v>220.9</v>
      </c>
      <c r="D222" s="1542">
        <v>9692.94</v>
      </c>
      <c r="E222" s="1542">
        <v>2408.9</v>
      </c>
    </row>
    <row r="223" spans="1:5">
      <c r="A223" s="1541">
        <v>43794</v>
      </c>
      <c r="B223" s="1542">
        <v>21522.17</v>
      </c>
      <c r="C223" s="1542">
        <v>219.27</v>
      </c>
      <c r="D223" s="1542">
        <v>9675.25</v>
      </c>
      <c r="E223" s="1542">
        <v>2421.84</v>
      </c>
    </row>
    <row r="224" spans="1:5">
      <c r="A224" s="1541">
        <v>43793</v>
      </c>
      <c r="B224" s="1542"/>
      <c r="C224" s="1542"/>
      <c r="D224" s="1542"/>
      <c r="E224" s="1542"/>
    </row>
    <row r="225" spans="1:5">
      <c r="A225" s="1541">
        <v>43792</v>
      </c>
      <c r="B225" s="1542"/>
      <c r="C225" s="1542"/>
      <c r="D225" s="1542"/>
      <c r="E225" s="1542"/>
    </row>
    <row r="226" spans="1:5">
      <c r="A226" s="1541">
        <v>43791</v>
      </c>
      <c r="B226" s="1542">
        <v>21531.88</v>
      </c>
      <c r="C226" s="1542">
        <v>218.78</v>
      </c>
      <c r="D226" s="1542">
        <v>9603.64</v>
      </c>
      <c r="E226" s="1542">
        <v>2410.36</v>
      </c>
    </row>
    <row r="227" spans="1:5">
      <c r="A227" s="1541">
        <v>43790</v>
      </c>
      <c r="B227" s="1542">
        <v>21516.02</v>
      </c>
      <c r="C227" s="1542">
        <v>218.01</v>
      </c>
      <c r="D227" s="1542">
        <v>9588.65</v>
      </c>
      <c r="E227" s="1542">
        <v>2401.21</v>
      </c>
    </row>
    <row r="228" spans="1:5">
      <c r="A228" s="1541">
        <v>43789</v>
      </c>
      <c r="B228" s="1542">
        <v>21651.77</v>
      </c>
      <c r="C228" s="1542">
        <v>216.79</v>
      </c>
      <c r="D228" s="1542">
        <v>9607.06</v>
      </c>
      <c r="E228" s="1542">
        <v>2418.2399999999998</v>
      </c>
    </row>
    <row r="229" spans="1:5">
      <c r="A229" s="1541">
        <v>43788</v>
      </c>
      <c r="B229" s="1542">
        <v>21698.68</v>
      </c>
      <c r="C229" s="1542">
        <v>219.1</v>
      </c>
      <c r="D229" s="1542">
        <v>9647.8799999999992</v>
      </c>
      <c r="E229" s="1542">
        <v>2430.02</v>
      </c>
    </row>
    <row r="230" spans="1:5">
      <c r="A230" s="1541">
        <v>43787</v>
      </c>
      <c r="B230" s="1542">
        <v>21593.279999999999</v>
      </c>
      <c r="C230" s="1542">
        <v>219.28</v>
      </c>
      <c r="D230" s="1542">
        <v>9651.2099999999991</v>
      </c>
      <c r="E230" s="1542">
        <v>2418.39</v>
      </c>
    </row>
    <row r="231" spans="1:5">
      <c r="A231" s="1541">
        <v>43786</v>
      </c>
      <c r="B231" s="1542"/>
      <c r="C231" s="1542"/>
      <c r="D231" s="1542"/>
      <c r="E231" s="1542"/>
    </row>
    <row r="232" spans="1:5">
      <c r="A232" s="1541">
        <v>43785</v>
      </c>
      <c r="B232" s="1542"/>
      <c r="C232" s="1542"/>
      <c r="D232" s="1542"/>
      <c r="E232" s="1542"/>
    </row>
    <row r="233" spans="1:5">
      <c r="A233" s="1541">
        <v>43784</v>
      </c>
      <c r="B233" s="1542">
        <v>21455.19</v>
      </c>
      <c r="C233" s="1542">
        <v>218.46</v>
      </c>
      <c r="D233" s="1542">
        <v>9638.17</v>
      </c>
      <c r="E233" s="1542">
        <v>2410.71</v>
      </c>
    </row>
    <row r="234" spans="1:5">
      <c r="A234" s="1541">
        <v>43783</v>
      </c>
      <c r="B234" s="1542">
        <v>21315.25</v>
      </c>
      <c r="C234" s="1542">
        <v>216.97</v>
      </c>
      <c r="D234" s="1542">
        <v>9563.16</v>
      </c>
      <c r="E234" s="1542">
        <v>2395.65</v>
      </c>
    </row>
    <row r="235" spans="1:5">
      <c r="A235" s="1541">
        <v>43782</v>
      </c>
      <c r="B235" s="1542">
        <v>21347.65</v>
      </c>
      <c r="C235" s="1542">
        <v>218.04</v>
      </c>
      <c r="D235" s="1542">
        <v>9572.74</v>
      </c>
      <c r="E235" s="1542">
        <v>2399.23</v>
      </c>
    </row>
    <row r="236" spans="1:5">
      <c r="A236" s="1541">
        <v>43781</v>
      </c>
      <c r="B236" s="1542">
        <v>21445.46</v>
      </c>
      <c r="C236" s="1542">
        <v>217.93</v>
      </c>
      <c r="D236" s="1542">
        <v>9579.58</v>
      </c>
      <c r="E236" s="1542">
        <v>2426.7600000000002</v>
      </c>
    </row>
    <row r="237" spans="1:5">
      <c r="A237" s="1541">
        <v>43780</v>
      </c>
      <c r="B237" s="1542">
        <v>21272.17</v>
      </c>
      <c r="C237" s="1542">
        <v>216.33</v>
      </c>
      <c r="D237" s="1542">
        <v>9563.43</v>
      </c>
      <c r="E237" s="1542">
        <v>2419.75</v>
      </c>
    </row>
    <row r="238" spans="1:5">
      <c r="A238" s="1541">
        <v>43779</v>
      </c>
      <c r="B238" s="1542"/>
      <c r="C238" s="1542"/>
      <c r="D238" s="1542"/>
      <c r="E238" s="1542"/>
    </row>
    <row r="239" spans="1:5">
      <c r="A239" s="1541">
        <v>43778</v>
      </c>
      <c r="B239" s="1542"/>
      <c r="C239" s="1542"/>
      <c r="D239" s="1542"/>
      <c r="E239" s="1542"/>
    </row>
    <row r="240" spans="1:5">
      <c r="A240" s="1541">
        <v>43777</v>
      </c>
      <c r="B240" s="1542">
        <v>21555.61</v>
      </c>
      <c r="C240" s="1542">
        <v>220.05</v>
      </c>
      <c r="D240" s="1542">
        <v>9573.11</v>
      </c>
      <c r="E240" s="1542">
        <v>2447.2399999999998</v>
      </c>
    </row>
    <row r="241" spans="1:5">
      <c r="A241" s="1541">
        <v>43776</v>
      </c>
      <c r="B241" s="1542">
        <v>21605.9</v>
      </c>
      <c r="C241" s="1542">
        <v>220.25</v>
      </c>
      <c r="D241" s="1542">
        <v>9562.89</v>
      </c>
      <c r="E241" s="1542">
        <v>2467.2800000000002</v>
      </c>
    </row>
    <row r="242" spans="1:5">
      <c r="A242" s="1541">
        <v>43775</v>
      </c>
      <c r="B242" s="1542">
        <v>21692.48</v>
      </c>
      <c r="C242" s="1542">
        <v>222.58</v>
      </c>
      <c r="D242" s="1542">
        <v>9537.16</v>
      </c>
      <c r="E242" s="1542">
        <v>2456.2800000000002</v>
      </c>
    </row>
    <row r="243" spans="1:5">
      <c r="A243" s="1541">
        <v>43774</v>
      </c>
      <c r="B243" s="1542">
        <v>21675.66</v>
      </c>
      <c r="C243" s="1542">
        <v>223.93</v>
      </c>
      <c r="D243" s="1542">
        <v>9527.7999999999993</v>
      </c>
      <c r="E243" s="1542">
        <v>2461.63</v>
      </c>
    </row>
    <row r="244" spans="1:5">
      <c r="A244" s="1541">
        <v>43773</v>
      </c>
      <c r="B244" s="1542">
        <v>21513.38</v>
      </c>
      <c r="C244" s="1542">
        <v>222.45</v>
      </c>
      <c r="D244" s="1542">
        <v>9536.85</v>
      </c>
      <c r="E244" s="1542">
        <v>2446.3000000000002</v>
      </c>
    </row>
    <row r="245" spans="1:5">
      <c r="A245" s="1541">
        <v>43772</v>
      </c>
      <c r="B245" s="1542"/>
      <c r="C245" s="1542"/>
      <c r="D245" s="1542"/>
      <c r="E245" s="1542"/>
    </row>
    <row r="246" spans="1:5">
      <c r="A246" s="1541">
        <v>43771</v>
      </c>
      <c r="B246" s="1542"/>
      <c r="C246" s="1542"/>
      <c r="D246" s="1542"/>
      <c r="E246" s="1542"/>
    </row>
    <row r="247" spans="1:5">
      <c r="A247" s="1541">
        <v>43770</v>
      </c>
      <c r="B247" s="1542">
        <v>21218.98</v>
      </c>
      <c r="C247" s="1542">
        <v>221.12</v>
      </c>
      <c r="D247" s="1542">
        <v>9497.08</v>
      </c>
      <c r="E247" s="1542">
        <v>2410.9699999999998</v>
      </c>
    </row>
    <row r="248" spans="1:5">
      <c r="A248" s="1541">
        <v>43769</v>
      </c>
      <c r="B248" s="1542">
        <v>21142.99</v>
      </c>
      <c r="C248" s="1542">
        <v>219.76</v>
      </c>
      <c r="D248" s="1542">
        <v>9418.3799999999992</v>
      </c>
      <c r="E248" s="1542">
        <v>2394.31</v>
      </c>
    </row>
    <row r="249" spans="1:5">
      <c r="A249" s="1541">
        <v>43768</v>
      </c>
      <c r="B249" s="1542">
        <v>21183.15</v>
      </c>
      <c r="C249" s="1542">
        <v>221.02</v>
      </c>
      <c r="D249" s="1542">
        <v>9433.2999999999993</v>
      </c>
      <c r="E249" s="1542">
        <v>2393.15</v>
      </c>
    </row>
    <row r="250" spans="1:5">
      <c r="A250" s="1541">
        <v>43767</v>
      </c>
      <c r="B250" s="1542">
        <v>21096.75</v>
      </c>
      <c r="C250" s="1542">
        <v>220</v>
      </c>
      <c r="D250" s="1542">
        <v>9411.83</v>
      </c>
      <c r="E250" s="1542">
        <v>2398.17</v>
      </c>
    </row>
    <row r="251" spans="1:5">
      <c r="A251" s="1541">
        <v>43766</v>
      </c>
      <c r="B251" s="1542">
        <v>21061.65</v>
      </c>
      <c r="C251" s="1542">
        <v>221.42</v>
      </c>
      <c r="D251" s="1542">
        <v>9407.2999999999993</v>
      </c>
      <c r="E251" s="1542">
        <v>2396.41</v>
      </c>
    </row>
    <row r="252" spans="1:5">
      <c r="A252" s="1541">
        <v>43765</v>
      </c>
      <c r="B252" s="1542"/>
      <c r="C252" s="1542"/>
      <c r="D252" s="1542"/>
      <c r="E252" s="1542"/>
    </row>
    <row r="253" spans="1:5">
      <c r="A253" s="1541">
        <v>43764</v>
      </c>
      <c r="B253" s="1542"/>
      <c r="C253" s="1542"/>
      <c r="D253" s="1542"/>
      <c r="E253" s="1542"/>
    </row>
    <row r="254" spans="1:5">
      <c r="A254" s="1541">
        <v>43763</v>
      </c>
      <c r="B254" s="1542">
        <v>21026.13</v>
      </c>
      <c r="C254" s="1542">
        <v>219.6</v>
      </c>
      <c r="D254" s="1542">
        <v>9370.81</v>
      </c>
      <c r="E254" s="1542">
        <v>2380.02</v>
      </c>
    </row>
    <row r="255" spans="1:5">
      <c r="A255" s="1541">
        <v>43762</v>
      </c>
      <c r="B255" s="1542">
        <v>21070.74</v>
      </c>
      <c r="C255" s="1542">
        <v>220.06</v>
      </c>
      <c r="D255" s="1542">
        <v>9340.64</v>
      </c>
      <c r="E255" s="1542">
        <v>2383.62</v>
      </c>
    </row>
    <row r="256" spans="1:5">
      <c r="A256" s="1541">
        <v>43761</v>
      </c>
      <c r="B256" s="1542">
        <v>20920.95</v>
      </c>
      <c r="C256" s="1542">
        <v>218.31</v>
      </c>
      <c r="D256" s="1542">
        <v>9309.43</v>
      </c>
      <c r="E256" s="1542">
        <v>2368.77</v>
      </c>
    </row>
    <row r="257" spans="1:5">
      <c r="A257" s="1541">
        <v>43760</v>
      </c>
      <c r="B257" s="1542">
        <v>20979.74</v>
      </c>
      <c r="C257" s="1542">
        <v>218.73</v>
      </c>
      <c r="D257" s="1542">
        <v>9292.1</v>
      </c>
      <c r="E257" s="1542">
        <v>2375.75</v>
      </c>
    </row>
    <row r="258" spans="1:5">
      <c r="A258" s="1541">
        <v>43759</v>
      </c>
      <c r="B258" s="1542">
        <v>20817.62</v>
      </c>
      <c r="C258" s="1542">
        <v>218.25</v>
      </c>
      <c r="D258" s="1542">
        <v>9313.2199999999993</v>
      </c>
      <c r="E258" s="1542">
        <v>2362.88</v>
      </c>
    </row>
    <row r="259" spans="1:5">
      <c r="A259" s="1541">
        <v>43758</v>
      </c>
      <c r="B259" s="1542"/>
      <c r="C259" s="1542"/>
      <c r="D259" s="1542"/>
      <c r="E259" s="1542"/>
    </row>
    <row r="260" spans="1:5">
      <c r="A260" s="1541">
        <v>43757</v>
      </c>
      <c r="B260" s="1542"/>
      <c r="C260" s="1542"/>
      <c r="D260" s="1542"/>
      <c r="E260" s="1542"/>
    </row>
    <row r="261" spans="1:5">
      <c r="A261" s="1541">
        <v>43756</v>
      </c>
      <c r="B261" s="1542">
        <v>20810.3</v>
      </c>
      <c r="C261" s="1542">
        <v>217.6</v>
      </c>
      <c r="D261" s="1542">
        <v>9253.76</v>
      </c>
      <c r="E261" s="1542">
        <v>2352.5100000000002</v>
      </c>
    </row>
    <row r="262" spans="1:5">
      <c r="A262" s="1541">
        <v>43755</v>
      </c>
      <c r="B262" s="1542">
        <v>20822.689999999999</v>
      </c>
      <c r="C262" s="1542">
        <v>216.91</v>
      </c>
      <c r="D262" s="1542">
        <v>9281.6</v>
      </c>
      <c r="E262" s="1542">
        <v>2361.96</v>
      </c>
    </row>
    <row r="263" spans="1:5">
      <c r="A263" s="1541">
        <v>43754</v>
      </c>
      <c r="B263" s="1542">
        <v>20777.88</v>
      </c>
      <c r="C263" s="1542">
        <v>215.25</v>
      </c>
      <c r="D263" s="1542">
        <v>9253.35</v>
      </c>
      <c r="E263" s="1542">
        <v>2351.83</v>
      </c>
    </row>
    <row r="264" spans="1:5">
      <c r="A264" s="1541">
        <v>43753</v>
      </c>
      <c r="B264" s="1542">
        <v>20682.89</v>
      </c>
      <c r="C264" s="1542">
        <v>215.7</v>
      </c>
      <c r="D264" s="1542">
        <v>9258.2999999999993</v>
      </c>
      <c r="E264" s="1542">
        <v>2340.6999999999998</v>
      </c>
    </row>
    <row r="265" spans="1:5">
      <c r="A265" s="1541">
        <v>43752</v>
      </c>
      <c r="B265" s="1542">
        <v>20599.41</v>
      </c>
      <c r="C265" s="1542">
        <v>215.39</v>
      </c>
      <c r="D265" s="1542">
        <v>9168.35</v>
      </c>
      <c r="E265" s="1542">
        <v>2336.56</v>
      </c>
    </row>
    <row r="266" spans="1:5">
      <c r="A266" s="1541">
        <v>43751</v>
      </c>
      <c r="B266" s="1542"/>
      <c r="C266" s="1542"/>
      <c r="D266" s="1542"/>
      <c r="E266" s="1542"/>
    </row>
    <row r="267" spans="1:5">
      <c r="A267" s="1541">
        <v>43750</v>
      </c>
      <c r="B267" s="1542"/>
      <c r="C267" s="1542"/>
      <c r="D267" s="1542"/>
      <c r="E267" s="1542"/>
    </row>
    <row r="268" spans="1:5">
      <c r="A268" s="1541">
        <v>43749</v>
      </c>
      <c r="B268" s="1542"/>
      <c r="C268" s="1542"/>
      <c r="D268" s="1542">
        <v>9185.3799999999992</v>
      </c>
      <c r="E268" s="1542">
        <v>2322.9699999999998</v>
      </c>
    </row>
    <row r="269" spans="1:5">
      <c r="A269" s="1541">
        <v>43748</v>
      </c>
      <c r="B269" s="1542"/>
      <c r="C269" s="1542"/>
      <c r="D269" s="1542">
        <v>9061.74</v>
      </c>
      <c r="E269" s="1542">
        <v>2288.35</v>
      </c>
    </row>
    <row r="270" spans="1:5">
      <c r="A270" s="1541">
        <v>43747</v>
      </c>
      <c r="B270" s="1542">
        <v>20269.96</v>
      </c>
      <c r="C270" s="1542">
        <v>213.27</v>
      </c>
      <c r="D270" s="1542">
        <v>9007.9599999999991</v>
      </c>
      <c r="E270" s="1542">
        <v>2280.02</v>
      </c>
    </row>
    <row r="271" spans="1:5">
      <c r="A271" s="1541">
        <v>43746</v>
      </c>
      <c r="B271" s="1542">
        <v>20506.82</v>
      </c>
      <c r="C271" s="1542">
        <v>214.42</v>
      </c>
      <c r="D271" s="1542">
        <v>8949.26</v>
      </c>
      <c r="E271" s="1542">
        <v>2281.89</v>
      </c>
    </row>
    <row r="272" spans="1:5">
      <c r="A272" s="1541">
        <v>43745</v>
      </c>
      <c r="B272" s="1542">
        <v>20353.73</v>
      </c>
      <c r="C272" s="1542">
        <v>215.34</v>
      </c>
      <c r="D272" s="1542">
        <v>9065.7199999999993</v>
      </c>
      <c r="E272" s="1542">
        <v>2282.35</v>
      </c>
    </row>
    <row r="273" spans="1:5">
      <c r="A273" s="1541">
        <v>43744</v>
      </c>
      <c r="B273" s="1542"/>
      <c r="C273" s="1542"/>
      <c r="D273" s="1542"/>
      <c r="E273" s="1542"/>
    </row>
    <row r="274" spans="1:5">
      <c r="A274" s="1541">
        <v>43743</v>
      </c>
      <c r="B274" s="1542"/>
      <c r="C274" s="1542"/>
      <c r="D274" s="1542"/>
      <c r="E274" s="1542"/>
    </row>
    <row r="275" spans="1:5">
      <c r="A275" s="1541">
        <v>43742</v>
      </c>
      <c r="B275" s="1542">
        <v>20278.189999999999</v>
      </c>
      <c r="C275" s="1542">
        <v>214.93</v>
      </c>
      <c r="D275" s="1542">
        <v>9074.07</v>
      </c>
      <c r="E275" s="1542">
        <v>2287.86</v>
      </c>
    </row>
    <row r="276" spans="1:5">
      <c r="A276" s="1541">
        <v>43741</v>
      </c>
      <c r="B276" s="1542">
        <v>20243.63</v>
      </c>
      <c r="C276" s="1542">
        <v>215.12</v>
      </c>
      <c r="D276" s="1542">
        <v>8979.3799999999992</v>
      </c>
      <c r="E276" s="1542">
        <v>2277.46</v>
      </c>
    </row>
    <row r="277" spans="1:5">
      <c r="A277" s="1541">
        <v>43740</v>
      </c>
      <c r="B277" s="1542">
        <v>20377.599999999999</v>
      </c>
      <c r="C277" s="1542">
        <v>214.98</v>
      </c>
      <c r="D277" s="1542">
        <v>8935.84</v>
      </c>
      <c r="E277" s="1542">
        <v>2270.3200000000002</v>
      </c>
    </row>
    <row r="278" spans="1:5">
      <c r="A278" s="1541">
        <v>43739</v>
      </c>
      <c r="B278" s="1542">
        <v>20411.12</v>
      </c>
      <c r="C278" s="1542">
        <v>214.21</v>
      </c>
      <c r="D278" s="1542">
        <v>9091.69</v>
      </c>
      <c r="E278" s="1542">
        <v>2291.4499999999998</v>
      </c>
    </row>
    <row r="279" spans="1:5">
      <c r="A279" s="1541">
        <v>43738</v>
      </c>
      <c r="B279" s="1542"/>
      <c r="C279" s="1542"/>
      <c r="D279" s="1542">
        <v>9182.17</v>
      </c>
      <c r="E279" s="1542">
        <v>2297.1999999999998</v>
      </c>
    </row>
    <row r="280" spans="1:5">
      <c r="A280" s="1541">
        <v>43737</v>
      </c>
      <c r="B280" s="1542"/>
      <c r="C280" s="1542"/>
      <c r="D280" s="1542"/>
      <c r="E280" s="1542"/>
    </row>
    <row r="281" spans="1:5">
      <c r="A281" s="1541">
        <v>43736</v>
      </c>
      <c r="B281" s="1542"/>
      <c r="C281" s="1542"/>
      <c r="D281" s="1542"/>
      <c r="E281" s="1542"/>
    </row>
    <row r="282" spans="1:5">
      <c r="A282" s="1541">
        <v>43735</v>
      </c>
      <c r="B282" s="1542">
        <v>20154.27</v>
      </c>
      <c r="C282" s="1542">
        <v>213.26</v>
      </c>
      <c r="D282" s="1542">
        <v>9162.81</v>
      </c>
      <c r="E282" s="1542">
        <v>2298.33</v>
      </c>
    </row>
    <row r="283" spans="1:5">
      <c r="A283" s="1541">
        <v>43734</v>
      </c>
      <c r="B283" s="1542">
        <v>20233</v>
      </c>
      <c r="C283" s="1542">
        <v>215.54</v>
      </c>
      <c r="D283" s="1542">
        <v>9186.8799999999992</v>
      </c>
      <c r="E283" s="1542">
        <v>2315.33</v>
      </c>
    </row>
    <row r="284" spans="1:5">
      <c r="A284" s="1541">
        <v>43733</v>
      </c>
      <c r="B284" s="1542">
        <v>20235.919999999998</v>
      </c>
      <c r="C284" s="1542">
        <v>216.21</v>
      </c>
      <c r="D284" s="1542">
        <v>9190.9699999999993</v>
      </c>
      <c r="E284" s="1542">
        <v>2306.33</v>
      </c>
    </row>
    <row r="285" spans="1:5">
      <c r="A285" s="1541">
        <v>43732</v>
      </c>
      <c r="B285" s="1542">
        <v>20318.25</v>
      </c>
      <c r="C285" s="1542">
        <v>217.11</v>
      </c>
      <c r="D285" s="1542">
        <v>9180.49</v>
      </c>
      <c r="E285" s="1542">
        <v>2319.16</v>
      </c>
    </row>
    <row r="286" spans="1:5">
      <c r="A286" s="1541">
        <v>43731</v>
      </c>
      <c r="B286" s="1542">
        <v>20319.98</v>
      </c>
      <c r="C286" s="1542">
        <v>217.48</v>
      </c>
      <c r="D286" s="1542">
        <v>9229.08</v>
      </c>
      <c r="E286" s="1542">
        <v>2328.0300000000002</v>
      </c>
    </row>
    <row r="287" spans="1:5">
      <c r="A287" s="1541">
        <v>43730</v>
      </c>
      <c r="B287" s="1542"/>
      <c r="C287" s="1542"/>
      <c r="D287" s="1542"/>
      <c r="E287" s="1542"/>
    </row>
    <row r="288" spans="1:5">
      <c r="A288" s="1541">
        <v>43729</v>
      </c>
      <c r="B288" s="1542"/>
      <c r="C288" s="1542"/>
      <c r="D288" s="1542"/>
      <c r="E288" s="1542"/>
    </row>
    <row r="289" spans="1:5">
      <c r="A289" s="1541">
        <v>43728</v>
      </c>
      <c r="B289" s="1542">
        <v>20339.810000000001</v>
      </c>
      <c r="C289" s="1542">
        <v>216.7</v>
      </c>
      <c r="D289" s="1542">
        <v>9244.81</v>
      </c>
      <c r="E289" s="1542">
        <v>2341.79</v>
      </c>
    </row>
    <row r="290" spans="1:5">
      <c r="A290" s="1541">
        <v>43727</v>
      </c>
      <c r="B290" s="1542">
        <v>20274.61</v>
      </c>
      <c r="C290" s="1542">
        <v>215.93</v>
      </c>
      <c r="D290" s="1542">
        <v>9274.51</v>
      </c>
      <c r="E290" s="1542">
        <v>2331.02</v>
      </c>
    </row>
    <row r="291" spans="1:5">
      <c r="A291" s="1541">
        <v>43726</v>
      </c>
      <c r="B291" s="1542">
        <v>20306.990000000002</v>
      </c>
      <c r="C291" s="1542">
        <v>215.07</v>
      </c>
      <c r="D291" s="1542">
        <v>9258.7000000000007</v>
      </c>
      <c r="E291" s="1542">
        <v>2341.3200000000002</v>
      </c>
    </row>
    <row r="292" spans="1:5">
      <c r="A292" s="1541">
        <v>43725</v>
      </c>
      <c r="B292" s="1542">
        <v>20204.79</v>
      </c>
      <c r="C292" s="1542">
        <v>213.9</v>
      </c>
      <c r="D292" s="1542">
        <v>9261.56</v>
      </c>
      <c r="E292" s="1542">
        <v>2335.4699999999998</v>
      </c>
    </row>
    <row r="293" spans="1:5">
      <c r="A293" s="1541">
        <v>43724</v>
      </c>
      <c r="B293" s="1542">
        <v>20248.599999999999</v>
      </c>
      <c r="C293" s="1542">
        <v>213.79</v>
      </c>
      <c r="D293" s="1542">
        <v>9236.66</v>
      </c>
      <c r="E293" s="1542">
        <v>2353.86</v>
      </c>
    </row>
    <row r="294" spans="1:5">
      <c r="A294" s="1541">
        <v>43723</v>
      </c>
      <c r="B294" s="1542"/>
      <c r="C294" s="1542"/>
      <c r="D294" s="1542"/>
      <c r="E294" s="1542"/>
    </row>
    <row r="295" spans="1:5">
      <c r="A295" s="1541">
        <v>43722</v>
      </c>
      <c r="B295" s="1542"/>
      <c r="C295" s="1542"/>
      <c r="D295" s="1542"/>
      <c r="E295" s="1542"/>
    </row>
    <row r="296" spans="1:5">
      <c r="A296" s="1541">
        <v>43721</v>
      </c>
      <c r="B296" s="1542"/>
      <c r="C296" s="1542"/>
      <c r="D296" s="1542">
        <v>9278.2099999999991</v>
      </c>
      <c r="E296" s="1542">
        <v>2352.48</v>
      </c>
    </row>
    <row r="297" spans="1:5">
      <c r="A297" s="1541">
        <v>43720</v>
      </c>
      <c r="B297" s="1542">
        <v>20111.71</v>
      </c>
      <c r="C297" s="1542">
        <v>214.41</v>
      </c>
      <c r="D297" s="1542">
        <v>9259.73</v>
      </c>
      <c r="E297" s="1542">
        <v>2342.58</v>
      </c>
    </row>
    <row r="298" spans="1:5">
      <c r="A298" s="1541">
        <v>43719</v>
      </c>
      <c r="B298" s="1542">
        <v>20042.62</v>
      </c>
      <c r="C298" s="1542">
        <v>213.49</v>
      </c>
      <c r="D298" s="1542">
        <v>9227.58</v>
      </c>
      <c r="E298" s="1542">
        <v>2329.9299999999998</v>
      </c>
    </row>
    <row r="299" spans="1:5">
      <c r="A299" s="1541">
        <v>43718</v>
      </c>
      <c r="B299" s="1542">
        <v>19973.71</v>
      </c>
      <c r="C299" s="1542">
        <v>212.95</v>
      </c>
      <c r="D299" s="1542">
        <v>9164.14</v>
      </c>
      <c r="E299" s="1542">
        <v>2308.9299999999998</v>
      </c>
    </row>
    <row r="300" spans="1:5">
      <c r="A300" s="1541">
        <v>43717</v>
      </c>
      <c r="B300" s="1542">
        <v>20062.05</v>
      </c>
      <c r="C300" s="1542">
        <v>214.36</v>
      </c>
      <c r="D300" s="1542">
        <v>9159.4500000000007</v>
      </c>
      <c r="E300" s="1542">
        <v>2314.4899999999998</v>
      </c>
    </row>
    <row r="301" spans="1:5">
      <c r="A301" s="1541">
        <v>43716</v>
      </c>
      <c r="B301" s="1542"/>
      <c r="C301" s="1542"/>
      <c r="D301" s="1542"/>
      <c r="E301" s="1542"/>
    </row>
    <row r="302" spans="1:5">
      <c r="A302" s="1541">
        <v>43715</v>
      </c>
      <c r="B302" s="1542"/>
      <c r="C302" s="1542"/>
      <c r="D302" s="1542"/>
      <c r="E302" s="1542"/>
    </row>
    <row r="303" spans="1:5">
      <c r="A303" s="1541">
        <v>43714</v>
      </c>
      <c r="B303" s="1542">
        <v>20023.689999999999</v>
      </c>
      <c r="C303" s="1542">
        <v>214.68</v>
      </c>
      <c r="D303" s="1542">
        <v>9160.92</v>
      </c>
      <c r="E303" s="1542">
        <v>2308.3200000000002</v>
      </c>
    </row>
    <row r="304" spans="1:5">
      <c r="A304" s="1541">
        <v>43713</v>
      </c>
      <c r="B304" s="1542">
        <v>19979.16</v>
      </c>
      <c r="C304" s="1542">
        <v>214.46</v>
      </c>
      <c r="D304" s="1542">
        <v>9141.09</v>
      </c>
      <c r="E304" s="1542">
        <v>2296.7399999999998</v>
      </c>
    </row>
    <row r="305" spans="1:5">
      <c r="A305" s="1541">
        <v>43712</v>
      </c>
      <c r="B305" s="1542">
        <v>19790.439999999999</v>
      </c>
      <c r="C305" s="1542">
        <v>214.25</v>
      </c>
      <c r="D305" s="1542">
        <v>9035.52</v>
      </c>
      <c r="E305" s="1542">
        <v>2268.21</v>
      </c>
    </row>
    <row r="306" spans="1:5">
      <c r="A306" s="1541">
        <v>43711</v>
      </c>
      <c r="B306" s="1542">
        <v>19605.96</v>
      </c>
      <c r="C306" s="1542">
        <v>212.65</v>
      </c>
      <c r="D306" s="1542">
        <v>8938.84</v>
      </c>
      <c r="E306" s="1542">
        <v>2228.17</v>
      </c>
    </row>
    <row r="307" spans="1:5">
      <c r="A307" s="1541">
        <v>43710</v>
      </c>
      <c r="B307" s="1542">
        <v>19747.080000000002</v>
      </c>
      <c r="C307" s="1542">
        <v>212.68</v>
      </c>
      <c r="D307" s="1542">
        <v>8978.74</v>
      </c>
      <c r="E307" s="1542">
        <v>2252.16</v>
      </c>
    </row>
    <row r="308" spans="1:5">
      <c r="A308" s="1541">
        <v>43709</v>
      </c>
      <c r="B308" s="1542"/>
      <c r="C308" s="1542"/>
      <c r="D308" s="1542"/>
      <c r="E308" s="1542"/>
    </row>
    <row r="309" spans="1:5">
      <c r="A309" s="1541">
        <v>43708</v>
      </c>
      <c r="B309" s="1542"/>
      <c r="C309" s="1542"/>
      <c r="D309" s="1542"/>
      <c r="E309" s="1542"/>
    </row>
    <row r="310" spans="1:5">
      <c r="A310" s="1541">
        <v>43707</v>
      </c>
      <c r="B310" s="1542">
        <v>19714.34</v>
      </c>
      <c r="C310" s="1542">
        <v>210.89</v>
      </c>
      <c r="D310" s="1542">
        <v>8986.64</v>
      </c>
      <c r="E310" s="1542">
        <v>2253.44</v>
      </c>
    </row>
    <row r="311" spans="1:5">
      <c r="A311" s="1541">
        <v>43706</v>
      </c>
      <c r="B311" s="1542">
        <v>19424.64</v>
      </c>
      <c r="C311" s="1542">
        <v>209.89</v>
      </c>
      <c r="D311" s="1542">
        <v>8962.76</v>
      </c>
      <c r="E311" s="1542">
        <v>2220.73</v>
      </c>
    </row>
    <row r="312" spans="1:5">
      <c r="A312" s="1541">
        <v>43705</v>
      </c>
      <c r="B312" s="1542">
        <v>19365.75</v>
      </c>
      <c r="C312" s="1542">
        <v>209.04</v>
      </c>
      <c r="D312" s="1542">
        <v>8872.4599999999991</v>
      </c>
      <c r="E312" s="1542">
        <v>2209.35</v>
      </c>
    </row>
    <row r="313" spans="1:5">
      <c r="A313" s="1541">
        <v>43704</v>
      </c>
      <c r="B313" s="1542">
        <v>19274.580000000002</v>
      </c>
      <c r="C313" s="1542">
        <v>208.39</v>
      </c>
      <c r="D313" s="1542">
        <v>8842.35</v>
      </c>
      <c r="E313" s="1542">
        <v>2207.3200000000002</v>
      </c>
    </row>
    <row r="314" spans="1:5">
      <c r="A314" s="1541">
        <v>43703</v>
      </c>
      <c r="B314" s="1542">
        <v>19208.29</v>
      </c>
      <c r="C314" s="1542">
        <v>206.68</v>
      </c>
      <c r="D314" s="1542">
        <v>8843.56</v>
      </c>
      <c r="E314" s="1542">
        <v>2198.59</v>
      </c>
    </row>
    <row r="315" spans="1:5">
      <c r="A315" s="1541">
        <v>43702</v>
      </c>
      <c r="B315" s="1542"/>
      <c r="C315" s="1542"/>
      <c r="D315" s="1542"/>
      <c r="E315" s="1542"/>
    </row>
    <row r="316" spans="1:5">
      <c r="A316" s="1541">
        <v>43701</v>
      </c>
      <c r="B316" s="1542"/>
      <c r="C316" s="1542"/>
      <c r="D316" s="1542"/>
      <c r="E316" s="1542"/>
    </row>
    <row r="317" spans="1:5">
      <c r="A317" s="1541">
        <v>43700</v>
      </c>
      <c r="B317" s="1542">
        <v>19532.52</v>
      </c>
      <c r="C317" s="1542">
        <v>210.15</v>
      </c>
      <c r="D317" s="1542">
        <v>8798.31</v>
      </c>
      <c r="E317" s="1542">
        <v>2227.5700000000002</v>
      </c>
    </row>
    <row r="318" spans="1:5">
      <c r="A318" s="1541">
        <v>43699</v>
      </c>
      <c r="B318" s="1542">
        <v>19512.96</v>
      </c>
      <c r="C318" s="1542">
        <v>210.33</v>
      </c>
      <c r="D318" s="1542">
        <v>8953.66</v>
      </c>
      <c r="E318" s="1542">
        <v>2232.09</v>
      </c>
    </row>
    <row r="319" spans="1:5">
      <c r="A319" s="1541">
        <v>43698</v>
      </c>
      <c r="B319" s="1542">
        <v>19503.830000000002</v>
      </c>
      <c r="C319" s="1542">
        <v>210.63</v>
      </c>
      <c r="D319" s="1542">
        <v>8969.02</v>
      </c>
      <c r="E319" s="1542">
        <v>2249</v>
      </c>
    </row>
    <row r="320" spans="1:5">
      <c r="A320" s="1541">
        <v>43697</v>
      </c>
      <c r="B320" s="1542">
        <v>19493.72</v>
      </c>
      <c r="C320" s="1542">
        <v>209.55</v>
      </c>
      <c r="D320" s="1542">
        <v>8901.6299999999992</v>
      </c>
      <c r="E320" s="1542">
        <v>2242.02</v>
      </c>
    </row>
    <row r="321" spans="1:5">
      <c r="A321" s="1541">
        <v>43696</v>
      </c>
      <c r="B321" s="1542">
        <v>19426.650000000001</v>
      </c>
      <c r="C321" s="1542">
        <v>208.88</v>
      </c>
      <c r="D321" s="1542">
        <v>8952.56</v>
      </c>
      <c r="E321" s="1542">
        <v>2236.4499999999998</v>
      </c>
    </row>
    <row r="322" spans="1:5">
      <c r="A322" s="1541">
        <v>43695</v>
      </c>
      <c r="B322" s="1542"/>
      <c r="C322" s="1542"/>
      <c r="D322" s="1542"/>
      <c r="E322" s="1542"/>
    </row>
    <row r="323" spans="1:5">
      <c r="A323" s="1541">
        <v>43694</v>
      </c>
      <c r="B323" s="1542"/>
      <c r="C323" s="1542"/>
      <c r="D323" s="1542"/>
      <c r="E323" s="1542"/>
    </row>
    <row r="324" spans="1:5">
      <c r="A324" s="1541">
        <v>43693</v>
      </c>
      <c r="B324" s="1542">
        <v>19299.259999999998</v>
      </c>
      <c r="C324" s="1542">
        <v>206.2</v>
      </c>
      <c r="D324" s="1542">
        <v>8854.0499999999993</v>
      </c>
      <c r="E324" s="1542">
        <v>2219.2399999999998</v>
      </c>
    </row>
    <row r="325" spans="1:5">
      <c r="A325" s="1541">
        <v>43692</v>
      </c>
      <c r="B325" s="1542">
        <v>19125.64</v>
      </c>
      <c r="C325" s="1542">
        <v>204.88</v>
      </c>
      <c r="D325" s="1542">
        <v>8745.23</v>
      </c>
      <c r="E325" s="1542">
        <v>2203.13</v>
      </c>
    </row>
    <row r="326" spans="1:5">
      <c r="A326" s="1541">
        <v>43691</v>
      </c>
      <c r="B326" s="1542">
        <v>19306.45</v>
      </c>
      <c r="C326" s="1542">
        <v>206.94</v>
      </c>
      <c r="D326" s="1542">
        <v>8756.5</v>
      </c>
      <c r="E326" s="1542">
        <v>2205.12</v>
      </c>
    </row>
    <row r="327" spans="1:5">
      <c r="A327" s="1541">
        <v>43690</v>
      </c>
      <c r="B327" s="1542">
        <v>19176.5</v>
      </c>
      <c r="C327" s="1542">
        <v>206.48</v>
      </c>
      <c r="D327" s="1542">
        <v>8956.4699999999993</v>
      </c>
      <c r="E327" s="1542">
        <v>2215.0100000000002</v>
      </c>
    </row>
    <row r="328" spans="1:5">
      <c r="A328" s="1541">
        <v>43689</v>
      </c>
      <c r="B328" s="1542">
        <v>19360.919999999998</v>
      </c>
      <c r="C328" s="1542">
        <v>208.32</v>
      </c>
      <c r="D328" s="1542">
        <v>8884.35</v>
      </c>
      <c r="E328" s="1542">
        <v>2224.44</v>
      </c>
    </row>
    <row r="329" spans="1:5">
      <c r="A329" s="1541">
        <v>43688</v>
      </c>
      <c r="B329" s="1542"/>
      <c r="C329" s="1542"/>
      <c r="D329" s="1542"/>
      <c r="E329" s="1542"/>
    </row>
    <row r="330" spans="1:5">
      <c r="A330" s="1541">
        <v>43687</v>
      </c>
      <c r="B330" s="1542"/>
      <c r="C330" s="1542"/>
      <c r="D330" s="1542"/>
      <c r="E330" s="1542"/>
    </row>
    <row r="331" spans="1:5">
      <c r="A331" s="1541">
        <v>43686</v>
      </c>
      <c r="B331" s="1542"/>
      <c r="C331" s="1542"/>
      <c r="D331" s="1542">
        <v>8958.67</v>
      </c>
      <c r="E331" s="1542">
        <v>2241.91</v>
      </c>
    </row>
    <row r="332" spans="1:5">
      <c r="A332" s="1541">
        <v>43685</v>
      </c>
      <c r="B332" s="1542">
        <v>19372.55</v>
      </c>
      <c r="C332" s="1542">
        <v>207.98</v>
      </c>
      <c r="D332" s="1542">
        <v>9006.1</v>
      </c>
      <c r="E332" s="1542">
        <v>2248.94</v>
      </c>
    </row>
    <row r="333" spans="1:5">
      <c r="A333" s="1541">
        <v>43684</v>
      </c>
      <c r="B333" s="1542">
        <v>19164.330000000002</v>
      </c>
      <c r="C333" s="1542">
        <v>205.85</v>
      </c>
      <c r="D333" s="1542">
        <v>8864.01</v>
      </c>
      <c r="E333" s="1542">
        <v>2222.02</v>
      </c>
    </row>
    <row r="334" spans="1:5">
      <c r="A334" s="1541">
        <v>43683</v>
      </c>
      <c r="B334" s="1542">
        <v>19176.89</v>
      </c>
      <c r="C334" s="1542">
        <v>205.99</v>
      </c>
      <c r="D334" s="1542">
        <v>8843.5</v>
      </c>
      <c r="E334" s="1542">
        <v>2221.98</v>
      </c>
    </row>
    <row r="335" spans="1:5">
      <c r="A335" s="1541">
        <v>43682</v>
      </c>
      <c r="B335" s="1542">
        <v>19219.3</v>
      </c>
      <c r="C335" s="1542">
        <v>206.05</v>
      </c>
      <c r="D335" s="1542">
        <v>8793.2800000000007</v>
      </c>
      <c r="E335" s="1542">
        <v>2222.56</v>
      </c>
    </row>
    <row r="336" spans="1:5">
      <c r="A336" s="1541">
        <v>43681</v>
      </c>
      <c r="B336" s="1542"/>
      <c r="C336" s="1542"/>
      <c r="D336" s="1542"/>
      <c r="E336" s="1542"/>
    </row>
    <row r="337" spans="1:5">
      <c r="A337" s="1541">
        <v>43680</v>
      </c>
      <c r="B337" s="1542"/>
      <c r="C337" s="1542"/>
      <c r="D337" s="1542"/>
      <c r="E337" s="1542"/>
    </row>
    <row r="338" spans="1:5">
      <c r="A338" s="1541">
        <v>43679</v>
      </c>
      <c r="B338" s="1542">
        <v>19450.09</v>
      </c>
      <c r="C338" s="1542">
        <v>209.11</v>
      </c>
      <c r="D338" s="1542">
        <v>9013.5</v>
      </c>
      <c r="E338" s="1542">
        <v>2292.7399999999998</v>
      </c>
    </row>
    <row r="339" spans="1:5">
      <c r="A339" s="1541">
        <v>43678</v>
      </c>
      <c r="B339" s="1542">
        <v>19784.89</v>
      </c>
      <c r="C339" s="1542">
        <v>212.63</v>
      </c>
      <c r="D339" s="1542">
        <v>9110.16</v>
      </c>
      <c r="E339" s="1542">
        <v>2340.12</v>
      </c>
    </row>
    <row r="340" spans="1:5">
      <c r="A340" s="1541">
        <v>43677</v>
      </c>
      <c r="B340" s="1542">
        <v>19938.27</v>
      </c>
      <c r="C340" s="1542">
        <v>213.1</v>
      </c>
      <c r="D340" s="1542">
        <v>9169.82</v>
      </c>
      <c r="E340" s="1542">
        <v>2368.23</v>
      </c>
    </row>
    <row r="341" spans="1:5">
      <c r="A341" s="1541">
        <v>43676</v>
      </c>
      <c r="B341" s="1542">
        <v>19933.84</v>
      </c>
      <c r="C341" s="1542">
        <v>212.43</v>
      </c>
      <c r="D341" s="1542">
        <v>9235.84</v>
      </c>
      <c r="E341" s="1542">
        <v>2381.9299999999998</v>
      </c>
    </row>
    <row r="342" spans="1:5">
      <c r="A342" s="1541">
        <v>43675</v>
      </c>
      <c r="B342" s="1542">
        <v>20033.05</v>
      </c>
      <c r="C342" s="1542">
        <v>215.36</v>
      </c>
      <c r="D342" s="1542">
        <v>9273.24</v>
      </c>
      <c r="E342" s="1542">
        <v>2387.61</v>
      </c>
    </row>
    <row r="343" spans="1:5">
      <c r="A343" s="1541">
        <v>43674</v>
      </c>
      <c r="B343" s="1542"/>
      <c r="C343" s="1542"/>
      <c r="D343" s="1542"/>
      <c r="E343" s="1542"/>
    </row>
    <row r="344" spans="1:5">
      <c r="A344" s="1541">
        <v>43673</v>
      </c>
      <c r="B344" s="1542"/>
      <c r="C344" s="1542"/>
      <c r="D344" s="1542"/>
      <c r="E344" s="1542"/>
    </row>
    <row r="345" spans="1:5">
      <c r="A345" s="1541">
        <v>43672</v>
      </c>
      <c r="B345" s="1542">
        <v>20032.689999999999</v>
      </c>
      <c r="C345" s="1542">
        <v>216.08</v>
      </c>
      <c r="D345" s="1542">
        <v>9286.5400000000009</v>
      </c>
      <c r="E345" s="1542">
        <v>2394.14</v>
      </c>
    </row>
    <row r="346" spans="1:5">
      <c r="A346" s="1541">
        <v>43671</v>
      </c>
      <c r="B346" s="1542">
        <v>20120.61</v>
      </c>
      <c r="C346" s="1542">
        <v>216.08</v>
      </c>
      <c r="D346" s="1542">
        <v>9249.4699999999993</v>
      </c>
      <c r="E346" s="1542">
        <v>2406.9499999999998</v>
      </c>
    </row>
    <row r="347" spans="1:5">
      <c r="A347" s="1541">
        <v>43670</v>
      </c>
      <c r="B347" s="1542">
        <v>20028.939999999999</v>
      </c>
      <c r="C347" s="1542">
        <v>214.98</v>
      </c>
      <c r="D347" s="1542">
        <v>9294.57</v>
      </c>
      <c r="E347" s="1542">
        <v>2407.94</v>
      </c>
    </row>
    <row r="348" spans="1:5">
      <c r="A348" s="1541">
        <v>43669</v>
      </c>
      <c r="B348" s="1542">
        <v>20037.900000000001</v>
      </c>
      <c r="C348" s="1542">
        <v>213.68</v>
      </c>
      <c r="D348" s="1542">
        <v>9259.89</v>
      </c>
      <c r="E348" s="1542">
        <v>2408.0500000000002</v>
      </c>
    </row>
    <row r="349" spans="1:5">
      <c r="A349" s="1541">
        <v>43668</v>
      </c>
      <c r="B349" s="1542">
        <v>20027.2</v>
      </c>
      <c r="C349" s="1542">
        <v>213.31</v>
      </c>
      <c r="D349" s="1542">
        <v>9209.86</v>
      </c>
      <c r="E349" s="1542">
        <v>2404.13</v>
      </c>
    </row>
    <row r="350" spans="1:5">
      <c r="A350" s="1541">
        <v>43667</v>
      </c>
      <c r="B350" s="1542"/>
      <c r="C350" s="1542"/>
      <c r="D350" s="1542"/>
      <c r="E350" s="1542"/>
    </row>
    <row r="351" spans="1:5">
      <c r="A351" s="1541">
        <v>43666</v>
      </c>
      <c r="B351" s="1542"/>
      <c r="C351" s="1542"/>
      <c r="D351" s="1542"/>
      <c r="E351" s="1542"/>
    </row>
    <row r="352" spans="1:5">
      <c r="A352" s="1541">
        <v>43665</v>
      </c>
      <c r="B352" s="1542">
        <v>19883.45</v>
      </c>
      <c r="C352" s="1542">
        <v>211.6</v>
      </c>
      <c r="D352" s="1542">
        <v>9196.6299999999992</v>
      </c>
      <c r="E352" s="1542">
        <v>2412.33</v>
      </c>
    </row>
    <row r="353" spans="1:5">
      <c r="A353" s="1541">
        <v>43664</v>
      </c>
      <c r="B353" s="1542">
        <v>19740.32</v>
      </c>
      <c r="C353" s="1542">
        <v>210.01</v>
      </c>
      <c r="D353" s="1542">
        <v>9212.25</v>
      </c>
      <c r="E353" s="1542">
        <v>2398.75</v>
      </c>
    </row>
    <row r="354" spans="1:5">
      <c r="A354" s="1541">
        <v>43663</v>
      </c>
      <c r="B354" s="1542">
        <v>19785.38</v>
      </c>
      <c r="C354" s="1542">
        <v>211.31</v>
      </c>
      <c r="D354" s="1542">
        <v>9209.76</v>
      </c>
      <c r="E354" s="1542">
        <v>2405.83</v>
      </c>
    </row>
    <row r="355" spans="1:5">
      <c r="A355" s="1541">
        <v>43662</v>
      </c>
      <c r="B355" s="1542">
        <v>19886.650000000001</v>
      </c>
      <c r="C355" s="1542">
        <v>211.65</v>
      </c>
      <c r="D355" s="1542">
        <v>9252.2099999999991</v>
      </c>
      <c r="E355" s="1542">
        <v>2416.4299999999998</v>
      </c>
    </row>
    <row r="356" spans="1:5">
      <c r="A356" s="1541">
        <v>43661</v>
      </c>
      <c r="B356" s="1542">
        <v>19844.62</v>
      </c>
      <c r="C356" s="1542">
        <v>211.06</v>
      </c>
      <c r="D356" s="1542">
        <v>9278.23</v>
      </c>
      <c r="E356" s="1542">
        <v>2410.16</v>
      </c>
    </row>
    <row r="357" spans="1:5">
      <c r="A357" s="1541">
        <v>43660</v>
      </c>
      <c r="B357" s="1542"/>
      <c r="C357" s="1542"/>
      <c r="D357" s="1542"/>
      <c r="E357" s="1542"/>
    </row>
    <row r="358" spans="1:5">
      <c r="A358" s="1541">
        <v>43659</v>
      </c>
      <c r="B358" s="1542"/>
      <c r="C358" s="1542"/>
      <c r="D358" s="1542"/>
      <c r="E358" s="1542"/>
    </row>
    <row r="359" spans="1:5">
      <c r="A359" s="1541">
        <v>43658</v>
      </c>
      <c r="B359" s="1542">
        <v>19728.580000000002</v>
      </c>
      <c r="C359" s="1542">
        <v>209.43</v>
      </c>
      <c r="D359" s="1542">
        <v>9271.1200000000008</v>
      </c>
      <c r="E359" s="1542">
        <v>2394.08</v>
      </c>
    </row>
    <row r="360" spans="1:5">
      <c r="A360" s="1541">
        <v>43657</v>
      </c>
      <c r="B360" s="1542">
        <v>19757.53</v>
      </c>
      <c r="C360" s="1542">
        <v>209.46</v>
      </c>
      <c r="D360" s="1542">
        <v>9239.99</v>
      </c>
      <c r="E360" s="1542">
        <v>2403.4699999999998</v>
      </c>
    </row>
    <row r="361" spans="1:5">
      <c r="A361" s="1541">
        <v>43656</v>
      </c>
      <c r="B361" s="1542">
        <v>19645.53</v>
      </c>
      <c r="C361" s="1542">
        <v>208.53</v>
      </c>
      <c r="D361" s="1542">
        <v>9222.2800000000007</v>
      </c>
      <c r="E361" s="1542">
        <v>2388.71</v>
      </c>
    </row>
    <row r="362" spans="1:5">
      <c r="A362" s="1541">
        <v>43655</v>
      </c>
      <c r="B362" s="1542">
        <v>19465.86</v>
      </c>
      <c r="C362" s="1542">
        <v>207.36</v>
      </c>
      <c r="D362" s="1542">
        <v>9190.76</v>
      </c>
      <c r="E362" s="1542">
        <v>2373.85</v>
      </c>
    </row>
    <row r="363" spans="1:5">
      <c r="A363" s="1541">
        <v>43654</v>
      </c>
      <c r="B363" s="1542">
        <v>19532.87</v>
      </c>
      <c r="C363" s="1542">
        <v>208.2</v>
      </c>
      <c r="D363" s="1542">
        <v>9192.98</v>
      </c>
      <c r="E363" s="1542">
        <v>2382.11</v>
      </c>
    </row>
    <row r="364" spans="1:5">
      <c r="A364" s="1541">
        <v>43653</v>
      </c>
      <c r="B364" s="1542"/>
      <c r="C364" s="1542"/>
      <c r="D364" s="1542"/>
      <c r="E364" s="1542"/>
    </row>
    <row r="365" spans="1:5">
      <c r="A365" s="1541">
        <v>43652</v>
      </c>
      <c r="B365" s="1542"/>
      <c r="C365" s="1542"/>
      <c r="D365" s="1542"/>
      <c r="E365" s="1542"/>
    </row>
    <row r="366" spans="1:5">
      <c r="A366" s="1541">
        <v>43651</v>
      </c>
      <c r="B366" s="1542">
        <v>19566.46</v>
      </c>
      <c r="C366" s="1542">
        <v>208.45</v>
      </c>
      <c r="D366" s="1542">
        <v>9238.65</v>
      </c>
      <c r="E366" s="1542">
        <v>2412.06</v>
      </c>
    </row>
    <row r="367" spans="1:5">
      <c r="A367" s="1541">
        <v>43650</v>
      </c>
      <c r="B367" s="1542">
        <v>19544.38</v>
      </c>
      <c r="C367" s="1542">
        <v>207.57</v>
      </c>
      <c r="D367" s="1542">
        <v>9278.27</v>
      </c>
      <c r="E367" s="1542">
        <v>2422.62</v>
      </c>
    </row>
    <row r="368" spans="1:5">
      <c r="A368" s="1541">
        <v>43649</v>
      </c>
      <c r="B368" s="1542">
        <v>19448.419999999998</v>
      </c>
      <c r="C368" s="1542">
        <v>206.01</v>
      </c>
      <c r="D368" s="1542">
        <v>9270.5400000000009</v>
      </c>
      <c r="E368" s="1542">
        <v>2410.02</v>
      </c>
    </row>
    <row r="369" spans="1:5">
      <c r="A369" s="1541">
        <v>43648</v>
      </c>
      <c r="B369" s="1542">
        <v>19637.41</v>
      </c>
      <c r="C369" s="1542">
        <v>207.2</v>
      </c>
      <c r="D369" s="1542">
        <v>9207.0499999999993</v>
      </c>
      <c r="E369" s="1542">
        <v>2418.62</v>
      </c>
    </row>
    <row r="370" spans="1:5">
      <c r="A370" s="1541">
        <v>43647</v>
      </c>
      <c r="B370" s="1542">
        <v>19650.990000000002</v>
      </c>
      <c r="C370" s="1542">
        <v>206.08</v>
      </c>
      <c r="D370" s="1542">
        <v>9180.3799999999992</v>
      </c>
      <c r="E370" s="1542">
        <v>2416.92</v>
      </c>
    </row>
    <row r="371" spans="1:5">
      <c r="A371" s="1541">
        <v>43646</v>
      </c>
      <c r="B371" s="1542"/>
      <c r="C371" s="1542"/>
      <c r="D371" s="1542"/>
      <c r="E371" s="1542" t="s">
        <v>1643</v>
      </c>
    </row>
    <row r="372" spans="1:5">
      <c r="A372" s="1541">
        <v>43645</v>
      </c>
      <c r="B372" s="1542"/>
      <c r="C372" s="1542"/>
      <c r="D372" s="1542"/>
      <c r="E372" s="1542"/>
    </row>
    <row r="373" spans="1:5">
      <c r="A373" s="1541">
        <v>43644</v>
      </c>
      <c r="B373" s="1542">
        <v>19337.63</v>
      </c>
      <c r="C373" s="1542">
        <v>202.43</v>
      </c>
      <c r="D373" s="1542">
        <v>9122.09</v>
      </c>
      <c r="E373" s="1542">
        <v>2395.54</v>
      </c>
    </row>
    <row r="374" spans="1:5">
      <c r="A374" s="1541">
        <v>43643</v>
      </c>
      <c r="B374" s="1542">
        <v>19414.25</v>
      </c>
      <c r="C374" s="1542">
        <v>201.93</v>
      </c>
      <c r="D374" s="1542">
        <v>9071.81</v>
      </c>
      <c r="E374" s="1542">
        <v>2395.4299999999998</v>
      </c>
    </row>
    <row r="375" spans="1:5">
      <c r="A375" s="1541">
        <v>43642</v>
      </c>
      <c r="B375" s="1542">
        <v>19191.669999999998</v>
      </c>
      <c r="C375" s="1542">
        <v>200.66</v>
      </c>
      <c r="D375" s="1542">
        <v>9035.59</v>
      </c>
      <c r="E375" s="1542">
        <v>2378.21</v>
      </c>
    </row>
    <row r="376" spans="1:5">
      <c r="A376" s="1541">
        <v>43641</v>
      </c>
      <c r="B376" s="1542">
        <v>19265.78</v>
      </c>
      <c r="C376" s="1542">
        <v>200.46</v>
      </c>
      <c r="D376" s="1542">
        <v>9056.73</v>
      </c>
      <c r="E376" s="1542">
        <v>2371.61</v>
      </c>
    </row>
    <row r="377" spans="1:5">
      <c r="A377" s="1541">
        <v>43640</v>
      </c>
      <c r="B377" s="1542">
        <v>19394.939999999999</v>
      </c>
      <c r="C377" s="1542">
        <v>202.24</v>
      </c>
      <c r="D377" s="1542">
        <v>9117.0300000000007</v>
      </c>
      <c r="E377" s="1542">
        <v>2387.69</v>
      </c>
    </row>
    <row r="378" spans="1:5">
      <c r="A378" s="1541">
        <v>43639</v>
      </c>
      <c r="B378" s="1542"/>
      <c r="C378" s="1542"/>
      <c r="D378" s="1542"/>
      <c r="E378" s="1542"/>
    </row>
    <row r="379" spans="1:5">
      <c r="A379" s="1541">
        <v>43638</v>
      </c>
      <c r="B379" s="1542"/>
      <c r="C379" s="1542"/>
      <c r="D379" s="1542"/>
      <c r="E379" s="1542"/>
    </row>
    <row r="380" spans="1:5">
      <c r="A380" s="1541">
        <v>43637</v>
      </c>
      <c r="B380" s="1542">
        <v>19312.11</v>
      </c>
      <c r="C380" s="1542">
        <v>201.44</v>
      </c>
      <c r="D380" s="1542">
        <v>9116.65</v>
      </c>
      <c r="E380" s="1542">
        <v>2385.1799999999998</v>
      </c>
    </row>
    <row r="381" spans="1:5">
      <c r="A381" s="1541">
        <v>43636</v>
      </c>
      <c r="B381" s="1542">
        <v>19278.580000000002</v>
      </c>
      <c r="C381" s="1542">
        <v>201.75</v>
      </c>
      <c r="D381" s="1542">
        <v>9138.06</v>
      </c>
      <c r="E381" s="1542">
        <v>2386.37</v>
      </c>
    </row>
    <row r="382" spans="1:5">
      <c r="A382" s="1541">
        <v>43635</v>
      </c>
      <c r="B382" s="1542">
        <v>19233.88</v>
      </c>
      <c r="C382" s="1542">
        <v>200.2</v>
      </c>
      <c r="D382" s="1542">
        <v>9046.26</v>
      </c>
      <c r="E382" s="1542">
        <v>2350.48</v>
      </c>
    </row>
    <row r="383" spans="1:5">
      <c r="A383" s="1541">
        <v>43634</v>
      </c>
      <c r="B383" s="1542">
        <v>18859.259999999998</v>
      </c>
      <c r="C383" s="1542">
        <v>197.69</v>
      </c>
      <c r="D383" s="1542">
        <v>9001.32</v>
      </c>
      <c r="E383" s="1542">
        <v>2317.63</v>
      </c>
    </row>
    <row r="384" spans="1:5">
      <c r="A384" s="1541">
        <v>43633</v>
      </c>
      <c r="B384" s="1542">
        <v>18791.939999999999</v>
      </c>
      <c r="C384" s="1542">
        <v>197.86</v>
      </c>
      <c r="D384" s="1542">
        <v>8916.7999999999993</v>
      </c>
      <c r="E384" s="1542">
        <v>2287.98</v>
      </c>
    </row>
    <row r="385" spans="1:5">
      <c r="A385" s="1541">
        <v>43632</v>
      </c>
      <c r="B385" s="1542"/>
      <c r="C385" s="1542"/>
      <c r="D385" s="1542"/>
      <c r="E385" s="1542"/>
    </row>
    <row r="386" spans="1:5">
      <c r="A386" s="1541">
        <v>43631</v>
      </c>
      <c r="B386" s="1542"/>
      <c r="C386" s="1542"/>
      <c r="D386" s="1542"/>
      <c r="E386" s="1542"/>
    </row>
    <row r="387" spans="1:5">
      <c r="A387" s="1541">
        <v>43630</v>
      </c>
      <c r="B387" s="1542">
        <v>18780.55</v>
      </c>
      <c r="C387" s="1542">
        <v>197.05</v>
      </c>
      <c r="D387" s="1542">
        <v>8917.0499999999993</v>
      </c>
      <c r="E387" s="1542">
        <v>2297.0100000000002</v>
      </c>
    </row>
    <row r="388" spans="1:5">
      <c r="A388" s="1541">
        <v>43629</v>
      </c>
      <c r="B388" s="1542">
        <v>18844.64</v>
      </c>
      <c r="C388" s="1542">
        <v>197.73</v>
      </c>
      <c r="D388" s="1542">
        <v>8941.4</v>
      </c>
      <c r="E388" s="1542">
        <v>2312.58</v>
      </c>
    </row>
    <row r="389" spans="1:5">
      <c r="A389" s="1541">
        <v>43628</v>
      </c>
      <c r="B389" s="1542">
        <v>18941.41</v>
      </c>
      <c r="C389" s="1542">
        <v>197.33</v>
      </c>
      <c r="D389" s="1542">
        <v>8928.5400000000009</v>
      </c>
      <c r="E389" s="1542">
        <v>2321.36</v>
      </c>
    </row>
    <row r="390" spans="1:5">
      <c r="A390" s="1541">
        <v>43627</v>
      </c>
      <c r="B390" s="1542">
        <v>18927.060000000001</v>
      </c>
      <c r="C390" s="1542">
        <v>196.56</v>
      </c>
      <c r="D390" s="1542">
        <v>8950.7099999999991</v>
      </c>
      <c r="E390" s="1542">
        <v>2333.6999999999998</v>
      </c>
    </row>
    <row r="391" spans="1:5">
      <c r="A391" s="1541">
        <v>43626</v>
      </c>
      <c r="B391" s="1542">
        <v>18853.39</v>
      </c>
      <c r="C391" s="1542">
        <v>195.66</v>
      </c>
      <c r="D391" s="1542">
        <v>8932.2999999999993</v>
      </c>
      <c r="E391" s="1542">
        <v>2309.81</v>
      </c>
    </row>
    <row r="392" spans="1:5">
      <c r="A392" s="1541">
        <v>43625</v>
      </c>
      <c r="B392" s="1542"/>
      <c r="C392" s="1542"/>
      <c r="D392" s="1542"/>
      <c r="E392" s="1542"/>
    </row>
    <row r="393" spans="1:5">
      <c r="A393" s="1541">
        <v>43624</v>
      </c>
      <c r="B393" s="1542"/>
      <c r="C393" s="1542"/>
      <c r="D393" s="1542"/>
      <c r="E393" s="1542"/>
    </row>
    <row r="394" spans="1:5">
      <c r="A394" s="1541">
        <v>43623</v>
      </c>
      <c r="B394" s="1542"/>
      <c r="C394" s="1542"/>
      <c r="D394" s="1542">
        <v>8896.01</v>
      </c>
      <c r="E394" s="1542">
        <v>2276.4899999999998</v>
      </c>
    </row>
    <row r="395" spans="1:5">
      <c r="A395" s="1541">
        <v>43622</v>
      </c>
      <c r="B395" s="1542">
        <v>18572.78</v>
      </c>
      <c r="C395" s="1542">
        <v>192.85</v>
      </c>
      <c r="D395" s="1542">
        <v>8800.4599999999991</v>
      </c>
      <c r="E395" s="1542">
        <v>2265.9899999999998</v>
      </c>
    </row>
    <row r="396" spans="1:5">
      <c r="A396" s="1541">
        <v>43621</v>
      </c>
      <c r="B396" s="1542">
        <v>18666.310000000001</v>
      </c>
      <c r="C396" s="1542">
        <v>194.17</v>
      </c>
      <c r="D396" s="1542">
        <v>8763.6</v>
      </c>
      <c r="E396" s="1542">
        <v>2270.0700000000002</v>
      </c>
    </row>
    <row r="397" spans="1:5">
      <c r="A397" s="1541">
        <v>43620</v>
      </c>
      <c r="B397" s="1542">
        <v>18608.32</v>
      </c>
      <c r="C397" s="1542">
        <v>194</v>
      </c>
      <c r="D397" s="1542">
        <v>8686.86</v>
      </c>
      <c r="E397" s="1542">
        <v>2270.83</v>
      </c>
    </row>
    <row r="398" spans="1:5">
      <c r="A398" s="1541">
        <v>43619</v>
      </c>
      <c r="B398" s="1542">
        <v>18734.919999999998</v>
      </c>
      <c r="C398" s="1542">
        <v>194.83</v>
      </c>
      <c r="D398" s="1542">
        <v>8550.1200000000008</v>
      </c>
      <c r="E398" s="1542">
        <v>2277</v>
      </c>
    </row>
    <row r="399" spans="1:5">
      <c r="A399" s="1541">
        <v>43618</v>
      </c>
      <c r="B399" s="1542"/>
      <c r="C399" s="1542"/>
      <c r="D399" s="1542"/>
      <c r="E399" s="1542"/>
    </row>
    <row r="400" spans="1:5">
      <c r="A400" s="1541">
        <v>43617</v>
      </c>
      <c r="B400" s="1542"/>
      <c r="C400" s="1542"/>
      <c r="D400" s="1542"/>
      <c r="E400" s="1542"/>
    </row>
    <row r="401" spans="1:5">
      <c r="A401" s="1541">
        <v>43616</v>
      </c>
      <c r="B401" s="1542">
        <v>18730.939999999999</v>
      </c>
      <c r="C401" s="1542">
        <v>196.01</v>
      </c>
      <c r="D401" s="1542">
        <v>8554.77</v>
      </c>
      <c r="E401" s="1542">
        <v>2253.09</v>
      </c>
    </row>
    <row r="402" spans="1:5">
      <c r="A402" s="1541">
        <v>43615</v>
      </c>
      <c r="B402" s="1542">
        <v>18524.78</v>
      </c>
      <c r="C402" s="1542">
        <v>193.52</v>
      </c>
      <c r="D402" s="1542">
        <v>8638.0400000000009</v>
      </c>
      <c r="E402" s="1542">
        <v>2245.54</v>
      </c>
    </row>
    <row r="403" spans="1:5">
      <c r="A403" s="1541">
        <v>43614</v>
      </c>
      <c r="B403" s="1542">
        <v>18379.89</v>
      </c>
      <c r="C403" s="1542">
        <v>192.56</v>
      </c>
      <c r="D403" s="1542">
        <v>8629.5400000000009</v>
      </c>
      <c r="E403" s="1542">
        <v>2223.92</v>
      </c>
    </row>
    <row r="404" spans="1:5">
      <c r="A404" s="1541">
        <v>43613</v>
      </c>
      <c r="B404" s="1542">
        <v>18398.68</v>
      </c>
      <c r="C404" s="1542">
        <v>193.27</v>
      </c>
      <c r="D404" s="1542">
        <v>8711.0400000000009</v>
      </c>
      <c r="E404" s="1542">
        <v>2229.87</v>
      </c>
    </row>
    <row r="405" spans="1:5">
      <c r="A405" s="1541">
        <v>43612</v>
      </c>
      <c r="B405" s="1542">
        <v>18437.61</v>
      </c>
      <c r="C405" s="1542">
        <v>192.37</v>
      </c>
      <c r="D405" s="1542">
        <v>8760.48</v>
      </c>
      <c r="E405" s="1542">
        <v>2231.79</v>
      </c>
    </row>
    <row r="406" spans="1:5">
      <c r="A406" s="1541">
        <v>43611</v>
      </c>
      <c r="B406" s="1542"/>
      <c r="C406" s="1542"/>
      <c r="D406" s="1542"/>
      <c r="E406" s="1542"/>
    </row>
    <row r="407" spans="1:5">
      <c r="A407" s="1541">
        <v>43610</v>
      </c>
      <c r="B407" s="1542"/>
      <c r="C407" s="1542"/>
      <c r="D407" s="1542"/>
      <c r="E407" s="1542"/>
    </row>
    <row r="408" spans="1:5">
      <c r="A408" s="1541">
        <v>43609</v>
      </c>
      <c r="B408" s="1542">
        <v>18427.169999999998</v>
      </c>
      <c r="C408" s="1542">
        <v>192.89</v>
      </c>
      <c r="D408" s="1542">
        <v>8753.82</v>
      </c>
      <c r="E408" s="1542">
        <v>2225.39</v>
      </c>
    </row>
    <row r="409" spans="1:5">
      <c r="A409" s="1541">
        <v>43608</v>
      </c>
      <c r="B409" s="1542">
        <v>18391.650000000001</v>
      </c>
      <c r="C409" s="1542">
        <v>193.1</v>
      </c>
      <c r="D409" s="1542">
        <v>8721.0499999999993</v>
      </c>
      <c r="E409" s="1542">
        <v>2220.86</v>
      </c>
    </row>
    <row r="410" spans="1:5">
      <c r="A410" s="1541">
        <v>43607</v>
      </c>
      <c r="B410" s="1542">
        <v>18656.68</v>
      </c>
      <c r="C410" s="1542">
        <v>195.19</v>
      </c>
      <c r="D410" s="1542">
        <v>8820.8700000000008</v>
      </c>
      <c r="E410" s="1542">
        <v>2249.06</v>
      </c>
    </row>
    <row r="411" spans="1:5">
      <c r="A411" s="1541">
        <v>43606</v>
      </c>
      <c r="B411" s="1542">
        <v>18669.669999999998</v>
      </c>
      <c r="C411" s="1542">
        <v>195.14</v>
      </c>
      <c r="D411" s="1542">
        <v>8845.1</v>
      </c>
      <c r="E411" s="1542">
        <v>2250.8200000000002</v>
      </c>
    </row>
    <row r="412" spans="1:5">
      <c r="A412" s="1541">
        <v>43605</v>
      </c>
      <c r="B412" s="1542">
        <v>18551.759999999998</v>
      </c>
      <c r="C412" s="1542">
        <v>193.2</v>
      </c>
      <c r="D412" s="1542">
        <v>8789.0300000000007</v>
      </c>
      <c r="E412" s="1542">
        <v>2239.5</v>
      </c>
    </row>
    <row r="413" spans="1:5">
      <c r="A413" s="1541">
        <v>43604</v>
      </c>
      <c r="B413" s="1542"/>
      <c r="C413" s="1542"/>
      <c r="D413" s="1542"/>
      <c r="E413" s="1542"/>
    </row>
    <row r="414" spans="1:5">
      <c r="A414" s="1541">
        <v>43603</v>
      </c>
      <c r="B414" s="1542"/>
      <c r="C414" s="1542"/>
      <c r="D414" s="1542"/>
      <c r="E414" s="1542"/>
    </row>
    <row r="415" spans="1:5">
      <c r="A415" s="1541">
        <v>43602</v>
      </c>
      <c r="B415" s="1542">
        <v>18526.25</v>
      </c>
      <c r="C415" s="1542">
        <v>194.39</v>
      </c>
      <c r="D415" s="1542">
        <v>8835.7999999999993</v>
      </c>
      <c r="E415" s="1542">
        <v>2244.66</v>
      </c>
    </row>
    <row r="416" spans="1:5">
      <c r="A416" s="1541">
        <v>43601</v>
      </c>
      <c r="B416" s="1542">
        <v>18687.72</v>
      </c>
      <c r="C416" s="1542">
        <v>197.72</v>
      </c>
      <c r="D416" s="1542">
        <v>8874.42</v>
      </c>
      <c r="E416" s="1542">
        <v>2277.5300000000002</v>
      </c>
    </row>
    <row r="417" spans="1:5">
      <c r="A417" s="1541">
        <v>43600</v>
      </c>
      <c r="B417" s="1542">
        <v>18841.310000000001</v>
      </c>
      <c r="C417" s="1542">
        <v>200.66</v>
      </c>
      <c r="D417" s="1542">
        <v>8804.5</v>
      </c>
      <c r="E417" s="1542">
        <v>2288.2800000000002</v>
      </c>
    </row>
    <row r="418" spans="1:5">
      <c r="A418" s="1541">
        <v>43599</v>
      </c>
      <c r="B418" s="1542">
        <v>18767.349999999999</v>
      </c>
      <c r="C418" s="1542">
        <v>198.82</v>
      </c>
      <c r="D418" s="1542">
        <v>8754.39</v>
      </c>
      <c r="E418" s="1542">
        <v>2284.84</v>
      </c>
    </row>
    <row r="419" spans="1:5">
      <c r="A419" s="1541">
        <v>43598</v>
      </c>
      <c r="B419" s="1542">
        <v>18837.009999999998</v>
      </c>
      <c r="C419" s="1542">
        <v>198.26</v>
      </c>
      <c r="D419" s="1542">
        <v>8701.6</v>
      </c>
      <c r="E419" s="1542">
        <v>2289.31</v>
      </c>
    </row>
    <row r="420" spans="1:5">
      <c r="A420" s="1541">
        <v>43597</v>
      </c>
      <c r="B420" s="1542"/>
      <c r="C420" s="1542"/>
      <c r="D420" s="1542"/>
      <c r="E420" s="1542"/>
    </row>
    <row r="421" spans="1:5">
      <c r="A421" s="1541">
        <v>43596</v>
      </c>
      <c r="B421" s="1542"/>
      <c r="C421" s="1542"/>
      <c r="D421" s="1542"/>
      <c r="E421" s="1542"/>
    </row>
    <row r="422" spans="1:5">
      <c r="A422" s="1541">
        <v>43595</v>
      </c>
      <c r="B422" s="1542">
        <v>19113</v>
      </c>
      <c r="C422" s="1542">
        <v>201.87</v>
      </c>
      <c r="D422" s="1542">
        <v>8866.56</v>
      </c>
      <c r="E422" s="1542">
        <v>2327.2399999999998</v>
      </c>
    </row>
    <row r="423" spans="1:5">
      <c r="A423" s="1541">
        <v>43594</v>
      </c>
      <c r="B423" s="1542">
        <v>19149.900000000001</v>
      </c>
      <c r="C423" s="1542">
        <v>202.65</v>
      </c>
      <c r="D423" s="1542">
        <v>8835.02</v>
      </c>
      <c r="E423" s="1542">
        <v>2315.8200000000002</v>
      </c>
    </row>
    <row r="424" spans="1:5">
      <c r="A424" s="1541">
        <v>43593</v>
      </c>
      <c r="B424" s="1542">
        <v>19488.95</v>
      </c>
      <c r="C424" s="1542">
        <v>206.76</v>
      </c>
      <c r="D424" s="1542">
        <v>8882.69</v>
      </c>
      <c r="E424" s="1542">
        <v>2366.4699999999998</v>
      </c>
    </row>
    <row r="425" spans="1:5">
      <c r="A425" s="1541">
        <v>43592</v>
      </c>
      <c r="B425" s="1542">
        <v>19602.03</v>
      </c>
      <c r="C425" s="1542">
        <v>207.51</v>
      </c>
      <c r="D425" s="1542">
        <v>8897.11</v>
      </c>
      <c r="E425" s="1542">
        <v>2379.9699999999998</v>
      </c>
    </row>
    <row r="426" spans="1:5">
      <c r="A426" s="1541">
        <v>43591</v>
      </c>
      <c r="B426" s="1542">
        <v>19441.43</v>
      </c>
      <c r="C426" s="1542">
        <v>205.11</v>
      </c>
      <c r="D426" s="1542">
        <v>9025.98</v>
      </c>
      <c r="E426" s="1542">
        <v>2392.1</v>
      </c>
    </row>
    <row r="427" spans="1:5">
      <c r="A427" s="1541">
        <v>43590</v>
      </c>
      <c r="B427" s="1542"/>
      <c r="C427" s="1542"/>
      <c r="D427" s="1542"/>
      <c r="E427" s="1542"/>
    </row>
    <row r="428" spans="1:5">
      <c r="A428" s="1541">
        <v>43589</v>
      </c>
      <c r="B428" s="1542"/>
      <c r="C428" s="1542"/>
      <c r="D428" s="1542"/>
      <c r="E428" s="1542"/>
    </row>
    <row r="429" spans="1:5">
      <c r="A429" s="1541">
        <v>43588</v>
      </c>
      <c r="B429" s="1542">
        <v>19796.78</v>
      </c>
      <c r="C429" s="1542">
        <v>209.15</v>
      </c>
      <c r="D429" s="1542">
        <v>9069.81</v>
      </c>
      <c r="E429" s="1542">
        <v>2437.23</v>
      </c>
    </row>
    <row r="430" spans="1:5">
      <c r="A430" s="1541">
        <v>43587</v>
      </c>
      <c r="B430" s="1542">
        <v>19632.97</v>
      </c>
      <c r="C430" s="1542">
        <v>207.53</v>
      </c>
      <c r="D430" s="1542">
        <v>8999.3700000000008</v>
      </c>
      <c r="E430" s="1542">
        <v>2428.36</v>
      </c>
    </row>
    <row r="431" spans="1:5">
      <c r="A431" s="1541">
        <v>43586</v>
      </c>
      <c r="B431" s="1542"/>
      <c r="C431" s="1542"/>
      <c r="D431" s="1542">
        <v>9034.01</v>
      </c>
      <c r="E431" s="1542">
        <v>2431.41</v>
      </c>
    </row>
    <row r="432" spans="1:5">
      <c r="A432" s="1541">
        <v>43585</v>
      </c>
      <c r="B432" s="1542">
        <v>19567.400000000001</v>
      </c>
      <c r="C432" s="1542">
        <v>206.18</v>
      </c>
      <c r="D432" s="1542">
        <v>9069.9500000000007</v>
      </c>
      <c r="E432" s="1542">
        <v>2428.54</v>
      </c>
    </row>
    <row r="433" spans="1:5">
      <c r="A433" s="1541">
        <v>43584</v>
      </c>
      <c r="B433" s="1542">
        <v>19516.25</v>
      </c>
      <c r="C433" s="1542">
        <v>205.01</v>
      </c>
      <c r="D433" s="1542">
        <v>9056.09</v>
      </c>
      <c r="E433" s="1542">
        <v>2436.64</v>
      </c>
    </row>
    <row r="434" spans="1:5">
      <c r="A434" s="1541">
        <v>43583</v>
      </c>
      <c r="B434" s="1542"/>
      <c r="C434" s="1542"/>
      <c r="D434" s="1542"/>
      <c r="E434" s="1542"/>
    </row>
    <row r="435" spans="1:5">
      <c r="A435" s="1541">
        <v>43582</v>
      </c>
      <c r="B435" s="1542"/>
      <c r="C435" s="1542"/>
      <c r="D435" s="1542"/>
      <c r="E435" s="1542"/>
    </row>
    <row r="436" spans="1:5">
      <c r="A436" s="1541">
        <v>43581</v>
      </c>
      <c r="B436" s="1542">
        <v>19540.169999999998</v>
      </c>
      <c r="C436" s="1542">
        <v>208.51</v>
      </c>
      <c r="D436" s="1542">
        <v>9046.89</v>
      </c>
      <c r="E436" s="1542">
        <v>2425.61</v>
      </c>
    </row>
    <row r="437" spans="1:5">
      <c r="A437" s="1541">
        <v>43580</v>
      </c>
      <c r="B437" s="1542">
        <v>19696.080000000002</v>
      </c>
      <c r="C437" s="1542">
        <v>211.05</v>
      </c>
      <c r="D437" s="1542">
        <v>9010.6299999999992</v>
      </c>
      <c r="E437" s="1542">
        <v>2422.5500000000002</v>
      </c>
    </row>
    <row r="438" spans="1:5">
      <c r="A438" s="1541">
        <v>43579</v>
      </c>
      <c r="B438" s="1542">
        <v>19674.28</v>
      </c>
      <c r="C438" s="1542">
        <v>210.65</v>
      </c>
      <c r="D438" s="1542">
        <v>9023.61</v>
      </c>
      <c r="E438" s="1542">
        <v>2439.9699999999998</v>
      </c>
    </row>
    <row r="439" spans="1:5">
      <c r="A439" s="1541">
        <v>43578</v>
      </c>
      <c r="B439" s="1542">
        <v>19670.79</v>
      </c>
      <c r="C439" s="1542">
        <v>210.63</v>
      </c>
      <c r="D439" s="1542">
        <v>9046.44</v>
      </c>
      <c r="E439" s="1542">
        <v>2451.6</v>
      </c>
    </row>
    <row r="440" spans="1:5">
      <c r="A440" s="1541">
        <v>43577</v>
      </c>
      <c r="B440" s="1542">
        <v>19603.05</v>
      </c>
      <c r="C440" s="1542">
        <v>211.06</v>
      </c>
      <c r="D440" s="1542">
        <v>8991.61</v>
      </c>
      <c r="E440" s="1542">
        <v>2449.79</v>
      </c>
    </row>
    <row r="441" spans="1:5">
      <c r="A441" s="1541">
        <v>43576</v>
      </c>
      <c r="B441" s="1542"/>
      <c r="C441" s="1542"/>
      <c r="D441" s="1542"/>
      <c r="E441" s="1542"/>
    </row>
    <row r="442" spans="1:5">
      <c r="A442" s="1541">
        <v>43575</v>
      </c>
      <c r="B442" s="1542"/>
      <c r="C442" s="1542"/>
      <c r="D442" s="1542"/>
      <c r="E442" s="1542"/>
    </row>
    <row r="443" spans="1:5">
      <c r="A443" s="1541">
        <v>43574</v>
      </c>
      <c r="B443" s="1542">
        <v>19568.77</v>
      </c>
      <c r="C443" s="1542">
        <v>210.77</v>
      </c>
      <c r="D443" s="1542">
        <v>8986.3799999999992</v>
      </c>
      <c r="E443" s="1542">
        <v>2457.61</v>
      </c>
    </row>
    <row r="444" spans="1:5">
      <c r="A444" s="1541">
        <v>43573</v>
      </c>
      <c r="B444" s="1542">
        <v>19557.2</v>
      </c>
      <c r="C444" s="1542">
        <v>209.46</v>
      </c>
      <c r="D444" s="1542">
        <v>8985.74</v>
      </c>
      <c r="E444" s="1542">
        <v>2457.58</v>
      </c>
    </row>
    <row r="445" spans="1:5">
      <c r="A445" s="1541">
        <v>43572</v>
      </c>
      <c r="B445" s="1542">
        <v>19620.09</v>
      </c>
      <c r="C445" s="1542">
        <v>210.66</v>
      </c>
      <c r="D445" s="1542">
        <v>8988.2800000000007</v>
      </c>
      <c r="E445" s="1542">
        <v>2466.29</v>
      </c>
    </row>
    <row r="446" spans="1:5">
      <c r="A446" s="1541">
        <v>43571</v>
      </c>
      <c r="B446" s="1542">
        <v>19496.240000000002</v>
      </c>
      <c r="C446" s="1542">
        <v>209.54</v>
      </c>
      <c r="D446" s="1542">
        <v>8996.5499999999993</v>
      </c>
      <c r="E446" s="1542">
        <v>2459.64</v>
      </c>
    </row>
    <row r="447" spans="1:5">
      <c r="A447" s="1541">
        <v>43570</v>
      </c>
      <c r="B447" s="1542">
        <v>19403.03</v>
      </c>
      <c r="C447" s="1542">
        <v>208.27</v>
      </c>
      <c r="D447" s="1542">
        <v>8988.25</v>
      </c>
      <c r="E447" s="1542">
        <v>2443.06</v>
      </c>
    </row>
    <row r="448" spans="1:5">
      <c r="A448" s="1541">
        <v>43569</v>
      </c>
      <c r="B448" s="1542"/>
      <c r="C448" s="1542"/>
      <c r="D448" s="1542"/>
      <c r="E448" s="1542"/>
    </row>
    <row r="449" spans="1:5">
      <c r="A449" s="1541">
        <v>43568</v>
      </c>
      <c r="B449" s="1542"/>
      <c r="C449" s="1542"/>
      <c r="D449" s="1542"/>
      <c r="E449" s="1542"/>
    </row>
    <row r="450" spans="1:5">
      <c r="A450" s="1541">
        <v>43567</v>
      </c>
      <c r="B450" s="1542">
        <v>19277.599999999999</v>
      </c>
      <c r="C450" s="1542">
        <v>206.68</v>
      </c>
      <c r="D450" s="1542">
        <v>8978.85</v>
      </c>
      <c r="E450" s="1542">
        <v>2449.31</v>
      </c>
    </row>
    <row r="451" spans="1:5">
      <c r="A451" s="1541">
        <v>43566</v>
      </c>
      <c r="B451" s="1542">
        <v>19283.8</v>
      </c>
      <c r="C451" s="1542">
        <v>208.33</v>
      </c>
      <c r="D451" s="1542">
        <v>8928.9</v>
      </c>
      <c r="E451" s="1542">
        <v>2445.48</v>
      </c>
    </row>
    <row r="452" spans="1:5">
      <c r="A452" s="1541">
        <v>43565</v>
      </c>
      <c r="B452" s="1542">
        <v>19389.72</v>
      </c>
      <c r="C452" s="1542">
        <v>209.67</v>
      </c>
      <c r="D452" s="1542">
        <v>8929.5</v>
      </c>
      <c r="E452" s="1542">
        <v>2464.63</v>
      </c>
    </row>
    <row r="453" spans="1:5">
      <c r="A453" s="1541">
        <v>43564</v>
      </c>
      <c r="B453" s="1542">
        <v>19360.21</v>
      </c>
      <c r="C453" s="1542">
        <v>209.63</v>
      </c>
      <c r="D453" s="1542">
        <v>8908.68</v>
      </c>
      <c r="E453" s="1542">
        <v>2458.09</v>
      </c>
    </row>
    <row r="454" spans="1:5">
      <c r="A454" s="1541">
        <v>43563</v>
      </c>
      <c r="B454" s="1542">
        <v>19269.18</v>
      </c>
      <c r="C454" s="1542">
        <v>209.11</v>
      </c>
      <c r="D454" s="1542">
        <v>8946.93</v>
      </c>
      <c r="E454" s="1542">
        <v>2446.9699999999998</v>
      </c>
    </row>
    <row r="455" spans="1:5">
      <c r="A455" s="1541">
        <v>43562</v>
      </c>
      <c r="B455" s="1542"/>
      <c r="C455" s="1542"/>
      <c r="D455" s="1542"/>
      <c r="E455" s="1542"/>
    </row>
    <row r="456" spans="1:5">
      <c r="A456" s="1541">
        <v>43561</v>
      </c>
      <c r="B456" s="1542"/>
      <c r="C456" s="1542"/>
      <c r="D456" s="1542"/>
      <c r="E456" s="1542"/>
    </row>
    <row r="457" spans="1:5">
      <c r="A457" s="1541">
        <v>43560</v>
      </c>
      <c r="B457" s="1542"/>
      <c r="C457" s="1542"/>
      <c r="D457" s="1542">
        <v>8933.89</v>
      </c>
      <c r="E457" s="1542">
        <v>2439.4</v>
      </c>
    </row>
    <row r="458" spans="1:5">
      <c r="A458" s="1541">
        <v>43559</v>
      </c>
      <c r="B458" s="1542"/>
      <c r="C458" s="1542"/>
      <c r="D458" s="1542">
        <v>8903.39</v>
      </c>
      <c r="E458" s="1542">
        <v>2429.46</v>
      </c>
    </row>
    <row r="459" spans="1:5">
      <c r="A459" s="1541">
        <v>43558</v>
      </c>
      <c r="B459" s="1542">
        <v>19097.57</v>
      </c>
      <c r="C459" s="1542">
        <v>207.4</v>
      </c>
      <c r="D459" s="1542">
        <v>8901.86</v>
      </c>
      <c r="E459" s="1542">
        <v>2427.3200000000002</v>
      </c>
    </row>
    <row r="460" spans="1:5">
      <c r="A460" s="1541">
        <v>43557</v>
      </c>
      <c r="B460" s="1542">
        <v>19072.43</v>
      </c>
      <c r="C460" s="1542">
        <v>206.63</v>
      </c>
      <c r="D460" s="1542">
        <v>8854.7800000000007</v>
      </c>
      <c r="E460" s="1542">
        <v>2407.39</v>
      </c>
    </row>
    <row r="461" spans="1:5">
      <c r="A461" s="1541">
        <v>43556</v>
      </c>
      <c r="B461" s="1542">
        <v>18987.39</v>
      </c>
      <c r="C461" s="1542">
        <v>205.59</v>
      </c>
      <c r="D461" s="1542">
        <v>8854.76</v>
      </c>
      <c r="E461" s="1542">
        <v>2405</v>
      </c>
    </row>
    <row r="462" spans="1:5">
      <c r="A462" s="1541">
        <v>43555</v>
      </c>
      <c r="B462" s="1542"/>
      <c r="C462" s="1542"/>
      <c r="D462" s="1542"/>
      <c r="E462" s="1542"/>
    </row>
    <row r="463" spans="1:5">
      <c r="A463" s="1541">
        <v>43554</v>
      </c>
      <c r="B463" s="1542"/>
      <c r="C463" s="1542"/>
      <c r="D463" s="1542"/>
      <c r="E463" s="1542"/>
    </row>
    <row r="464" spans="1:5">
      <c r="A464" s="1541">
        <v>43553</v>
      </c>
      <c r="B464" s="1542">
        <v>18984.560000000001</v>
      </c>
      <c r="C464" s="1542">
        <v>204.9</v>
      </c>
      <c r="D464" s="1542">
        <v>8754.49</v>
      </c>
      <c r="E464" s="1542">
        <v>2378.0300000000002</v>
      </c>
    </row>
    <row r="465" spans="1:5">
      <c r="A465" s="1541">
        <v>43552</v>
      </c>
      <c r="B465" s="1542">
        <v>18797.62</v>
      </c>
      <c r="C465" s="1542">
        <v>203.21</v>
      </c>
      <c r="D465" s="1542">
        <v>8700.4699999999993</v>
      </c>
      <c r="E465" s="1542">
        <v>2348.9899999999998</v>
      </c>
    </row>
    <row r="466" spans="1:5">
      <c r="A466" s="1541">
        <v>43551</v>
      </c>
      <c r="B466" s="1542">
        <v>18809.099999999999</v>
      </c>
      <c r="C466" s="1542">
        <v>203.46</v>
      </c>
      <c r="D466" s="1542">
        <v>8693.65</v>
      </c>
      <c r="E466" s="1542">
        <v>2345.21</v>
      </c>
    </row>
    <row r="467" spans="1:5">
      <c r="A467" s="1541">
        <v>43550</v>
      </c>
      <c r="B467" s="1542">
        <v>18838.55</v>
      </c>
      <c r="C467" s="1542">
        <v>203.57</v>
      </c>
      <c r="D467" s="1542">
        <v>8720.76</v>
      </c>
      <c r="E467" s="1542">
        <v>2358.9699999999998</v>
      </c>
    </row>
    <row r="468" spans="1:5">
      <c r="A468" s="1541">
        <v>43549</v>
      </c>
      <c r="B468" s="1542">
        <v>18696.310000000001</v>
      </c>
      <c r="C468" s="1542">
        <v>202.13</v>
      </c>
      <c r="D468" s="1542">
        <v>8656.0499999999993</v>
      </c>
      <c r="E468" s="1542">
        <v>2352.84</v>
      </c>
    </row>
    <row r="469" spans="1:5">
      <c r="A469" s="1541">
        <v>43548</v>
      </c>
      <c r="B469" s="1542"/>
      <c r="C469" s="1542"/>
      <c r="D469" s="1542"/>
      <c r="E469" s="1542"/>
    </row>
    <row r="470" spans="1:5">
      <c r="A470" s="1541">
        <v>43547</v>
      </c>
      <c r="B470" s="1542"/>
      <c r="C470" s="1542"/>
      <c r="D470" s="1542"/>
      <c r="E470" s="1542"/>
    </row>
    <row r="471" spans="1:5">
      <c r="A471" s="1541">
        <v>43546</v>
      </c>
      <c r="B471" s="1542">
        <v>18981.04</v>
      </c>
      <c r="C471" s="1542">
        <v>204.5</v>
      </c>
      <c r="D471" s="1542">
        <v>8687.77</v>
      </c>
      <c r="E471" s="1542">
        <v>2379.44</v>
      </c>
    </row>
    <row r="472" spans="1:5">
      <c r="A472" s="1541">
        <v>43545</v>
      </c>
      <c r="B472" s="1542">
        <v>18928.38</v>
      </c>
      <c r="C472" s="1542">
        <v>204.13</v>
      </c>
      <c r="D472" s="1542">
        <v>8824.36</v>
      </c>
      <c r="E472" s="1542">
        <v>2401.9499999999998</v>
      </c>
    </row>
    <row r="473" spans="1:5">
      <c r="A473" s="1541">
        <v>43544</v>
      </c>
      <c r="B473" s="1542">
        <v>18824.919999999998</v>
      </c>
      <c r="C473" s="1542">
        <v>203.21</v>
      </c>
      <c r="D473" s="1542">
        <v>8757.44</v>
      </c>
      <c r="E473" s="1542">
        <v>2399.13</v>
      </c>
    </row>
    <row r="474" spans="1:5">
      <c r="A474" s="1541">
        <v>43543</v>
      </c>
      <c r="B474" s="1542">
        <v>18754.900000000001</v>
      </c>
      <c r="C474" s="1542">
        <v>202.67</v>
      </c>
      <c r="D474" s="1542">
        <v>8796.24</v>
      </c>
      <c r="E474" s="1542">
        <v>2404.63</v>
      </c>
    </row>
    <row r="475" spans="1:5">
      <c r="A475" s="1541">
        <v>43542</v>
      </c>
      <c r="B475" s="1542">
        <v>18755.580000000002</v>
      </c>
      <c r="C475" s="1542">
        <v>202.39</v>
      </c>
      <c r="D475" s="1542">
        <v>8780.98</v>
      </c>
      <c r="E475" s="1542">
        <v>2400.7399999999998</v>
      </c>
    </row>
    <row r="476" spans="1:5">
      <c r="A476" s="1541">
        <v>43541</v>
      </c>
      <c r="B476" s="1542"/>
      <c r="C476" s="1542"/>
      <c r="D476" s="1542"/>
      <c r="E476" s="1542"/>
    </row>
    <row r="477" spans="1:5">
      <c r="A477" s="1541">
        <v>43540</v>
      </c>
      <c r="B477" s="1542"/>
      <c r="C477" s="1542"/>
      <c r="D477" s="1542"/>
      <c r="E477" s="1542"/>
    </row>
    <row r="478" spans="1:5">
      <c r="A478" s="1541">
        <v>43539</v>
      </c>
      <c r="B478" s="1542">
        <v>18624.52</v>
      </c>
      <c r="C478" s="1542">
        <v>202.09</v>
      </c>
      <c r="D478" s="1542">
        <v>8742.6299999999992</v>
      </c>
      <c r="E478" s="1542">
        <v>2373.84</v>
      </c>
    </row>
    <row r="479" spans="1:5">
      <c r="A479" s="1541">
        <v>43538</v>
      </c>
      <c r="B479" s="1542">
        <v>18462.900000000001</v>
      </c>
      <c r="C479" s="1542">
        <v>201.36</v>
      </c>
      <c r="D479" s="1542">
        <v>8690.69</v>
      </c>
      <c r="E479" s="1542">
        <v>2353.36</v>
      </c>
    </row>
    <row r="480" spans="1:5">
      <c r="A480" s="1541">
        <v>43537</v>
      </c>
      <c r="B480" s="1542">
        <v>18506.919999999998</v>
      </c>
      <c r="C480" s="1542">
        <v>201.09</v>
      </c>
      <c r="D480" s="1542">
        <v>8685.39</v>
      </c>
      <c r="E480" s="1542">
        <v>2358.2399999999998</v>
      </c>
    </row>
    <row r="481" spans="1:5">
      <c r="A481" s="1541">
        <v>43536</v>
      </c>
      <c r="B481" s="1542">
        <v>18453.41</v>
      </c>
      <c r="C481" s="1542">
        <v>200.95</v>
      </c>
      <c r="D481" s="1542">
        <v>8634</v>
      </c>
      <c r="E481" s="1542">
        <v>2360.37</v>
      </c>
    </row>
    <row r="482" spans="1:5">
      <c r="A482" s="1541">
        <v>43535</v>
      </c>
      <c r="B482" s="1542">
        <v>18287.400000000001</v>
      </c>
      <c r="C482" s="1542">
        <v>200.33</v>
      </c>
      <c r="D482" s="1542">
        <v>8597.42</v>
      </c>
      <c r="E482" s="1542">
        <v>2337.0300000000002</v>
      </c>
    </row>
    <row r="483" spans="1:5">
      <c r="A483" s="1541">
        <v>43534</v>
      </c>
      <c r="B483" s="1542"/>
      <c r="C483" s="1542"/>
      <c r="D483" s="1542"/>
      <c r="E483" s="1542"/>
    </row>
    <row r="484" spans="1:5">
      <c r="A484" s="1541">
        <v>43533</v>
      </c>
      <c r="B484" s="1542"/>
      <c r="C484" s="1542"/>
      <c r="D484" s="1542"/>
      <c r="E484" s="1542"/>
    </row>
    <row r="485" spans="1:5">
      <c r="A485" s="1541">
        <v>43532</v>
      </c>
      <c r="B485" s="1542">
        <v>18272.189999999999</v>
      </c>
      <c r="C485" s="1542">
        <v>200.21</v>
      </c>
      <c r="D485" s="1542">
        <v>8499.7999999999993</v>
      </c>
      <c r="E485" s="1542">
        <v>2312.19</v>
      </c>
    </row>
    <row r="486" spans="1:5">
      <c r="A486" s="1541">
        <v>43531</v>
      </c>
      <c r="B486" s="1542">
        <v>18396.95</v>
      </c>
      <c r="C486" s="1542">
        <v>200.1</v>
      </c>
      <c r="D486" s="1542">
        <v>8541.83</v>
      </c>
      <c r="E486" s="1542">
        <v>2342.2600000000002</v>
      </c>
    </row>
    <row r="487" spans="1:5">
      <c r="A487" s="1541">
        <v>43530</v>
      </c>
      <c r="B487" s="1542">
        <v>18478.07</v>
      </c>
      <c r="C487" s="1542">
        <v>203.14</v>
      </c>
      <c r="D487" s="1542">
        <v>8608.35</v>
      </c>
      <c r="E487" s="1542">
        <v>2369.35</v>
      </c>
    </row>
    <row r="488" spans="1:5">
      <c r="A488" s="1541">
        <v>43529</v>
      </c>
      <c r="B488" s="1542">
        <v>18385.48</v>
      </c>
      <c r="C488" s="1542">
        <v>202.3</v>
      </c>
      <c r="D488" s="1542">
        <v>8644.4500000000007</v>
      </c>
      <c r="E488" s="1542">
        <v>2367.46</v>
      </c>
    </row>
    <row r="489" spans="1:5">
      <c r="A489" s="1541">
        <v>43528</v>
      </c>
      <c r="B489" s="1542">
        <v>18465.099999999999</v>
      </c>
      <c r="C489" s="1542">
        <v>202.63</v>
      </c>
      <c r="D489" s="1542">
        <v>8656.25</v>
      </c>
      <c r="E489" s="1542">
        <v>2363.89</v>
      </c>
    </row>
    <row r="490" spans="1:5">
      <c r="A490" s="1541">
        <v>43527</v>
      </c>
      <c r="B490" s="1542"/>
      <c r="C490" s="1542"/>
      <c r="D490" s="1542"/>
      <c r="E490" s="1542"/>
    </row>
    <row r="491" spans="1:5">
      <c r="A491" s="1541">
        <v>43526</v>
      </c>
      <c r="B491" s="1542"/>
      <c r="C491" s="1542"/>
      <c r="D491" s="1542"/>
      <c r="E491" s="1542"/>
    </row>
    <row r="492" spans="1:5">
      <c r="A492" s="1541">
        <v>43525</v>
      </c>
      <c r="B492" s="1542"/>
      <c r="C492" s="1542"/>
      <c r="D492" s="1542">
        <v>8679.25</v>
      </c>
      <c r="E492" s="1542">
        <v>2359.21</v>
      </c>
    </row>
    <row r="493" spans="1:5">
      <c r="A493" s="1541">
        <v>43524</v>
      </c>
      <c r="B493" s="1542"/>
      <c r="C493" s="1542"/>
      <c r="D493" s="1542">
        <v>8635.2000000000007</v>
      </c>
      <c r="E493" s="1542">
        <v>2357.7800000000002</v>
      </c>
    </row>
    <row r="494" spans="1:5">
      <c r="A494" s="1541">
        <v>43523</v>
      </c>
      <c r="B494" s="1542">
        <v>18535.189999999999</v>
      </c>
      <c r="C494" s="1542">
        <v>201.71</v>
      </c>
      <c r="D494" s="1542">
        <v>8658.35</v>
      </c>
      <c r="E494" s="1542">
        <v>2380.75</v>
      </c>
    </row>
    <row r="495" spans="1:5">
      <c r="A495" s="1541">
        <v>43522</v>
      </c>
      <c r="B495" s="1542">
        <v>18539.45</v>
      </c>
      <c r="C495" s="1542">
        <v>201.03</v>
      </c>
      <c r="D495" s="1542">
        <v>8655.52</v>
      </c>
      <c r="E495" s="1542">
        <v>2388.92</v>
      </c>
    </row>
    <row r="496" spans="1:5">
      <c r="A496" s="1541">
        <v>43521</v>
      </c>
      <c r="B496" s="1542">
        <v>18538.330000000002</v>
      </c>
      <c r="C496" s="1542">
        <v>201.23</v>
      </c>
      <c r="D496" s="1542">
        <v>8655.17</v>
      </c>
      <c r="E496" s="1542">
        <v>2394.7800000000002</v>
      </c>
    </row>
    <row r="497" spans="1:5">
      <c r="A497" s="1541">
        <v>43520</v>
      </c>
      <c r="B497" s="1542"/>
      <c r="C497" s="1542"/>
      <c r="D497" s="1542"/>
      <c r="E497" s="1542"/>
    </row>
    <row r="498" spans="1:5">
      <c r="A498" s="1541">
        <v>43519</v>
      </c>
      <c r="B498" s="1542"/>
      <c r="C498" s="1542"/>
      <c r="D498" s="1542"/>
      <c r="E498" s="1542"/>
    </row>
    <row r="499" spans="1:5">
      <c r="A499" s="1541">
        <v>43518</v>
      </c>
      <c r="B499" s="1542">
        <v>18417</v>
      </c>
      <c r="C499" s="1542">
        <v>200.63</v>
      </c>
      <c r="D499" s="1542">
        <v>8634.27</v>
      </c>
      <c r="E499" s="1542">
        <v>2374.54</v>
      </c>
    </row>
    <row r="500" spans="1:5">
      <c r="A500" s="1541">
        <v>43517</v>
      </c>
      <c r="B500" s="1542">
        <v>18410.95</v>
      </c>
      <c r="C500" s="1542">
        <v>201.53</v>
      </c>
      <c r="D500" s="1542">
        <v>8594.36</v>
      </c>
      <c r="E500" s="1542">
        <v>2355.86</v>
      </c>
    </row>
    <row r="501" spans="1:5">
      <c r="A501" s="1541">
        <v>43516</v>
      </c>
      <c r="B501" s="1542">
        <v>18326.97</v>
      </c>
      <c r="C501" s="1542">
        <v>201.3</v>
      </c>
      <c r="D501" s="1542">
        <v>8618.1299999999992</v>
      </c>
      <c r="E501" s="1542">
        <v>2351.96</v>
      </c>
    </row>
    <row r="502" spans="1:5">
      <c r="A502" s="1541">
        <v>43515</v>
      </c>
      <c r="B502" s="1542">
        <v>18112.53</v>
      </c>
      <c r="C502" s="1542">
        <v>200.26</v>
      </c>
      <c r="D502" s="1542">
        <v>8585.06</v>
      </c>
      <c r="E502" s="1542">
        <v>2324.23</v>
      </c>
    </row>
    <row r="503" spans="1:5">
      <c r="A503" s="1541">
        <v>43514</v>
      </c>
      <c r="B503" s="1542">
        <v>18100.07</v>
      </c>
      <c r="C503" s="1542">
        <v>199.58</v>
      </c>
      <c r="D503" s="1542">
        <v>8571.02</v>
      </c>
      <c r="E503" s="1542">
        <v>2323.69</v>
      </c>
    </row>
    <row r="504" spans="1:5">
      <c r="A504" s="1541">
        <v>43513</v>
      </c>
      <c r="B504" s="1542"/>
      <c r="C504" s="1542"/>
      <c r="D504" s="1542"/>
      <c r="E504" s="1542"/>
    </row>
    <row r="505" spans="1:5">
      <c r="A505" s="1541">
        <v>43512</v>
      </c>
      <c r="B505" s="1542"/>
      <c r="C505" s="1542"/>
      <c r="D505" s="1542"/>
      <c r="E505" s="1542"/>
    </row>
    <row r="506" spans="1:5">
      <c r="A506" s="1541">
        <v>43511</v>
      </c>
      <c r="B506" s="1542">
        <v>17956.45</v>
      </c>
      <c r="C506" s="1542">
        <v>198.37</v>
      </c>
      <c r="D506" s="1542">
        <v>8545.9699999999993</v>
      </c>
      <c r="E506" s="1542">
        <v>2310.0300000000002</v>
      </c>
    </row>
    <row r="507" spans="1:5">
      <c r="A507" s="1541">
        <v>43510</v>
      </c>
      <c r="B507" s="1542">
        <v>17999.689999999999</v>
      </c>
      <c r="C507" s="1542">
        <v>199.11</v>
      </c>
      <c r="D507" s="1542">
        <v>8466.94</v>
      </c>
      <c r="E507" s="1542">
        <v>2329.13</v>
      </c>
    </row>
    <row r="508" spans="1:5">
      <c r="A508" s="1541">
        <v>43509</v>
      </c>
      <c r="B508" s="1542">
        <v>18002.48</v>
      </c>
      <c r="C508" s="1542">
        <v>197.62</v>
      </c>
      <c r="D508" s="1542">
        <v>8484.7999999999993</v>
      </c>
      <c r="E508" s="1542">
        <v>2334.98</v>
      </c>
    </row>
    <row r="509" spans="1:5">
      <c r="A509" s="1541">
        <v>43508</v>
      </c>
      <c r="B509" s="1542">
        <v>18015.259999999998</v>
      </c>
      <c r="C509" s="1542">
        <v>195.71</v>
      </c>
      <c r="D509" s="1542">
        <v>8452.07</v>
      </c>
      <c r="E509" s="1542">
        <v>2335.63</v>
      </c>
    </row>
    <row r="510" spans="1:5">
      <c r="A510" s="1541">
        <v>43507</v>
      </c>
      <c r="B510" s="1542">
        <v>17848.46</v>
      </c>
      <c r="C510" s="1542">
        <v>193.37</v>
      </c>
      <c r="D510" s="1542">
        <v>8354.4500000000007</v>
      </c>
      <c r="E510" s="1542">
        <v>2320.4299999999998</v>
      </c>
    </row>
    <row r="511" spans="1:5">
      <c r="A511" s="1541">
        <v>43506</v>
      </c>
      <c r="B511" s="1542"/>
      <c r="C511" s="1542"/>
      <c r="D511" s="1542"/>
      <c r="E511" s="1542"/>
    </row>
    <row r="512" spans="1:5">
      <c r="A512" s="1541">
        <v>43505</v>
      </c>
      <c r="B512" s="1542"/>
      <c r="C512" s="1542"/>
      <c r="D512" s="1542"/>
      <c r="E512" s="1542"/>
    </row>
    <row r="513" spans="1:5">
      <c r="A513" s="1541">
        <v>43504</v>
      </c>
      <c r="B513" s="1542"/>
      <c r="C513" s="1542"/>
      <c r="D513" s="1542">
        <v>8350</v>
      </c>
      <c r="E513" s="1542">
        <v>2321.44</v>
      </c>
    </row>
    <row r="514" spans="1:5">
      <c r="A514" s="1541">
        <v>43503</v>
      </c>
      <c r="B514" s="1542"/>
      <c r="C514" s="1542"/>
      <c r="D514" s="1542">
        <v>8374.75</v>
      </c>
      <c r="E514" s="1542">
        <v>2334.7399999999998</v>
      </c>
    </row>
    <row r="515" spans="1:5">
      <c r="A515" s="1541">
        <v>43502</v>
      </c>
      <c r="B515" s="1542"/>
      <c r="C515" s="1542"/>
      <c r="D515" s="1542">
        <v>8457.33</v>
      </c>
      <c r="E515" s="1542">
        <v>2349.21</v>
      </c>
    </row>
    <row r="516" spans="1:5">
      <c r="A516" s="1541">
        <v>43501</v>
      </c>
      <c r="B516" s="1542"/>
      <c r="C516" s="1542"/>
      <c r="D516" s="1542">
        <v>8474.33</v>
      </c>
      <c r="E516" s="1542">
        <v>2356.8200000000002</v>
      </c>
    </row>
    <row r="517" spans="1:5">
      <c r="A517" s="1541">
        <v>43500</v>
      </c>
      <c r="B517" s="1542"/>
      <c r="C517" s="1542"/>
      <c r="D517" s="1542">
        <v>8418.11</v>
      </c>
      <c r="E517" s="1542">
        <v>2348.1799999999998</v>
      </c>
    </row>
    <row r="518" spans="1:5">
      <c r="A518" s="1541">
        <v>43499</v>
      </c>
      <c r="B518" s="1542"/>
      <c r="C518" s="1542"/>
      <c r="D518" s="1542"/>
      <c r="E518" s="1542"/>
    </row>
    <row r="519" spans="1:5">
      <c r="A519" s="1541">
        <v>43498</v>
      </c>
      <c r="B519" s="1542"/>
      <c r="C519" s="1542"/>
      <c r="D519" s="1542"/>
      <c r="E519" s="1542"/>
    </row>
    <row r="520" spans="1:5">
      <c r="A520" s="1541">
        <v>43497</v>
      </c>
      <c r="B520" s="1542"/>
      <c r="C520" s="1542"/>
      <c r="D520" s="1542">
        <v>8384.07</v>
      </c>
      <c r="E520" s="1542">
        <v>2353</v>
      </c>
    </row>
    <row r="521" spans="1:5">
      <c r="A521" s="1541">
        <v>43496</v>
      </c>
      <c r="B521" s="1542"/>
      <c r="C521" s="1542"/>
      <c r="D521" s="1542">
        <v>8379.0300000000007</v>
      </c>
      <c r="E521" s="1542">
        <v>2352.2800000000002</v>
      </c>
    </row>
    <row r="522" spans="1:5">
      <c r="A522" s="1541">
        <v>43495</v>
      </c>
      <c r="B522" s="1542">
        <v>17720.03</v>
      </c>
      <c r="C522" s="1542">
        <v>190.72</v>
      </c>
      <c r="D522" s="1542">
        <v>8304.5499999999993</v>
      </c>
      <c r="E522" s="1542">
        <v>2322.4699999999998</v>
      </c>
    </row>
    <row r="523" spans="1:5">
      <c r="A523" s="1541">
        <v>43494</v>
      </c>
      <c r="B523" s="1542">
        <v>17718.82</v>
      </c>
      <c r="C523" s="1542">
        <v>189.66</v>
      </c>
      <c r="D523" s="1542">
        <v>8215.35</v>
      </c>
      <c r="E523" s="1542">
        <v>2307.0500000000002</v>
      </c>
    </row>
    <row r="524" spans="1:5">
      <c r="A524" s="1541">
        <v>43493</v>
      </c>
      <c r="B524" s="1542">
        <v>17864.669999999998</v>
      </c>
      <c r="C524" s="1542">
        <v>190.37</v>
      </c>
      <c r="D524" s="1542">
        <v>8213.52</v>
      </c>
      <c r="E524" s="1542">
        <v>2303.25</v>
      </c>
    </row>
    <row r="525" spans="1:5">
      <c r="A525" s="1541">
        <v>43492</v>
      </c>
      <c r="B525" s="1542"/>
      <c r="C525" s="1542"/>
      <c r="D525" s="1542"/>
      <c r="E525" s="1542"/>
    </row>
    <row r="526" spans="1:5">
      <c r="A526" s="1541">
        <v>43491</v>
      </c>
      <c r="B526" s="1542"/>
      <c r="C526" s="1542"/>
      <c r="D526" s="1542"/>
      <c r="E526" s="1542"/>
    </row>
    <row r="527" spans="1:5">
      <c r="A527" s="1541">
        <v>43490</v>
      </c>
      <c r="B527" s="1542">
        <v>17786.66</v>
      </c>
      <c r="C527" s="1542">
        <v>189.6</v>
      </c>
      <c r="D527" s="1542">
        <v>8265.86</v>
      </c>
      <c r="E527" s="1542">
        <v>2312.83</v>
      </c>
    </row>
    <row r="528" spans="1:5">
      <c r="A528" s="1541">
        <v>43489</v>
      </c>
      <c r="B528" s="1542">
        <v>17621.650000000001</v>
      </c>
      <c r="C528" s="1542">
        <v>188.08</v>
      </c>
      <c r="D528" s="1542">
        <v>8188.77</v>
      </c>
      <c r="E528" s="1542">
        <v>2283.8000000000002</v>
      </c>
    </row>
    <row r="529" spans="1:5">
      <c r="A529" s="1541">
        <v>43488</v>
      </c>
      <c r="B529" s="1542">
        <v>17566.84</v>
      </c>
      <c r="C529" s="1542">
        <v>187.22</v>
      </c>
      <c r="D529" s="1542">
        <v>8175.86</v>
      </c>
      <c r="E529" s="1542">
        <v>2266.06</v>
      </c>
    </row>
    <row r="530" spans="1:5">
      <c r="A530" s="1541">
        <v>43487</v>
      </c>
      <c r="B530" s="1542">
        <v>17652.95</v>
      </c>
      <c r="C530" s="1542">
        <v>186.49</v>
      </c>
      <c r="D530" s="1542">
        <v>8170.19</v>
      </c>
      <c r="E530" s="1542">
        <v>2263.92</v>
      </c>
    </row>
    <row r="531" spans="1:5">
      <c r="A531" s="1541">
        <v>43486</v>
      </c>
      <c r="B531" s="1542">
        <v>17643.560000000001</v>
      </c>
      <c r="C531" s="1542">
        <v>187.08</v>
      </c>
      <c r="D531" s="1542">
        <v>8260.57</v>
      </c>
      <c r="E531" s="1542">
        <v>2281.4299999999998</v>
      </c>
    </row>
    <row r="532" spans="1:5">
      <c r="A532" s="1541">
        <v>43485</v>
      </c>
      <c r="B532" s="1542"/>
      <c r="C532" s="1542"/>
      <c r="D532" s="1542"/>
      <c r="E532" s="1542"/>
    </row>
    <row r="533" spans="1:5">
      <c r="A533" s="1541">
        <v>43484</v>
      </c>
      <c r="B533" s="1542"/>
      <c r="C533" s="1542"/>
      <c r="D533" s="1542"/>
      <c r="E533" s="1542"/>
    </row>
    <row r="534" spans="1:5">
      <c r="A534" s="1541">
        <v>43483</v>
      </c>
      <c r="B534" s="1542">
        <v>17548.39</v>
      </c>
      <c r="C534" s="1542">
        <v>185.87</v>
      </c>
      <c r="D534" s="1542">
        <v>8260.18</v>
      </c>
      <c r="E534" s="1542">
        <v>2280.39</v>
      </c>
    </row>
    <row r="535" spans="1:5">
      <c r="A535" s="1541">
        <v>43482</v>
      </c>
      <c r="B535" s="1542">
        <v>17464.7</v>
      </c>
      <c r="C535" s="1542">
        <v>184.95</v>
      </c>
      <c r="D535" s="1542">
        <v>8156.22</v>
      </c>
      <c r="E535" s="1542">
        <v>2260.19</v>
      </c>
    </row>
    <row r="536" spans="1:5">
      <c r="A536" s="1541">
        <v>43481</v>
      </c>
      <c r="B536" s="1542">
        <v>17419.5</v>
      </c>
      <c r="C536" s="1542">
        <v>185.74</v>
      </c>
      <c r="D536" s="1542">
        <v>8117.91</v>
      </c>
      <c r="E536" s="1542">
        <v>2261.06</v>
      </c>
    </row>
    <row r="537" spans="1:5">
      <c r="A537" s="1541">
        <v>43480</v>
      </c>
      <c r="B537" s="1542">
        <v>17494.849999999999</v>
      </c>
      <c r="C537" s="1542">
        <v>185.25</v>
      </c>
      <c r="D537" s="1542">
        <v>8105.86</v>
      </c>
      <c r="E537" s="1542">
        <v>2251.48</v>
      </c>
    </row>
    <row r="538" spans="1:5">
      <c r="A538" s="1541">
        <v>43479</v>
      </c>
      <c r="B538" s="1542">
        <v>17320.310000000001</v>
      </c>
      <c r="C538" s="1542">
        <v>183.31</v>
      </c>
      <c r="D538" s="1542">
        <v>8041.81</v>
      </c>
      <c r="E538" s="1542">
        <v>2223.69</v>
      </c>
    </row>
    <row r="539" spans="1:5">
      <c r="A539" s="1541">
        <v>43478</v>
      </c>
      <c r="B539" s="1542"/>
      <c r="C539" s="1542"/>
      <c r="D539" s="1542"/>
      <c r="E539" s="1542"/>
    </row>
    <row r="540" spans="1:5">
      <c r="A540" s="1541">
        <v>43477</v>
      </c>
      <c r="B540" s="1542"/>
      <c r="C540" s="1542"/>
      <c r="D540" s="1542"/>
      <c r="E540" s="1542"/>
    </row>
    <row r="541" spans="1:5">
      <c r="A541" s="1541">
        <v>43476</v>
      </c>
      <c r="B541" s="1542">
        <v>17411.63</v>
      </c>
      <c r="C541" s="1542">
        <v>184.42</v>
      </c>
      <c r="D541" s="1542">
        <v>8078.32</v>
      </c>
      <c r="E541" s="1542">
        <v>2242.5100000000002</v>
      </c>
    </row>
    <row r="542" spans="1:5">
      <c r="A542" s="1541">
        <v>43475</v>
      </c>
      <c r="B542" s="1542">
        <v>17342.57</v>
      </c>
      <c r="C542" s="1542">
        <v>184.73</v>
      </c>
      <c r="D542" s="1542">
        <v>8080.47</v>
      </c>
      <c r="E542" s="1542">
        <v>2237.0500000000002</v>
      </c>
    </row>
    <row r="543" spans="1:5">
      <c r="A543" s="1541">
        <v>43474</v>
      </c>
      <c r="B543" s="1542">
        <v>17374</v>
      </c>
      <c r="C543" s="1542">
        <v>184.23</v>
      </c>
      <c r="D543" s="1542">
        <v>8051.66</v>
      </c>
      <c r="E543" s="1542">
        <v>2227.4899999999998</v>
      </c>
    </row>
    <row r="544" spans="1:5">
      <c r="A544" s="1541">
        <v>43473</v>
      </c>
      <c r="B544" s="1542">
        <v>17062.3</v>
      </c>
      <c r="C544" s="1542">
        <v>183.09</v>
      </c>
      <c r="D544" s="1542">
        <v>7987.24</v>
      </c>
      <c r="E544" s="1542">
        <v>2185.0700000000002</v>
      </c>
    </row>
    <row r="545" spans="1:5">
      <c r="A545" s="1541">
        <v>43472</v>
      </c>
      <c r="B545" s="1542">
        <v>17109.939999999999</v>
      </c>
      <c r="C545" s="1542">
        <v>182.26</v>
      </c>
      <c r="D545" s="1542">
        <v>7920.98</v>
      </c>
      <c r="E545" s="1542">
        <v>2190.23</v>
      </c>
    </row>
    <row r="546" spans="1:5">
      <c r="A546" s="1541">
        <v>43471</v>
      </c>
      <c r="B546" s="1542"/>
      <c r="C546" s="1542"/>
      <c r="D546" s="1542"/>
      <c r="E546" s="1542"/>
    </row>
    <row r="547" spans="1:5">
      <c r="A547" s="1541">
        <v>43470</v>
      </c>
      <c r="B547" s="1542"/>
      <c r="C547" s="1542"/>
      <c r="D547" s="1542"/>
      <c r="E547" s="1542"/>
    </row>
    <row r="548" spans="1:5">
      <c r="A548" s="1541">
        <v>43469</v>
      </c>
      <c r="B548" s="1542">
        <v>16739.23</v>
      </c>
      <c r="C548" s="1542">
        <v>179.6</v>
      </c>
      <c r="D548" s="1542">
        <v>7856.69</v>
      </c>
      <c r="E548" s="1542">
        <v>2161.08</v>
      </c>
    </row>
    <row r="549" spans="1:5">
      <c r="A549" s="1541">
        <v>43468</v>
      </c>
      <c r="B549" s="1542">
        <v>16935.32</v>
      </c>
      <c r="C549" s="1542">
        <v>180.62</v>
      </c>
      <c r="D549" s="1542">
        <v>7646.24</v>
      </c>
      <c r="E549" s="1542">
        <v>2126.6</v>
      </c>
    </row>
    <row r="550" spans="1:5">
      <c r="A550" s="1541">
        <v>43467</v>
      </c>
      <c r="B550" s="1542">
        <v>17045.43</v>
      </c>
      <c r="C550" s="1542">
        <v>181.88</v>
      </c>
      <c r="D550" s="1542">
        <v>7760.37</v>
      </c>
      <c r="E550" s="1542">
        <v>2140.42</v>
      </c>
    </row>
    <row r="551" spans="1:5">
      <c r="A551" s="1541">
        <v>43466</v>
      </c>
      <c r="B551" s="1542"/>
      <c r="C551" s="1542"/>
      <c r="D551" s="1542">
        <v>7771.81</v>
      </c>
      <c r="E551" s="1542">
        <v>2163.34</v>
      </c>
    </row>
    <row r="552" spans="1:5">
      <c r="A552" s="1541">
        <v>43465</v>
      </c>
      <c r="B552" s="1542"/>
      <c r="C552" s="1542"/>
      <c r="D552" s="1542">
        <v>7771.71</v>
      </c>
      <c r="E552" s="1542">
        <v>2162.75</v>
      </c>
    </row>
    <row r="553" spans="1:5">
      <c r="A553" s="1541">
        <v>43464</v>
      </c>
      <c r="B553" s="1542"/>
      <c r="C553" s="1542"/>
      <c r="D553" s="1542"/>
      <c r="E553" s="1542"/>
    </row>
    <row r="554" spans="1:5">
      <c r="A554" s="1541">
        <v>43463</v>
      </c>
      <c r="B554" s="1542"/>
      <c r="C554" s="1542"/>
      <c r="D554" s="1542"/>
      <c r="E554" s="1542"/>
    </row>
    <row r="555" spans="1:5">
      <c r="A555" s="1541">
        <v>43462</v>
      </c>
      <c r="B555" s="1542">
        <v>17354.55</v>
      </c>
      <c r="C555" s="1542">
        <v>181.38</v>
      </c>
      <c r="D555" s="1542">
        <v>7716.89</v>
      </c>
      <c r="E555" s="1542">
        <v>2155.69</v>
      </c>
    </row>
    <row r="556" spans="1:5">
      <c r="A556" s="1541">
        <v>43461</v>
      </c>
      <c r="B556" s="1542">
        <v>17201.400000000001</v>
      </c>
      <c r="C556" s="1542">
        <v>181.52</v>
      </c>
      <c r="D556" s="1542">
        <v>7680.5</v>
      </c>
      <c r="E556" s="1542">
        <v>2132.5700000000002</v>
      </c>
    </row>
    <row r="557" spans="1:5">
      <c r="A557" s="1541">
        <v>43460</v>
      </c>
      <c r="B557" s="1542">
        <v>16911.349999999999</v>
      </c>
      <c r="C557" s="1542">
        <v>178.38</v>
      </c>
      <c r="D557" s="1542">
        <v>7631.36</v>
      </c>
      <c r="E557" s="1542">
        <v>2123.06</v>
      </c>
    </row>
    <row r="558" spans="1:5">
      <c r="A558" s="1541">
        <v>43459</v>
      </c>
      <c r="B558" s="1542">
        <v>16997.169999999998</v>
      </c>
      <c r="C558" s="1542">
        <v>180.03</v>
      </c>
      <c r="D558" s="1542">
        <v>7401.64</v>
      </c>
      <c r="E558" s="1542">
        <v>2122.5100000000002</v>
      </c>
    </row>
    <row r="559" spans="1:5">
      <c r="A559" s="1541">
        <v>43458</v>
      </c>
      <c r="B559" s="1542">
        <v>17198.080000000002</v>
      </c>
      <c r="C559" s="1542">
        <v>182.16</v>
      </c>
      <c r="D559" s="1542">
        <v>7433.27</v>
      </c>
      <c r="E559" s="1542">
        <v>2128.27</v>
      </c>
    </row>
    <row r="560" spans="1:5">
      <c r="A560" s="1541">
        <v>43457</v>
      </c>
      <c r="B560" s="1542"/>
      <c r="C560" s="1542"/>
      <c r="D560" s="1542"/>
      <c r="E560" s="1542"/>
    </row>
    <row r="561" spans="1:5">
      <c r="A561" s="1541">
        <v>43456</v>
      </c>
      <c r="B561" s="1542">
        <v>17209.599999999999</v>
      </c>
      <c r="C561" s="1542">
        <v>181.71</v>
      </c>
      <c r="D561" s="1542"/>
      <c r="E561" s="1542"/>
    </row>
    <row r="562" spans="1:5">
      <c r="A562" s="1541">
        <v>43455</v>
      </c>
      <c r="B562" s="1542">
        <v>17264.04</v>
      </c>
      <c r="C562" s="1542">
        <v>182.07</v>
      </c>
      <c r="D562" s="1542">
        <v>7564.89</v>
      </c>
      <c r="E562" s="1542">
        <v>2138.2600000000002</v>
      </c>
    </row>
    <row r="563" spans="1:5">
      <c r="A563" s="1541">
        <v>43454</v>
      </c>
      <c r="B563" s="1542">
        <v>17260.2</v>
      </c>
      <c r="C563" s="1542">
        <v>180.35</v>
      </c>
      <c r="D563" s="1542">
        <v>7679.71</v>
      </c>
      <c r="E563" s="1542">
        <v>2143.6</v>
      </c>
    </row>
    <row r="564" spans="1:5">
      <c r="A564" s="1541">
        <v>43453</v>
      </c>
      <c r="B564" s="1542">
        <v>17454.11</v>
      </c>
      <c r="C564" s="1542">
        <v>183.17</v>
      </c>
      <c r="D564" s="1542">
        <v>7802.78</v>
      </c>
      <c r="E564" s="1542">
        <v>2160.79</v>
      </c>
    </row>
    <row r="565" spans="1:5">
      <c r="A565" s="1541">
        <v>43452</v>
      </c>
      <c r="B565" s="1542">
        <v>17339.23</v>
      </c>
      <c r="C565" s="1542">
        <v>184.08</v>
      </c>
      <c r="D565" s="1542">
        <v>7866</v>
      </c>
      <c r="E565" s="1542">
        <v>2150.19</v>
      </c>
    </row>
    <row r="566" spans="1:5">
      <c r="A566" s="1541">
        <v>43451</v>
      </c>
      <c r="B566" s="1542">
        <v>17461.810000000001</v>
      </c>
      <c r="C566" s="1542">
        <v>186.12</v>
      </c>
      <c r="D566" s="1542">
        <v>7890.42</v>
      </c>
      <c r="E566" s="1542">
        <v>2160.9299999999998</v>
      </c>
    </row>
    <row r="567" spans="1:5">
      <c r="A567" s="1541">
        <v>43450</v>
      </c>
      <c r="B567" s="1542"/>
      <c r="C567" s="1542"/>
      <c r="D567" s="1542"/>
      <c r="E567" s="1542"/>
    </row>
    <row r="568" spans="1:5">
      <c r="A568" s="1541">
        <v>43449</v>
      </c>
      <c r="B568" s="1542"/>
      <c r="C568" s="1542"/>
      <c r="D568" s="1542"/>
      <c r="E568" s="1542"/>
    </row>
    <row r="569" spans="1:5">
      <c r="A569" s="1541">
        <v>43448</v>
      </c>
      <c r="B569" s="1542">
        <v>17437.96</v>
      </c>
      <c r="C569" s="1542">
        <v>185.98</v>
      </c>
      <c r="D569" s="1542">
        <v>8006.35</v>
      </c>
      <c r="E569" s="1542">
        <v>2169.92</v>
      </c>
    </row>
    <row r="570" spans="1:5">
      <c r="A570" s="1541">
        <v>43447</v>
      </c>
      <c r="B570" s="1542">
        <v>17588.89</v>
      </c>
      <c r="C570" s="1542">
        <v>186.96</v>
      </c>
      <c r="D570" s="1542">
        <v>8137.04</v>
      </c>
      <c r="E570" s="1542">
        <v>2200.3000000000002</v>
      </c>
    </row>
    <row r="571" spans="1:5">
      <c r="A571" s="1541">
        <v>43446</v>
      </c>
      <c r="B571" s="1542">
        <v>17513.41</v>
      </c>
      <c r="C571" s="1542">
        <v>186.2</v>
      </c>
      <c r="D571" s="1542">
        <v>8141.97</v>
      </c>
      <c r="E571" s="1542">
        <v>2185.44</v>
      </c>
    </row>
    <row r="572" spans="1:5">
      <c r="A572" s="1541">
        <v>43445</v>
      </c>
      <c r="B572" s="1542">
        <v>17318.22</v>
      </c>
      <c r="C572" s="1542">
        <v>182.94</v>
      </c>
      <c r="D572" s="1542">
        <v>8054.43</v>
      </c>
      <c r="E572" s="1542">
        <v>2153.79</v>
      </c>
    </row>
    <row r="573" spans="1:5">
      <c r="A573" s="1541">
        <v>43444</v>
      </c>
      <c r="B573" s="1542">
        <v>17212.060000000001</v>
      </c>
      <c r="C573" s="1542">
        <v>181.67</v>
      </c>
      <c r="D573" s="1542">
        <v>8046.67</v>
      </c>
      <c r="E573" s="1542">
        <v>2149.27</v>
      </c>
    </row>
    <row r="574" spans="1:5">
      <c r="A574" s="1541">
        <v>43443</v>
      </c>
      <c r="B574" s="1542"/>
      <c r="C574" s="1542"/>
      <c r="D574" s="1542"/>
      <c r="E574" s="1542"/>
    </row>
    <row r="575" spans="1:5">
      <c r="A575" s="1541">
        <v>43442</v>
      </c>
      <c r="B575" s="1542"/>
      <c r="C575" s="1542"/>
      <c r="D575" s="1542"/>
      <c r="E575" s="1542"/>
    </row>
    <row r="576" spans="1:5">
      <c r="A576" s="1541">
        <v>43441</v>
      </c>
      <c r="B576" s="1542">
        <v>17414.27</v>
      </c>
      <c r="C576" s="1542">
        <v>184.19</v>
      </c>
      <c r="D576" s="1542">
        <v>8097.72</v>
      </c>
      <c r="E576" s="1542">
        <v>2190.7199999999998</v>
      </c>
    </row>
    <row r="577" spans="1:5">
      <c r="A577" s="1541">
        <v>43440</v>
      </c>
      <c r="B577" s="1542">
        <v>17278.400000000001</v>
      </c>
      <c r="C577" s="1542">
        <v>181.76</v>
      </c>
      <c r="D577" s="1542">
        <v>8202.32</v>
      </c>
      <c r="E577" s="1542">
        <v>2185.25</v>
      </c>
    </row>
    <row r="578" spans="1:5">
      <c r="A578" s="1541">
        <v>43439</v>
      </c>
      <c r="B578" s="1542">
        <v>17692.34</v>
      </c>
      <c r="C578" s="1542">
        <v>187.94</v>
      </c>
      <c r="D578" s="1542">
        <v>8273.74</v>
      </c>
      <c r="E578" s="1542">
        <v>2236.52</v>
      </c>
    </row>
    <row r="579" spans="1:5">
      <c r="A579" s="1541">
        <v>43438</v>
      </c>
      <c r="B579" s="1542">
        <v>17989.93</v>
      </c>
      <c r="C579" s="1542">
        <v>190.84</v>
      </c>
      <c r="D579" s="1542">
        <v>8307.7199999999993</v>
      </c>
      <c r="E579" s="1542">
        <v>2263.98</v>
      </c>
    </row>
    <row r="580" spans="1:5">
      <c r="A580" s="1541">
        <v>43437</v>
      </c>
      <c r="B580" s="1542">
        <v>18086.849999999999</v>
      </c>
      <c r="C580" s="1542">
        <v>191.78</v>
      </c>
      <c r="D580" s="1542">
        <v>8511.94</v>
      </c>
      <c r="E580" s="1542">
        <v>2269.79</v>
      </c>
    </row>
    <row r="581" spans="1:5">
      <c r="A581" s="1541">
        <v>43436</v>
      </c>
      <c r="B581" s="1542"/>
      <c r="C581" s="1542"/>
      <c r="D581" s="1542"/>
      <c r="E581" s="1542"/>
    </row>
    <row r="582" spans="1:5">
      <c r="A582" s="1541">
        <v>43435</v>
      </c>
      <c r="B582" s="1542"/>
      <c r="C582" s="1542"/>
      <c r="D582" s="1542"/>
      <c r="E582" s="1542"/>
    </row>
    <row r="583" spans="1:5">
      <c r="A583" s="1541">
        <v>43434</v>
      </c>
      <c r="B583" s="1542">
        <v>17641.12</v>
      </c>
      <c r="C583" s="1542">
        <v>186.87</v>
      </c>
      <c r="D583" s="1542">
        <v>8407.84</v>
      </c>
      <c r="E583" s="1542">
        <v>2220.23</v>
      </c>
    </row>
    <row r="584" spans="1:5">
      <c r="A584" s="1541">
        <v>43433</v>
      </c>
      <c r="B584" s="1542">
        <v>17636.36</v>
      </c>
      <c r="C584" s="1542">
        <v>185.64</v>
      </c>
      <c r="D584" s="1542">
        <v>8380.1200000000008</v>
      </c>
      <c r="E584" s="1542">
        <v>2227.66</v>
      </c>
    </row>
    <row r="585" spans="1:5">
      <c r="A585" s="1541">
        <v>43432</v>
      </c>
      <c r="B585" s="1542">
        <v>17634.48</v>
      </c>
      <c r="C585" s="1542">
        <v>183.74</v>
      </c>
      <c r="D585" s="1542">
        <v>8357.6200000000008</v>
      </c>
      <c r="E585" s="1542">
        <v>2213.38</v>
      </c>
    </row>
    <row r="586" spans="1:5">
      <c r="A586" s="1541">
        <v>43431</v>
      </c>
      <c r="B586" s="1542">
        <v>17445.68</v>
      </c>
      <c r="C586" s="1542">
        <v>180.89</v>
      </c>
      <c r="D586" s="1542">
        <v>8234.8799999999992</v>
      </c>
      <c r="E586" s="1542">
        <v>2187.5</v>
      </c>
    </row>
    <row r="587" spans="1:5">
      <c r="A587" s="1541">
        <v>43430</v>
      </c>
      <c r="B587" s="1542">
        <v>17421.79</v>
      </c>
      <c r="C587" s="1542">
        <v>177.12</v>
      </c>
      <c r="D587" s="1542">
        <v>8230.86</v>
      </c>
      <c r="E587" s="1542">
        <v>2179.4499999999998</v>
      </c>
    </row>
    <row r="588" spans="1:5">
      <c r="A588" s="1541">
        <v>43429</v>
      </c>
      <c r="B588" s="1542"/>
      <c r="C588" s="1542"/>
      <c r="D588" s="1542"/>
      <c r="E588" s="1542"/>
    </row>
    <row r="589" spans="1:5">
      <c r="A589" s="1541">
        <v>43428</v>
      </c>
      <c r="B589" s="1542"/>
      <c r="C589" s="1542"/>
      <c r="D589" s="1542"/>
      <c r="E589" s="1542"/>
    </row>
    <row r="590" spans="1:5">
      <c r="A590" s="1541">
        <v>43427</v>
      </c>
      <c r="B590" s="1542">
        <v>17246.810000000001</v>
      </c>
      <c r="C590" s="1542">
        <v>174.98</v>
      </c>
      <c r="D590" s="1542">
        <v>8131.01</v>
      </c>
      <c r="E590" s="1542">
        <v>2162.8200000000002</v>
      </c>
    </row>
    <row r="591" spans="1:5">
      <c r="A591" s="1541">
        <v>43426</v>
      </c>
      <c r="B591" s="1542">
        <v>17331.400000000001</v>
      </c>
      <c r="C591" s="1542">
        <v>176.46</v>
      </c>
      <c r="D591" s="1542">
        <v>8167.47</v>
      </c>
      <c r="E591" s="1542">
        <v>2178.0300000000002</v>
      </c>
    </row>
    <row r="592" spans="1:5">
      <c r="A592" s="1541">
        <v>43425</v>
      </c>
      <c r="B592" s="1542">
        <v>17379.23</v>
      </c>
      <c r="C592" s="1542">
        <v>177.64</v>
      </c>
      <c r="D592" s="1542">
        <v>8169.56</v>
      </c>
      <c r="E592" s="1542">
        <v>2175.77</v>
      </c>
    </row>
    <row r="593" spans="1:5">
      <c r="A593" s="1541">
        <v>43424</v>
      </c>
      <c r="B593" s="1542">
        <v>17383.64</v>
      </c>
      <c r="C593" s="1542">
        <v>175.65</v>
      </c>
      <c r="D593" s="1542">
        <v>8136.84</v>
      </c>
      <c r="E593" s="1542">
        <v>2170.17</v>
      </c>
    </row>
    <row r="594" spans="1:5">
      <c r="A594" s="1541">
        <v>43423</v>
      </c>
      <c r="B594" s="1542">
        <v>17534.57</v>
      </c>
      <c r="C594" s="1542">
        <v>175.97</v>
      </c>
      <c r="D594" s="1542">
        <v>8270.9699999999993</v>
      </c>
      <c r="E594" s="1542">
        <v>2205.25</v>
      </c>
    </row>
    <row r="595" spans="1:5">
      <c r="A595" s="1541">
        <v>43422</v>
      </c>
      <c r="B595" s="1542"/>
      <c r="C595" s="1542"/>
      <c r="D595" s="1542"/>
      <c r="E595" s="1542"/>
    </row>
    <row r="596" spans="1:5">
      <c r="A596" s="1541">
        <v>43421</v>
      </c>
      <c r="B596" s="1542"/>
      <c r="C596" s="1542"/>
      <c r="D596" s="1542"/>
      <c r="E596" s="1542"/>
    </row>
    <row r="597" spans="1:5">
      <c r="A597" s="1541">
        <v>43420</v>
      </c>
      <c r="B597" s="1542">
        <v>17478.2</v>
      </c>
      <c r="C597" s="1542">
        <v>174.46</v>
      </c>
      <c r="D597" s="1542">
        <v>8361.75</v>
      </c>
      <c r="E597" s="1542">
        <v>2200.7600000000002</v>
      </c>
    </row>
    <row r="598" spans="1:5">
      <c r="A598" s="1541">
        <v>43419</v>
      </c>
      <c r="B598" s="1542">
        <v>17530.59</v>
      </c>
      <c r="C598" s="1542">
        <v>174.18</v>
      </c>
      <c r="D598" s="1542">
        <v>8338.8799999999992</v>
      </c>
      <c r="E598" s="1542">
        <v>2188.58</v>
      </c>
    </row>
    <row r="599" spans="1:5">
      <c r="A599" s="1541">
        <v>43418</v>
      </c>
      <c r="B599" s="1542">
        <v>17468.89</v>
      </c>
      <c r="C599" s="1542">
        <v>173.5</v>
      </c>
      <c r="D599" s="1542">
        <v>8290.18</v>
      </c>
      <c r="E599" s="1542">
        <v>2160.15</v>
      </c>
    </row>
    <row r="600" spans="1:5">
      <c r="A600" s="1541">
        <v>43417</v>
      </c>
      <c r="B600" s="1542">
        <v>17440.29</v>
      </c>
      <c r="C600" s="1542">
        <v>173.05</v>
      </c>
      <c r="D600" s="1542">
        <v>8335.41</v>
      </c>
      <c r="E600" s="1542">
        <v>2155.36</v>
      </c>
    </row>
    <row r="601" spans="1:5">
      <c r="A601" s="1541">
        <v>43416</v>
      </c>
      <c r="B601" s="1542">
        <v>17539.060000000001</v>
      </c>
      <c r="C601" s="1542">
        <v>173.57</v>
      </c>
      <c r="D601" s="1542">
        <v>8343.36</v>
      </c>
      <c r="E601" s="1542">
        <v>2156.19</v>
      </c>
    </row>
    <row r="602" spans="1:5">
      <c r="A602" s="1541">
        <v>43415</v>
      </c>
      <c r="B602" s="1542"/>
      <c r="C602" s="1542"/>
      <c r="D602" s="1542"/>
      <c r="E602" s="1542"/>
    </row>
    <row r="603" spans="1:5">
      <c r="A603" s="1541">
        <v>43414</v>
      </c>
      <c r="B603" s="1542"/>
      <c r="C603" s="1542"/>
      <c r="D603" s="1542"/>
      <c r="E603" s="1542"/>
    </row>
    <row r="604" spans="1:5">
      <c r="A604" s="1541">
        <v>43413</v>
      </c>
      <c r="B604" s="1542">
        <v>17536.919999999998</v>
      </c>
      <c r="C604" s="1542">
        <v>174.33</v>
      </c>
      <c r="D604" s="1542">
        <v>8484.64</v>
      </c>
      <c r="E604" s="1542">
        <v>2177.96</v>
      </c>
    </row>
    <row r="605" spans="1:5">
      <c r="A605" s="1541">
        <v>43412</v>
      </c>
      <c r="B605" s="1542">
        <v>17742.62</v>
      </c>
      <c r="C605" s="1542">
        <v>174.5</v>
      </c>
      <c r="D605" s="1542">
        <v>8563.08</v>
      </c>
      <c r="E605" s="1542">
        <v>2216.6799999999998</v>
      </c>
    </row>
    <row r="606" spans="1:5">
      <c r="A606" s="1541">
        <v>43411</v>
      </c>
      <c r="B606" s="1542">
        <v>17676.68</v>
      </c>
      <c r="C606" s="1542">
        <v>174.33</v>
      </c>
      <c r="D606" s="1542">
        <v>8567.52</v>
      </c>
      <c r="E606" s="1542">
        <v>2226.35</v>
      </c>
    </row>
    <row r="607" spans="1:5">
      <c r="A607" s="1541">
        <v>43410</v>
      </c>
      <c r="B607" s="1542">
        <v>17527.59</v>
      </c>
      <c r="C607" s="1542">
        <v>171.34</v>
      </c>
      <c r="D607" s="1542">
        <v>8428.52</v>
      </c>
      <c r="E607" s="1542">
        <v>2213.64</v>
      </c>
    </row>
    <row r="608" spans="1:5">
      <c r="A608" s="1541">
        <v>43409</v>
      </c>
      <c r="B608" s="1542">
        <v>17643.29</v>
      </c>
      <c r="C608" s="1542">
        <v>174.35</v>
      </c>
      <c r="D608" s="1542">
        <v>8387.1</v>
      </c>
      <c r="E608" s="1542">
        <v>2213.7199999999998</v>
      </c>
    </row>
    <row r="609" spans="1:5">
      <c r="A609" s="1541">
        <v>43408</v>
      </c>
      <c r="B609" s="1542"/>
      <c r="C609" s="1542"/>
      <c r="D609" s="1542"/>
      <c r="E609" s="1542"/>
    </row>
    <row r="610" spans="1:5">
      <c r="A610" s="1541">
        <v>43407</v>
      </c>
      <c r="B610" s="1542"/>
      <c r="C610" s="1542"/>
      <c r="D610" s="1542"/>
      <c r="E610" s="1542"/>
    </row>
    <row r="611" spans="1:5">
      <c r="A611" s="1541">
        <v>43406</v>
      </c>
      <c r="B611" s="1542">
        <v>17673.23</v>
      </c>
      <c r="C611" s="1542">
        <v>173.97</v>
      </c>
      <c r="D611" s="1542">
        <v>8370.57</v>
      </c>
      <c r="E611" s="1542">
        <v>2223.34</v>
      </c>
    </row>
    <row r="612" spans="1:5">
      <c r="A612" s="1541">
        <v>43405</v>
      </c>
      <c r="B612" s="1542">
        <v>17562.88</v>
      </c>
      <c r="C612" s="1542">
        <v>171.37</v>
      </c>
      <c r="D612" s="1542">
        <v>8387.49</v>
      </c>
      <c r="E612" s="1542">
        <v>2166.9499999999998</v>
      </c>
    </row>
    <row r="613" spans="1:5">
      <c r="A613" s="1541">
        <v>43404</v>
      </c>
      <c r="B613" s="1542">
        <v>17486.87</v>
      </c>
      <c r="C613" s="1542">
        <v>167.11</v>
      </c>
      <c r="D613" s="1542">
        <v>8309.11</v>
      </c>
      <c r="E613" s="1542">
        <v>2132.1999999999998</v>
      </c>
    </row>
    <row r="614" spans="1:5">
      <c r="A614" s="1541">
        <v>43403</v>
      </c>
      <c r="B614" s="1542">
        <v>16994.43</v>
      </c>
      <c r="C614" s="1542">
        <v>162.38999999999999</v>
      </c>
      <c r="D614" s="1542">
        <v>8206.7999999999993</v>
      </c>
      <c r="E614" s="1542">
        <v>2088.42</v>
      </c>
    </row>
    <row r="615" spans="1:5">
      <c r="A615" s="1541">
        <v>43402</v>
      </c>
      <c r="B615" s="1542">
        <v>16976.96</v>
      </c>
      <c r="C615" s="1542">
        <v>162.28</v>
      </c>
      <c r="D615" s="1542">
        <v>8117.82</v>
      </c>
      <c r="E615" s="1542">
        <v>2085.02</v>
      </c>
    </row>
    <row r="616" spans="1:5">
      <c r="A616" s="1541">
        <v>43401</v>
      </c>
      <c r="B616" s="1542"/>
      <c r="C616" s="1542"/>
      <c r="D616" s="1542"/>
      <c r="E616" s="1542"/>
    </row>
    <row r="617" spans="1:5">
      <c r="A617" s="1541">
        <v>43400</v>
      </c>
      <c r="B617" s="1542"/>
      <c r="C617" s="1542"/>
      <c r="D617" s="1542"/>
      <c r="E617" s="1542"/>
    </row>
    <row r="618" spans="1:5">
      <c r="A618" s="1541">
        <v>43399</v>
      </c>
      <c r="B618" s="1542">
        <v>16928.54</v>
      </c>
      <c r="C618" s="1542">
        <v>161.38</v>
      </c>
      <c r="D618" s="1542">
        <v>8143.13</v>
      </c>
      <c r="E618" s="1542">
        <v>2095.62</v>
      </c>
    </row>
    <row r="619" spans="1:5">
      <c r="A619" s="1541">
        <v>43398</v>
      </c>
      <c r="B619" s="1542">
        <v>16984.75</v>
      </c>
      <c r="C619" s="1542">
        <v>163.43</v>
      </c>
      <c r="D619" s="1542">
        <v>8243.26</v>
      </c>
      <c r="E619" s="1542">
        <v>2116.5500000000002</v>
      </c>
    </row>
    <row r="620" spans="1:5">
      <c r="A620" s="1541">
        <v>43397</v>
      </c>
      <c r="B620" s="1542">
        <v>17410.400000000001</v>
      </c>
      <c r="C620" s="1542">
        <v>169.91</v>
      </c>
      <c r="D620" s="1542">
        <v>8170.62</v>
      </c>
      <c r="E620" s="1542">
        <v>2125.4299999999998</v>
      </c>
    </row>
    <row r="621" spans="1:5">
      <c r="A621" s="1541">
        <v>43396</v>
      </c>
      <c r="B621" s="1542">
        <v>17438.61</v>
      </c>
      <c r="C621" s="1542">
        <v>170.65</v>
      </c>
      <c r="D621" s="1542">
        <v>8356.33</v>
      </c>
      <c r="E621" s="1542">
        <v>2142.0300000000002</v>
      </c>
    </row>
    <row r="622" spans="1:5">
      <c r="A622" s="1541">
        <v>43395</v>
      </c>
      <c r="B622" s="1542">
        <v>17793.759999999998</v>
      </c>
      <c r="C622" s="1542">
        <v>174.1</v>
      </c>
      <c r="D622" s="1542">
        <v>8436.39</v>
      </c>
      <c r="E622" s="1542">
        <v>2191.8000000000002</v>
      </c>
    </row>
    <row r="623" spans="1:5">
      <c r="A623" s="1541">
        <v>43394</v>
      </c>
      <c r="B623" s="1542"/>
      <c r="C623" s="1542"/>
      <c r="D623" s="1542"/>
      <c r="E623" s="1542"/>
    </row>
    <row r="624" spans="1:5">
      <c r="A624" s="1541">
        <v>43393</v>
      </c>
      <c r="B624" s="1542"/>
      <c r="C624" s="1542"/>
      <c r="D624" s="1542"/>
      <c r="E624" s="1542"/>
    </row>
    <row r="625" spans="1:5">
      <c r="A625" s="1541">
        <v>43392</v>
      </c>
      <c r="B625" s="1542">
        <v>17695.59</v>
      </c>
      <c r="C625" s="1542">
        <v>172.06</v>
      </c>
      <c r="D625" s="1542">
        <v>8472.82</v>
      </c>
      <c r="E625" s="1542">
        <v>2166.38</v>
      </c>
    </row>
    <row r="626" spans="1:5">
      <c r="A626" s="1541">
        <v>43391</v>
      </c>
      <c r="B626" s="1542">
        <v>17757.080000000002</v>
      </c>
      <c r="C626" s="1542">
        <v>173.59</v>
      </c>
      <c r="D626" s="1542">
        <v>8481.35</v>
      </c>
      <c r="E626" s="1542">
        <v>2165.12</v>
      </c>
    </row>
    <row r="627" spans="1:5">
      <c r="A627" s="1541">
        <v>43390</v>
      </c>
      <c r="B627" s="1542">
        <v>17802.39</v>
      </c>
      <c r="C627" s="1542">
        <v>174.61</v>
      </c>
      <c r="D627" s="1542">
        <v>8583.49</v>
      </c>
      <c r="E627" s="1542">
        <v>2193.67</v>
      </c>
    </row>
    <row r="628" spans="1:5">
      <c r="A628" s="1541">
        <v>43389</v>
      </c>
      <c r="B628" s="1542">
        <v>17805.89</v>
      </c>
      <c r="C628" s="1542">
        <v>173.12</v>
      </c>
      <c r="D628" s="1542">
        <v>8590.2900000000009</v>
      </c>
      <c r="E628" s="1542">
        <v>2195.7199999999998</v>
      </c>
    </row>
    <row r="629" spans="1:5">
      <c r="A629" s="1541">
        <v>43388</v>
      </c>
      <c r="B629" s="1542">
        <v>17663.03</v>
      </c>
      <c r="C629" s="1542">
        <v>172.34</v>
      </c>
      <c r="D629" s="1542">
        <v>8441.85</v>
      </c>
      <c r="E629" s="1542">
        <v>2166.75</v>
      </c>
    </row>
    <row r="630" spans="1:5">
      <c r="A630" s="1541">
        <v>43387</v>
      </c>
      <c r="B630" s="1542"/>
      <c r="C630" s="1542"/>
      <c r="D630" s="1542"/>
      <c r="E630" s="1542"/>
    </row>
    <row r="631" spans="1:5">
      <c r="A631" s="1541">
        <v>43386</v>
      </c>
      <c r="B631" s="1542"/>
      <c r="C631" s="1542"/>
      <c r="D631" s="1542"/>
      <c r="E631" s="1542"/>
    </row>
    <row r="632" spans="1:5">
      <c r="A632" s="1541">
        <v>43385</v>
      </c>
      <c r="B632" s="1542">
        <v>17921.150000000001</v>
      </c>
      <c r="C632" s="1542">
        <v>171.43</v>
      </c>
      <c r="D632" s="1542">
        <v>8475.89</v>
      </c>
      <c r="E632" s="1542">
        <v>2185.52</v>
      </c>
    </row>
    <row r="633" spans="1:5">
      <c r="A633" s="1541">
        <v>43384</v>
      </c>
      <c r="B633" s="1542">
        <v>17493.53</v>
      </c>
      <c r="C633" s="1542">
        <v>167.37</v>
      </c>
      <c r="D633" s="1542">
        <v>8399.42</v>
      </c>
      <c r="E633" s="1542">
        <v>2128.67</v>
      </c>
    </row>
    <row r="634" spans="1:5">
      <c r="A634" s="1541">
        <v>43383</v>
      </c>
      <c r="B634" s="1542"/>
      <c r="C634" s="1542"/>
      <c r="D634" s="1542">
        <v>8580.01</v>
      </c>
      <c r="E634" s="1542">
        <v>2197.33</v>
      </c>
    </row>
    <row r="635" spans="1:5">
      <c r="A635" s="1541">
        <v>43382</v>
      </c>
      <c r="B635" s="1542">
        <v>18672.22</v>
      </c>
      <c r="C635" s="1542">
        <v>180.82</v>
      </c>
      <c r="D635" s="1542">
        <v>8782.5499999999993</v>
      </c>
      <c r="E635" s="1542">
        <v>2215.85</v>
      </c>
    </row>
    <row r="636" spans="1:5">
      <c r="A636" s="1541">
        <v>43381</v>
      </c>
      <c r="B636" s="1542">
        <v>18652.78</v>
      </c>
      <c r="C636" s="1542">
        <v>183.71</v>
      </c>
      <c r="D636" s="1542">
        <v>8801.7199999999993</v>
      </c>
      <c r="E636" s="1542">
        <v>2219.16</v>
      </c>
    </row>
    <row r="637" spans="1:5">
      <c r="A637" s="1541">
        <v>43380</v>
      </c>
      <c r="B637" s="1542"/>
      <c r="C637" s="1542"/>
      <c r="D637" s="1542"/>
      <c r="E637" s="1542"/>
    </row>
    <row r="638" spans="1:5">
      <c r="A638" s="1541">
        <v>43379</v>
      </c>
      <c r="B638" s="1542"/>
      <c r="C638" s="1542"/>
      <c r="D638" s="1542"/>
      <c r="E638" s="1542"/>
    </row>
    <row r="639" spans="1:5">
      <c r="A639" s="1541">
        <v>43378</v>
      </c>
      <c r="B639" s="1542">
        <v>18761.93</v>
      </c>
      <c r="C639" s="1542">
        <v>186.14</v>
      </c>
      <c r="D639" s="1542">
        <v>8833.7999999999993</v>
      </c>
      <c r="E639" s="1542">
        <v>2230.6799999999998</v>
      </c>
    </row>
    <row r="640" spans="1:5">
      <c r="A640" s="1541">
        <v>43377</v>
      </c>
      <c r="B640" s="1542">
        <v>19121.919999999998</v>
      </c>
      <c r="C640" s="1542">
        <v>193.23</v>
      </c>
      <c r="D640" s="1542">
        <v>8891.2199999999993</v>
      </c>
      <c r="E640" s="1542">
        <v>2252.04</v>
      </c>
    </row>
    <row r="641" spans="1:5">
      <c r="A641" s="1541">
        <v>43376</v>
      </c>
      <c r="B641" s="1542">
        <v>19380.64</v>
      </c>
      <c r="C641" s="1542">
        <v>194.66</v>
      </c>
      <c r="D641" s="1542">
        <v>8964.14</v>
      </c>
      <c r="E641" s="1542">
        <v>2306.98</v>
      </c>
    </row>
    <row r="642" spans="1:5">
      <c r="A642" s="1541">
        <v>43375</v>
      </c>
      <c r="B642" s="1542">
        <v>19479.990000000002</v>
      </c>
      <c r="C642" s="1542">
        <v>197.1</v>
      </c>
      <c r="D642" s="1542">
        <v>8964.1</v>
      </c>
      <c r="E642" s="1542">
        <v>2302.85</v>
      </c>
    </row>
    <row r="643" spans="1:5">
      <c r="A643" s="1541">
        <v>43374</v>
      </c>
      <c r="B643" s="1542">
        <v>19715.77</v>
      </c>
      <c r="C643" s="1542">
        <v>197.91</v>
      </c>
      <c r="D643" s="1542">
        <v>8982.64</v>
      </c>
      <c r="E643" s="1542">
        <v>2332.02</v>
      </c>
    </row>
    <row r="644" spans="1:5">
      <c r="A644" s="1541">
        <v>43373</v>
      </c>
      <c r="B644" s="1542"/>
      <c r="C644" s="1542"/>
      <c r="D644" s="1542"/>
      <c r="E644" s="1542"/>
    </row>
    <row r="645" spans="1:5">
      <c r="A645" s="1541">
        <v>43372</v>
      </c>
      <c r="B645" s="1542"/>
      <c r="C645" s="1542"/>
      <c r="D645" s="1542"/>
      <c r="E645" s="1542"/>
    </row>
    <row r="646" spans="1:5">
      <c r="A646" s="1541">
        <v>43371</v>
      </c>
      <c r="B646" s="1542">
        <v>19634.669999999998</v>
      </c>
      <c r="C646" s="1542">
        <v>196.1</v>
      </c>
      <c r="D646" s="1542">
        <v>8965.2900000000009</v>
      </c>
      <c r="E646" s="1542">
        <v>2335.38</v>
      </c>
    </row>
    <row r="647" spans="1:5">
      <c r="A647" s="1541">
        <v>43370</v>
      </c>
      <c r="B647" s="1542">
        <v>19684.36</v>
      </c>
      <c r="C647" s="1542">
        <v>195.6</v>
      </c>
      <c r="D647" s="1542">
        <v>8984.31</v>
      </c>
      <c r="E647" s="1542">
        <v>2342.2800000000002</v>
      </c>
    </row>
    <row r="648" spans="1:5">
      <c r="A648" s="1541">
        <v>43369</v>
      </c>
      <c r="B648" s="1542">
        <v>19577.05</v>
      </c>
      <c r="C648" s="1542">
        <v>196.83</v>
      </c>
      <c r="D648" s="1542">
        <v>8985.26</v>
      </c>
      <c r="E648" s="1542">
        <v>2329.59</v>
      </c>
    </row>
    <row r="649" spans="1:5">
      <c r="A649" s="1541">
        <v>43368</v>
      </c>
      <c r="B649" s="1542">
        <v>19585.36</v>
      </c>
      <c r="C649" s="1542">
        <v>197.6</v>
      </c>
      <c r="D649" s="1542">
        <v>8999.01</v>
      </c>
      <c r="E649" s="1542">
        <v>2319.94</v>
      </c>
    </row>
    <row r="650" spans="1:5">
      <c r="A650" s="1541">
        <v>43367</v>
      </c>
      <c r="B650" s="1542"/>
      <c r="C650" s="1542"/>
      <c r="D650" s="1542">
        <v>8993.36</v>
      </c>
      <c r="E650" s="1542">
        <v>2321.15</v>
      </c>
    </row>
    <row r="651" spans="1:5">
      <c r="A651" s="1541">
        <v>43366</v>
      </c>
      <c r="B651" s="1542"/>
      <c r="C651" s="1542"/>
      <c r="D651" s="1542"/>
      <c r="E651" s="1542"/>
    </row>
    <row r="652" spans="1:5">
      <c r="A652" s="1541">
        <v>43365</v>
      </c>
      <c r="B652" s="1542"/>
      <c r="C652" s="1542"/>
      <c r="D652" s="1542"/>
      <c r="E652" s="1542"/>
    </row>
    <row r="653" spans="1:5">
      <c r="A653" s="1541">
        <v>43364</v>
      </c>
      <c r="B653" s="1542">
        <v>19573.87</v>
      </c>
      <c r="C653" s="1542">
        <v>196.86</v>
      </c>
      <c r="D653" s="1542">
        <v>9021.7199999999993</v>
      </c>
      <c r="E653" s="1542">
        <v>2341.1799999999998</v>
      </c>
    </row>
    <row r="654" spans="1:5">
      <c r="A654" s="1541">
        <v>43363</v>
      </c>
      <c r="B654" s="1542">
        <v>19322.28</v>
      </c>
      <c r="C654" s="1542">
        <v>193.8</v>
      </c>
      <c r="D654" s="1542">
        <v>9003.77</v>
      </c>
      <c r="E654" s="1542">
        <v>2308.84</v>
      </c>
    </row>
    <row r="655" spans="1:5">
      <c r="A655" s="1541">
        <v>43362</v>
      </c>
      <c r="B655" s="1542">
        <v>19366.080000000002</v>
      </c>
      <c r="C655" s="1542">
        <v>194.64</v>
      </c>
      <c r="D655" s="1542">
        <v>8929.82</v>
      </c>
      <c r="E655" s="1542">
        <v>2295.7399999999998</v>
      </c>
    </row>
    <row r="656" spans="1:5">
      <c r="A656" s="1541">
        <v>43361</v>
      </c>
      <c r="B656" s="1542">
        <v>19192.93</v>
      </c>
      <c r="C656" s="1542">
        <v>194.07</v>
      </c>
      <c r="D656" s="1542">
        <v>8907.11</v>
      </c>
      <c r="E656" s="1542">
        <v>2269.98</v>
      </c>
    </row>
    <row r="657" spans="1:5">
      <c r="A657" s="1541">
        <v>43360</v>
      </c>
      <c r="B657" s="1542">
        <v>19309.259999999998</v>
      </c>
      <c r="C657" s="1542">
        <v>197.03</v>
      </c>
      <c r="D657" s="1542">
        <v>8858.6</v>
      </c>
      <c r="E657" s="1542">
        <v>2262.2600000000002</v>
      </c>
    </row>
    <row r="658" spans="1:5">
      <c r="A658" s="1541">
        <v>43359</v>
      </c>
      <c r="B658" s="1542"/>
      <c r="C658" s="1542"/>
      <c r="D658" s="1542"/>
      <c r="E658" s="1542"/>
    </row>
    <row r="659" spans="1:5">
      <c r="A659" s="1541">
        <v>43358</v>
      </c>
      <c r="B659" s="1542"/>
      <c r="C659" s="1542"/>
      <c r="D659" s="1542"/>
      <c r="E659" s="1542"/>
    </row>
    <row r="660" spans="1:5">
      <c r="A660" s="1541">
        <v>43357</v>
      </c>
      <c r="B660" s="1542">
        <v>19379.689999999999</v>
      </c>
      <c r="C660" s="1542">
        <v>197.37</v>
      </c>
      <c r="D660" s="1542">
        <v>8883.2900000000009</v>
      </c>
      <c r="E660" s="1542">
        <v>2289</v>
      </c>
    </row>
    <row r="661" spans="1:5">
      <c r="A661" s="1541">
        <v>43356</v>
      </c>
      <c r="B661" s="1542">
        <v>19128.419999999998</v>
      </c>
      <c r="C661" s="1542">
        <v>193.45</v>
      </c>
      <c r="D661" s="1542">
        <v>8866.44</v>
      </c>
      <c r="E661" s="1542">
        <v>2264.7399999999998</v>
      </c>
    </row>
    <row r="662" spans="1:5">
      <c r="A662" s="1541">
        <v>43355</v>
      </c>
      <c r="B662" s="1542">
        <v>19120.02</v>
      </c>
      <c r="C662" s="1542">
        <v>193.01</v>
      </c>
      <c r="D662" s="1542">
        <v>8823.6299999999992</v>
      </c>
      <c r="E662" s="1542">
        <v>2235.37</v>
      </c>
    </row>
    <row r="663" spans="1:5">
      <c r="A663" s="1541">
        <v>43354</v>
      </c>
      <c r="B663" s="1542">
        <v>19172.669999999998</v>
      </c>
      <c r="C663" s="1542">
        <v>195.64</v>
      </c>
      <c r="D663" s="1542">
        <v>8802.9</v>
      </c>
      <c r="E663" s="1542">
        <v>2232.0100000000002</v>
      </c>
    </row>
    <row r="664" spans="1:5">
      <c r="A664" s="1541">
        <v>43353</v>
      </c>
      <c r="B664" s="1542">
        <v>19124.87</v>
      </c>
      <c r="C664" s="1542">
        <v>194.28</v>
      </c>
      <c r="D664" s="1542">
        <v>8781.7800000000007</v>
      </c>
      <c r="E664" s="1542">
        <v>2249.37</v>
      </c>
    </row>
    <row r="665" spans="1:5">
      <c r="A665" s="1541">
        <v>43352</v>
      </c>
      <c r="B665" s="1542"/>
      <c r="C665" s="1542"/>
      <c r="D665" s="1542"/>
      <c r="E665" s="1542"/>
    </row>
    <row r="666" spans="1:5">
      <c r="A666" s="1541">
        <v>43351</v>
      </c>
      <c r="B666" s="1542"/>
      <c r="C666" s="1542"/>
      <c r="D666" s="1542"/>
      <c r="E666" s="1542"/>
    </row>
    <row r="667" spans="1:5">
      <c r="A667" s="1541">
        <v>43350</v>
      </c>
      <c r="B667" s="1542">
        <v>19340.95</v>
      </c>
      <c r="C667" s="1542">
        <v>201.44</v>
      </c>
      <c r="D667" s="1542">
        <v>8760.98</v>
      </c>
      <c r="E667" s="1542">
        <v>2275.34</v>
      </c>
    </row>
    <row r="668" spans="1:5">
      <c r="A668" s="1541">
        <v>43349</v>
      </c>
      <c r="B668" s="1542">
        <v>19476.349999999999</v>
      </c>
      <c r="C668" s="1542">
        <v>206.74</v>
      </c>
      <c r="D668" s="1542">
        <v>8786.77</v>
      </c>
      <c r="E668" s="1542">
        <v>2264.7399999999998</v>
      </c>
    </row>
    <row r="669" spans="1:5">
      <c r="A669" s="1541">
        <v>43348</v>
      </c>
      <c r="B669" s="1542">
        <v>19598.41</v>
      </c>
      <c r="C669" s="1542">
        <v>207.8</v>
      </c>
      <c r="D669" s="1542">
        <v>8819.76</v>
      </c>
      <c r="E669" s="1542">
        <v>2271.71</v>
      </c>
    </row>
    <row r="670" spans="1:5">
      <c r="A670" s="1541">
        <v>43347</v>
      </c>
      <c r="B670" s="1542">
        <v>19643.45</v>
      </c>
      <c r="C670" s="1542">
        <v>208.38</v>
      </c>
      <c r="D670" s="1542">
        <v>8860.73</v>
      </c>
      <c r="E670" s="1542">
        <v>2312.38</v>
      </c>
    </row>
    <row r="671" spans="1:5">
      <c r="A671" s="1541">
        <v>43346</v>
      </c>
      <c r="B671" s="1542">
        <v>19539.04</v>
      </c>
      <c r="C671" s="1542">
        <v>206.14</v>
      </c>
      <c r="D671" s="1542">
        <v>8903.57</v>
      </c>
      <c r="E671" s="1542">
        <v>2327.7199999999998</v>
      </c>
    </row>
    <row r="672" spans="1:5">
      <c r="A672" s="1541">
        <v>43345</v>
      </c>
      <c r="B672" s="1542"/>
      <c r="C672" s="1542"/>
      <c r="D672" s="1542"/>
      <c r="E672" s="1542"/>
    </row>
    <row r="673" spans="1:5">
      <c r="A673" s="1541">
        <v>43344</v>
      </c>
      <c r="B673" s="1542"/>
      <c r="C673" s="1542"/>
      <c r="D673" s="1542"/>
      <c r="E673" s="1542"/>
    </row>
    <row r="674" spans="1:5">
      <c r="A674" s="1541">
        <v>43343</v>
      </c>
      <c r="B674" s="1542">
        <v>19716.61</v>
      </c>
      <c r="C674" s="1542">
        <v>210.47</v>
      </c>
      <c r="D674" s="1542">
        <v>8911.93</v>
      </c>
      <c r="E674" s="1542">
        <v>2347.06</v>
      </c>
    </row>
    <row r="675" spans="1:5">
      <c r="A675" s="1541">
        <v>43342</v>
      </c>
      <c r="B675" s="1542">
        <v>19769.400000000001</v>
      </c>
      <c r="C675" s="1542">
        <v>209.73</v>
      </c>
      <c r="D675" s="1542">
        <v>8936.0400000000009</v>
      </c>
      <c r="E675" s="1542">
        <v>2351.12</v>
      </c>
    </row>
    <row r="676" spans="1:5">
      <c r="A676" s="1541">
        <v>43341</v>
      </c>
      <c r="B676" s="1542">
        <v>19773.5</v>
      </c>
      <c r="C676" s="1542">
        <v>208.79</v>
      </c>
      <c r="D676" s="1542">
        <v>8972.52</v>
      </c>
      <c r="E676" s="1542">
        <v>2378.61</v>
      </c>
    </row>
    <row r="677" spans="1:5">
      <c r="A677" s="1541">
        <v>43340</v>
      </c>
      <c r="B677" s="1542">
        <v>19575.62</v>
      </c>
      <c r="C677" s="1542">
        <v>208.03</v>
      </c>
      <c r="D677" s="1542">
        <v>8937.9500000000007</v>
      </c>
      <c r="E677" s="1542">
        <v>2378.61</v>
      </c>
    </row>
    <row r="678" spans="1:5">
      <c r="A678" s="1541">
        <v>43339</v>
      </c>
      <c r="B678" s="1542">
        <v>19417.98</v>
      </c>
      <c r="C678" s="1542">
        <v>207.62</v>
      </c>
      <c r="D678" s="1542">
        <v>8927.23</v>
      </c>
      <c r="E678" s="1542">
        <v>2375.1799999999998</v>
      </c>
    </row>
    <row r="679" spans="1:5">
      <c r="A679" s="1541">
        <v>43338</v>
      </c>
      <c r="B679" s="1542"/>
      <c r="C679" s="1542"/>
      <c r="D679" s="1542"/>
      <c r="E679" s="1542"/>
    </row>
    <row r="680" spans="1:5">
      <c r="A680" s="1541">
        <v>43337</v>
      </c>
      <c r="B680" s="1542"/>
      <c r="C680" s="1542"/>
      <c r="D680" s="1542"/>
      <c r="E680" s="1542"/>
    </row>
    <row r="681" spans="1:5">
      <c r="A681" s="1541">
        <v>43336</v>
      </c>
      <c r="B681" s="1542">
        <v>19249.400000000001</v>
      </c>
      <c r="C681" s="1542">
        <v>204</v>
      </c>
      <c r="D681" s="1542">
        <v>8851.4</v>
      </c>
      <c r="E681" s="1542">
        <v>2333.04</v>
      </c>
    </row>
    <row r="682" spans="1:5">
      <c r="A682" s="1541">
        <v>43335</v>
      </c>
      <c r="B682" s="1542">
        <v>19341.04</v>
      </c>
      <c r="C682" s="1542">
        <v>206.17</v>
      </c>
      <c r="D682" s="1542">
        <v>8800.49</v>
      </c>
      <c r="E682" s="1542">
        <v>2328.5700000000002</v>
      </c>
    </row>
    <row r="683" spans="1:5">
      <c r="A683" s="1541">
        <v>43334</v>
      </c>
      <c r="B683" s="1542">
        <v>19233.18</v>
      </c>
      <c r="C683" s="1542">
        <v>206.41</v>
      </c>
      <c r="D683" s="1542">
        <v>8827.36</v>
      </c>
      <c r="E683" s="1542">
        <v>2333.84</v>
      </c>
    </row>
    <row r="684" spans="1:5">
      <c r="A684" s="1541">
        <v>43333</v>
      </c>
      <c r="B684" s="1542">
        <v>19203.099999999999</v>
      </c>
      <c r="C684" s="1542">
        <v>207.16</v>
      </c>
      <c r="D684" s="1542">
        <v>8809.8700000000008</v>
      </c>
      <c r="E684" s="1542">
        <v>2319.6</v>
      </c>
    </row>
    <row r="685" spans="1:5">
      <c r="A685" s="1541">
        <v>43332</v>
      </c>
      <c r="B685" s="1542">
        <v>19026.21</v>
      </c>
      <c r="C685" s="1542">
        <v>204.08</v>
      </c>
      <c r="D685" s="1542">
        <v>8782.51</v>
      </c>
      <c r="E685" s="1542">
        <v>2295.71</v>
      </c>
    </row>
    <row r="686" spans="1:5">
      <c r="A686" s="1541">
        <v>43331</v>
      </c>
      <c r="B686" s="1542"/>
      <c r="C686" s="1542"/>
      <c r="D686" s="1542"/>
      <c r="E686" s="1542"/>
    </row>
    <row r="687" spans="1:5">
      <c r="A687" s="1541">
        <v>43330</v>
      </c>
      <c r="B687" s="1542"/>
      <c r="C687" s="1542"/>
      <c r="D687" s="1542"/>
      <c r="E687" s="1542"/>
    </row>
    <row r="688" spans="1:5">
      <c r="A688" s="1541">
        <v>43329</v>
      </c>
      <c r="B688" s="1542">
        <v>19011.580000000002</v>
      </c>
      <c r="C688" s="1542">
        <v>206.8</v>
      </c>
      <c r="D688" s="1542">
        <v>8752.74</v>
      </c>
      <c r="E688" s="1542">
        <v>2271.48</v>
      </c>
    </row>
    <row r="689" spans="1:5">
      <c r="A689" s="1541">
        <v>43328</v>
      </c>
      <c r="B689" s="1542">
        <v>18997.39</v>
      </c>
      <c r="C689" s="1542">
        <v>207.65</v>
      </c>
      <c r="D689" s="1542">
        <v>8723.23</v>
      </c>
      <c r="E689" s="1542">
        <v>2268.36</v>
      </c>
    </row>
    <row r="690" spans="1:5">
      <c r="A690" s="1541">
        <v>43327</v>
      </c>
      <c r="B690" s="1542">
        <v>19045.41</v>
      </c>
      <c r="C690" s="1542">
        <v>207.98</v>
      </c>
      <c r="D690" s="1542">
        <v>8657.6299999999992</v>
      </c>
      <c r="E690" s="1542">
        <v>2272.3000000000002</v>
      </c>
    </row>
    <row r="691" spans="1:5">
      <c r="A691" s="1541">
        <v>43326</v>
      </c>
      <c r="B691" s="1542">
        <v>19232.48</v>
      </c>
      <c r="C691" s="1542">
        <v>211.29</v>
      </c>
      <c r="D691" s="1542">
        <v>8744.39</v>
      </c>
      <c r="E691" s="1542">
        <v>2314.59</v>
      </c>
    </row>
    <row r="692" spans="1:5">
      <c r="A692" s="1541">
        <v>43325</v>
      </c>
      <c r="B692" s="1542">
        <v>19093.8</v>
      </c>
      <c r="C692" s="1542">
        <v>208.25</v>
      </c>
      <c r="D692" s="1542">
        <v>8703.0499999999993</v>
      </c>
      <c r="E692" s="1542">
        <v>2316.04</v>
      </c>
    </row>
    <row r="693" spans="1:5">
      <c r="A693" s="1541">
        <v>43324</v>
      </c>
      <c r="B693" s="1542"/>
      <c r="C693" s="1542"/>
      <c r="D693" s="1542"/>
      <c r="E693" s="1542"/>
    </row>
    <row r="694" spans="1:5">
      <c r="A694" s="1541">
        <v>43323</v>
      </c>
      <c r="B694" s="1542"/>
      <c r="C694" s="1542"/>
      <c r="D694" s="1542"/>
      <c r="E694" s="1542"/>
    </row>
    <row r="695" spans="1:5">
      <c r="A695" s="1541">
        <v>43322</v>
      </c>
      <c r="B695" s="1542">
        <v>19510.419999999998</v>
      </c>
      <c r="C695" s="1542">
        <v>216.61</v>
      </c>
      <c r="D695" s="1542">
        <v>8753.57</v>
      </c>
      <c r="E695" s="1542">
        <v>2358.33</v>
      </c>
    </row>
    <row r="696" spans="1:5">
      <c r="A696" s="1541">
        <v>43321</v>
      </c>
      <c r="B696" s="1542">
        <v>19569.52</v>
      </c>
      <c r="C696" s="1542">
        <v>217.9</v>
      </c>
      <c r="D696" s="1542">
        <v>8849.4699999999993</v>
      </c>
      <c r="E696" s="1542">
        <v>2394.0700000000002</v>
      </c>
    </row>
    <row r="697" spans="1:5">
      <c r="A697" s="1541">
        <v>43320</v>
      </c>
      <c r="B697" s="1542">
        <v>19636.72</v>
      </c>
      <c r="C697" s="1542">
        <v>219.61</v>
      </c>
      <c r="D697" s="1542">
        <v>8855.15</v>
      </c>
      <c r="E697" s="1542">
        <v>2396.13</v>
      </c>
    </row>
    <row r="698" spans="1:5">
      <c r="A698" s="1541">
        <v>43319</v>
      </c>
      <c r="B698" s="1542">
        <v>19470.59</v>
      </c>
      <c r="C698" s="1542">
        <v>221.11</v>
      </c>
      <c r="D698" s="1542">
        <v>8857.7000000000007</v>
      </c>
      <c r="E698" s="1542">
        <v>2396.14</v>
      </c>
    </row>
    <row r="699" spans="1:5">
      <c r="A699" s="1541">
        <v>43318</v>
      </c>
      <c r="B699" s="1542">
        <v>19542.060000000001</v>
      </c>
      <c r="C699" s="1542">
        <v>220.32</v>
      </c>
      <c r="D699" s="1542">
        <v>8818.74</v>
      </c>
      <c r="E699" s="1542">
        <v>2376.5</v>
      </c>
    </row>
    <row r="700" spans="1:5">
      <c r="A700" s="1541">
        <v>43317</v>
      </c>
      <c r="B700" s="1542"/>
      <c r="C700" s="1542"/>
      <c r="D700" s="1542"/>
      <c r="E700" s="1542"/>
    </row>
    <row r="701" spans="1:5">
      <c r="A701" s="1541">
        <v>43316</v>
      </c>
      <c r="B701" s="1542"/>
      <c r="C701" s="1542"/>
      <c r="D701" s="1542"/>
      <c r="E701" s="1542"/>
    </row>
    <row r="702" spans="1:5">
      <c r="A702" s="1541">
        <v>43315</v>
      </c>
      <c r="B702" s="1542">
        <v>19520.38</v>
      </c>
      <c r="C702" s="1542">
        <v>219.4</v>
      </c>
      <c r="D702" s="1542">
        <v>8810.02</v>
      </c>
      <c r="E702" s="1542">
        <v>2381.66</v>
      </c>
    </row>
    <row r="703" spans="1:5">
      <c r="A703" s="1541">
        <v>43314</v>
      </c>
      <c r="B703" s="1542">
        <v>19370.810000000001</v>
      </c>
      <c r="C703" s="1542">
        <v>216.71</v>
      </c>
      <c r="D703" s="1542">
        <v>8777.36</v>
      </c>
      <c r="E703" s="1542">
        <v>2367.96</v>
      </c>
    </row>
    <row r="704" spans="1:5">
      <c r="A704" s="1541">
        <v>43313</v>
      </c>
      <c r="B704" s="1542">
        <v>19645.48</v>
      </c>
      <c r="C704" s="1542">
        <v>219.93</v>
      </c>
      <c r="D704" s="1542">
        <v>8783.7199999999993</v>
      </c>
      <c r="E704" s="1542">
        <v>2410.5500000000002</v>
      </c>
    </row>
    <row r="705" spans="1:5">
      <c r="A705" s="1541">
        <v>43312</v>
      </c>
      <c r="B705" s="1542">
        <v>19552.689999999999</v>
      </c>
      <c r="C705" s="1542">
        <v>218.95</v>
      </c>
      <c r="D705" s="1542">
        <v>8798.94</v>
      </c>
      <c r="E705" s="1542">
        <v>2411.56</v>
      </c>
    </row>
    <row r="706" spans="1:5">
      <c r="A706" s="1541">
        <v>43311</v>
      </c>
      <c r="B706" s="1542">
        <v>19497.77</v>
      </c>
      <c r="C706" s="1542">
        <v>218.16</v>
      </c>
      <c r="D706" s="1542">
        <v>8778.7199999999993</v>
      </c>
      <c r="E706" s="1542">
        <v>2417.36</v>
      </c>
    </row>
    <row r="707" spans="1:5">
      <c r="A707" s="1541">
        <v>43310</v>
      </c>
      <c r="B707" s="1542"/>
      <c r="C707" s="1542"/>
      <c r="D707" s="1542"/>
      <c r="E707" s="1542"/>
    </row>
    <row r="708" spans="1:5">
      <c r="A708" s="1541">
        <v>43309</v>
      </c>
      <c r="B708" s="1542"/>
      <c r="C708" s="1542"/>
      <c r="D708" s="1542"/>
      <c r="E708" s="1542"/>
    </row>
    <row r="709" spans="1:5">
      <c r="A709" s="1541">
        <v>43308</v>
      </c>
      <c r="B709" s="1542">
        <v>19554.47</v>
      </c>
      <c r="C709" s="1542">
        <v>221.04</v>
      </c>
      <c r="D709" s="1542">
        <v>8810.02</v>
      </c>
      <c r="E709" s="1542">
        <v>2421.98</v>
      </c>
    </row>
    <row r="710" spans="1:5">
      <c r="A710" s="1541">
        <v>43307</v>
      </c>
      <c r="B710" s="1542">
        <v>19436.93</v>
      </c>
      <c r="C710" s="1542">
        <v>220.03</v>
      </c>
      <c r="D710" s="1542">
        <v>8833.74</v>
      </c>
      <c r="E710" s="1542">
        <v>2414.85</v>
      </c>
    </row>
    <row r="711" spans="1:5">
      <c r="A711" s="1541">
        <v>43306</v>
      </c>
      <c r="B711" s="1542">
        <v>19335.32</v>
      </c>
      <c r="C711" s="1542">
        <v>218.36</v>
      </c>
      <c r="D711" s="1542">
        <v>8832.6</v>
      </c>
      <c r="E711" s="1542">
        <v>2413.69</v>
      </c>
    </row>
    <row r="712" spans="1:5">
      <c r="A712" s="1541">
        <v>43305</v>
      </c>
      <c r="B712" s="1542">
        <v>19354.95</v>
      </c>
      <c r="C712" s="1542">
        <v>217.43</v>
      </c>
      <c r="D712" s="1542">
        <v>8788.7000000000007</v>
      </c>
      <c r="E712" s="1542">
        <v>2394.35</v>
      </c>
    </row>
    <row r="713" spans="1:5">
      <c r="A713" s="1541">
        <v>43304</v>
      </c>
      <c r="B713" s="1542">
        <v>19266.21</v>
      </c>
      <c r="C713" s="1542">
        <v>214.57</v>
      </c>
      <c r="D713" s="1542">
        <v>8740.86</v>
      </c>
      <c r="E713" s="1542">
        <v>2370.19</v>
      </c>
    </row>
    <row r="714" spans="1:5">
      <c r="A714" s="1541">
        <v>43303</v>
      </c>
      <c r="B714" s="1542"/>
      <c r="C714" s="1542"/>
      <c r="D714" s="1542"/>
      <c r="E714" s="1542"/>
    </row>
    <row r="715" spans="1:5">
      <c r="A715" s="1541">
        <v>43302</v>
      </c>
      <c r="B715" s="1542"/>
      <c r="C715" s="1542"/>
      <c r="D715" s="1542"/>
      <c r="E715" s="1542"/>
    </row>
    <row r="716" spans="1:5">
      <c r="A716" s="1541">
        <v>43301</v>
      </c>
      <c r="B716" s="1542">
        <v>19211.060000000001</v>
      </c>
      <c r="C716" s="1542">
        <v>217.29</v>
      </c>
      <c r="D716" s="1542">
        <v>8739.51</v>
      </c>
      <c r="E716" s="1542">
        <v>2371.0300000000002</v>
      </c>
    </row>
    <row r="717" spans="1:5">
      <c r="A717" s="1541">
        <v>43300</v>
      </c>
      <c r="B717" s="1542">
        <v>19038.740000000002</v>
      </c>
      <c r="C717" s="1542">
        <v>218.82</v>
      </c>
      <c r="D717" s="1542">
        <v>8721.59</v>
      </c>
      <c r="E717" s="1542">
        <v>2350.16</v>
      </c>
    </row>
    <row r="718" spans="1:5">
      <c r="A718" s="1541">
        <v>43299</v>
      </c>
      <c r="B718" s="1542">
        <v>19043.68</v>
      </c>
      <c r="C718" s="1542">
        <v>217.9</v>
      </c>
      <c r="D718" s="1542">
        <v>8751.2999999999993</v>
      </c>
      <c r="E718" s="1542">
        <v>2367.7199999999998</v>
      </c>
    </row>
    <row r="719" spans="1:5">
      <c r="A719" s="1541">
        <v>43298</v>
      </c>
      <c r="B719" s="1542">
        <v>18922.8</v>
      </c>
      <c r="C719" s="1542">
        <v>218.79</v>
      </c>
      <c r="D719" s="1542">
        <v>8734.57</v>
      </c>
      <c r="E719" s="1542">
        <v>2371.65</v>
      </c>
    </row>
    <row r="720" spans="1:5">
      <c r="A720" s="1541">
        <v>43297</v>
      </c>
      <c r="B720" s="1542">
        <v>18978.759999999998</v>
      </c>
      <c r="C720" s="1542">
        <v>220.12</v>
      </c>
      <c r="D720" s="1542">
        <v>8712.61</v>
      </c>
      <c r="E720" s="1542">
        <v>2370</v>
      </c>
    </row>
    <row r="721" spans="1:5">
      <c r="A721" s="1541">
        <v>43296</v>
      </c>
      <c r="B721" s="1542"/>
      <c r="C721" s="1542"/>
      <c r="D721" s="1542"/>
      <c r="E721" s="1542"/>
    </row>
    <row r="722" spans="1:5">
      <c r="A722" s="1541">
        <v>43295</v>
      </c>
      <c r="B722" s="1542"/>
      <c r="C722" s="1542"/>
      <c r="D722" s="1542"/>
      <c r="E722" s="1542"/>
    </row>
    <row r="723" spans="1:5">
      <c r="A723" s="1541">
        <v>43294</v>
      </c>
      <c r="B723" s="1542">
        <v>19055.59</v>
      </c>
      <c r="C723" s="1542">
        <v>219.11</v>
      </c>
      <c r="D723" s="1542">
        <v>8719.74</v>
      </c>
      <c r="E723" s="1542">
        <v>2381.61</v>
      </c>
    </row>
    <row r="724" spans="1:5">
      <c r="A724" s="1541">
        <v>43293</v>
      </c>
      <c r="B724" s="1542">
        <v>18823.22</v>
      </c>
      <c r="C724" s="1542">
        <v>216.69</v>
      </c>
      <c r="D724" s="1542">
        <v>8704.4500000000007</v>
      </c>
      <c r="E724" s="1542">
        <v>2369.5</v>
      </c>
    </row>
    <row r="725" spans="1:5">
      <c r="A725" s="1541">
        <v>43292</v>
      </c>
      <c r="B725" s="1542">
        <v>18685.73</v>
      </c>
      <c r="C725" s="1542">
        <v>214.33</v>
      </c>
      <c r="D725" s="1542">
        <v>8648.49</v>
      </c>
      <c r="E725" s="1542">
        <v>2356.46</v>
      </c>
    </row>
    <row r="726" spans="1:5">
      <c r="A726" s="1541">
        <v>43291</v>
      </c>
      <c r="B726" s="1542">
        <v>18788.689999999999</v>
      </c>
      <c r="C726" s="1542">
        <v>215.29</v>
      </c>
      <c r="D726" s="1542">
        <v>8724.35</v>
      </c>
      <c r="E726" s="1542">
        <v>2381.23</v>
      </c>
    </row>
    <row r="727" spans="1:5">
      <c r="A727" s="1541">
        <v>43290</v>
      </c>
      <c r="B727" s="1542">
        <v>18681.78</v>
      </c>
      <c r="C727" s="1542">
        <v>212.81</v>
      </c>
      <c r="D727" s="1542">
        <v>8704.91</v>
      </c>
      <c r="E727" s="1542">
        <v>2379.08</v>
      </c>
    </row>
    <row r="728" spans="1:5">
      <c r="A728" s="1541">
        <v>43289</v>
      </c>
      <c r="B728" s="1542"/>
      <c r="C728" s="1542"/>
      <c r="D728" s="1542"/>
      <c r="E728" s="1542"/>
    </row>
    <row r="729" spans="1:5">
      <c r="A729" s="1541">
        <v>43288</v>
      </c>
      <c r="B729" s="1542"/>
      <c r="C729" s="1542"/>
      <c r="D729" s="1542"/>
      <c r="E729" s="1542"/>
    </row>
    <row r="730" spans="1:5">
      <c r="A730" s="1541">
        <v>43287</v>
      </c>
      <c r="B730" s="1542">
        <v>18453.63</v>
      </c>
      <c r="C730" s="1542">
        <v>211.31</v>
      </c>
      <c r="D730" s="1542">
        <v>8632.18</v>
      </c>
      <c r="E730" s="1542">
        <v>2341.67</v>
      </c>
    </row>
    <row r="731" spans="1:5">
      <c r="A731" s="1541">
        <v>43286</v>
      </c>
      <c r="B731" s="1542">
        <v>18453.79</v>
      </c>
      <c r="C731" s="1542">
        <v>210.5</v>
      </c>
      <c r="D731" s="1542">
        <v>8560.14</v>
      </c>
      <c r="E731" s="1542">
        <v>2328.94</v>
      </c>
    </row>
    <row r="732" spans="1:5">
      <c r="A732" s="1541">
        <v>43285</v>
      </c>
      <c r="B732" s="1542">
        <v>18612.95</v>
      </c>
      <c r="C732" s="1542">
        <v>213.98</v>
      </c>
      <c r="D732" s="1542">
        <v>8501.66</v>
      </c>
      <c r="E732" s="1542">
        <v>2329.59</v>
      </c>
    </row>
    <row r="733" spans="1:5">
      <c r="A733" s="1541">
        <v>43284</v>
      </c>
      <c r="B733" s="1542">
        <v>18556.03</v>
      </c>
      <c r="C733" s="1542">
        <v>216</v>
      </c>
      <c r="D733" s="1542">
        <v>8501.08</v>
      </c>
      <c r="E733" s="1542">
        <v>2332.27</v>
      </c>
    </row>
    <row r="734" spans="1:5">
      <c r="A734" s="1541">
        <v>43283</v>
      </c>
      <c r="B734" s="1542">
        <v>18654.330000000002</v>
      </c>
      <c r="C734" s="1542">
        <v>218.82</v>
      </c>
      <c r="D734" s="1542">
        <v>8501.1</v>
      </c>
      <c r="E734" s="1542">
        <v>2335.5</v>
      </c>
    </row>
    <row r="735" spans="1:5">
      <c r="A735" s="1541">
        <v>43282</v>
      </c>
      <c r="B735" s="1542"/>
      <c r="C735" s="1542"/>
      <c r="D735" s="1542"/>
      <c r="E735" s="1542"/>
    </row>
    <row r="736" spans="1:5">
      <c r="A736" s="1541">
        <v>43281</v>
      </c>
      <c r="B736" s="1542"/>
      <c r="C736" s="1542"/>
      <c r="D736" s="1542"/>
      <c r="E736" s="1542"/>
    </row>
    <row r="737" spans="1:5">
      <c r="A737" s="1541">
        <v>43280</v>
      </c>
      <c r="B737" s="1542">
        <v>18744.53</v>
      </c>
      <c r="C737" s="1542">
        <v>219.58</v>
      </c>
      <c r="D737" s="1542">
        <v>8530.35</v>
      </c>
      <c r="E737" s="1542">
        <v>2357.69</v>
      </c>
    </row>
    <row r="738" spans="1:5">
      <c r="A738" s="1541">
        <v>43279</v>
      </c>
      <c r="B738" s="1542">
        <v>18427.689999999999</v>
      </c>
      <c r="C738" s="1542">
        <v>217.47</v>
      </c>
      <c r="D738" s="1542">
        <v>8490.24</v>
      </c>
      <c r="E738" s="1542">
        <v>2307.27</v>
      </c>
    </row>
    <row r="739" spans="1:5">
      <c r="A739" s="1541">
        <v>43278</v>
      </c>
      <c r="B739" s="1542">
        <v>18499.009999999998</v>
      </c>
      <c r="C739" s="1542">
        <v>219.62</v>
      </c>
      <c r="D739" s="1542">
        <v>8474.67</v>
      </c>
      <c r="E739" s="1542">
        <v>2317.5300000000002</v>
      </c>
    </row>
    <row r="740" spans="1:5">
      <c r="A740" s="1541">
        <v>43277</v>
      </c>
      <c r="B740" s="1542">
        <v>18569.28</v>
      </c>
      <c r="C740" s="1542">
        <v>219.14</v>
      </c>
      <c r="D740" s="1542">
        <v>8522.94</v>
      </c>
      <c r="E740" s="1542">
        <v>2351.52</v>
      </c>
    </row>
    <row r="741" spans="1:5">
      <c r="A741" s="1541">
        <v>43276</v>
      </c>
      <c r="B741" s="1542">
        <v>18612.93</v>
      </c>
      <c r="C741" s="1542">
        <v>219.33</v>
      </c>
      <c r="D741" s="1542">
        <v>8511.43</v>
      </c>
      <c r="E741" s="1542">
        <v>2358.14</v>
      </c>
    </row>
    <row r="742" spans="1:5">
      <c r="A742" s="1541">
        <v>43275</v>
      </c>
      <c r="B742" s="1542"/>
      <c r="C742" s="1542"/>
      <c r="D742" s="1542"/>
      <c r="E742" s="1542"/>
    </row>
    <row r="743" spans="1:5">
      <c r="A743" s="1541">
        <v>43274</v>
      </c>
      <c r="B743" s="1542"/>
      <c r="C743" s="1542"/>
      <c r="D743" s="1542"/>
      <c r="E743" s="1542"/>
    </row>
    <row r="744" spans="1:5">
      <c r="A744" s="1541">
        <v>43273</v>
      </c>
      <c r="B744" s="1542">
        <v>18687.13</v>
      </c>
      <c r="C744" s="1542">
        <v>219.78</v>
      </c>
      <c r="D744" s="1542">
        <v>8631</v>
      </c>
      <c r="E744" s="1542">
        <v>2391.42</v>
      </c>
    </row>
    <row r="745" spans="1:5">
      <c r="A745" s="1541">
        <v>43272</v>
      </c>
      <c r="B745" s="1542">
        <v>18758.61</v>
      </c>
      <c r="C745" s="1542">
        <v>221.91</v>
      </c>
      <c r="D745" s="1542">
        <v>8594.2199999999993</v>
      </c>
      <c r="E745" s="1542">
        <v>2374.1999999999998</v>
      </c>
    </row>
    <row r="746" spans="1:5">
      <c r="A746" s="1541">
        <v>43271</v>
      </c>
      <c r="B746" s="1542">
        <v>18730.93</v>
      </c>
      <c r="C746" s="1542">
        <v>219.04</v>
      </c>
      <c r="D746" s="1542">
        <v>8641.5</v>
      </c>
      <c r="E746" s="1542">
        <v>2402.75</v>
      </c>
    </row>
    <row r="747" spans="1:5">
      <c r="A747" s="1541">
        <v>43270</v>
      </c>
      <c r="B747" s="1542">
        <v>18690.5</v>
      </c>
      <c r="C747" s="1542">
        <v>220.87</v>
      </c>
      <c r="D747" s="1542">
        <v>8615.64</v>
      </c>
      <c r="E747" s="1542">
        <v>2384.2199999999998</v>
      </c>
    </row>
    <row r="748" spans="1:5">
      <c r="A748" s="1541">
        <v>43269</v>
      </c>
      <c r="B748" s="1542"/>
      <c r="C748" s="1542"/>
      <c r="D748" s="1542">
        <v>8673.9</v>
      </c>
      <c r="E748" s="1542">
        <v>2429.96</v>
      </c>
    </row>
    <row r="749" spans="1:5">
      <c r="A749" s="1541">
        <v>43268</v>
      </c>
      <c r="B749" s="1542"/>
      <c r="C749" s="1542"/>
      <c r="D749" s="1542"/>
      <c r="E749" s="1542"/>
    </row>
    <row r="750" spans="1:5">
      <c r="A750" s="1541">
        <v>43267</v>
      </c>
      <c r="B750" s="1542"/>
      <c r="C750" s="1542"/>
      <c r="D750" s="1542"/>
      <c r="E750" s="1542"/>
    </row>
    <row r="751" spans="1:5">
      <c r="A751" s="1541">
        <v>43266</v>
      </c>
      <c r="B751" s="1542">
        <v>19003.560000000001</v>
      </c>
      <c r="C751" s="1542">
        <v>224.57</v>
      </c>
      <c r="D751" s="1542">
        <v>8707.6</v>
      </c>
      <c r="E751" s="1542">
        <v>2446.81</v>
      </c>
    </row>
    <row r="752" spans="1:5">
      <c r="A752" s="1541">
        <v>43265</v>
      </c>
      <c r="B752" s="1542">
        <v>18874.830000000002</v>
      </c>
      <c r="C752" s="1542">
        <v>224.56</v>
      </c>
      <c r="D752" s="1542">
        <v>8739.17</v>
      </c>
      <c r="E752" s="1542">
        <v>2472.85</v>
      </c>
    </row>
    <row r="753" spans="1:5">
      <c r="A753" s="1541">
        <v>43264</v>
      </c>
      <c r="B753" s="1542">
        <v>19146.88</v>
      </c>
      <c r="C753" s="1542">
        <v>224.88</v>
      </c>
      <c r="D753" s="1542">
        <v>8729.6299999999992</v>
      </c>
      <c r="E753" s="1542">
        <v>2494.2399999999998</v>
      </c>
    </row>
    <row r="754" spans="1:5">
      <c r="A754" s="1541">
        <v>43263</v>
      </c>
      <c r="B754" s="1542">
        <v>19098.150000000001</v>
      </c>
      <c r="C754" s="1542">
        <v>226.47</v>
      </c>
      <c r="D754" s="1542">
        <v>8750.2099999999991</v>
      </c>
      <c r="E754" s="1542">
        <v>2504.54</v>
      </c>
    </row>
    <row r="755" spans="1:5">
      <c r="A755" s="1541">
        <v>43262</v>
      </c>
      <c r="B755" s="1542">
        <v>19105.39</v>
      </c>
      <c r="C755" s="1542">
        <v>225.7</v>
      </c>
      <c r="D755" s="1542">
        <v>8745.2000000000007</v>
      </c>
      <c r="E755" s="1542">
        <v>2501.85</v>
      </c>
    </row>
    <row r="756" spans="1:5">
      <c r="A756" s="1541">
        <v>43261</v>
      </c>
      <c r="B756" s="1542"/>
      <c r="C756" s="1542"/>
      <c r="D756" s="1542"/>
      <c r="E756" s="1542"/>
    </row>
    <row r="757" spans="1:5">
      <c r="A757" s="1541">
        <v>43260</v>
      </c>
      <c r="B757" s="1542"/>
      <c r="C757" s="1542"/>
      <c r="D757" s="1542"/>
      <c r="E757" s="1542"/>
    </row>
    <row r="758" spans="1:5">
      <c r="A758" s="1541">
        <v>43259</v>
      </c>
      <c r="B758" s="1542">
        <v>19117.71</v>
      </c>
      <c r="C758" s="1542">
        <v>224.67</v>
      </c>
      <c r="D758" s="1542">
        <v>8718.27</v>
      </c>
      <c r="E758" s="1542">
        <v>2492.84</v>
      </c>
    </row>
    <row r="759" spans="1:5">
      <c r="A759" s="1541">
        <v>43258</v>
      </c>
      <c r="B759" s="1542">
        <v>19281.07</v>
      </c>
      <c r="C759" s="1542">
        <v>226.21</v>
      </c>
      <c r="D759" s="1542">
        <v>8717.26</v>
      </c>
      <c r="E759" s="1542">
        <v>2523.9899999999998</v>
      </c>
    </row>
    <row r="760" spans="1:5">
      <c r="A760" s="1541">
        <v>43257</v>
      </c>
      <c r="B760" s="1542">
        <v>19195.12</v>
      </c>
      <c r="C760" s="1542">
        <v>226.53</v>
      </c>
      <c r="D760" s="1542">
        <v>8711.91</v>
      </c>
      <c r="E760" s="1542">
        <v>2523.84</v>
      </c>
    </row>
    <row r="761" spans="1:5">
      <c r="A761" s="1541">
        <v>43256</v>
      </c>
      <c r="B761" s="1542">
        <v>19020.82</v>
      </c>
      <c r="C761" s="1542">
        <v>224.1</v>
      </c>
      <c r="D761" s="1542">
        <v>8640.7800000000007</v>
      </c>
      <c r="E761" s="1542">
        <v>2511.12</v>
      </c>
    </row>
    <row r="762" spans="1:5">
      <c r="A762" s="1541">
        <v>43255</v>
      </c>
      <c r="B762" s="1542">
        <v>19035.91</v>
      </c>
      <c r="C762" s="1542">
        <v>225.07</v>
      </c>
      <c r="D762" s="1542">
        <v>8650.3700000000008</v>
      </c>
      <c r="E762" s="1542">
        <v>2515.94</v>
      </c>
    </row>
    <row r="763" spans="1:5">
      <c r="A763" s="1541">
        <v>43254</v>
      </c>
      <c r="B763" s="1542"/>
      <c r="C763" s="1542"/>
      <c r="D763" s="1542"/>
      <c r="E763" s="1542"/>
    </row>
    <row r="764" spans="1:5">
      <c r="A764" s="1541">
        <v>43253</v>
      </c>
      <c r="B764" s="1542"/>
      <c r="C764" s="1542"/>
      <c r="D764" s="1542"/>
      <c r="E764" s="1542"/>
    </row>
    <row r="765" spans="1:5">
      <c r="A765" s="1541">
        <v>43252</v>
      </c>
      <c r="B765" s="1542">
        <v>18760.39</v>
      </c>
      <c r="C765" s="1542">
        <v>222.92</v>
      </c>
      <c r="D765" s="1542">
        <v>8598.36</v>
      </c>
      <c r="E765" s="1542">
        <v>2479.39</v>
      </c>
    </row>
    <row r="766" spans="1:5">
      <c r="A766" s="1541">
        <v>43251</v>
      </c>
      <c r="B766" s="1542">
        <v>18632.87</v>
      </c>
      <c r="C766" s="1542">
        <v>222.13</v>
      </c>
      <c r="D766" s="1542">
        <v>8531.33</v>
      </c>
      <c r="E766" s="1542">
        <v>2458.1799999999998</v>
      </c>
    </row>
    <row r="767" spans="1:5">
      <c r="A767" s="1541">
        <v>43250</v>
      </c>
      <c r="B767" s="1542">
        <v>18540.71</v>
      </c>
      <c r="C767" s="1542">
        <v>221.13</v>
      </c>
      <c r="D767" s="1542">
        <v>8559.93</v>
      </c>
      <c r="E767" s="1542">
        <v>2440.31</v>
      </c>
    </row>
    <row r="768" spans="1:5">
      <c r="A768" s="1541">
        <v>43249</v>
      </c>
      <c r="B768" s="1542">
        <v>18785.63</v>
      </c>
      <c r="C768" s="1542">
        <v>221</v>
      </c>
      <c r="D768" s="1542">
        <v>8487.7900000000009</v>
      </c>
      <c r="E768" s="1542">
        <v>2469.7399999999998</v>
      </c>
    </row>
    <row r="769" spans="1:5">
      <c r="A769" s="1541">
        <v>43248</v>
      </c>
      <c r="B769" s="1542">
        <v>18826.150000000001</v>
      </c>
      <c r="C769" s="1542">
        <v>221.16</v>
      </c>
      <c r="D769" s="1542">
        <v>8584.39</v>
      </c>
      <c r="E769" s="1542">
        <v>2492.9</v>
      </c>
    </row>
    <row r="770" spans="1:5">
      <c r="A770" s="1541">
        <v>43247</v>
      </c>
      <c r="B770" s="1542"/>
      <c r="C770" s="1542"/>
      <c r="D770" s="1542"/>
      <c r="E770" s="1542"/>
    </row>
    <row r="771" spans="1:5">
      <c r="A771" s="1541">
        <v>43246</v>
      </c>
      <c r="B771" s="1542"/>
      <c r="C771" s="1542"/>
      <c r="D771" s="1542"/>
      <c r="E771" s="1542"/>
    </row>
    <row r="772" spans="1:5">
      <c r="A772" s="1541">
        <v>43245</v>
      </c>
      <c r="B772" s="1542">
        <v>18748.25</v>
      </c>
      <c r="C772" s="1542">
        <v>219.6</v>
      </c>
      <c r="D772" s="1542">
        <v>8598</v>
      </c>
      <c r="E772" s="1542">
        <v>2492.0300000000002</v>
      </c>
    </row>
    <row r="773" spans="1:5">
      <c r="A773" s="1541">
        <v>43244</v>
      </c>
      <c r="B773" s="1542">
        <v>18739.05</v>
      </c>
      <c r="C773" s="1542">
        <v>218.58</v>
      </c>
      <c r="D773" s="1542">
        <v>8625.49</v>
      </c>
      <c r="E773" s="1542">
        <v>2487.62</v>
      </c>
    </row>
    <row r="774" spans="1:5">
      <c r="A774" s="1541">
        <v>43243</v>
      </c>
      <c r="B774" s="1542">
        <v>18652.099999999999</v>
      </c>
      <c r="C774" s="1542">
        <v>217.01</v>
      </c>
      <c r="D774" s="1542">
        <v>8645.93</v>
      </c>
      <c r="E774" s="1542">
        <v>2482.67</v>
      </c>
    </row>
    <row r="775" spans="1:5">
      <c r="A775" s="1541">
        <v>43242</v>
      </c>
      <c r="B775" s="1542">
        <v>18742.14</v>
      </c>
      <c r="C775" s="1542">
        <v>217.33</v>
      </c>
      <c r="D775" s="1542">
        <v>8669.44</v>
      </c>
      <c r="E775" s="1542">
        <v>2502.15</v>
      </c>
    </row>
    <row r="776" spans="1:5">
      <c r="A776" s="1541">
        <v>43241</v>
      </c>
      <c r="B776" s="1542">
        <v>18789.189999999999</v>
      </c>
      <c r="C776" s="1542">
        <v>218.03</v>
      </c>
      <c r="D776" s="1542">
        <v>8676.32</v>
      </c>
      <c r="E776" s="1542">
        <v>2489.7600000000002</v>
      </c>
    </row>
    <row r="777" spans="1:5">
      <c r="A777" s="1541">
        <v>43240</v>
      </c>
      <c r="B777" s="1542"/>
      <c r="C777" s="1542"/>
      <c r="D777" s="1542"/>
      <c r="E777" s="1542"/>
    </row>
    <row r="778" spans="1:5">
      <c r="A778" s="1541">
        <v>43239</v>
      </c>
      <c r="B778" s="1542"/>
      <c r="C778" s="1542"/>
      <c r="D778" s="1542"/>
      <c r="E778" s="1542"/>
    </row>
    <row r="779" spans="1:5">
      <c r="A779" s="1541">
        <v>43238</v>
      </c>
      <c r="B779" s="1542">
        <v>18556.95</v>
      </c>
      <c r="C779" s="1542">
        <v>216.47</v>
      </c>
      <c r="D779" s="1542">
        <v>8634.31</v>
      </c>
      <c r="E779" s="1542">
        <v>2492.27</v>
      </c>
    </row>
    <row r="780" spans="1:5">
      <c r="A780" s="1541">
        <v>43237</v>
      </c>
      <c r="B780" s="1542">
        <v>18562.03</v>
      </c>
      <c r="C780" s="1542">
        <v>216.33</v>
      </c>
      <c r="D780" s="1542">
        <v>8651.6299999999992</v>
      </c>
      <c r="E780" s="1542">
        <v>2505.7800000000002</v>
      </c>
    </row>
    <row r="781" spans="1:5">
      <c r="A781" s="1541">
        <v>43236</v>
      </c>
      <c r="B781" s="1542">
        <v>18671.28</v>
      </c>
      <c r="C781" s="1542">
        <v>217.37</v>
      </c>
      <c r="D781" s="1542">
        <v>8638.25</v>
      </c>
      <c r="E781" s="1542">
        <v>2529.44</v>
      </c>
    </row>
    <row r="782" spans="1:5">
      <c r="A782" s="1541">
        <v>43235</v>
      </c>
      <c r="B782" s="1542">
        <v>18632.150000000001</v>
      </c>
      <c r="C782" s="1542">
        <v>217.24</v>
      </c>
      <c r="D782" s="1542">
        <v>8624.4699999999993</v>
      </c>
      <c r="E782" s="1542">
        <v>2518.79</v>
      </c>
    </row>
    <row r="783" spans="1:5">
      <c r="A783" s="1541">
        <v>43234</v>
      </c>
      <c r="B783" s="1542">
        <v>18765.2</v>
      </c>
      <c r="C783" s="1542">
        <v>218.54</v>
      </c>
      <c r="D783" s="1542">
        <v>8689</v>
      </c>
      <c r="E783" s="1542">
        <v>2559.5100000000002</v>
      </c>
    </row>
    <row r="784" spans="1:5">
      <c r="A784" s="1541">
        <v>43233</v>
      </c>
      <c r="B784" s="1542"/>
      <c r="C784" s="1542"/>
      <c r="D784" s="1542"/>
      <c r="E784" s="1542"/>
    </row>
    <row r="785" spans="1:5">
      <c r="A785" s="1541">
        <v>43232</v>
      </c>
      <c r="B785" s="1542"/>
      <c r="C785" s="1542"/>
      <c r="D785" s="1542"/>
      <c r="E785" s="1542"/>
    </row>
    <row r="786" spans="1:5">
      <c r="A786" s="1541">
        <v>43231</v>
      </c>
      <c r="B786" s="1542">
        <v>18605.16</v>
      </c>
      <c r="C786" s="1542">
        <v>214.86</v>
      </c>
      <c r="D786" s="1542">
        <v>8670.57</v>
      </c>
      <c r="E786" s="1542">
        <v>2549.75</v>
      </c>
    </row>
    <row r="787" spans="1:5">
      <c r="A787" s="1541">
        <v>43230</v>
      </c>
      <c r="B787" s="1542">
        <v>18435.939999999999</v>
      </c>
      <c r="C787" s="1542">
        <v>214.61</v>
      </c>
      <c r="D787" s="1542">
        <v>8633.1299999999992</v>
      </c>
      <c r="E787" s="1542">
        <v>2532.34</v>
      </c>
    </row>
    <row r="788" spans="1:5">
      <c r="A788" s="1541">
        <v>43229</v>
      </c>
      <c r="B788" s="1542">
        <v>18338.52</v>
      </c>
      <c r="C788" s="1542">
        <v>212.39</v>
      </c>
      <c r="D788" s="1542">
        <v>8573.2000000000007</v>
      </c>
      <c r="E788" s="1542">
        <v>2504.33</v>
      </c>
    </row>
    <row r="789" spans="1:5">
      <c r="A789" s="1541">
        <v>43228</v>
      </c>
      <c r="B789" s="1542">
        <v>18317.87</v>
      </c>
      <c r="C789" s="1542">
        <v>212.15</v>
      </c>
      <c r="D789" s="1542">
        <v>8512.11</v>
      </c>
      <c r="E789" s="1542">
        <v>2501.83</v>
      </c>
    </row>
    <row r="790" spans="1:5">
      <c r="A790" s="1541">
        <v>43227</v>
      </c>
      <c r="B790" s="1542">
        <v>18169.72</v>
      </c>
      <c r="C790" s="1542">
        <v>211.67</v>
      </c>
      <c r="D790" s="1542">
        <v>8519.0400000000009</v>
      </c>
      <c r="E790" s="1542">
        <v>2494.61</v>
      </c>
    </row>
    <row r="791" spans="1:5">
      <c r="A791" s="1541">
        <v>43226</v>
      </c>
      <c r="B791" s="1542"/>
      <c r="C791" s="1542"/>
      <c r="D791" s="1542"/>
      <c r="E791" s="1542"/>
    </row>
    <row r="792" spans="1:5">
      <c r="A792" s="1541">
        <v>43225</v>
      </c>
      <c r="B792" s="1542"/>
      <c r="C792" s="1542"/>
      <c r="D792" s="1542"/>
      <c r="E792" s="1542"/>
    </row>
    <row r="793" spans="1:5">
      <c r="A793" s="1541">
        <v>43224</v>
      </c>
      <c r="B793" s="1542">
        <v>18040.3</v>
      </c>
      <c r="C793" s="1542">
        <v>210.49</v>
      </c>
      <c r="D793" s="1542">
        <v>8487.1200000000008</v>
      </c>
      <c r="E793" s="1542">
        <v>2487.0100000000002</v>
      </c>
    </row>
    <row r="794" spans="1:5">
      <c r="A794" s="1541">
        <v>43223</v>
      </c>
      <c r="B794" s="1542">
        <v>18014.28</v>
      </c>
      <c r="C794" s="1542">
        <v>212.08</v>
      </c>
      <c r="D794" s="1542">
        <v>8411.85</v>
      </c>
      <c r="E794" s="1542">
        <v>2490.4</v>
      </c>
    </row>
    <row r="795" spans="1:5">
      <c r="A795" s="1541">
        <v>43222</v>
      </c>
      <c r="B795" s="1542">
        <v>18193.54</v>
      </c>
      <c r="C795" s="1542">
        <v>213.37</v>
      </c>
      <c r="D795" s="1542">
        <v>8431.2000000000007</v>
      </c>
      <c r="E795" s="1542">
        <v>2519.9499999999998</v>
      </c>
    </row>
    <row r="796" spans="1:5">
      <c r="A796" s="1541">
        <v>43221</v>
      </c>
      <c r="B796" s="1542"/>
      <c r="C796" s="1542"/>
      <c r="D796" s="1542">
        <v>8459.31</v>
      </c>
      <c r="E796" s="1542">
        <v>2543.6799999999998</v>
      </c>
    </row>
    <row r="797" spans="1:5">
      <c r="A797" s="1541">
        <v>43220</v>
      </c>
      <c r="B797" s="1542">
        <v>18260.48</v>
      </c>
      <c r="C797" s="1542">
        <v>211.81</v>
      </c>
      <c r="D797" s="1542">
        <v>8470.2099999999991</v>
      </c>
      <c r="E797" s="1542">
        <v>2547.86</v>
      </c>
    </row>
    <row r="798" spans="1:5">
      <c r="A798" s="1541">
        <v>43219</v>
      </c>
      <c r="B798" s="1542"/>
      <c r="C798" s="1542"/>
      <c r="D798" s="1542"/>
      <c r="E798" s="1542"/>
    </row>
    <row r="799" spans="1:5">
      <c r="A799" s="1541">
        <v>43218</v>
      </c>
      <c r="B799" s="1542"/>
      <c r="C799" s="1542"/>
      <c r="D799" s="1542"/>
      <c r="E799" s="1542"/>
    </row>
    <row r="800" spans="1:5">
      <c r="A800" s="1541">
        <v>43217</v>
      </c>
      <c r="B800" s="1542">
        <v>18081.52</v>
      </c>
      <c r="C800" s="1542">
        <v>209.98</v>
      </c>
      <c r="D800" s="1542">
        <v>8507.5499999999993</v>
      </c>
      <c r="E800" s="1542">
        <v>2529.77</v>
      </c>
    </row>
    <row r="801" spans="1:5">
      <c r="A801" s="1541">
        <v>43216</v>
      </c>
      <c r="B801" s="1542">
        <v>17970.41</v>
      </c>
      <c r="C801" s="1542">
        <v>207.78</v>
      </c>
      <c r="D801" s="1542">
        <v>8491.49</v>
      </c>
      <c r="E801" s="1542">
        <v>2503.52</v>
      </c>
    </row>
    <row r="802" spans="1:5">
      <c r="A802" s="1541">
        <v>43215</v>
      </c>
      <c r="B802" s="1542">
        <v>18092.73</v>
      </c>
      <c r="C802" s="1542">
        <v>211.98</v>
      </c>
      <c r="D802" s="1542">
        <v>8426.2199999999993</v>
      </c>
      <c r="E802" s="1542">
        <v>2494.6</v>
      </c>
    </row>
    <row r="803" spans="1:5">
      <c r="A803" s="1541">
        <v>43214</v>
      </c>
      <c r="B803" s="1542">
        <v>18126.189999999999</v>
      </c>
      <c r="C803" s="1542">
        <v>211.14</v>
      </c>
      <c r="D803" s="1542">
        <v>8443.9699999999993</v>
      </c>
      <c r="E803" s="1542">
        <v>2525.0700000000002</v>
      </c>
    </row>
    <row r="804" spans="1:5">
      <c r="A804" s="1541">
        <v>43213</v>
      </c>
      <c r="B804" s="1542">
        <v>18327.73</v>
      </c>
      <c r="C804" s="1542">
        <v>217.55</v>
      </c>
      <c r="D804" s="1542">
        <v>8506.64</v>
      </c>
      <c r="E804" s="1542">
        <v>2533.67</v>
      </c>
    </row>
    <row r="805" spans="1:5">
      <c r="A805" s="1541">
        <v>43212</v>
      </c>
      <c r="B805" s="1542"/>
      <c r="C805" s="1542"/>
      <c r="D805" s="1542"/>
      <c r="E805" s="1542"/>
    </row>
    <row r="806" spans="1:5">
      <c r="A806" s="1541">
        <v>43211</v>
      </c>
      <c r="B806" s="1542"/>
      <c r="C806" s="1542"/>
      <c r="D806" s="1542"/>
      <c r="E806" s="1542"/>
    </row>
    <row r="807" spans="1:5">
      <c r="A807" s="1541">
        <v>43210</v>
      </c>
      <c r="B807" s="1542">
        <v>18468.64</v>
      </c>
      <c r="C807" s="1542">
        <v>219.25</v>
      </c>
      <c r="D807" s="1542">
        <v>8516.2900000000009</v>
      </c>
      <c r="E807" s="1542">
        <v>2555.4699999999998</v>
      </c>
    </row>
    <row r="808" spans="1:5">
      <c r="A808" s="1541">
        <v>43209</v>
      </c>
      <c r="B808" s="1542">
        <v>18797.34</v>
      </c>
      <c r="C808" s="1542">
        <v>220.97</v>
      </c>
      <c r="D808" s="1542">
        <v>8581.17</v>
      </c>
      <c r="E808" s="1542">
        <v>2590.0700000000002</v>
      </c>
    </row>
    <row r="809" spans="1:5">
      <c r="A809" s="1541">
        <v>43208</v>
      </c>
      <c r="B809" s="1542">
        <v>18586.02</v>
      </c>
      <c r="C809" s="1542">
        <v>219.25</v>
      </c>
      <c r="D809" s="1542">
        <v>8611.48</v>
      </c>
      <c r="E809" s="1542">
        <v>2572.6</v>
      </c>
    </row>
    <row r="810" spans="1:5">
      <c r="A810" s="1541">
        <v>43207</v>
      </c>
      <c r="B810" s="1542">
        <v>18521.88</v>
      </c>
      <c r="C810" s="1542">
        <v>217.76</v>
      </c>
      <c r="D810" s="1542">
        <v>8581.67</v>
      </c>
      <c r="E810" s="1542">
        <v>2546.71</v>
      </c>
    </row>
    <row r="811" spans="1:5">
      <c r="A811" s="1541">
        <v>43206</v>
      </c>
      <c r="B811" s="1542">
        <v>18768.77</v>
      </c>
      <c r="C811" s="1542">
        <v>222.12</v>
      </c>
      <c r="D811" s="1542">
        <v>8513.9500000000007</v>
      </c>
      <c r="E811" s="1542">
        <v>2543.91</v>
      </c>
    </row>
    <row r="812" spans="1:5">
      <c r="A812" s="1541">
        <v>43205</v>
      </c>
      <c r="B812" s="1542"/>
      <c r="C812" s="1542"/>
      <c r="D812" s="1542"/>
      <c r="E812" s="1542"/>
    </row>
    <row r="813" spans="1:5">
      <c r="A813" s="1541">
        <v>43204</v>
      </c>
      <c r="B813" s="1542"/>
      <c r="C813" s="1542"/>
      <c r="D813" s="1542"/>
      <c r="E813" s="1542"/>
    </row>
    <row r="814" spans="1:5">
      <c r="A814" s="1541">
        <v>43203</v>
      </c>
      <c r="B814" s="1542">
        <v>18787.349999999999</v>
      </c>
      <c r="C814" s="1542">
        <v>221.09</v>
      </c>
      <c r="D814" s="1542">
        <v>8467.9</v>
      </c>
      <c r="E814" s="1542">
        <v>2558.85</v>
      </c>
    </row>
    <row r="815" spans="1:5">
      <c r="A815" s="1541">
        <v>43202</v>
      </c>
      <c r="B815" s="1542">
        <v>18770.03</v>
      </c>
      <c r="C815" s="1542">
        <v>220.4</v>
      </c>
      <c r="D815" s="1542">
        <v>8475.0300000000007</v>
      </c>
      <c r="E815" s="1542">
        <v>2573.4499999999998</v>
      </c>
    </row>
    <row r="816" spans="1:5">
      <c r="A816" s="1541">
        <v>43201</v>
      </c>
      <c r="B816" s="1542">
        <v>18802.14</v>
      </c>
      <c r="C816" s="1542">
        <v>219.69</v>
      </c>
      <c r="D816" s="1542">
        <v>8440.24</v>
      </c>
      <c r="E816" s="1542">
        <v>2570.48</v>
      </c>
    </row>
    <row r="817" spans="1:5">
      <c r="A817" s="1541">
        <v>43200</v>
      </c>
      <c r="B817" s="1542">
        <v>18721.88</v>
      </c>
      <c r="C817" s="1542">
        <v>218.44</v>
      </c>
      <c r="D817" s="1542">
        <v>8470.2999999999993</v>
      </c>
      <c r="E817" s="1542">
        <v>2569.4</v>
      </c>
    </row>
    <row r="818" spans="1:5">
      <c r="A818" s="1541">
        <v>43199</v>
      </c>
      <c r="B818" s="1542">
        <v>18664.23</v>
      </c>
      <c r="C818" s="1542">
        <v>220.19</v>
      </c>
      <c r="D818" s="1542">
        <v>8352.77</v>
      </c>
      <c r="E818" s="1542">
        <v>2542.5300000000002</v>
      </c>
    </row>
    <row r="819" spans="1:5">
      <c r="A819" s="1541">
        <v>43198</v>
      </c>
      <c r="B819" s="1542"/>
      <c r="C819" s="1542"/>
      <c r="D819" s="1542"/>
      <c r="E819" s="1542"/>
    </row>
    <row r="820" spans="1:5">
      <c r="A820" s="1541">
        <v>43197</v>
      </c>
      <c r="B820" s="1542"/>
      <c r="C820" s="1542"/>
      <c r="D820" s="1542"/>
      <c r="E820" s="1542"/>
    </row>
    <row r="821" spans="1:5">
      <c r="A821" s="1541">
        <v>43196</v>
      </c>
      <c r="B821" s="1542"/>
      <c r="C821" s="1542"/>
      <c r="D821" s="1542">
        <v>8317.08</v>
      </c>
      <c r="E821" s="1542">
        <v>2540.12</v>
      </c>
    </row>
    <row r="822" spans="1:5">
      <c r="A822" s="1541">
        <v>43195</v>
      </c>
      <c r="B822" s="1542"/>
      <c r="C822" s="1542"/>
      <c r="D822" s="1542">
        <v>8427.59</v>
      </c>
      <c r="E822" s="1542">
        <v>2549.9699999999998</v>
      </c>
    </row>
    <row r="823" spans="1:5">
      <c r="A823" s="1541">
        <v>43194</v>
      </c>
      <c r="B823" s="1542"/>
      <c r="C823" s="1542"/>
      <c r="D823" s="1542">
        <v>8347.68</v>
      </c>
      <c r="E823" s="1542">
        <v>2526.21</v>
      </c>
    </row>
    <row r="824" spans="1:5">
      <c r="A824" s="1541">
        <v>43193</v>
      </c>
      <c r="B824" s="1542">
        <v>18540.87</v>
      </c>
      <c r="C824" s="1542">
        <v>219.87</v>
      </c>
      <c r="D824" s="1542">
        <v>8296.2900000000009</v>
      </c>
      <c r="E824" s="1542">
        <v>2557.5</v>
      </c>
    </row>
    <row r="825" spans="1:5">
      <c r="A825" s="1541">
        <v>43192</v>
      </c>
      <c r="B825" s="1542">
        <v>18655.21</v>
      </c>
      <c r="C825" s="1542">
        <v>220.2</v>
      </c>
      <c r="D825" s="1542">
        <v>8254.4599999999991</v>
      </c>
      <c r="E825" s="1542">
        <v>2555.8200000000002</v>
      </c>
    </row>
    <row r="826" spans="1:5">
      <c r="A826" s="1541">
        <v>43191</v>
      </c>
      <c r="B826" s="1542"/>
      <c r="C826" s="1542"/>
      <c r="D826" s="1542"/>
      <c r="E826" s="1542"/>
    </row>
    <row r="827" spans="1:5">
      <c r="A827" s="1541">
        <v>43190</v>
      </c>
      <c r="B827" s="1542">
        <v>18708.7</v>
      </c>
      <c r="C827" s="1542">
        <v>220.77</v>
      </c>
      <c r="D827" s="1542"/>
      <c r="E827" s="1542"/>
    </row>
    <row r="828" spans="1:5">
      <c r="A828" s="1541">
        <v>43189</v>
      </c>
      <c r="B828" s="1542">
        <v>18685.97</v>
      </c>
      <c r="C828" s="1542">
        <v>220.17</v>
      </c>
      <c r="D828" s="1542">
        <v>8368.8799999999992</v>
      </c>
      <c r="E828" s="1542">
        <v>2558.6999999999998</v>
      </c>
    </row>
    <row r="829" spans="1:5">
      <c r="A829" s="1541">
        <v>43188</v>
      </c>
      <c r="B829" s="1542">
        <v>18582.66</v>
      </c>
      <c r="C829" s="1542">
        <v>219.49</v>
      </c>
      <c r="D829" s="1542">
        <v>8363.5400000000009</v>
      </c>
      <c r="E829" s="1542">
        <v>2555.1999999999998</v>
      </c>
    </row>
    <row r="830" spans="1:5">
      <c r="A830" s="1541">
        <v>43187</v>
      </c>
      <c r="B830" s="1542">
        <v>18616.48</v>
      </c>
      <c r="C830" s="1542">
        <v>218</v>
      </c>
      <c r="D830" s="1542">
        <v>8290.6299999999992</v>
      </c>
      <c r="E830" s="1542">
        <v>2539.39</v>
      </c>
    </row>
    <row r="831" spans="1:5">
      <c r="A831" s="1541">
        <v>43186</v>
      </c>
      <c r="B831" s="1542">
        <v>18824</v>
      </c>
      <c r="C831" s="1542">
        <v>219.22</v>
      </c>
      <c r="D831" s="1542">
        <v>8313.9699999999993</v>
      </c>
      <c r="E831" s="1542">
        <v>2588.25</v>
      </c>
    </row>
    <row r="832" spans="1:5">
      <c r="A832" s="1541">
        <v>43185</v>
      </c>
      <c r="B832" s="1542">
        <v>18572.59</v>
      </c>
      <c r="C832" s="1542">
        <v>216.83</v>
      </c>
      <c r="D832" s="1542">
        <v>8368.3700000000008</v>
      </c>
      <c r="E832" s="1542">
        <v>2581.38</v>
      </c>
    </row>
    <row r="833" spans="1:5">
      <c r="A833" s="1541">
        <v>43184</v>
      </c>
      <c r="B833" s="1542"/>
      <c r="C833" s="1542"/>
      <c r="D833" s="1542"/>
      <c r="E833" s="1542"/>
    </row>
    <row r="834" spans="1:5">
      <c r="A834" s="1541">
        <v>43183</v>
      </c>
      <c r="B834" s="1542"/>
      <c r="C834" s="1542"/>
      <c r="D834" s="1542"/>
      <c r="E834" s="1542"/>
    </row>
    <row r="835" spans="1:5">
      <c r="A835" s="1541">
        <v>43182</v>
      </c>
      <c r="B835" s="1542">
        <v>18543.95</v>
      </c>
      <c r="C835" s="1542">
        <v>214.46</v>
      </c>
      <c r="D835" s="1542">
        <v>8236.4699999999993</v>
      </c>
      <c r="E835" s="1542">
        <v>2559.08</v>
      </c>
    </row>
    <row r="836" spans="1:5">
      <c r="A836" s="1541">
        <v>43181</v>
      </c>
      <c r="B836" s="1542">
        <v>18856.650000000001</v>
      </c>
      <c r="C836" s="1542">
        <v>218.54</v>
      </c>
      <c r="D836" s="1542">
        <v>8382.86</v>
      </c>
      <c r="E836" s="1542">
        <v>2612.77</v>
      </c>
    </row>
    <row r="837" spans="1:5">
      <c r="A837" s="1541">
        <v>43180</v>
      </c>
      <c r="B837" s="1542">
        <v>18865.599999999999</v>
      </c>
      <c r="C837" s="1542">
        <v>220.47</v>
      </c>
      <c r="D837" s="1542">
        <v>8528.27</v>
      </c>
      <c r="E837" s="1542">
        <v>2640.69</v>
      </c>
    </row>
    <row r="838" spans="1:5">
      <c r="A838" s="1541">
        <v>43179</v>
      </c>
      <c r="B838" s="1542">
        <v>18865.21</v>
      </c>
      <c r="C838" s="1542">
        <v>219.93</v>
      </c>
      <c r="D838" s="1542">
        <v>8534.4</v>
      </c>
      <c r="E838" s="1542">
        <v>2641.19</v>
      </c>
    </row>
    <row r="839" spans="1:5">
      <c r="A839" s="1541">
        <v>43178</v>
      </c>
      <c r="B839" s="1542">
        <v>18927</v>
      </c>
      <c r="C839" s="1542">
        <v>220.03</v>
      </c>
      <c r="D839" s="1542">
        <v>8532.2199999999993</v>
      </c>
      <c r="E839" s="1542">
        <v>2627.02</v>
      </c>
    </row>
    <row r="840" spans="1:5">
      <c r="A840" s="1541">
        <v>43177</v>
      </c>
      <c r="B840" s="1542"/>
      <c r="C840" s="1542"/>
      <c r="D840" s="1542"/>
      <c r="E840" s="1542"/>
    </row>
    <row r="841" spans="1:5">
      <c r="A841" s="1541">
        <v>43176</v>
      </c>
      <c r="B841" s="1542"/>
      <c r="C841" s="1542"/>
      <c r="D841" s="1542"/>
      <c r="E841" s="1542"/>
    </row>
    <row r="842" spans="1:5">
      <c r="A842" s="1541">
        <v>43175</v>
      </c>
      <c r="B842" s="1542">
        <v>18894.099999999999</v>
      </c>
      <c r="C842" s="1542">
        <v>219.69</v>
      </c>
      <c r="D842" s="1542">
        <v>8627.2999999999993</v>
      </c>
      <c r="E842" s="1542">
        <v>2647.89</v>
      </c>
    </row>
    <row r="843" spans="1:5">
      <c r="A843" s="1541">
        <v>43174</v>
      </c>
      <c r="B843" s="1542">
        <v>18878.25</v>
      </c>
      <c r="C843" s="1542">
        <v>219.65</v>
      </c>
      <c r="D843" s="1542">
        <v>8623.41</v>
      </c>
      <c r="E843" s="1542">
        <v>2654.52</v>
      </c>
    </row>
    <row r="844" spans="1:5">
      <c r="A844" s="1541">
        <v>43173</v>
      </c>
      <c r="B844" s="1542">
        <v>18913.13</v>
      </c>
      <c r="C844" s="1542">
        <v>218.53</v>
      </c>
      <c r="D844" s="1542">
        <v>8626.1</v>
      </c>
      <c r="E844" s="1542">
        <v>2659.81</v>
      </c>
    </row>
    <row r="845" spans="1:5">
      <c r="A845" s="1541">
        <v>43172</v>
      </c>
      <c r="B845" s="1542">
        <v>19010.490000000002</v>
      </c>
      <c r="C845" s="1542">
        <v>218.32</v>
      </c>
      <c r="D845" s="1542">
        <v>8665.2099999999991</v>
      </c>
      <c r="E845" s="1542">
        <v>2670.7</v>
      </c>
    </row>
    <row r="846" spans="1:5">
      <c r="A846" s="1541">
        <v>43171</v>
      </c>
      <c r="B846" s="1542">
        <v>18850.23</v>
      </c>
      <c r="C846" s="1542">
        <v>216.76</v>
      </c>
      <c r="D846" s="1542">
        <v>8703.86</v>
      </c>
      <c r="E846" s="1542">
        <v>2666.99</v>
      </c>
    </row>
    <row r="847" spans="1:5">
      <c r="A847" s="1541">
        <v>43170</v>
      </c>
      <c r="B847" s="1542"/>
      <c r="C847" s="1542"/>
      <c r="D847" s="1542"/>
      <c r="E847" s="1542"/>
    </row>
    <row r="848" spans="1:5">
      <c r="A848" s="1541">
        <v>43169</v>
      </c>
      <c r="B848" s="1542"/>
      <c r="C848" s="1542"/>
      <c r="D848" s="1542"/>
      <c r="E848" s="1542"/>
    </row>
    <row r="849" spans="1:5">
      <c r="A849" s="1541">
        <v>43168</v>
      </c>
      <c r="B849" s="1542">
        <v>18615.03</v>
      </c>
      <c r="C849" s="1542">
        <v>214.55</v>
      </c>
      <c r="D849" s="1542">
        <v>8683.81</v>
      </c>
      <c r="E849" s="1542">
        <v>2634.22</v>
      </c>
    </row>
    <row r="850" spans="1:5">
      <c r="A850" s="1541">
        <v>43167</v>
      </c>
      <c r="B850" s="1542">
        <v>18543.8</v>
      </c>
      <c r="C850" s="1542">
        <v>213.96</v>
      </c>
      <c r="D850" s="1542">
        <v>8586.3799999999992</v>
      </c>
      <c r="E850" s="1542">
        <v>2608.02</v>
      </c>
    </row>
    <row r="851" spans="1:5">
      <c r="A851" s="1541">
        <v>43166</v>
      </c>
      <c r="B851" s="1542">
        <v>18410.3</v>
      </c>
      <c r="C851" s="1542">
        <v>212.16</v>
      </c>
      <c r="D851" s="1542">
        <v>8546.2999999999993</v>
      </c>
      <c r="E851" s="1542">
        <v>2594.75</v>
      </c>
    </row>
    <row r="852" spans="1:5">
      <c r="A852" s="1541">
        <v>43165</v>
      </c>
      <c r="B852" s="1542">
        <v>18477.150000000001</v>
      </c>
      <c r="C852" s="1542">
        <v>211.61</v>
      </c>
      <c r="D852" s="1542">
        <v>8553.02</v>
      </c>
      <c r="E852" s="1542">
        <v>2604.61</v>
      </c>
    </row>
    <row r="853" spans="1:5">
      <c r="A853" s="1541">
        <v>43164</v>
      </c>
      <c r="B853" s="1542">
        <v>18234.8</v>
      </c>
      <c r="C853" s="1542">
        <v>208.86</v>
      </c>
      <c r="D853" s="1542">
        <v>8506.1</v>
      </c>
      <c r="E853" s="1542">
        <v>2565.37</v>
      </c>
    </row>
    <row r="854" spans="1:5">
      <c r="A854" s="1541">
        <v>43163</v>
      </c>
      <c r="B854" s="1542"/>
      <c r="C854" s="1542"/>
      <c r="D854" s="1542"/>
      <c r="E854" s="1542"/>
    </row>
    <row r="855" spans="1:5">
      <c r="A855" s="1541">
        <v>43162</v>
      </c>
      <c r="B855" s="1542"/>
      <c r="C855" s="1542"/>
      <c r="D855" s="1542"/>
      <c r="E855" s="1542"/>
    </row>
    <row r="856" spans="1:5">
      <c r="A856" s="1541">
        <v>43161</v>
      </c>
      <c r="B856" s="1542">
        <v>18329.509999999998</v>
      </c>
      <c r="C856" s="1542">
        <v>210.43</v>
      </c>
      <c r="D856" s="1542">
        <v>8438.39</v>
      </c>
      <c r="E856" s="1542">
        <v>2578.0500000000002</v>
      </c>
    </row>
    <row r="857" spans="1:5">
      <c r="A857" s="1541">
        <v>43160</v>
      </c>
      <c r="B857" s="1542">
        <v>18479.63</v>
      </c>
      <c r="C857" s="1542">
        <v>211.75</v>
      </c>
      <c r="D857" s="1542">
        <v>8438.33</v>
      </c>
      <c r="E857" s="1542">
        <v>2600.17</v>
      </c>
    </row>
    <row r="858" spans="1:5">
      <c r="A858" s="1541">
        <v>43159</v>
      </c>
      <c r="B858" s="1542"/>
      <c r="C858" s="1542"/>
      <c r="D858" s="1542">
        <v>8549.7000000000007</v>
      </c>
      <c r="E858" s="1542">
        <v>2606.4899999999998</v>
      </c>
    </row>
    <row r="859" spans="1:5">
      <c r="A859" s="1541">
        <v>43158</v>
      </c>
      <c r="B859" s="1542">
        <v>18530.490000000002</v>
      </c>
      <c r="C859" s="1542">
        <v>211.24</v>
      </c>
      <c r="D859" s="1542">
        <v>8640.09</v>
      </c>
      <c r="E859" s="1542">
        <v>2643.64</v>
      </c>
    </row>
    <row r="860" spans="1:5">
      <c r="A860" s="1541">
        <v>43157</v>
      </c>
      <c r="B860" s="1542">
        <v>18566.86</v>
      </c>
      <c r="C860" s="1542">
        <v>211.53</v>
      </c>
      <c r="D860" s="1542">
        <v>8716.09</v>
      </c>
      <c r="E860" s="1542">
        <v>2662.61</v>
      </c>
    </row>
    <row r="861" spans="1:5">
      <c r="A861" s="1541">
        <v>43156</v>
      </c>
      <c r="B861" s="1542"/>
      <c r="C861" s="1542"/>
      <c r="D861" s="1542"/>
      <c r="E861" s="1542"/>
    </row>
    <row r="862" spans="1:5">
      <c r="A862" s="1541">
        <v>43155</v>
      </c>
      <c r="B862" s="1542"/>
      <c r="C862" s="1542"/>
      <c r="D862" s="1542"/>
      <c r="E862" s="1542"/>
    </row>
    <row r="863" spans="1:5">
      <c r="A863" s="1541">
        <v>43154</v>
      </c>
      <c r="B863" s="1542">
        <v>18494.63</v>
      </c>
      <c r="C863" s="1542">
        <v>210.18</v>
      </c>
      <c r="D863" s="1542">
        <v>8639.26</v>
      </c>
      <c r="E863" s="1542">
        <v>2652.31</v>
      </c>
    </row>
    <row r="864" spans="1:5">
      <c r="A864" s="1541">
        <v>43153</v>
      </c>
      <c r="B864" s="1542">
        <v>18268.189999999999</v>
      </c>
      <c r="C864" s="1542">
        <v>208.57</v>
      </c>
      <c r="D864" s="1542">
        <v>8543.0499999999993</v>
      </c>
      <c r="E864" s="1542">
        <v>2617.9899999999998</v>
      </c>
    </row>
    <row r="865" spans="1:5">
      <c r="A865" s="1541">
        <v>43152</v>
      </c>
      <c r="B865" s="1542">
        <v>18357.38</v>
      </c>
      <c r="C865" s="1542">
        <v>207.73</v>
      </c>
      <c r="D865" s="1542">
        <v>8545.7099999999991</v>
      </c>
      <c r="E865" s="1542">
        <v>2636.98</v>
      </c>
    </row>
    <row r="866" spans="1:5">
      <c r="A866" s="1541">
        <v>43151</v>
      </c>
      <c r="B866" s="1542"/>
      <c r="C866" s="1542"/>
      <c r="D866" s="1542">
        <v>8577.11</v>
      </c>
      <c r="E866" s="1542">
        <v>2603.9299999999998</v>
      </c>
    </row>
    <row r="867" spans="1:5">
      <c r="A867" s="1541">
        <v>43150</v>
      </c>
      <c r="B867" s="1542"/>
      <c r="C867" s="1542"/>
      <c r="D867" s="1542">
        <v>8615.83</v>
      </c>
      <c r="E867" s="1542">
        <v>2618.12</v>
      </c>
    </row>
    <row r="868" spans="1:5">
      <c r="A868" s="1541">
        <v>43149</v>
      </c>
      <c r="B868" s="1542"/>
      <c r="C868" s="1542"/>
      <c r="D868" s="1542"/>
      <c r="E868" s="1542"/>
    </row>
    <row r="869" spans="1:5">
      <c r="A869" s="1541">
        <v>43148</v>
      </c>
      <c r="B869" s="1542"/>
      <c r="C869" s="1542"/>
      <c r="D869" s="1542"/>
      <c r="E869" s="1542"/>
    </row>
    <row r="870" spans="1:5">
      <c r="A870" s="1541">
        <v>43147</v>
      </c>
      <c r="B870" s="1542"/>
      <c r="C870" s="1542"/>
      <c r="D870" s="1542">
        <v>8623.7000000000007</v>
      </c>
      <c r="E870" s="1542">
        <v>2615.2399999999998</v>
      </c>
    </row>
    <row r="871" spans="1:5">
      <c r="A871" s="1541">
        <v>43146</v>
      </c>
      <c r="B871" s="1542"/>
      <c r="C871" s="1542"/>
      <c r="D871" s="1542">
        <v>8595.11</v>
      </c>
      <c r="E871" s="1542">
        <v>2620.48</v>
      </c>
    </row>
    <row r="872" spans="1:5">
      <c r="A872" s="1541">
        <v>43145</v>
      </c>
      <c r="B872" s="1542"/>
      <c r="C872" s="1542"/>
      <c r="D872" s="1542">
        <v>8490.76</v>
      </c>
      <c r="E872" s="1542">
        <v>2582.75</v>
      </c>
    </row>
    <row r="873" spans="1:5">
      <c r="A873" s="1541">
        <v>43144</v>
      </c>
      <c r="B873" s="1542"/>
      <c r="C873" s="1542"/>
      <c r="D873" s="1542">
        <v>8387.0499999999993</v>
      </c>
      <c r="E873" s="1542">
        <v>2537.33</v>
      </c>
    </row>
    <row r="874" spans="1:5">
      <c r="A874" s="1541">
        <v>43143</v>
      </c>
      <c r="B874" s="1542">
        <v>17854.78</v>
      </c>
      <c r="C874" s="1542">
        <v>201.93</v>
      </c>
      <c r="D874" s="1542">
        <v>8367.41</v>
      </c>
      <c r="E874" s="1542">
        <v>2513.1</v>
      </c>
    </row>
    <row r="875" spans="1:5">
      <c r="A875" s="1541">
        <v>43142</v>
      </c>
      <c r="B875" s="1542"/>
      <c r="C875" s="1542"/>
      <c r="D875" s="1542"/>
      <c r="E875" s="1542"/>
    </row>
    <row r="876" spans="1:5">
      <c r="A876" s="1541">
        <v>43141</v>
      </c>
      <c r="B876" s="1542"/>
      <c r="C876" s="1542"/>
      <c r="D876" s="1542"/>
      <c r="E876" s="1542"/>
    </row>
    <row r="877" spans="1:5">
      <c r="A877" s="1541">
        <v>43140</v>
      </c>
      <c r="B877" s="1542">
        <v>17770.240000000002</v>
      </c>
      <c r="C877" s="1542">
        <v>201.57</v>
      </c>
      <c r="D877" s="1542">
        <v>8266.4</v>
      </c>
      <c r="E877" s="1542">
        <v>2489.7800000000002</v>
      </c>
    </row>
    <row r="878" spans="1:5">
      <c r="A878" s="1541">
        <v>43139</v>
      </c>
      <c r="B878" s="1542">
        <v>18038.84</v>
      </c>
      <c r="C878" s="1542">
        <v>203.77</v>
      </c>
      <c r="D878" s="1542">
        <v>8241.1299999999992</v>
      </c>
      <c r="E878" s="1542">
        <v>2533.8200000000002</v>
      </c>
    </row>
    <row r="879" spans="1:5">
      <c r="A879" s="1541">
        <v>43138</v>
      </c>
      <c r="B879" s="1542">
        <v>18078.29</v>
      </c>
      <c r="C879" s="1542">
        <v>205.56</v>
      </c>
      <c r="D879" s="1542">
        <v>8466.23</v>
      </c>
      <c r="E879" s="1542">
        <v>2556.12</v>
      </c>
    </row>
    <row r="880" spans="1:5">
      <c r="A880" s="1541">
        <v>43137</v>
      </c>
      <c r="B880" s="1542">
        <v>17825.490000000002</v>
      </c>
      <c r="C880" s="1542">
        <v>200.86</v>
      </c>
      <c r="D880" s="1542">
        <v>8457.1</v>
      </c>
      <c r="E880" s="1542">
        <v>2562.11</v>
      </c>
    </row>
    <row r="881" spans="1:5">
      <c r="A881" s="1541">
        <v>43136</v>
      </c>
      <c r="B881" s="1542">
        <v>18754.55</v>
      </c>
      <c r="C881" s="1542">
        <v>214.55</v>
      </c>
      <c r="D881" s="1542">
        <v>8475.8799999999992</v>
      </c>
      <c r="E881" s="1542">
        <v>2634.26</v>
      </c>
    </row>
    <row r="882" spans="1:5">
      <c r="A882" s="1541">
        <v>43135</v>
      </c>
      <c r="B882" s="1542"/>
      <c r="C882" s="1542"/>
      <c r="D882" s="1542"/>
      <c r="E882" s="1542"/>
    </row>
    <row r="883" spans="1:5">
      <c r="A883" s="1541">
        <v>43134</v>
      </c>
      <c r="B883" s="1542"/>
      <c r="C883" s="1542"/>
      <c r="D883" s="1542"/>
      <c r="E883" s="1542"/>
    </row>
    <row r="884" spans="1:5">
      <c r="A884" s="1541">
        <v>43133</v>
      </c>
      <c r="B884" s="1542">
        <v>19062.91</v>
      </c>
      <c r="C884" s="1542">
        <v>217.21</v>
      </c>
      <c r="D884" s="1542">
        <v>8749.4599999999991</v>
      </c>
      <c r="E884" s="1542">
        <v>2681.08</v>
      </c>
    </row>
    <row r="885" spans="1:5">
      <c r="A885" s="1541">
        <v>43132</v>
      </c>
      <c r="B885" s="1542">
        <v>19121.21</v>
      </c>
      <c r="C885" s="1542">
        <v>217.66</v>
      </c>
      <c r="D885" s="1542">
        <v>8914.2800000000007</v>
      </c>
      <c r="E885" s="1542">
        <v>2719.77</v>
      </c>
    </row>
    <row r="886" spans="1:5">
      <c r="A886" s="1541">
        <v>43131</v>
      </c>
      <c r="B886" s="1542">
        <v>19024.46</v>
      </c>
      <c r="C886" s="1542">
        <v>218.06</v>
      </c>
      <c r="D886" s="1542">
        <v>8915.2800000000007</v>
      </c>
      <c r="E886" s="1542">
        <v>2732.11</v>
      </c>
    </row>
    <row r="887" spans="1:5">
      <c r="A887" s="1541">
        <v>43130</v>
      </c>
      <c r="B887" s="1542">
        <v>18978.189999999999</v>
      </c>
      <c r="C887" s="1542">
        <v>217.14</v>
      </c>
      <c r="D887" s="1542">
        <v>8918.4599999999991</v>
      </c>
      <c r="E887" s="1542">
        <v>2716.91</v>
      </c>
    </row>
    <row r="888" spans="1:5">
      <c r="A888" s="1541">
        <v>43129</v>
      </c>
      <c r="B888" s="1542">
        <v>19226.669999999998</v>
      </c>
      <c r="C888" s="1542">
        <v>219.02</v>
      </c>
      <c r="D888" s="1542">
        <v>8998.77</v>
      </c>
      <c r="E888" s="1542">
        <v>2761.21</v>
      </c>
    </row>
    <row r="889" spans="1:5">
      <c r="A889" s="1541">
        <v>43128</v>
      </c>
      <c r="B889" s="1542"/>
      <c r="C889" s="1542"/>
      <c r="D889" s="1542"/>
      <c r="E889" s="1542"/>
    </row>
    <row r="890" spans="1:5">
      <c r="A890" s="1541">
        <v>43127</v>
      </c>
      <c r="B890" s="1542"/>
      <c r="C890" s="1542"/>
      <c r="D890" s="1542"/>
      <c r="E890" s="1542"/>
    </row>
    <row r="891" spans="1:5">
      <c r="A891" s="1541">
        <v>43126</v>
      </c>
      <c r="B891" s="1542">
        <v>19098.669999999998</v>
      </c>
      <c r="C891" s="1542">
        <v>217.65</v>
      </c>
      <c r="D891" s="1542">
        <v>9057.6200000000008</v>
      </c>
      <c r="E891" s="1542">
        <v>2772.3</v>
      </c>
    </row>
    <row r="892" spans="1:5">
      <c r="A892" s="1541">
        <v>43125</v>
      </c>
      <c r="B892" s="1542">
        <v>19130.97</v>
      </c>
      <c r="C892" s="1542">
        <v>217.65</v>
      </c>
      <c r="D892" s="1542">
        <v>8998.92</v>
      </c>
      <c r="E892" s="1542">
        <v>2751.24</v>
      </c>
    </row>
    <row r="893" spans="1:5">
      <c r="A893" s="1541">
        <v>43124</v>
      </c>
      <c r="B893" s="1542">
        <v>19107.34</v>
      </c>
      <c r="C893" s="1542">
        <v>219.59</v>
      </c>
      <c r="D893" s="1542">
        <v>8990.5400000000009</v>
      </c>
      <c r="E893" s="1542">
        <v>2740.98</v>
      </c>
    </row>
    <row r="894" spans="1:5">
      <c r="A894" s="1541">
        <v>43123</v>
      </c>
      <c r="B894" s="1542">
        <v>19280.3</v>
      </c>
      <c r="C894" s="1542">
        <v>219.14</v>
      </c>
      <c r="D894" s="1542">
        <v>8981.23</v>
      </c>
      <c r="E894" s="1542">
        <v>2727.11</v>
      </c>
    </row>
    <row r="895" spans="1:5">
      <c r="A895" s="1541">
        <v>43122</v>
      </c>
      <c r="B895" s="1542">
        <v>19243.21</v>
      </c>
      <c r="C895" s="1542">
        <v>220.38</v>
      </c>
      <c r="D895" s="1542">
        <v>8944.61</v>
      </c>
      <c r="E895" s="1542">
        <v>2696.87</v>
      </c>
    </row>
    <row r="896" spans="1:5">
      <c r="A896" s="1541">
        <v>43121</v>
      </c>
      <c r="B896" s="1542"/>
      <c r="C896" s="1542"/>
      <c r="D896" s="1542"/>
      <c r="E896" s="1542"/>
    </row>
    <row r="897" spans="1:5">
      <c r="A897" s="1541">
        <v>43120</v>
      </c>
      <c r="B897" s="1542"/>
      <c r="C897" s="1542"/>
      <c r="D897" s="1542"/>
      <c r="E897" s="1542"/>
    </row>
    <row r="898" spans="1:5">
      <c r="A898" s="1541">
        <v>43119</v>
      </c>
      <c r="B898" s="1542">
        <v>19105.09</v>
      </c>
      <c r="C898" s="1542">
        <v>217.85</v>
      </c>
      <c r="D898" s="1542">
        <v>8889.4500000000007</v>
      </c>
      <c r="E898" s="1542">
        <v>2683.94</v>
      </c>
    </row>
    <row r="899" spans="1:5">
      <c r="A899" s="1541">
        <v>43118</v>
      </c>
      <c r="B899" s="1542">
        <v>18969.259999999998</v>
      </c>
      <c r="C899" s="1542">
        <v>217.88</v>
      </c>
      <c r="D899" s="1542">
        <v>8846.33</v>
      </c>
      <c r="E899" s="1542">
        <v>2672.87</v>
      </c>
    </row>
    <row r="900" spans="1:5">
      <c r="A900" s="1541">
        <v>43117</v>
      </c>
      <c r="B900" s="1542">
        <v>18854.87</v>
      </c>
      <c r="C900" s="1542">
        <v>216.94</v>
      </c>
      <c r="D900" s="1542">
        <v>8858.57</v>
      </c>
      <c r="E900" s="1542">
        <v>2662.16</v>
      </c>
    </row>
    <row r="901" spans="1:5">
      <c r="A901" s="1541">
        <v>43116</v>
      </c>
      <c r="B901" s="1542">
        <v>18822.84</v>
      </c>
      <c r="C901" s="1542">
        <v>217.09</v>
      </c>
      <c r="D901" s="1542">
        <v>8812.0499999999993</v>
      </c>
      <c r="E901" s="1542">
        <v>2651.81</v>
      </c>
    </row>
    <row r="902" spans="1:5">
      <c r="A902" s="1541">
        <v>43115</v>
      </c>
      <c r="B902" s="1542">
        <v>18771.78</v>
      </c>
      <c r="C902" s="1542">
        <v>216.15</v>
      </c>
      <c r="D902" s="1542">
        <v>8834.2900000000009</v>
      </c>
      <c r="E902" s="1542">
        <v>2636.08</v>
      </c>
    </row>
    <row r="903" spans="1:5">
      <c r="A903" s="1541">
        <v>43114</v>
      </c>
      <c r="B903" s="1542"/>
      <c r="C903" s="1542"/>
      <c r="D903" s="1542"/>
      <c r="E903" s="1542"/>
    </row>
    <row r="904" spans="1:5">
      <c r="A904" s="1541">
        <v>43113</v>
      </c>
      <c r="B904" s="1542"/>
      <c r="C904" s="1542"/>
      <c r="D904" s="1542"/>
      <c r="E904" s="1542"/>
    </row>
    <row r="905" spans="1:5">
      <c r="A905" s="1541">
        <v>43112</v>
      </c>
      <c r="B905" s="1542">
        <v>18647.82</v>
      </c>
      <c r="C905" s="1542">
        <v>214.44</v>
      </c>
      <c r="D905" s="1542">
        <v>8799.48</v>
      </c>
      <c r="E905" s="1542">
        <v>2630.69</v>
      </c>
    </row>
    <row r="906" spans="1:5">
      <c r="A906" s="1541">
        <v>43111</v>
      </c>
      <c r="B906" s="1542">
        <v>18521.21</v>
      </c>
      <c r="C906" s="1542">
        <v>213.57</v>
      </c>
      <c r="D906" s="1542">
        <v>8744.98</v>
      </c>
      <c r="E906" s="1542">
        <v>2606.38</v>
      </c>
    </row>
    <row r="907" spans="1:5">
      <c r="A907" s="1541">
        <v>43110</v>
      </c>
      <c r="B907" s="1542">
        <v>18557.240000000002</v>
      </c>
      <c r="C907" s="1542">
        <v>213.48</v>
      </c>
      <c r="D907" s="1542">
        <v>8706.33</v>
      </c>
      <c r="E907" s="1542">
        <v>2607.5100000000002</v>
      </c>
    </row>
    <row r="908" spans="1:5">
      <c r="A908" s="1541">
        <v>43109</v>
      </c>
      <c r="B908" s="1542">
        <v>18700.830000000002</v>
      </c>
      <c r="C908" s="1542">
        <v>215.23</v>
      </c>
      <c r="D908" s="1542">
        <v>8704.27</v>
      </c>
      <c r="E908" s="1542">
        <v>2623.94</v>
      </c>
    </row>
    <row r="909" spans="1:5">
      <c r="A909" s="1541">
        <v>43108</v>
      </c>
      <c r="B909" s="1542">
        <v>18702.3</v>
      </c>
      <c r="C909" s="1542">
        <v>216.59</v>
      </c>
      <c r="D909" s="1542">
        <v>8687.2099999999991</v>
      </c>
      <c r="E909" s="1542">
        <v>2627.7</v>
      </c>
    </row>
    <row r="910" spans="1:5">
      <c r="A910" s="1541">
        <v>43107</v>
      </c>
      <c r="B910" s="1542"/>
      <c r="C910" s="1542"/>
      <c r="D910" s="1542"/>
      <c r="E910" s="1542"/>
    </row>
    <row r="911" spans="1:5">
      <c r="A911" s="1541">
        <v>43106</v>
      </c>
      <c r="B911" s="1542"/>
      <c r="C911" s="1542"/>
      <c r="D911" s="1542"/>
      <c r="E911" s="1542"/>
    </row>
    <row r="912" spans="1:5">
      <c r="A912" s="1541">
        <v>43105</v>
      </c>
      <c r="B912" s="1542">
        <v>18640.7</v>
      </c>
      <c r="C912" s="1542">
        <v>217.1</v>
      </c>
      <c r="D912" s="1542">
        <v>8681.65</v>
      </c>
      <c r="E912" s="1542">
        <v>2614.87</v>
      </c>
    </row>
    <row r="913" spans="1:5">
      <c r="A913" s="1541">
        <v>43104</v>
      </c>
      <c r="B913" s="1542">
        <v>18587.3</v>
      </c>
      <c r="C913" s="1542">
        <v>216.81</v>
      </c>
      <c r="D913" s="1542">
        <v>8625.9</v>
      </c>
      <c r="E913" s="1542">
        <v>2596.42</v>
      </c>
    </row>
    <row r="914" spans="1:5">
      <c r="A914" s="1541">
        <v>43103</v>
      </c>
      <c r="B914" s="1542">
        <v>18506.669999999998</v>
      </c>
      <c r="C914" s="1542">
        <v>215.25</v>
      </c>
      <c r="D914" s="1542">
        <v>8555.9699999999993</v>
      </c>
      <c r="E914" s="1542">
        <v>2578.25</v>
      </c>
    </row>
    <row r="915" spans="1:5">
      <c r="A915" s="1541">
        <v>43102</v>
      </c>
      <c r="B915" s="1542">
        <v>18351.03</v>
      </c>
      <c r="C915" s="1542">
        <v>212.41</v>
      </c>
      <c r="D915" s="1542">
        <v>8517.26</v>
      </c>
      <c r="E915" s="1542">
        <v>2564.6</v>
      </c>
    </row>
    <row r="916" spans="1:5">
      <c r="A916" s="1541">
        <v>43101</v>
      </c>
      <c r="B916" s="1542"/>
      <c r="C916" s="1542"/>
      <c r="D916" s="1542">
        <v>8466.44</v>
      </c>
      <c r="E916" s="1542">
        <v>2519.7600000000002</v>
      </c>
    </row>
    <row r="917" spans="1:5">
      <c r="A917" s="1541">
        <v>43100</v>
      </c>
      <c r="B917" s="1542"/>
      <c r="C917" s="1542"/>
      <c r="D917" s="1542"/>
      <c r="E917" s="1542"/>
    </row>
    <row r="918" spans="1:5">
      <c r="A918" s="1541">
        <v>43099</v>
      </c>
      <c r="B918" s="1542"/>
      <c r="C918" s="1542"/>
      <c r="D918" s="1542"/>
      <c r="E918" s="1542"/>
    </row>
    <row r="919" spans="1:5">
      <c r="A919" s="1541">
        <v>43098</v>
      </c>
      <c r="B919" s="1542">
        <v>18234.75</v>
      </c>
      <c r="C919" s="1542">
        <v>211.47</v>
      </c>
      <c r="D919" s="1542">
        <v>8466.34</v>
      </c>
      <c r="E919" s="1542">
        <v>2521.7399999999998</v>
      </c>
    </row>
    <row r="920" spans="1:5">
      <c r="A920" s="1541">
        <v>43097</v>
      </c>
      <c r="B920" s="1542">
        <v>18105.87</v>
      </c>
      <c r="C920" s="1542">
        <v>210.72</v>
      </c>
      <c r="D920" s="1542">
        <v>8479.7199999999993</v>
      </c>
      <c r="E920" s="1542">
        <v>2511.11</v>
      </c>
    </row>
    <row r="921" spans="1:5">
      <c r="A921" s="1541">
        <v>43096</v>
      </c>
      <c r="B921" s="1542">
        <v>17967.13</v>
      </c>
      <c r="C921" s="1542">
        <v>207.95</v>
      </c>
      <c r="D921" s="1542">
        <v>8462.65</v>
      </c>
      <c r="E921" s="1542">
        <v>2491.08</v>
      </c>
    </row>
    <row r="922" spans="1:5">
      <c r="A922" s="1541">
        <v>43095</v>
      </c>
      <c r="B922" s="1542">
        <v>17856.189999999999</v>
      </c>
      <c r="C922" s="1542">
        <v>206.72</v>
      </c>
      <c r="D922" s="1542">
        <v>8445.57</v>
      </c>
      <c r="E922" s="1542">
        <v>2474.5500000000002</v>
      </c>
    </row>
    <row r="923" spans="1:5">
      <c r="A923" s="1541">
        <v>43094</v>
      </c>
      <c r="B923" s="1542">
        <v>18028.5</v>
      </c>
      <c r="C923" s="1542">
        <v>210.3</v>
      </c>
      <c r="D923" s="1542">
        <v>8447.8700000000008</v>
      </c>
      <c r="E923" s="1542">
        <v>2479.38</v>
      </c>
    </row>
    <row r="924" spans="1:5">
      <c r="A924" s="1541">
        <v>43093</v>
      </c>
      <c r="B924" s="1542"/>
      <c r="C924" s="1542"/>
      <c r="D924" s="1542"/>
      <c r="E924" s="1542"/>
    </row>
    <row r="925" spans="1:5">
      <c r="A925" s="1541">
        <v>43092</v>
      </c>
      <c r="B925" s="1542"/>
      <c r="C925" s="1542"/>
      <c r="D925" s="1542"/>
      <c r="E925" s="1542"/>
    </row>
    <row r="926" spans="1:5">
      <c r="A926" s="1541">
        <v>43091</v>
      </c>
      <c r="B926" s="1542">
        <v>18053.82</v>
      </c>
      <c r="C926" s="1542">
        <v>210.26</v>
      </c>
      <c r="D926" s="1542">
        <v>8446.4599999999991</v>
      </c>
      <c r="E926" s="1542">
        <v>2479.34</v>
      </c>
    </row>
    <row r="927" spans="1:5">
      <c r="A927" s="1541">
        <v>43090</v>
      </c>
      <c r="B927" s="1542">
        <v>17971.080000000002</v>
      </c>
      <c r="C927" s="1542">
        <v>209.67</v>
      </c>
      <c r="D927" s="1542">
        <v>8451.16</v>
      </c>
      <c r="E927" s="1542">
        <v>2464.44</v>
      </c>
    </row>
    <row r="928" spans="1:5">
      <c r="A928" s="1541">
        <v>43089</v>
      </c>
      <c r="B928" s="1542">
        <v>17997.71</v>
      </c>
      <c r="C928" s="1542">
        <v>209.21</v>
      </c>
      <c r="D928" s="1542">
        <v>8429.67</v>
      </c>
      <c r="E928" s="1542">
        <v>2460.4899999999998</v>
      </c>
    </row>
    <row r="929" spans="1:5">
      <c r="A929" s="1541">
        <v>43088</v>
      </c>
      <c r="B929" s="1542">
        <v>17934.02</v>
      </c>
      <c r="C929" s="1542">
        <v>207.34</v>
      </c>
      <c r="D929" s="1542">
        <v>8432.56</v>
      </c>
      <c r="E929" s="1542">
        <v>2459.0100000000002</v>
      </c>
    </row>
    <row r="930" spans="1:5">
      <c r="A930" s="1541">
        <v>43087</v>
      </c>
      <c r="B930" s="1542">
        <v>18001.14</v>
      </c>
      <c r="C930" s="1542">
        <v>207.95</v>
      </c>
      <c r="D930" s="1542">
        <v>8463</v>
      </c>
      <c r="E930" s="1542">
        <v>2454.6799999999998</v>
      </c>
    </row>
    <row r="931" spans="1:5">
      <c r="A931" s="1541">
        <v>43086</v>
      </c>
      <c r="B931" s="1542"/>
      <c r="C931" s="1542"/>
      <c r="D931" s="1542"/>
      <c r="E931" s="1542"/>
    </row>
    <row r="932" spans="1:5">
      <c r="A932" s="1541">
        <v>43085</v>
      </c>
      <c r="B932" s="1542"/>
      <c r="C932" s="1542"/>
      <c r="D932" s="1542"/>
      <c r="E932" s="1542"/>
    </row>
    <row r="933" spans="1:5">
      <c r="A933" s="1541">
        <v>43084</v>
      </c>
      <c r="B933" s="1542">
        <v>17975.3</v>
      </c>
      <c r="C933" s="1542">
        <v>207.59</v>
      </c>
      <c r="D933" s="1542">
        <v>8388.33</v>
      </c>
      <c r="E933" s="1542">
        <v>2428.8200000000002</v>
      </c>
    </row>
    <row r="934" spans="1:5">
      <c r="A934" s="1541">
        <v>43083</v>
      </c>
      <c r="B934" s="1542">
        <v>18055.099999999999</v>
      </c>
      <c r="C934" s="1542">
        <v>208.24</v>
      </c>
      <c r="D934" s="1542">
        <v>8355.92</v>
      </c>
      <c r="E934" s="1542">
        <v>2434.5700000000002</v>
      </c>
    </row>
    <row r="935" spans="1:5">
      <c r="A935" s="1541">
        <v>43082</v>
      </c>
      <c r="B935" s="1542">
        <v>17939.47</v>
      </c>
      <c r="C935" s="1542">
        <v>208.58</v>
      </c>
      <c r="D935" s="1542">
        <v>8382.2800000000007</v>
      </c>
      <c r="E935" s="1542">
        <v>2429.3000000000002</v>
      </c>
    </row>
    <row r="936" spans="1:5">
      <c r="A936" s="1541">
        <v>43081</v>
      </c>
      <c r="B936" s="1542">
        <v>17892.5</v>
      </c>
      <c r="C936" s="1542">
        <v>208.09</v>
      </c>
      <c r="D936" s="1542">
        <v>8378.36</v>
      </c>
      <c r="E936" s="1542">
        <v>2415.29</v>
      </c>
    </row>
    <row r="937" spans="1:5">
      <c r="A937" s="1541">
        <v>43080</v>
      </c>
      <c r="B937" s="1542">
        <v>17943.57</v>
      </c>
      <c r="C937" s="1542">
        <v>208.47</v>
      </c>
      <c r="D937" s="1542">
        <v>8369.14</v>
      </c>
      <c r="E937" s="1542">
        <v>2431.73</v>
      </c>
    </row>
    <row r="938" spans="1:5">
      <c r="A938" s="1541">
        <v>43079</v>
      </c>
      <c r="B938" s="1542"/>
      <c r="C938" s="1542"/>
      <c r="D938" s="1542"/>
      <c r="E938" s="1542"/>
    </row>
    <row r="939" spans="1:5">
      <c r="A939" s="1541">
        <v>43078</v>
      </c>
      <c r="B939" s="1542"/>
      <c r="C939" s="1542"/>
      <c r="D939" s="1542"/>
      <c r="E939" s="1542"/>
    </row>
    <row r="940" spans="1:5">
      <c r="A940" s="1541">
        <v>43077</v>
      </c>
      <c r="B940" s="1542">
        <v>17815.990000000002</v>
      </c>
      <c r="C940" s="1542">
        <v>205.61</v>
      </c>
      <c r="D940" s="1542">
        <v>8337.76</v>
      </c>
      <c r="E940" s="1542">
        <v>2411.7399999999998</v>
      </c>
    </row>
    <row r="941" spans="1:5">
      <c r="A941" s="1541">
        <v>43076</v>
      </c>
      <c r="B941" s="1542">
        <v>17742.55</v>
      </c>
      <c r="C941" s="1542">
        <v>202.28</v>
      </c>
      <c r="D941" s="1542">
        <v>8297.4500000000007</v>
      </c>
      <c r="E941" s="1542">
        <v>2389.5100000000002</v>
      </c>
    </row>
    <row r="942" spans="1:5">
      <c r="A942" s="1541">
        <v>43075</v>
      </c>
      <c r="B942" s="1542">
        <v>17807.919999999998</v>
      </c>
      <c r="C942" s="1542">
        <v>204.15</v>
      </c>
      <c r="D942" s="1542">
        <v>8274.89</v>
      </c>
      <c r="E942" s="1542">
        <v>2390.89</v>
      </c>
    </row>
    <row r="943" spans="1:5">
      <c r="A943" s="1541">
        <v>43074</v>
      </c>
      <c r="B943" s="1542">
        <v>18104.22</v>
      </c>
      <c r="C943" s="1542">
        <v>207.87</v>
      </c>
      <c r="D943" s="1542">
        <v>8296.5</v>
      </c>
      <c r="E943" s="1542">
        <v>2426.59</v>
      </c>
    </row>
    <row r="944" spans="1:5">
      <c r="A944" s="1541">
        <v>43073</v>
      </c>
      <c r="B944" s="1542">
        <v>18248.57</v>
      </c>
      <c r="C944" s="1542">
        <v>211.52</v>
      </c>
      <c r="D944" s="1542">
        <v>8321.5499999999993</v>
      </c>
      <c r="E944" s="1542">
        <v>2435.81</v>
      </c>
    </row>
    <row r="945" spans="1:5">
      <c r="A945" s="1541">
        <v>43072</v>
      </c>
      <c r="B945" s="1542"/>
      <c r="C945" s="1542"/>
      <c r="D945" s="1542"/>
      <c r="E945" s="1542"/>
    </row>
    <row r="946" spans="1:5">
      <c r="A946" s="1541">
        <v>43071</v>
      </c>
      <c r="B946" s="1542"/>
      <c r="C946" s="1542"/>
      <c r="D946" s="1542"/>
      <c r="E946" s="1542"/>
    </row>
    <row r="947" spans="1:5">
      <c r="A947" s="1541">
        <v>43070</v>
      </c>
      <c r="B947" s="1542">
        <v>18161.64</v>
      </c>
      <c r="C947" s="1542">
        <v>211.41</v>
      </c>
      <c r="D947" s="1542">
        <v>8318.9</v>
      </c>
      <c r="E947" s="1542">
        <v>2422.61</v>
      </c>
    </row>
    <row r="948" spans="1:5">
      <c r="A948" s="1541">
        <v>43069</v>
      </c>
      <c r="B948" s="1542">
        <v>18093.23</v>
      </c>
      <c r="C948" s="1542">
        <v>213.99</v>
      </c>
      <c r="D948" s="1542">
        <v>8350.7999999999993</v>
      </c>
      <c r="E948" s="1542">
        <v>2433.14</v>
      </c>
    </row>
    <row r="949" spans="1:5">
      <c r="A949" s="1541">
        <v>43068</v>
      </c>
      <c r="B949" s="1542">
        <v>18355.54</v>
      </c>
      <c r="C949" s="1542">
        <v>215.39</v>
      </c>
      <c r="D949" s="1542">
        <v>8303.9599999999991</v>
      </c>
      <c r="E949" s="1542">
        <v>2477.75</v>
      </c>
    </row>
    <row r="950" spans="1:5">
      <c r="A950" s="1541">
        <v>43067</v>
      </c>
      <c r="B950" s="1542">
        <v>18344.46</v>
      </c>
      <c r="C950" s="1542">
        <v>213.83</v>
      </c>
      <c r="D950" s="1542">
        <v>8304.52</v>
      </c>
      <c r="E950" s="1542">
        <v>2488.63</v>
      </c>
    </row>
    <row r="951" spans="1:5">
      <c r="A951" s="1541">
        <v>43066</v>
      </c>
      <c r="B951" s="1542">
        <v>18419.599999999999</v>
      </c>
      <c r="C951" s="1542">
        <v>213.23</v>
      </c>
      <c r="D951" s="1542">
        <v>8260.92</v>
      </c>
      <c r="E951" s="1542">
        <v>2483.9</v>
      </c>
    </row>
    <row r="952" spans="1:5">
      <c r="A952" s="1541">
        <v>43065</v>
      </c>
      <c r="B952" s="1542"/>
      <c r="C952" s="1542"/>
      <c r="D952" s="1542"/>
      <c r="E952" s="1542"/>
    </row>
    <row r="953" spans="1:5">
      <c r="A953" s="1541">
        <v>43064</v>
      </c>
      <c r="B953" s="1542"/>
      <c r="C953" s="1542"/>
      <c r="D953" s="1542"/>
      <c r="E953" s="1542"/>
    </row>
    <row r="954" spans="1:5">
      <c r="A954" s="1541">
        <v>43063</v>
      </c>
      <c r="B954" s="1542">
        <v>18596.34</v>
      </c>
      <c r="C954" s="1542">
        <v>213.84</v>
      </c>
      <c r="D954" s="1542">
        <v>8275.5400000000009</v>
      </c>
      <c r="E954" s="1542">
        <v>2505.35</v>
      </c>
    </row>
    <row r="955" spans="1:5">
      <c r="A955" s="1541">
        <v>43062</v>
      </c>
      <c r="B955" s="1542">
        <v>18597.16</v>
      </c>
      <c r="C955" s="1542">
        <v>213.86</v>
      </c>
      <c r="D955" s="1542">
        <v>8250.15</v>
      </c>
      <c r="E955" s="1542">
        <v>2501.3200000000002</v>
      </c>
    </row>
    <row r="956" spans="1:5">
      <c r="A956" s="1541">
        <v>43061</v>
      </c>
      <c r="B956" s="1542">
        <v>18542.240000000002</v>
      </c>
      <c r="C956" s="1542">
        <v>213.32</v>
      </c>
      <c r="D956" s="1542">
        <v>8236.61</v>
      </c>
      <c r="E956" s="1542">
        <v>2510.56</v>
      </c>
    </row>
    <row r="957" spans="1:5">
      <c r="A957" s="1541">
        <v>43060</v>
      </c>
      <c r="B957" s="1542">
        <v>18467.96</v>
      </c>
      <c r="C957" s="1542">
        <v>213.81</v>
      </c>
      <c r="D957" s="1542">
        <v>8224.48</v>
      </c>
      <c r="E957" s="1542">
        <v>2498.14</v>
      </c>
    </row>
    <row r="958" spans="1:5">
      <c r="A958" s="1541">
        <v>43059</v>
      </c>
      <c r="B958" s="1542">
        <v>18271.46</v>
      </c>
      <c r="C958" s="1542">
        <v>210.76</v>
      </c>
      <c r="D958" s="1542">
        <v>8178.31</v>
      </c>
      <c r="E958" s="1542">
        <v>2465.7600000000002</v>
      </c>
    </row>
    <row r="959" spans="1:5">
      <c r="A959" s="1541">
        <v>43058</v>
      </c>
      <c r="B959" s="1542"/>
      <c r="C959" s="1542"/>
      <c r="D959" s="1542"/>
      <c r="E959" s="1542"/>
    </row>
    <row r="960" spans="1:5">
      <c r="A960" s="1541">
        <v>43057</v>
      </c>
      <c r="B960" s="1542"/>
      <c r="C960" s="1542"/>
      <c r="D960" s="1542"/>
      <c r="E960" s="1542"/>
    </row>
    <row r="961" spans="1:5">
      <c r="A961" s="1541">
        <v>43056</v>
      </c>
      <c r="B961" s="1542">
        <v>18335.009999999998</v>
      </c>
      <c r="C961" s="1542">
        <v>210.7</v>
      </c>
      <c r="D961" s="1542">
        <v>8167.6</v>
      </c>
      <c r="E961" s="1542">
        <v>2466.52</v>
      </c>
    </row>
    <row r="962" spans="1:5">
      <c r="A962" s="1541">
        <v>43055</v>
      </c>
      <c r="B962" s="1542">
        <v>18203.77</v>
      </c>
      <c r="C962" s="1542">
        <v>209.1</v>
      </c>
      <c r="D962" s="1542">
        <v>8177.95</v>
      </c>
      <c r="E962" s="1542">
        <v>2442.41</v>
      </c>
    </row>
    <row r="963" spans="1:5">
      <c r="A963" s="1541">
        <v>43054</v>
      </c>
      <c r="B963" s="1542">
        <v>18213.39</v>
      </c>
      <c r="C963" s="1542">
        <v>208.81</v>
      </c>
      <c r="D963" s="1542">
        <v>8116.04</v>
      </c>
      <c r="E963" s="1542">
        <v>2411.5</v>
      </c>
    </row>
    <row r="964" spans="1:5">
      <c r="A964" s="1541">
        <v>43053</v>
      </c>
      <c r="B964" s="1542">
        <v>18310.240000000002</v>
      </c>
      <c r="C964" s="1542">
        <v>208.04</v>
      </c>
      <c r="D964" s="1542">
        <v>8158.49</v>
      </c>
      <c r="E964" s="1542">
        <v>2427.06</v>
      </c>
    </row>
    <row r="965" spans="1:5">
      <c r="A965" s="1541">
        <v>43052</v>
      </c>
      <c r="B965" s="1542">
        <v>18304.66</v>
      </c>
      <c r="C965" s="1542">
        <v>208.82</v>
      </c>
      <c r="D965" s="1542">
        <v>8172.63</v>
      </c>
      <c r="E965" s="1542">
        <v>2437.7800000000002</v>
      </c>
    </row>
    <row r="966" spans="1:5">
      <c r="A966" s="1541">
        <v>43051</v>
      </c>
      <c r="B966" s="1542"/>
      <c r="C966" s="1542"/>
      <c r="D966" s="1542"/>
      <c r="E966" s="1542"/>
    </row>
    <row r="967" spans="1:5">
      <c r="A967" s="1541">
        <v>43050</v>
      </c>
      <c r="B967" s="1542"/>
      <c r="C967" s="1542"/>
      <c r="D967" s="1542"/>
      <c r="E967" s="1542"/>
    </row>
    <row r="968" spans="1:5">
      <c r="A968" s="1541">
        <v>43049</v>
      </c>
      <c r="B968" s="1542">
        <v>18388.189999999999</v>
      </c>
      <c r="C968" s="1542">
        <v>209.85</v>
      </c>
      <c r="D968" s="1542">
        <v>8189.63</v>
      </c>
      <c r="E968" s="1542">
        <v>2448.9699999999998</v>
      </c>
    </row>
    <row r="969" spans="1:5">
      <c r="A969" s="1541">
        <v>43048</v>
      </c>
      <c r="B969" s="1542">
        <v>18406.34</v>
      </c>
      <c r="C969" s="1542">
        <v>207.72</v>
      </c>
      <c r="D969" s="1542">
        <v>8196.36</v>
      </c>
      <c r="E969" s="1542">
        <v>2460.39</v>
      </c>
    </row>
    <row r="970" spans="1:5">
      <c r="A970" s="1541">
        <v>43047</v>
      </c>
      <c r="B970" s="1542">
        <v>18536.07</v>
      </c>
      <c r="C970" s="1542">
        <v>209.92</v>
      </c>
      <c r="D970" s="1542">
        <v>8227.56</v>
      </c>
      <c r="E970" s="1542">
        <v>2462.1999999999998</v>
      </c>
    </row>
    <row r="971" spans="1:5">
      <c r="A971" s="1541">
        <v>43046</v>
      </c>
      <c r="B971" s="1542">
        <v>18572.650000000001</v>
      </c>
      <c r="C971" s="1542">
        <v>208.78</v>
      </c>
      <c r="D971" s="1542">
        <v>8211.67</v>
      </c>
      <c r="E971" s="1542">
        <v>2461.88</v>
      </c>
    </row>
    <row r="972" spans="1:5">
      <c r="A972" s="1541">
        <v>43045</v>
      </c>
      <c r="B972" s="1542">
        <v>18479.77</v>
      </c>
      <c r="C972" s="1542">
        <v>208.24</v>
      </c>
      <c r="D972" s="1542">
        <v>8211.51</v>
      </c>
      <c r="E972" s="1542">
        <v>2454.21</v>
      </c>
    </row>
    <row r="973" spans="1:5">
      <c r="A973" s="1541">
        <v>43044</v>
      </c>
      <c r="B973" s="1542"/>
      <c r="C973" s="1542"/>
      <c r="D973" s="1542"/>
      <c r="E973" s="1542"/>
    </row>
    <row r="974" spans="1:5">
      <c r="A974" s="1541">
        <v>43043</v>
      </c>
      <c r="B974" s="1542"/>
      <c r="C974" s="1542"/>
      <c r="D974" s="1542"/>
      <c r="E974" s="1542"/>
    </row>
    <row r="975" spans="1:5">
      <c r="A975" s="1541">
        <v>43042</v>
      </c>
      <c r="B975" s="1542">
        <v>18504.740000000002</v>
      </c>
      <c r="C975" s="1542">
        <v>208.02</v>
      </c>
      <c r="D975" s="1542">
        <v>8205.75</v>
      </c>
      <c r="E975" s="1542">
        <v>2443.6799999999998</v>
      </c>
    </row>
    <row r="976" spans="1:5">
      <c r="A976" s="1541">
        <v>43041</v>
      </c>
      <c r="B976" s="1542">
        <v>18483.740000000002</v>
      </c>
      <c r="C976" s="1542">
        <v>208.52</v>
      </c>
      <c r="D976" s="1542">
        <v>8196.34</v>
      </c>
      <c r="E976" s="1542">
        <v>2446.0700000000002</v>
      </c>
    </row>
    <row r="977" spans="1:5">
      <c r="A977" s="1541">
        <v>43040</v>
      </c>
      <c r="B977" s="1542">
        <v>18514.29</v>
      </c>
      <c r="C977" s="1542">
        <v>208.11</v>
      </c>
      <c r="D977" s="1542">
        <v>8187.2</v>
      </c>
      <c r="E977" s="1542">
        <v>2449.6</v>
      </c>
    </row>
    <row r="978" spans="1:5">
      <c r="A978" s="1541">
        <v>43039</v>
      </c>
      <c r="B978" s="1542">
        <v>18492.759999999998</v>
      </c>
      <c r="C978" s="1542">
        <v>206.95</v>
      </c>
      <c r="D978" s="1542">
        <v>8169.6</v>
      </c>
      <c r="E978" s="1542">
        <v>2428.13</v>
      </c>
    </row>
    <row r="979" spans="1:5">
      <c r="A979" s="1541">
        <v>43038</v>
      </c>
      <c r="B979" s="1542">
        <v>18429.39</v>
      </c>
      <c r="C979" s="1542">
        <v>204.75</v>
      </c>
      <c r="D979" s="1542">
        <v>8160.15</v>
      </c>
      <c r="E979" s="1542">
        <v>2420.17</v>
      </c>
    </row>
    <row r="980" spans="1:5">
      <c r="A980" s="1541">
        <v>43037</v>
      </c>
      <c r="B980" s="1542"/>
      <c r="C980" s="1542"/>
      <c r="D980" s="1542"/>
      <c r="E980" s="1542"/>
    </row>
    <row r="981" spans="1:5">
      <c r="A981" s="1541">
        <v>43036</v>
      </c>
      <c r="B981" s="1542"/>
      <c r="C981" s="1542"/>
      <c r="D981" s="1542"/>
      <c r="E981" s="1542"/>
    </row>
    <row r="982" spans="1:5">
      <c r="A982" s="1541">
        <v>43035</v>
      </c>
      <c r="B982" s="1542">
        <v>18347.57</v>
      </c>
      <c r="C982" s="1542">
        <v>204.5</v>
      </c>
      <c r="D982" s="1542">
        <v>8159.71</v>
      </c>
      <c r="E982" s="1542">
        <v>2408.62</v>
      </c>
    </row>
    <row r="983" spans="1:5">
      <c r="A983" s="1541">
        <v>43034</v>
      </c>
      <c r="B983" s="1542">
        <v>18391.509999999998</v>
      </c>
      <c r="C983" s="1542">
        <v>207.97</v>
      </c>
      <c r="D983" s="1542">
        <v>8123.73</v>
      </c>
      <c r="E983" s="1542">
        <v>2404.14</v>
      </c>
    </row>
    <row r="984" spans="1:5">
      <c r="A984" s="1541">
        <v>43033</v>
      </c>
      <c r="B984" s="1542">
        <v>18418.61</v>
      </c>
      <c r="C984" s="1542">
        <v>207.19</v>
      </c>
      <c r="D984" s="1542">
        <v>8114.67</v>
      </c>
      <c r="E984" s="1542">
        <v>2417</v>
      </c>
    </row>
    <row r="985" spans="1:5">
      <c r="A985" s="1541">
        <v>43032</v>
      </c>
      <c r="B985" s="1542">
        <v>18406.96</v>
      </c>
      <c r="C985" s="1542">
        <v>207.91</v>
      </c>
      <c r="D985" s="1542">
        <v>8146.14</v>
      </c>
      <c r="E985" s="1542">
        <v>2415.29</v>
      </c>
    </row>
    <row r="986" spans="1:5">
      <c r="A986" s="1541">
        <v>43031</v>
      </c>
      <c r="B986" s="1542">
        <v>18392.28</v>
      </c>
      <c r="C986" s="1542">
        <v>206.63</v>
      </c>
      <c r="D986" s="1542">
        <v>8140.7</v>
      </c>
      <c r="E986" s="1542">
        <v>2420.85</v>
      </c>
    </row>
    <row r="987" spans="1:5">
      <c r="A987" s="1541">
        <v>43030</v>
      </c>
      <c r="B987" s="1542"/>
      <c r="C987" s="1542"/>
      <c r="D987" s="1542"/>
      <c r="E987" s="1542"/>
    </row>
    <row r="988" spans="1:5">
      <c r="A988" s="1541">
        <v>43029</v>
      </c>
      <c r="B988" s="1542"/>
      <c r="C988" s="1542"/>
      <c r="D988" s="1542"/>
      <c r="E988" s="1542"/>
    </row>
    <row r="989" spans="1:5">
      <c r="A989" s="1541">
        <v>43028</v>
      </c>
      <c r="B989" s="1542">
        <v>18381.43</v>
      </c>
      <c r="C989" s="1542">
        <v>206.11</v>
      </c>
      <c r="D989" s="1542">
        <v>8162.65</v>
      </c>
      <c r="E989" s="1542">
        <v>2429.0700000000002</v>
      </c>
    </row>
    <row r="990" spans="1:5">
      <c r="A990" s="1541">
        <v>43027</v>
      </c>
      <c r="B990" s="1542">
        <v>18435.259999999998</v>
      </c>
      <c r="C990" s="1542">
        <v>206.25</v>
      </c>
      <c r="D990" s="1542">
        <v>8153.09</v>
      </c>
      <c r="E990" s="1542">
        <v>2422.98</v>
      </c>
    </row>
    <row r="991" spans="1:5">
      <c r="A991" s="1541">
        <v>43026</v>
      </c>
      <c r="B991" s="1542">
        <v>18366.68</v>
      </c>
      <c r="C991" s="1542">
        <v>203.97</v>
      </c>
      <c r="D991" s="1542">
        <v>8141.15</v>
      </c>
      <c r="E991" s="1542">
        <v>2444.69</v>
      </c>
    </row>
    <row r="992" spans="1:5">
      <c r="A992" s="1541">
        <v>43025</v>
      </c>
      <c r="B992" s="1542">
        <v>18371.599999999999</v>
      </c>
      <c r="C992" s="1542">
        <v>204.63</v>
      </c>
      <c r="D992" s="1542">
        <v>8128.64</v>
      </c>
      <c r="E992" s="1542">
        <v>2441.89</v>
      </c>
    </row>
    <row r="993" spans="1:5">
      <c r="A993" s="1541">
        <v>43024</v>
      </c>
      <c r="B993" s="1542">
        <v>18459.080000000002</v>
      </c>
      <c r="C993" s="1542">
        <v>205.88</v>
      </c>
      <c r="D993" s="1542">
        <v>8138.75</v>
      </c>
      <c r="E993" s="1542">
        <v>2455.1999999999998</v>
      </c>
    </row>
    <row r="994" spans="1:5">
      <c r="A994" s="1541">
        <v>43023</v>
      </c>
      <c r="B994" s="1542"/>
      <c r="C994" s="1542"/>
      <c r="D994" s="1542"/>
      <c r="E994" s="1542"/>
    </row>
    <row r="995" spans="1:5">
      <c r="A995" s="1541">
        <v>43022</v>
      </c>
      <c r="B995" s="1542"/>
      <c r="C995" s="1542"/>
      <c r="D995" s="1542"/>
      <c r="E995" s="1542"/>
    </row>
    <row r="996" spans="1:5">
      <c r="A996" s="1541">
        <v>43021</v>
      </c>
      <c r="B996" s="1542">
        <v>18373.21</v>
      </c>
      <c r="C996" s="1542">
        <v>205.35</v>
      </c>
      <c r="D996" s="1542">
        <v>8131.11</v>
      </c>
      <c r="E996" s="1542">
        <v>2442.37</v>
      </c>
    </row>
    <row r="997" spans="1:5">
      <c r="A997" s="1541">
        <v>43020</v>
      </c>
      <c r="B997" s="1542">
        <v>18351.55</v>
      </c>
      <c r="C997" s="1542">
        <v>205.15</v>
      </c>
      <c r="D997" s="1542">
        <v>8113.53</v>
      </c>
      <c r="E997" s="1542">
        <v>2433.0300000000002</v>
      </c>
    </row>
    <row r="998" spans="1:5">
      <c r="A998" s="1541">
        <v>43019</v>
      </c>
      <c r="B998" s="1542">
        <v>18230.16</v>
      </c>
      <c r="C998" s="1542">
        <v>202.99</v>
      </c>
      <c r="D998" s="1542">
        <v>8116.21</v>
      </c>
      <c r="E998" s="1542">
        <v>2423.65</v>
      </c>
    </row>
    <row r="999" spans="1:5">
      <c r="A999" s="1541">
        <v>43018</v>
      </c>
      <c r="B999" s="1542"/>
      <c r="C999" s="1542"/>
      <c r="D999" s="1542">
        <v>8103.99</v>
      </c>
      <c r="E999" s="1542">
        <v>2413.1799999999998</v>
      </c>
    </row>
    <row r="1000" spans="1:5">
      <c r="A1000" s="1541">
        <v>43017</v>
      </c>
      <c r="B1000" s="1542"/>
      <c r="C1000" s="1542"/>
      <c r="D1000" s="1542">
        <v>8070.04</v>
      </c>
      <c r="E1000" s="1542">
        <v>2386.81</v>
      </c>
    </row>
    <row r="1001" spans="1:5">
      <c r="A1001" s="1541">
        <v>43016</v>
      </c>
      <c r="B1001" s="1542"/>
      <c r="C1001" s="1542"/>
      <c r="D1001" s="1542"/>
      <c r="E1001" s="1542"/>
    </row>
    <row r="1002" spans="1:5">
      <c r="A1002" s="1541">
        <v>43015</v>
      </c>
      <c r="B1002" s="1542"/>
      <c r="C1002" s="1542"/>
      <c r="D1002" s="1542"/>
      <c r="E1002" s="1542"/>
    </row>
    <row r="1003" spans="1:5">
      <c r="A1003" s="1541">
        <v>43014</v>
      </c>
      <c r="B1003" s="1542">
        <v>18044.490000000002</v>
      </c>
      <c r="C1003" s="1542">
        <v>203.55</v>
      </c>
      <c r="D1003" s="1542">
        <v>8073.66</v>
      </c>
      <c r="E1003" s="1542">
        <v>2392.56</v>
      </c>
    </row>
    <row r="1004" spans="1:5">
      <c r="A1004" s="1541">
        <v>43013</v>
      </c>
      <c r="B1004" s="1542">
        <v>18019.46</v>
      </c>
      <c r="C1004" s="1542">
        <v>203.99</v>
      </c>
      <c r="D1004" s="1542">
        <v>8080.59</v>
      </c>
      <c r="E1004" s="1542">
        <v>2391.75</v>
      </c>
    </row>
    <row r="1005" spans="1:5">
      <c r="A1005" s="1541">
        <v>43012</v>
      </c>
      <c r="B1005" s="1542"/>
      <c r="C1005" s="1542"/>
      <c r="D1005" s="1542">
        <v>8058.46</v>
      </c>
      <c r="E1005" s="1542">
        <v>2389.77</v>
      </c>
    </row>
    <row r="1006" spans="1:5">
      <c r="A1006" s="1541">
        <v>43011</v>
      </c>
      <c r="B1006" s="1542">
        <v>17935.650000000001</v>
      </c>
      <c r="C1006" s="1542">
        <v>202.49</v>
      </c>
      <c r="D1006" s="1542">
        <v>8052.88</v>
      </c>
      <c r="E1006" s="1542">
        <v>2379.06</v>
      </c>
    </row>
    <row r="1007" spans="1:5">
      <c r="A1007" s="1541">
        <v>43010</v>
      </c>
      <c r="B1007" s="1542">
        <v>17928.48</v>
      </c>
      <c r="C1007" s="1542">
        <v>202.24</v>
      </c>
      <c r="D1007" s="1542">
        <v>8032.82</v>
      </c>
      <c r="E1007" s="1542">
        <v>2348.52</v>
      </c>
    </row>
    <row r="1008" spans="1:5">
      <c r="A1008" s="1541">
        <v>43009</v>
      </c>
      <c r="B1008" s="1542"/>
      <c r="C1008" s="1542"/>
      <c r="D1008" s="1542"/>
      <c r="E1008" s="1542"/>
    </row>
    <row r="1009" spans="1:5">
      <c r="A1009" s="1541">
        <v>43008</v>
      </c>
      <c r="B1009" s="1542">
        <v>17789.34</v>
      </c>
      <c r="C1009" s="1542">
        <v>199.9</v>
      </c>
      <c r="D1009" s="1542"/>
      <c r="E1009" s="1542"/>
    </row>
    <row r="1010" spans="1:5">
      <c r="A1010" s="1541">
        <v>43007</v>
      </c>
      <c r="B1010" s="1542">
        <v>17696.830000000002</v>
      </c>
      <c r="C1010" s="1542">
        <v>197.44</v>
      </c>
      <c r="D1010" s="1542">
        <v>8016.09</v>
      </c>
      <c r="E1010" s="1542">
        <v>2345.75</v>
      </c>
    </row>
    <row r="1011" spans="1:5">
      <c r="A1011" s="1541">
        <v>43006</v>
      </c>
      <c r="B1011" s="1542">
        <v>17639.43</v>
      </c>
      <c r="C1011" s="1542">
        <v>198.55</v>
      </c>
      <c r="D1011" s="1542">
        <v>7983.12</v>
      </c>
      <c r="E1011" s="1542">
        <v>2325.27</v>
      </c>
    </row>
    <row r="1012" spans="1:5">
      <c r="A1012" s="1541">
        <v>43005</v>
      </c>
      <c r="B1012" s="1542">
        <v>17690.97</v>
      </c>
      <c r="C1012" s="1542">
        <v>198.38</v>
      </c>
      <c r="D1012" s="1542">
        <v>7964.24</v>
      </c>
      <c r="E1012" s="1542">
        <v>2338.17</v>
      </c>
    </row>
    <row r="1013" spans="1:5">
      <c r="A1013" s="1541">
        <v>43004</v>
      </c>
      <c r="B1013" s="1542">
        <v>17571.28</v>
      </c>
      <c r="C1013" s="1542">
        <v>195.55</v>
      </c>
      <c r="D1013" s="1542">
        <v>7939.61</v>
      </c>
      <c r="E1013" s="1542">
        <v>2341.36</v>
      </c>
    </row>
    <row r="1014" spans="1:5">
      <c r="A1014" s="1541">
        <v>43003</v>
      </c>
      <c r="B1014" s="1542">
        <v>17706.39</v>
      </c>
      <c r="C1014" s="1542">
        <v>199.24</v>
      </c>
      <c r="D1014" s="1542">
        <v>7962.55</v>
      </c>
      <c r="E1014" s="1542">
        <v>2359</v>
      </c>
    </row>
    <row r="1015" spans="1:5">
      <c r="A1015" s="1541">
        <v>43002</v>
      </c>
      <c r="B1015" s="1542"/>
      <c r="C1015" s="1542"/>
      <c r="D1015" s="1542"/>
      <c r="E1015" s="1542"/>
    </row>
    <row r="1016" spans="1:5">
      <c r="A1016" s="1541">
        <v>43001</v>
      </c>
      <c r="B1016" s="1542"/>
      <c r="C1016" s="1542"/>
      <c r="D1016" s="1542"/>
      <c r="E1016" s="1542"/>
    </row>
    <row r="1017" spans="1:5">
      <c r="A1017" s="1541">
        <v>43000</v>
      </c>
      <c r="B1017" s="1542">
        <v>17901.330000000002</v>
      </c>
      <c r="C1017" s="1542">
        <v>202.34</v>
      </c>
      <c r="D1017" s="1542">
        <v>7984.16</v>
      </c>
      <c r="E1017" s="1542">
        <v>2389.25</v>
      </c>
    </row>
    <row r="1018" spans="1:5">
      <c r="A1018" s="1541">
        <v>42999</v>
      </c>
      <c r="B1018" s="1542">
        <v>18121.68</v>
      </c>
      <c r="C1018" s="1542">
        <v>204.63</v>
      </c>
      <c r="D1018" s="1542">
        <v>7966.98</v>
      </c>
      <c r="E1018" s="1542">
        <v>2402.04</v>
      </c>
    </row>
    <row r="1019" spans="1:5">
      <c r="A1019" s="1541">
        <v>42998</v>
      </c>
      <c r="B1019" s="1542">
        <v>18019.98</v>
      </c>
      <c r="C1019" s="1542">
        <v>202.24</v>
      </c>
      <c r="D1019" s="1542">
        <v>8000.13</v>
      </c>
      <c r="E1019" s="1542">
        <v>2410.4299999999998</v>
      </c>
    </row>
    <row r="1020" spans="1:5">
      <c r="A1020" s="1541">
        <v>42997</v>
      </c>
      <c r="B1020" s="1542">
        <v>18117.560000000001</v>
      </c>
      <c r="C1020" s="1542">
        <v>202.82</v>
      </c>
      <c r="D1020" s="1542">
        <v>7989.46</v>
      </c>
      <c r="E1020" s="1542">
        <v>2404.98</v>
      </c>
    </row>
    <row r="1021" spans="1:5">
      <c r="A1021" s="1541">
        <v>42996</v>
      </c>
      <c r="B1021" s="1542">
        <v>18212.52</v>
      </c>
      <c r="C1021" s="1542">
        <v>204.16</v>
      </c>
      <c r="D1021" s="1542">
        <v>7967.3</v>
      </c>
      <c r="E1021" s="1542">
        <v>2412.1</v>
      </c>
    </row>
    <row r="1022" spans="1:5">
      <c r="A1022" s="1541">
        <v>42995</v>
      </c>
      <c r="B1022" s="1542"/>
      <c r="C1022" s="1542"/>
      <c r="D1022" s="1542"/>
      <c r="E1022" s="1542"/>
    </row>
    <row r="1023" spans="1:5">
      <c r="A1023" s="1541">
        <v>42994</v>
      </c>
      <c r="B1023" s="1542"/>
      <c r="C1023" s="1542"/>
      <c r="D1023" s="1542"/>
      <c r="E1023" s="1542"/>
    </row>
    <row r="1024" spans="1:5">
      <c r="A1024" s="1541">
        <v>42993</v>
      </c>
      <c r="B1024" s="1542">
        <v>18122.64</v>
      </c>
      <c r="C1024" s="1542">
        <v>203.1</v>
      </c>
      <c r="D1024" s="1542">
        <v>7955.36</v>
      </c>
      <c r="E1024" s="1542">
        <v>2388.5700000000002</v>
      </c>
    </row>
    <row r="1025" spans="1:5">
      <c r="A1025" s="1541">
        <v>42992</v>
      </c>
      <c r="B1025" s="1542">
        <v>18076.66</v>
      </c>
      <c r="C1025" s="1542">
        <v>203.21</v>
      </c>
      <c r="D1025" s="1542">
        <v>7937.53</v>
      </c>
      <c r="E1025" s="1542">
        <v>2383.5500000000002</v>
      </c>
    </row>
    <row r="1026" spans="1:5">
      <c r="A1026" s="1541">
        <v>42991</v>
      </c>
      <c r="B1026" s="1542">
        <v>18035.11</v>
      </c>
      <c r="C1026" s="1542">
        <v>201.07</v>
      </c>
      <c r="D1026" s="1542">
        <v>7948.99</v>
      </c>
      <c r="E1026" s="1542">
        <v>2382.37</v>
      </c>
    </row>
    <row r="1027" spans="1:5">
      <c r="A1027" s="1541">
        <v>42990</v>
      </c>
      <c r="B1027" s="1542">
        <v>18167.72</v>
      </c>
      <c r="C1027" s="1542">
        <v>201.85</v>
      </c>
      <c r="D1027" s="1542">
        <v>7954.99</v>
      </c>
      <c r="E1027" s="1542">
        <v>2387.9299999999998</v>
      </c>
    </row>
    <row r="1028" spans="1:5">
      <c r="A1028" s="1541">
        <v>42989</v>
      </c>
      <c r="B1028" s="1542">
        <v>18102.330000000002</v>
      </c>
      <c r="C1028" s="1542">
        <v>201.37</v>
      </c>
      <c r="D1028" s="1542">
        <v>7929.39</v>
      </c>
      <c r="E1028" s="1542">
        <v>2381.1799999999998</v>
      </c>
    </row>
    <row r="1029" spans="1:5">
      <c r="A1029" s="1541">
        <v>42988</v>
      </c>
      <c r="B1029" s="1542"/>
      <c r="C1029" s="1542"/>
      <c r="D1029" s="1542"/>
      <c r="E1029" s="1542"/>
    </row>
    <row r="1030" spans="1:5">
      <c r="A1030" s="1541">
        <v>42987</v>
      </c>
      <c r="B1030" s="1542"/>
      <c r="C1030" s="1542"/>
      <c r="D1030" s="1542"/>
      <c r="E1030" s="1542"/>
    </row>
    <row r="1031" spans="1:5">
      <c r="A1031" s="1541">
        <v>42986</v>
      </c>
      <c r="B1031" s="1542">
        <v>18162.91</v>
      </c>
      <c r="C1031" s="1542">
        <v>201.98</v>
      </c>
      <c r="D1031" s="1542">
        <v>7859.43</v>
      </c>
      <c r="E1031" s="1542">
        <v>2363.4699999999998</v>
      </c>
    </row>
    <row r="1032" spans="1:5">
      <c r="A1032" s="1541">
        <v>42985</v>
      </c>
      <c r="B1032" s="1542">
        <v>18040.62</v>
      </c>
      <c r="C1032" s="1542">
        <v>199.94</v>
      </c>
      <c r="D1032" s="1542">
        <v>7859.41</v>
      </c>
      <c r="E1032" s="1542">
        <v>2361.08</v>
      </c>
    </row>
    <row r="1033" spans="1:5">
      <c r="A1033" s="1541">
        <v>42984</v>
      </c>
      <c r="B1033" s="1542">
        <v>18054.98</v>
      </c>
      <c r="C1033" s="1542">
        <v>201.43</v>
      </c>
      <c r="D1033" s="1542">
        <v>7835.66</v>
      </c>
      <c r="E1033" s="1542">
        <v>2345.66</v>
      </c>
    </row>
    <row r="1034" spans="1:5">
      <c r="A1034" s="1541">
        <v>42983</v>
      </c>
      <c r="B1034" s="1542">
        <v>18174.45</v>
      </c>
      <c r="C1034" s="1542">
        <v>201.92</v>
      </c>
      <c r="D1034" s="1542">
        <v>7817.44</v>
      </c>
      <c r="E1034" s="1542">
        <v>2349</v>
      </c>
    </row>
    <row r="1035" spans="1:5">
      <c r="A1035" s="1541">
        <v>42982</v>
      </c>
      <c r="B1035" s="1542">
        <v>18091.93</v>
      </c>
      <c r="C1035" s="1542">
        <v>199.4</v>
      </c>
      <c r="D1035" s="1542">
        <v>7852.07</v>
      </c>
      <c r="E1035" s="1542">
        <v>2345.48</v>
      </c>
    </row>
    <row r="1036" spans="1:5">
      <c r="A1036" s="1541">
        <v>42981</v>
      </c>
      <c r="B1036" s="1542"/>
      <c r="C1036" s="1542"/>
      <c r="D1036" s="1542"/>
      <c r="E1036" s="1542"/>
    </row>
    <row r="1037" spans="1:5">
      <c r="A1037" s="1541">
        <v>42980</v>
      </c>
      <c r="B1037" s="1542"/>
      <c r="C1037" s="1542"/>
      <c r="D1037" s="1542"/>
      <c r="E1037" s="1542"/>
    </row>
    <row r="1038" spans="1:5">
      <c r="A1038" s="1541">
        <v>42979</v>
      </c>
      <c r="B1038" s="1542">
        <v>18134.59</v>
      </c>
      <c r="C1038" s="1542">
        <v>200.18</v>
      </c>
      <c r="D1038" s="1542">
        <v>7861.77</v>
      </c>
      <c r="E1038" s="1542">
        <v>2362.58</v>
      </c>
    </row>
    <row r="1039" spans="1:5">
      <c r="A1039" s="1541">
        <v>42978</v>
      </c>
      <c r="B1039" s="1542">
        <v>18119.11</v>
      </c>
      <c r="C1039" s="1542">
        <v>198.94</v>
      </c>
      <c r="D1039" s="1542">
        <v>7837.11</v>
      </c>
      <c r="E1039" s="1542">
        <v>2354.58</v>
      </c>
    </row>
    <row r="1040" spans="1:5">
      <c r="A1040" s="1541">
        <v>42977</v>
      </c>
      <c r="B1040" s="1542">
        <v>18090.009999999998</v>
      </c>
      <c r="C1040" s="1542">
        <v>197.51</v>
      </c>
      <c r="D1040" s="1542">
        <v>7787.88</v>
      </c>
      <c r="E1040" s="1542">
        <v>2353.27</v>
      </c>
    </row>
    <row r="1041" spans="1:5">
      <c r="A1041" s="1541">
        <v>42976</v>
      </c>
      <c r="B1041" s="1542">
        <v>17962.060000000001</v>
      </c>
      <c r="C1041" s="1542">
        <v>196.81</v>
      </c>
      <c r="D1041" s="1542">
        <v>7776.61</v>
      </c>
      <c r="E1041" s="1542">
        <v>2338.5500000000002</v>
      </c>
    </row>
    <row r="1042" spans="1:5">
      <c r="A1042" s="1541">
        <v>42975</v>
      </c>
      <c r="B1042" s="1542">
        <v>18007.849999999999</v>
      </c>
      <c r="C1042" s="1542">
        <v>196.83</v>
      </c>
      <c r="D1042" s="1542">
        <v>7780.53</v>
      </c>
      <c r="E1042" s="1542">
        <v>2346.8200000000002</v>
      </c>
    </row>
    <row r="1043" spans="1:5">
      <c r="A1043" s="1541">
        <v>42974</v>
      </c>
      <c r="B1043" s="1542"/>
      <c r="C1043" s="1542"/>
      <c r="D1043" s="1542"/>
      <c r="E1043" s="1542"/>
    </row>
    <row r="1044" spans="1:5">
      <c r="A1044" s="1541">
        <v>42973</v>
      </c>
      <c r="B1044" s="1542"/>
      <c r="C1044" s="1542"/>
      <c r="D1044" s="1542"/>
      <c r="E1044" s="1542"/>
    </row>
    <row r="1045" spans="1:5">
      <c r="A1045" s="1541">
        <v>42972</v>
      </c>
      <c r="B1045" s="1542">
        <v>17986.53</v>
      </c>
      <c r="C1045" s="1542">
        <v>196</v>
      </c>
      <c r="D1045" s="1542">
        <v>7773.38</v>
      </c>
      <c r="E1045" s="1542">
        <v>2347.39</v>
      </c>
    </row>
    <row r="1046" spans="1:5">
      <c r="A1046" s="1541">
        <v>42971</v>
      </c>
      <c r="B1046" s="1542">
        <v>17938.650000000001</v>
      </c>
      <c r="C1046" s="1542">
        <v>195.19</v>
      </c>
      <c r="D1046" s="1542">
        <v>7753.18</v>
      </c>
      <c r="E1046" s="1542">
        <v>2341.0300000000002</v>
      </c>
    </row>
    <row r="1047" spans="1:5">
      <c r="A1047" s="1541">
        <v>42970</v>
      </c>
      <c r="B1047" s="1542">
        <v>17792.79</v>
      </c>
      <c r="C1047" s="1542">
        <v>193.82</v>
      </c>
      <c r="D1047" s="1542">
        <v>7762.72</v>
      </c>
      <c r="E1047" s="1542">
        <v>2326.11</v>
      </c>
    </row>
    <row r="1048" spans="1:5">
      <c r="A1048" s="1541">
        <v>42969</v>
      </c>
      <c r="B1048" s="1542">
        <v>17763.22</v>
      </c>
      <c r="C1048" s="1542">
        <v>193.29</v>
      </c>
      <c r="D1048" s="1542">
        <v>7774.19</v>
      </c>
      <c r="E1048" s="1542">
        <v>2319.21</v>
      </c>
    </row>
    <row r="1049" spans="1:5">
      <c r="A1049" s="1541">
        <v>42968</v>
      </c>
      <c r="B1049" s="1542">
        <v>17647.759999999998</v>
      </c>
      <c r="C1049" s="1542">
        <v>192.6</v>
      </c>
      <c r="D1049" s="1542">
        <v>7721.96</v>
      </c>
      <c r="E1049" s="1542">
        <v>2299.9699999999998</v>
      </c>
    </row>
    <row r="1050" spans="1:5">
      <c r="A1050" s="1541">
        <v>42967</v>
      </c>
      <c r="B1050" s="1542"/>
      <c r="C1050" s="1542"/>
      <c r="D1050" s="1542"/>
      <c r="E1050" s="1542"/>
    </row>
    <row r="1051" spans="1:5">
      <c r="A1051" s="1541">
        <v>42966</v>
      </c>
      <c r="B1051" s="1542"/>
      <c r="C1051" s="1542"/>
      <c r="D1051" s="1542"/>
      <c r="E1051" s="1542"/>
    </row>
    <row r="1052" spans="1:5">
      <c r="A1052" s="1541">
        <v>42965</v>
      </c>
      <c r="B1052" s="1542">
        <v>17636.62</v>
      </c>
      <c r="C1052" s="1542">
        <v>191.69</v>
      </c>
      <c r="D1052" s="1542">
        <v>7714.51</v>
      </c>
      <c r="E1052" s="1542">
        <v>2290.9899999999998</v>
      </c>
    </row>
    <row r="1053" spans="1:5">
      <c r="A1053" s="1541">
        <v>42964</v>
      </c>
      <c r="B1053" s="1542">
        <v>17718.009999999998</v>
      </c>
      <c r="C1053" s="1542">
        <v>191.85</v>
      </c>
      <c r="D1053" s="1542">
        <v>7737.68</v>
      </c>
      <c r="E1053" s="1542">
        <v>2299.13</v>
      </c>
    </row>
    <row r="1054" spans="1:5">
      <c r="A1054" s="1541">
        <v>42963</v>
      </c>
      <c r="B1054" s="1542">
        <v>17571.29</v>
      </c>
      <c r="C1054" s="1542">
        <v>189.43</v>
      </c>
      <c r="D1054" s="1542">
        <v>7807.53</v>
      </c>
      <c r="E1054" s="1542">
        <v>2292.2800000000002</v>
      </c>
    </row>
    <row r="1055" spans="1:5">
      <c r="A1055" s="1541">
        <v>42962</v>
      </c>
      <c r="B1055" s="1542">
        <v>17595.91</v>
      </c>
      <c r="C1055" s="1542">
        <v>188.39</v>
      </c>
      <c r="D1055" s="1542">
        <v>7786.28</v>
      </c>
      <c r="E1055" s="1542">
        <v>2275.27</v>
      </c>
    </row>
    <row r="1056" spans="1:5">
      <c r="A1056" s="1541">
        <v>42961</v>
      </c>
      <c r="B1056" s="1542">
        <v>17447.740000000002</v>
      </c>
      <c r="C1056" s="1542">
        <v>185.83</v>
      </c>
      <c r="D1056" s="1542">
        <v>7798.55</v>
      </c>
      <c r="E1056" s="1542">
        <v>2277.5100000000002</v>
      </c>
    </row>
    <row r="1057" spans="1:5">
      <c r="A1057" s="1541">
        <v>42960</v>
      </c>
      <c r="B1057" s="1542"/>
      <c r="C1057" s="1542"/>
      <c r="D1057" s="1542"/>
      <c r="E1057" s="1542"/>
    </row>
    <row r="1058" spans="1:5">
      <c r="A1058" s="1541">
        <v>42959</v>
      </c>
      <c r="B1058" s="1542"/>
      <c r="C1058" s="1542"/>
      <c r="D1058" s="1542"/>
      <c r="E1058" s="1542"/>
    </row>
    <row r="1059" spans="1:5">
      <c r="A1059" s="1541">
        <v>42958</v>
      </c>
      <c r="B1059" s="1542">
        <v>17624.02</v>
      </c>
      <c r="C1059" s="1542">
        <v>190.57</v>
      </c>
      <c r="D1059" s="1542">
        <v>7738.84</v>
      </c>
      <c r="E1059" s="1542">
        <v>2254.0100000000002</v>
      </c>
    </row>
    <row r="1060" spans="1:5">
      <c r="A1060" s="1541">
        <v>42957</v>
      </c>
      <c r="B1060" s="1542">
        <v>17621.560000000001</v>
      </c>
      <c r="C1060" s="1542">
        <v>190.62</v>
      </c>
      <c r="D1060" s="1542">
        <v>7748.31</v>
      </c>
      <c r="E1060" s="1542">
        <v>2282.81</v>
      </c>
    </row>
    <row r="1061" spans="1:5">
      <c r="A1061" s="1541">
        <v>42956</v>
      </c>
      <c r="B1061" s="1542">
        <v>17843.32</v>
      </c>
      <c r="C1061" s="1542">
        <v>194.78</v>
      </c>
      <c r="D1061" s="1542">
        <v>7829.88</v>
      </c>
      <c r="E1061" s="1542">
        <v>2309.8200000000002</v>
      </c>
    </row>
    <row r="1062" spans="1:5">
      <c r="A1062" s="1541">
        <v>42955</v>
      </c>
      <c r="B1062" s="1542">
        <v>17997.7</v>
      </c>
      <c r="C1062" s="1542">
        <v>197.53</v>
      </c>
      <c r="D1062" s="1542">
        <v>7849</v>
      </c>
      <c r="E1062" s="1542">
        <v>2330.33</v>
      </c>
    </row>
    <row r="1063" spans="1:5">
      <c r="A1063" s="1541">
        <v>42954</v>
      </c>
      <c r="B1063" s="1542">
        <v>18004.62</v>
      </c>
      <c r="C1063" s="1542">
        <v>198.6</v>
      </c>
      <c r="D1063" s="1542">
        <v>7868.18</v>
      </c>
      <c r="E1063" s="1542">
        <v>2323.2600000000002</v>
      </c>
    </row>
    <row r="1064" spans="1:5">
      <c r="A1064" s="1541">
        <v>42953</v>
      </c>
      <c r="B1064" s="1542"/>
      <c r="C1064" s="1542"/>
      <c r="D1064" s="1542"/>
      <c r="E1064" s="1542"/>
    </row>
    <row r="1065" spans="1:5">
      <c r="A1065" s="1541">
        <v>42952</v>
      </c>
      <c r="B1065" s="1542"/>
      <c r="C1065" s="1542"/>
      <c r="D1065" s="1542"/>
      <c r="E1065" s="1542"/>
    </row>
    <row r="1066" spans="1:5">
      <c r="A1066" s="1541">
        <v>42951</v>
      </c>
      <c r="B1066" s="1542">
        <v>17880.21</v>
      </c>
      <c r="C1066" s="1542">
        <v>197.04</v>
      </c>
      <c r="D1066" s="1542">
        <v>7852.12</v>
      </c>
      <c r="E1066" s="1542">
        <v>2305.56</v>
      </c>
    </row>
    <row r="1067" spans="1:5">
      <c r="A1067" s="1541">
        <v>42950</v>
      </c>
      <c r="B1067" s="1542">
        <v>17808.61</v>
      </c>
      <c r="C1067" s="1542">
        <v>196.88</v>
      </c>
      <c r="D1067" s="1542">
        <v>7855.57</v>
      </c>
      <c r="E1067" s="1542">
        <v>2298.4699999999998</v>
      </c>
    </row>
    <row r="1068" spans="1:5">
      <c r="A1068" s="1541">
        <v>42949</v>
      </c>
      <c r="B1068" s="1542">
        <v>17879.09</v>
      </c>
      <c r="C1068" s="1542">
        <v>197.33</v>
      </c>
      <c r="D1068" s="1542">
        <v>7860.15</v>
      </c>
      <c r="E1068" s="1542">
        <v>2310.92</v>
      </c>
    </row>
    <row r="1069" spans="1:5">
      <c r="A1069" s="1541">
        <v>42948</v>
      </c>
      <c r="B1069" s="1542">
        <v>17728.87</v>
      </c>
      <c r="C1069" s="1542">
        <v>196.63</v>
      </c>
      <c r="D1069" s="1542">
        <v>7859.38</v>
      </c>
      <c r="E1069" s="1542">
        <v>2308.6</v>
      </c>
    </row>
    <row r="1070" spans="1:5">
      <c r="A1070" s="1541">
        <v>42947</v>
      </c>
      <c r="B1070" s="1542">
        <v>17697.54</v>
      </c>
      <c r="C1070" s="1542">
        <v>196.41</v>
      </c>
      <c r="D1070" s="1542">
        <v>7822.15</v>
      </c>
      <c r="E1070" s="1542">
        <v>2302.36</v>
      </c>
    </row>
    <row r="1071" spans="1:5">
      <c r="A1071" s="1541">
        <v>42946</v>
      </c>
      <c r="B1071" s="1542"/>
      <c r="C1071" s="1542"/>
      <c r="D1071" s="1542"/>
      <c r="E1071" s="1542"/>
    </row>
    <row r="1072" spans="1:5">
      <c r="A1072" s="1541">
        <v>42945</v>
      </c>
      <c r="B1072" s="1542"/>
      <c r="C1072" s="1542"/>
      <c r="D1072" s="1542"/>
      <c r="E1072" s="1542"/>
    </row>
    <row r="1073" spans="1:5">
      <c r="A1073" s="1541">
        <v>42944</v>
      </c>
      <c r="B1073" s="1542">
        <v>17681.59</v>
      </c>
      <c r="C1073" s="1542">
        <v>195.94</v>
      </c>
      <c r="D1073" s="1542">
        <v>7819</v>
      </c>
      <c r="E1073" s="1542">
        <v>2295.16</v>
      </c>
    </row>
    <row r="1074" spans="1:5">
      <c r="A1074" s="1541">
        <v>42943</v>
      </c>
      <c r="B1074" s="1542">
        <v>17824.509999999998</v>
      </c>
      <c r="C1074" s="1542">
        <v>197.74</v>
      </c>
      <c r="D1074" s="1542">
        <v>7831.5</v>
      </c>
      <c r="E1074" s="1542">
        <v>2308.09</v>
      </c>
    </row>
    <row r="1075" spans="1:5">
      <c r="A1075" s="1541">
        <v>42942</v>
      </c>
      <c r="B1075" s="1542">
        <v>17658.57</v>
      </c>
      <c r="C1075" s="1542">
        <v>197</v>
      </c>
      <c r="D1075" s="1542">
        <v>7824.15</v>
      </c>
      <c r="E1075" s="1542">
        <v>2293.5300000000002</v>
      </c>
    </row>
    <row r="1076" spans="1:5">
      <c r="A1076" s="1541">
        <v>42941</v>
      </c>
      <c r="B1076" s="1542">
        <v>17719.59</v>
      </c>
      <c r="C1076" s="1542">
        <v>195.83</v>
      </c>
      <c r="D1076" s="1542">
        <v>7818.89</v>
      </c>
      <c r="E1076" s="1542">
        <v>2292</v>
      </c>
    </row>
    <row r="1077" spans="1:5">
      <c r="A1077" s="1541">
        <v>42940</v>
      </c>
      <c r="B1077" s="1542">
        <v>17703.439999999999</v>
      </c>
      <c r="C1077" s="1542">
        <v>194.74</v>
      </c>
      <c r="D1077" s="1542">
        <v>7795.9</v>
      </c>
      <c r="E1077" s="1542">
        <v>2297.37</v>
      </c>
    </row>
    <row r="1078" spans="1:5">
      <c r="A1078" s="1541">
        <v>42939</v>
      </c>
      <c r="B1078" s="1542"/>
      <c r="C1078" s="1542"/>
      <c r="D1078" s="1542"/>
      <c r="E1078" s="1542"/>
    </row>
    <row r="1079" spans="1:5">
      <c r="A1079" s="1541">
        <v>42938</v>
      </c>
      <c r="B1079" s="1542"/>
      <c r="C1079" s="1542"/>
      <c r="D1079" s="1542"/>
      <c r="E1079" s="1542"/>
    </row>
    <row r="1080" spans="1:5">
      <c r="A1080" s="1541">
        <v>42937</v>
      </c>
      <c r="B1080" s="1542">
        <v>17657.97</v>
      </c>
      <c r="C1080" s="1542">
        <v>194.69</v>
      </c>
      <c r="D1080" s="1542">
        <v>7811.11</v>
      </c>
      <c r="E1080" s="1542">
        <v>2288.42</v>
      </c>
    </row>
    <row r="1081" spans="1:5">
      <c r="A1081" s="1541">
        <v>42936</v>
      </c>
      <c r="B1081" s="1542">
        <v>17739.830000000002</v>
      </c>
      <c r="C1081" s="1542">
        <v>194.01</v>
      </c>
      <c r="D1081" s="1542">
        <v>7829.18</v>
      </c>
      <c r="E1081" s="1542">
        <v>2286.44</v>
      </c>
    </row>
    <row r="1082" spans="1:5">
      <c r="A1082" s="1541">
        <v>42935</v>
      </c>
      <c r="B1082" s="1542">
        <v>17740.87</v>
      </c>
      <c r="C1082" s="1542">
        <v>193.47</v>
      </c>
      <c r="D1082" s="1542">
        <v>7809.93</v>
      </c>
      <c r="E1082" s="1542">
        <v>2287.9</v>
      </c>
    </row>
    <row r="1083" spans="1:5">
      <c r="A1083" s="1541">
        <v>42934</v>
      </c>
      <c r="B1083" s="1542">
        <v>17693.8</v>
      </c>
      <c r="C1083" s="1542">
        <v>193.52</v>
      </c>
      <c r="D1083" s="1542">
        <v>7774</v>
      </c>
      <c r="E1083" s="1542">
        <v>2272.11</v>
      </c>
    </row>
    <row r="1084" spans="1:5">
      <c r="A1084" s="1541">
        <v>42933</v>
      </c>
      <c r="B1084" s="1542">
        <v>17625.14</v>
      </c>
      <c r="C1084" s="1542">
        <v>191.92</v>
      </c>
      <c r="D1084" s="1542">
        <v>7769.62</v>
      </c>
      <c r="E1084" s="1542">
        <v>2267.9899999999998</v>
      </c>
    </row>
    <row r="1085" spans="1:5">
      <c r="A1085" s="1541">
        <v>42932</v>
      </c>
      <c r="B1085" s="1542"/>
      <c r="C1085" s="1542"/>
      <c r="D1085" s="1542"/>
      <c r="E1085" s="1542"/>
    </row>
    <row r="1086" spans="1:5">
      <c r="A1086" s="1541">
        <v>42931</v>
      </c>
      <c r="B1086" s="1542"/>
      <c r="C1086" s="1542"/>
      <c r="D1086" s="1542"/>
      <c r="E1086" s="1542"/>
    </row>
    <row r="1087" spans="1:5">
      <c r="A1087" s="1541">
        <v>42930</v>
      </c>
      <c r="B1087" s="1542">
        <v>17587.16</v>
      </c>
      <c r="C1087" s="1542">
        <v>191.37</v>
      </c>
      <c r="D1087" s="1542">
        <v>7767.45</v>
      </c>
      <c r="E1087" s="1542">
        <v>2258</v>
      </c>
    </row>
    <row r="1088" spans="1:5">
      <c r="A1088" s="1541">
        <v>42929</v>
      </c>
      <c r="B1088" s="1542">
        <v>17608.71</v>
      </c>
      <c r="C1088" s="1542">
        <v>189.78</v>
      </c>
      <c r="D1088" s="1542">
        <v>7722.96</v>
      </c>
      <c r="E1088" s="1542">
        <v>2244.12</v>
      </c>
    </row>
    <row r="1089" spans="1:5">
      <c r="A1089" s="1541">
        <v>42928</v>
      </c>
      <c r="B1089" s="1542">
        <v>17484.98</v>
      </c>
      <c r="C1089" s="1542">
        <v>188.79</v>
      </c>
      <c r="D1089" s="1542">
        <v>7706.54</v>
      </c>
      <c r="E1089" s="1542">
        <v>2219.3000000000002</v>
      </c>
    </row>
    <row r="1090" spans="1:5">
      <c r="A1090" s="1541">
        <v>42927</v>
      </c>
      <c r="B1090" s="1542">
        <v>17448.2</v>
      </c>
      <c r="C1090" s="1542">
        <v>187.28</v>
      </c>
      <c r="D1090" s="1542">
        <v>7637.6</v>
      </c>
      <c r="E1090" s="1542">
        <v>2193.52</v>
      </c>
    </row>
    <row r="1091" spans="1:5">
      <c r="A1091" s="1541">
        <v>42926</v>
      </c>
      <c r="B1091" s="1542">
        <v>17217.580000000002</v>
      </c>
      <c r="C1091" s="1542">
        <v>187.04</v>
      </c>
      <c r="D1091" s="1542">
        <v>7643.26</v>
      </c>
      <c r="E1091" s="1542">
        <v>2173.7399999999998</v>
      </c>
    </row>
    <row r="1092" spans="1:5">
      <c r="A1092" s="1541">
        <v>42925</v>
      </c>
      <c r="B1092" s="1542"/>
      <c r="C1092" s="1542"/>
      <c r="D1092" s="1542"/>
      <c r="E1092" s="1542"/>
    </row>
    <row r="1093" spans="1:5">
      <c r="A1093" s="1541">
        <v>42924</v>
      </c>
      <c r="B1093" s="1542"/>
      <c r="C1093" s="1542"/>
      <c r="D1093" s="1542"/>
      <c r="E1093" s="1542"/>
    </row>
    <row r="1094" spans="1:5">
      <c r="A1094" s="1541">
        <v>42923</v>
      </c>
      <c r="B1094" s="1542">
        <v>17226.18</v>
      </c>
      <c r="C1094" s="1542">
        <v>187.34</v>
      </c>
      <c r="D1094" s="1542">
        <v>7627.6</v>
      </c>
      <c r="E1094" s="1542">
        <v>2158.67</v>
      </c>
    </row>
    <row r="1095" spans="1:5">
      <c r="A1095" s="1541">
        <v>42922</v>
      </c>
      <c r="B1095" s="1542">
        <v>17340.919999999998</v>
      </c>
      <c r="C1095" s="1542">
        <v>188.38</v>
      </c>
      <c r="D1095" s="1542">
        <v>7610.89</v>
      </c>
      <c r="E1095" s="1542">
        <v>2166.13</v>
      </c>
    </row>
    <row r="1096" spans="1:5">
      <c r="A1096" s="1541">
        <v>42921</v>
      </c>
      <c r="B1096" s="1542">
        <v>17366.05</v>
      </c>
      <c r="C1096" s="1542">
        <v>187.71</v>
      </c>
      <c r="D1096" s="1542">
        <v>7654.12</v>
      </c>
      <c r="E1096" s="1542">
        <v>2171.9699999999998</v>
      </c>
    </row>
    <row r="1097" spans="1:5">
      <c r="A1097" s="1541">
        <v>42920</v>
      </c>
      <c r="B1097" s="1542">
        <v>17263.54</v>
      </c>
      <c r="C1097" s="1542">
        <v>187.65</v>
      </c>
      <c r="D1097" s="1542">
        <v>7647.43</v>
      </c>
      <c r="E1097" s="1542">
        <v>2164.73</v>
      </c>
    </row>
    <row r="1098" spans="1:5">
      <c r="A1098" s="1541">
        <v>42919</v>
      </c>
      <c r="B1098" s="1542">
        <v>17367.39</v>
      </c>
      <c r="C1098" s="1542">
        <v>187.9</v>
      </c>
      <c r="D1098" s="1542">
        <v>7654.04</v>
      </c>
      <c r="E1098" s="1542">
        <v>2180.63</v>
      </c>
    </row>
    <row r="1099" spans="1:5">
      <c r="A1099" s="1541">
        <v>42918</v>
      </c>
      <c r="B1099" s="1542"/>
      <c r="C1099" s="1542"/>
      <c r="D1099" s="1542"/>
      <c r="E1099" s="1542"/>
    </row>
    <row r="1100" spans="1:5">
      <c r="A1100" s="1541">
        <v>42917</v>
      </c>
      <c r="B1100" s="1542"/>
      <c r="C1100" s="1542"/>
      <c r="D1100" s="1542"/>
      <c r="E1100" s="1542"/>
    </row>
    <row r="1101" spans="1:5">
      <c r="A1101" s="1541">
        <v>42916</v>
      </c>
      <c r="B1101" s="1542">
        <v>17298.150000000001</v>
      </c>
      <c r="C1101" s="1542">
        <v>188.15</v>
      </c>
      <c r="D1101" s="1542">
        <v>7637.02</v>
      </c>
      <c r="E1101" s="1542">
        <v>2171.19</v>
      </c>
    </row>
    <row r="1102" spans="1:5">
      <c r="A1102" s="1541">
        <v>42915</v>
      </c>
      <c r="B1102" s="1542">
        <v>17338.95</v>
      </c>
      <c r="C1102" s="1542">
        <v>188.12</v>
      </c>
      <c r="D1102" s="1542">
        <v>7649.35</v>
      </c>
      <c r="E1102" s="1542">
        <v>2177.94</v>
      </c>
    </row>
    <row r="1103" spans="1:5">
      <c r="A1103" s="1541">
        <v>42914</v>
      </c>
      <c r="B1103" s="1542">
        <v>17283.64</v>
      </c>
      <c r="C1103" s="1542">
        <v>188.63</v>
      </c>
      <c r="D1103" s="1542">
        <v>7696.74</v>
      </c>
      <c r="E1103" s="1542">
        <v>2172.9899999999998</v>
      </c>
    </row>
    <row r="1104" spans="1:5">
      <c r="A1104" s="1541">
        <v>42913</v>
      </c>
      <c r="B1104" s="1542">
        <v>17452</v>
      </c>
      <c r="C1104" s="1542">
        <v>189.83</v>
      </c>
      <c r="D1104" s="1542">
        <v>7638.19</v>
      </c>
      <c r="E1104" s="1542">
        <v>2182.4699999999998</v>
      </c>
    </row>
    <row r="1105" spans="1:5">
      <c r="A1105" s="1541">
        <v>42912</v>
      </c>
      <c r="B1105" s="1542">
        <v>17454.88</v>
      </c>
      <c r="C1105" s="1542">
        <v>189.94</v>
      </c>
      <c r="D1105" s="1542">
        <v>7677.43</v>
      </c>
      <c r="E1105" s="1542">
        <v>2187.54</v>
      </c>
    </row>
    <row r="1106" spans="1:5">
      <c r="A1106" s="1541">
        <v>42911</v>
      </c>
      <c r="B1106" s="1542"/>
      <c r="C1106" s="1542"/>
      <c r="D1106" s="1542"/>
      <c r="E1106" s="1542"/>
    </row>
    <row r="1107" spans="1:5">
      <c r="A1107" s="1541">
        <v>42910</v>
      </c>
      <c r="B1107" s="1542"/>
      <c r="C1107" s="1542"/>
      <c r="D1107" s="1542"/>
      <c r="E1107" s="1542"/>
    </row>
    <row r="1108" spans="1:5">
      <c r="A1108" s="1541">
        <v>42909</v>
      </c>
      <c r="B1108" s="1542">
        <v>17124.43</v>
      </c>
      <c r="C1108" s="1542">
        <v>188.62</v>
      </c>
      <c r="D1108" s="1542">
        <v>7667.42</v>
      </c>
      <c r="E1108" s="1542">
        <v>2168.23</v>
      </c>
    </row>
    <row r="1109" spans="1:5">
      <c r="A1109" s="1541">
        <v>42908</v>
      </c>
      <c r="B1109" s="1542">
        <v>17158.41</v>
      </c>
      <c r="C1109" s="1542">
        <v>189.23</v>
      </c>
      <c r="D1109" s="1542">
        <v>7653.53</v>
      </c>
      <c r="E1109" s="1542">
        <v>2162.0500000000002</v>
      </c>
    </row>
    <row r="1110" spans="1:5">
      <c r="A1110" s="1541">
        <v>42907</v>
      </c>
      <c r="B1110" s="1542">
        <v>17073.07</v>
      </c>
      <c r="C1110" s="1542">
        <v>187.83</v>
      </c>
      <c r="D1110" s="1542">
        <v>7647.17</v>
      </c>
      <c r="E1110" s="1542">
        <v>2154.86</v>
      </c>
    </row>
    <row r="1111" spans="1:5">
      <c r="A1111" s="1541">
        <v>42906</v>
      </c>
      <c r="B1111" s="1542">
        <v>17031.37</v>
      </c>
      <c r="C1111" s="1542">
        <v>187.28</v>
      </c>
      <c r="D1111" s="1542">
        <v>7656.67</v>
      </c>
      <c r="E1111" s="1542">
        <v>2159.4299999999998</v>
      </c>
    </row>
    <row r="1112" spans="1:5">
      <c r="A1112" s="1541">
        <v>42905</v>
      </c>
      <c r="B1112" s="1542">
        <v>16906.48</v>
      </c>
      <c r="C1112" s="1542">
        <v>187.55</v>
      </c>
      <c r="D1112" s="1542">
        <v>7712.17</v>
      </c>
      <c r="E1112" s="1542">
        <v>2168.21</v>
      </c>
    </row>
    <row r="1113" spans="1:5">
      <c r="A1113" s="1541">
        <v>42904</v>
      </c>
      <c r="B1113" s="1542"/>
      <c r="C1113" s="1542"/>
      <c r="D1113" s="1542"/>
      <c r="E1113" s="1542"/>
    </row>
    <row r="1114" spans="1:5">
      <c r="A1114" s="1541">
        <v>42903</v>
      </c>
      <c r="B1114" s="1542"/>
      <c r="C1114" s="1542"/>
      <c r="D1114" s="1542"/>
      <c r="E1114" s="1542"/>
    </row>
    <row r="1115" spans="1:5">
      <c r="A1115" s="1541">
        <v>42902</v>
      </c>
      <c r="B1115" s="1542">
        <v>16751.66</v>
      </c>
      <c r="C1115" s="1542">
        <v>186.59</v>
      </c>
      <c r="D1115" s="1542">
        <v>7659.02</v>
      </c>
      <c r="E1115" s="1542">
        <v>2147.0100000000002</v>
      </c>
    </row>
    <row r="1116" spans="1:5">
      <c r="A1116" s="1541">
        <v>42901</v>
      </c>
      <c r="B1116" s="1542">
        <v>16638.78</v>
      </c>
      <c r="C1116" s="1542">
        <v>185.96</v>
      </c>
      <c r="D1116" s="1542">
        <v>7632.19</v>
      </c>
      <c r="E1116" s="1542">
        <v>2148.0300000000002</v>
      </c>
    </row>
    <row r="1117" spans="1:5">
      <c r="A1117" s="1541">
        <v>42900</v>
      </c>
      <c r="B1117" s="1542">
        <v>16611.939999999999</v>
      </c>
      <c r="C1117" s="1542">
        <v>185.81</v>
      </c>
      <c r="D1117" s="1542">
        <v>7686.97</v>
      </c>
      <c r="E1117" s="1542">
        <v>2169.37</v>
      </c>
    </row>
    <row r="1118" spans="1:5">
      <c r="A1118" s="1541">
        <v>42899</v>
      </c>
      <c r="B1118" s="1542">
        <v>16702.37</v>
      </c>
      <c r="C1118" s="1542">
        <v>188.61</v>
      </c>
      <c r="D1118" s="1542">
        <v>7679.28</v>
      </c>
      <c r="E1118" s="1542">
        <v>2160.9</v>
      </c>
    </row>
    <row r="1119" spans="1:5">
      <c r="A1119" s="1541">
        <v>42898</v>
      </c>
      <c r="B1119" s="1542">
        <v>16671.509999999998</v>
      </c>
      <c r="C1119" s="1542">
        <v>189.44</v>
      </c>
      <c r="D1119" s="1542">
        <v>7638.01</v>
      </c>
      <c r="E1119" s="1542">
        <v>2158.1</v>
      </c>
    </row>
    <row r="1120" spans="1:5">
      <c r="A1120" s="1541">
        <v>42897</v>
      </c>
      <c r="B1120" s="1542"/>
      <c r="C1120" s="1542"/>
      <c r="D1120" s="1542"/>
      <c r="E1120" s="1542"/>
    </row>
    <row r="1121" spans="1:5">
      <c r="A1121" s="1541">
        <v>42896</v>
      </c>
      <c r="B1121" s="1542"/>
      <c r="C1121" s="1542"/>
      <c r="D1121" s="1542"/>
      <c r="E1121" s="1542"/>
    </row>
    <row r="1122" spans="1:5">
      <c r="A1122" s="1541">
        <v>42895</v>
      </c>
      <c r="B1122" s="1542">
        <v>16819.41</v>
      </c>
      <c r="C1122" s="1542">
        <v>190.39</v>
      </c>
      <c r="D1122" s="1542">
        <v>7653.62</v>
      </c>
      <c r="E1122" s="1542">
        <v>2177.73</v>
      </c>
    </row>
    <row r="1123" spans="1:5">
      <c r="A1123" s="1541">
        <v>42894</v>
      </c>
      <c r="B1123" s="1542">
        <v>16862.48</v>
      </c>
      <c r="C1123" s="1542">
        <v>191.35</v>
      </c>
      <c r="D1123" s="1542">
        <v>7659.11</v>
      </c>
      <c r="E1123" s="1542">
        <v>2179.56</v>
      </c>
    </row>
    <row r="1124" spans="1:5">
      <c r="A1124" s="1541">
        <v>42893</v>
      </c>
      <c r="B1124" s="1542">
        <v>16836.46</v>
      </c>
      <c r="C1124" s="1542">
        <v>190.75</v>
      </c>
      <c r="D1124" s="1542">
        <v>7669.54</v>
      </c>
      <c r="E1124" s="1542">
        <v>2171.87</v>
      </c>
    </row>
    <row r="1125" spans="1:5">
      <c r="A1125" s="1541">
        <v>42892</v>
      </c>
      <c r="B1125" s="1542">
        <v>16830.16</v>
      </c>
      <c r="C1125" s="1542">
        <v>191.01</v>
      </c>
      <c r="D1125" s="1542">
        <v>7664.46</v>
      </c>
      <c r="E1125" s="1542">
        <v>2171.98</v>
      </c>
    </row>
    <row r="1126" spans="1:5">
      <c r="A1126" s="1541">
        <v>42891</v>
      </c>
      <c r="B1126" s="1542">
        <v>16863.28</v>
      </c>
      <c r="C1126" s="1542">
        <v>191.24</v>
      </c>
      <c r="D1126" s="1542">
        <v>7686.82</v>
      </c>
      <c r="E1126" s="1542">
        <v>2175.42</v>
      </c>
    </row>
    <row r="1127" spans="1:5">
      <c r="A1127" s="1541">
        <v>42890</v>
      </c>
      <c r="B1127" s="1542"/>
      <c r="C1127" s="1542"/>
      <c r="D1127" s="1542"/>
      <c r="E1127" s="1542"/>
    </row>
    <row r="1128" spans="1:5">
      <c r="A1128" s="1541">
        <v>42889</v>
      </c>
      <c r="B1128" s="1542">
        <v>16749.09</v>
      </c>
      <c r="C1128" s="1542">
        <v>190</v>
      </c>
      <c r="D1128" s="1542"/>
      <c r="E1128" s="1542"/>
    </row>
    <row r="1129" spans="1:5">
      <c r="A1129" s="1541">
        <v>42888</v>
      </c>
      <c r="B1129" s="1542">
        <v>16739.82</v>
      </c>
      <c r="C1129" s="1542">
        <v>188.47</v>
      </c>
      <c r="D1129" s="1542">
        <v>7700.06</v>
      </c>
      <c r="E1129" s="1542">
        <v>2169.86</v>
      </c>
    </row>
    <row r="1130" spans="1:5">
      <c r="A1130" s="1541">
        <v>42887</v>
      </c>
      <c r="B1130" s="1542">
        <v>16631.87</v>
      </c>
      <c r="C1130" s="1542">
        <v>187</v>
      </c>
      <c r="D1130" s="1542">
        <v>7651.67</v>
      </c>
      <c r="E1130" s="1542">
        <v>2155.15</v>
      </c>
    </row>
    <row r="1131" spans="1:5">
      <c r="A1131" s="1541">
        <v>42886</v>
      </c>
      <c r="B1131" s="1542">
        <v>16554.82</v>
      </c>
      <c r="C1131" s="1542">
        <v>186.45</v>
      </c>
      <c r="D1131" s="1542">
        <v>7604.86</v>
      </c>
      <c r="E1131" s="1542">
        <v>2148.11</v>
      </c>
    </row>
    <row r="1132" spans="1:5">
      <c r="A1132" s="1541">
        <v>42885</v>
      </c>
      <c r="B1132" s="1542"/>
      <c r="C1132" s="1542"/>
      <c r="D1132" s="1542">
        <v>7596.31</v>
      </c>
      <c r="E1132" s="1542">
        <v>2161.5100000000002</v>
      </c>
    </row>
    <row r="1133" spans="1:5">
      <c r="A1133" s="1541">
        <v>42884</v>
      </c>
      <c r="B1133" s="1542"/>
      <c r="C1133" s="1542"/>
      <c r="D1133" s="1542">
        <v>7601.93</v>
      </c>
      <c r="E1133" s="1542">
        <v>2168.7600000000002</v>
      </c>
    </row>
    <row r="1134" spans="1:5">
      <c r="A1134" s="1541">
        <v>42883</v>
      </c>
      <c r="B1134" s="1542"/>
      <c r="C1134" s="1542"/>
      <c r="D1134" s="1542"/>
      <c r="E1134" s="1542"/>
    </row>
    <row r="1135" spans="1:5">
      <c r="A1135" s="1541">
        <v>42882</v>
      </c>
      <c r="B1135" s="1542"/>
      <c r="C1135" s="1542"/>
      <c r="D1135" s="1542"/>
      <c r="E1135" s="1542"/>
    </row>
    <row r="1136" spans="1:5">
      <c r="A1136" s="1541">
        <v>42881</v>
      </c>
      <c r="B1136" s="1542">
        <v>16655.759999999998</v>
      </c>
      <c r="C1136" s="1542">
        <v>186.37</v>
      </c>
      <c r="D1136" s="1542">
        <v>7603.57</v>
      </c>
      <c r="E1136" s="1542">
        <v>2172.5100000000002</v>
      </c>
    </row>
    <row r="1137" spans="1:5">
      <c r="A1137" s="1541">
        <v>42880</v>
      </c>
      <c r="B1137" s="1542">
        <v>16666.55</v>
      </c>
      <c r="C1137" s="1542">
        <v>186.56</v>
      </c>
      <c r="D1137" s="1542">
        <v>7612.2</v>
      </c>
      <c r="E1137" s="1542">
        <v>2167.02</v>
      </c>
    </row>
    <row r="1138" spans="1:5">
      <c r="A1138" s="1541">
        <v>42879</v>
      </c>
      <c r="B1138" s="1542">
        <v>16560.91</v>
      </c>
      <c r="C1138" s="1542">
        <v>185.72</v>
      </c>
      <c r="D1138" s="1542">
        <v>7584.43</v>
      </c>
      <c r="E1138" s="1542">
        <v>2146.62</v>
      </c>
    </row>
    <row r="1139" spans="1:5">
      <c r="A1139" s="1541">
        <v>42878</v>
      </c>
      <c r="B1139" s="1542">
        <v>16500.61</v>
      </c>
      <c r="C1139" s="1542">
        <v>184.34</v>
      </c>
      <c r="D1139" s="1542">
        <v>7579.29</v>
      </c>
      <c r="E1139" s="1542">
        <v>2145.34</v>
      </c>
    </row>
    <row r="1140" spans="1:5">
      <c r="A1140" s="1541">
        <v>42877</v>
      </c>
      <c r="B1140" s="1542">
        <v>16483.150000000001</v>
      </c>
      <c r="C1140" s="1542">
        <v>183.83</v>
      </c>
      <c r="D1140" s="1542">
        <v>7571.92</v>
      </c>
      <c r="E1140" s="1542">
        <v>2143.44</v>
      </c>
    </row>
    <row r="1141" spans="1:5">
      <c r="A1141" s="1541">
        <v>42876</v>
      </c>
      <c r="B1141" s="1542"/>
      <c r="C1141" s="1542"/>
      <c r="D1141" s="1542"/>
      <c r="E1141" s="1542"/>
    </row>
    <row r="1142" spans="1:5">
      <c r="A1142" s="1541">
        <v>42875</v>
      </c>
      <c r="B1142" s="1542"/>
      <c r="C1142" s="1542"/>
      <c r="D1142" s="1542"/>
      <c r="E1142" s="1542"/>
    </row>
    <row r="1143" spans="1:5">
      <c r="A1143" s="1541">
        <v>42874</v>
      </c>
      <c r="B1143" s="1542">
        <v>16401.310000000001</v>
      </c>
      <c r="C1143" s="1542">
        <v>183.29</v>
      </c>
      <c r="D1143" s="1542">
        <v>7530.26</v>
      </c>
      <c r="E1143" s="1542">
        <v>2126.19</v>
      </c>
    </row>
    <row r="1144" spans="1:5">
      <c r="A1144" s="1541">
        <v>42873</v>
      </c>
      <c r="B1144" s="1542">
        <v>16437.310000000001</v>
      </c>
      <c r="C1144" s="1542">
        <v>182.78</v>
      </c>
      <c r="D1144" s="1542">
        <v>7475.03</v>
      </c>
      <c r="E1144" s="1542">
        <v>2110.29</v>
      </c>
    </row>
    <row r="1145" spans="1:5">
      <c r="A1145" s="1541">
        <v>42872</v>
      </c>
      <c r="B1145" s="1542">
        <v>16510.22</v>
      </c>
      <c r="C1145" s="1542">
        <v>183.1</v>
      </c>
      <c r="D1145" s="1542">
        <v>7479.49</v>
      </c>
      <c r="E1145" s="1542">
        <v>2153.46</v>
      </c>
    </row>
    <row r="1146" spans="1:5">
      <c r="A1146" s="1541">
        <v>42871</v>
      </c>
      <c r="B1146" s="1542">
        <v>16539.59</v>
      </c>
      <c r="C1146" s="1542">
        <v>183.13</v>
      </c>
      <c r="D1146" s="1542">
        <v>7571.71</v>
      </c>
      <c r="E1146" s="1542">
        <v>2167.06</v>
      </c>
    </row>
    <row r="1147" spans="1:5">
      <c r="A1147" s="1541">
        <v>42870</v>
      </c>
      <c r="B1147" s="1542">
        <v>16547.87</v>
      </c>
      <c r="C1147" s="1542">
        <v>183.84</v>
      </c>
      <c r="D1147" s="1542">
        <v>7550.49</v>
      </c>
      <c r="E1147" s="1542">
        <v>2156.58</v>
      </c>
    </row>
    <row r="1148" spans="1:5">
      <c r="A1148" s="1541">
        <v>42869</v>
      </c>
      <c r="B1148" s="1542"/>
      <c r="C1148" s="1542"/>
      <c r="D1148" s="1542"/>
      <c r="E1148" s="1542"/>
    </row>
    <row r="1149" spans="1:5">
      <c r="A1149" s="1541">
        <v>42868</v>
      </c>
      <c r="B1149" s="1542"/>
      <c r="C1149" s="1542"/>
      <c r="D1149" s="1542"/>
      <c r="E1149" s="1542"/>
    </row>
    <row r="1150" spans="1:5">
      <c r="A1150" s="1541">
        <v>42867</v>
      </c>
      <c r="B1150" s="1542">
        <v>16465.43</v>
      </c>
      <c r="C1150" s="1542">
        <v>182.19</v>
      </c>
      <c r="D1150" s="1542">
        <v>7513.91</v>
      </c>
      <c r="E1150" s="1542">
        <v>2139.64</v>
      </c>
    </row>
    <row r="1151" spans="1:5">
      <c r="A1151" s="1541">
        <v>42866</v>
      </c>
      <c r="B1151" s="1542">
        <v>16489.59</v>
      </c>
      <c r="C1151" s="1542">
        <v>181.59</v>
      </c>
      <c r="D1151" s="1542">
        <v>7506.01</v>
      </c>
      <c r="E1151" s="1542">
        <v>2135.2199999999998</v>
      </c>
    </row>
    <row r="1152" spans="1:5">
      <c r="A1152" s="1541">
        <v>42865</v>
      </c>
      <c r="B1152" s="1542">
        <v>16434.919999999998</v>
      </c>
      <c r="C1152" s="1542">
        <v>181.43</v>
      </c>
      <c r="D1152" s="1542">
        <v>7521.06</v>
      </c>
      <c r="E1152" s="1542">
        <v>2123.98</v>
      </c>
    </row>
    <row r="1153" spans="1:5">
      <c r="A1153" s="1541">
        <v>42864</v>
      </c>
      <c r="B1153" s="1542">
        <v>16347.63</v>
      </c>
      <c r="C1153" s="1542">
        <v>179.37</v>
      </c>
      <c r="D1153" s="1542">
        <v>7508.95</v>
      </c>
      <c r="E1153" s="1542">
        <v>2114.37</v>
      </c>
    </row>
    <row r="1154" spans="1:5">
      <c r="A1154" s="1541">
        <v>42863</v>
      </c>
      <c r="B1154" s="1542">
        <v>16383.52</v>
      </c>
      <c r="C1154" s="1542">
        <v>182.33</v>
      </c>
      <c r="D1154" s="1542">
        <v>7523.83</v>
      </c>
      <c r="E1154" s="1542">
        <v>2102.4699999999998</v>
      </c>
    </row>
    <row r="1155" spans="1:5">
      <c r="A1155" s="1541">
        <v>42862</v>
      </c>
      <c r="B1155" s="1542"/>
      <c r="C1155" s="1542"/>
      <c r="D1155" s="1542"/>
      <c r="E1155" s="1542"/>
    </row>
    <row r="1156" spans="1:5">
      <c r="A1156" s="1541">
        <v>42861</v>
      </c>
      <c r="B1156" s="1542"/>
      <c r="C1156" s="1542"/>
      <c r="D1156" s="1542"/>
      <c r="E1156" s="1542"/>
    </row>
    <row r="1157" spans="1:5">
      <c r="A1157" s="1541">
        <v>42860</v>
      </c>
      <c r="B1157" s="1542">
        <v>16322.01</v>
      </c>
      <c r="C1157" s="1542">
        <v>182.9</v>
      </c>
      <c r="D1157" s="1542">
        <v>7519.01</v>
      </c>
      <c r="E1157" s="1542">
        <v>2087.73</v>
      </c>
    </row>
    <row r="1158" spans="1:5">
      <c r="A1158" s="1541">
        <v>42859</v>
      </c>
      <c r="B1158" s="1542">
        <v>16433.62</v>
      </c>
      <c r="C1158" s="1542">
        <v>184.34</v>
      </c>
      <c r="D1158" s="1542">
        <v>7477.35</v>
      </c>
      <c r="E1158" s="1542">
        <v>2091.4499999999998</v>
      </c>
    </row>
    <row r="1159" spans="1:5">
      <c r="A1159" s="1541">
        <v>42858</v>
      </c>
      <c r="B1159" s="1542">
        <v>16413.330000000002</v>
      </c>
      <c r="C1159" s="1542">
        <v>183.33</v>
      </c>
      <c r="D1159" s="1542">
        <v>7462.39</v>
      </c>
      <c r="E1159" s="1542">
        <v>2103.31</v>
      </c>
    </row>
    <row r="1160" spans="1:5">
      <c r="A1160" s="1541">
        <v>42857</v>
      </c>
      <c r="B1160" s="1542">
        <v>16390.150000000001</v>
      </c>
      <c r="C1160" s="1542">
        <v>184.07</v>
      </c>
      <c r="D1160" s="1542">
        <v>7473.23</v>
      </c>
      <c r="E1160" s="1542">
        <v>2108.3000000000002</v>
      </c>
    </row>
    <row r="1161" spans="1:5">
      <c r="A1161" s="1541">
        <v>42856</v>
      </c>
      <c r="B1161" s="1542"/>
      <c r="C1161" s="1542"/>
      <c r="D1161" s="1542">
        <v>7457.04</v>
      </c>
      <c r="E1161" s="1542">
        <v>2089.85</v>
      </c>
    </row>
    <row r="1162" spans="1:5">
      <c r="A1162" s="1541">
        <v>42855</v>
      </c>
      <c r="B1162" s="1542"/>
      <c r="C1162" s="1542"/>
      <c r="D1162" s="1542"/>
      <c r="E1162" s="1542"/>
    </row>
    <row r="1163" spans="1:5">
      <c r="A1163" s="1541">
        <v>42854</v>
      </c>
      <c r="B1163" s="1542"/>
      <c r="C1163" s="1542"/>
      <c r="D1163" s="1542"/>
      <c r="E1163" s="1542"/>
    </row>
    <row r="1164" spans="1:5">
      <c r="A1164" s="1541">
        <v>42853</v>
      </c>
      <c r="B1164" s="1542">
        <v>16275.94</v>
      </c>
      <c r="C1164" s="1542">
        <v>183.98</v>
      </c>
      <c r="D1164" s="1542">
        <v>7440.26</v>
      </c>
      <c r="E1164" s="1542">
        <v>2086.0100000000002</v>
      </c>
    </row>
    <row r="1165" spans="1:5">
      <c r="A1165" s="1541">
        <v>42852</v>
      </c>
      <c r="B1165" s="1542">
        <v>16257.17</v>
      </c>
      <c r="C1165" s="1542">
        <v>183.49</v>
      </c>
      <c r="D1165" s="1542">
        <v>7450.74</v>
      </c>
      <c r="E1165" s="1542">
        <v>2089.56</v>
      </c>
    </row>
    <row r="1166" spans="1:5">
      <c r="A1166" s="1541">
        <v>42851</v>
      </c>
      <c r="B1166" s="1542">
        <v>16250.31</v>
      </c>
      <c r="C1166" s="1542">
        <v>182.93</v>
      </c>
      <c r="D1166" s="1542">
        <v>7453.78</v>
      </c>
      <c r="E1166" s="1542">
        <v>2095.5</v>
      </c>
    </row>
    <row r="1167" spans="1:5">
      <c r="A1167" s="1541">
        <v>42850</v>
      </c>
      <c r="B1167" s="1542">
        <v>16225.99</v>
      </c>
      <c r="C1167" s="1542">
        <v>181.84</v>
      </c>
      <c r="D1167" s="1542">
        <v>7451.74</v>
      </c>
      <c r="E1167" s="1542">
        <v>2095.65</v>
      </c>
    </row>
    <row r="1168" spans="1:5">
      <c r="A1168" s="1541">
        <v>42849</v>
      </c>
      <c r="B1168" s="1542">
        <v>16021.95</v>
      </c>
      <c r="C1168" s="1542">
        <v>179.89</v>
      </c>
      <c r="D1168" s="1542">
        <v>7410</v>
      </c>
      <c r="E1168" s="1542">
        <v>2071.54</v>
      </c>
    </row>
    <row r="1169" spans="1:5">
      <c r="A1169" s="1541">
        <v>42848</v>
      </c>
      <c r="B1169" s="1542"/>
      <c r="C1169" s="1542"/>
      <c r="D1169" s="1542"/>
      <c r="E1169" s="1542"/>
    </row>
    <row r="1170" spans="1:5">
      <c r="A1170" s="1541">
        <v>42847</v>
      </c>
      <c r="B1170" s="1542"/>
      <c r="C1170" s="1542"/>
      <c r="D1170" s="1542"/>
      <c r="E1170" s="1542"/>
    </row>
    <row r="1171" spans="1:5">
      <c r="A1171" s="1541">
        <v>42846</v>
      </c>
      <c r="B1171" s="1542">
        <v>16021.06</v>
      </c>
      <c r="C1171" s="1542">
        <v>181.64</v>
      </c>
      <c r="D1171" s="1542">
        <v>7292.16</v>
      </c>
      <c r="E1171" s="1542">
        <v>2050.38</v>
      </c>
    </row>
    <row r="1172" spans="1:5">
      <c r="A1172" s="1541">
        <v>42845</v>
      </c>
      <c r="B1172" s="1542">
        <v>15881.39</v>
      </c>
      <c r="C1172" s="1542">
        <v>180.72</v>
      </c>
      <c r="D1172" s="1542">
        <v>7309.9</v>
      </c>
      <c r="E1172" s="1542">
        <v>2043.06</v>
      </c>
    </row>
    <row r="1173" spans="1:5">
      <c r="A1173" s="1541">
        <v>42844</v>
      </c>
      <c r="B1173" s="1542">
        <v>15893.35</v>
      </c>
      <c r="C1173" s="1542">
        <v>181.75</v>
      </c>
      <c r="D1173" s="1542">
        <v>7263.53</v>
      </c>
      <c r="E1173" s="1542">
        <v>2031.24</v>
      </c>
    </row>
    <row r="1174" spans="1:5">
      <c r="A1174" s="1541">
        <v>42843</v>
      </c>
      <c r="B1174" s="1542">
        <v>16069.13</v>
      </c>
      <c r="C1174" s="1542">
        <v>182.04</v>
      </c>
      <c r="D1174" s="1542">
        <v>7271.61</v>
      </c>
      <c r="E1174" s="1542">
        <v>2041.3</v>
      </c>
    </row>
    <row r="1175" spans="1:5">
      <c r="A1175" s="1541">
        <v>42842</v>
      </c>
      <c r="B1175" s="1542">
        <v>16019.4</v>
      </c>
      <c r="C1175" s="1542">
        <v>179.77</v>
      </c>
      <c r="D1175" s="1542">
        <v>7305.76</v>
      </c>
      <c r="E1175" s="1542">
        <v>2051.86</v>
      </c>
    </row>
    <row r="1176" spans="1:5">
      <c r="A1176" s="1541">
        <v>42841</v>
      </c>
      <c r="B1176" s="1542"/>
      <c r="C1176" s="1542"/>
      <c r="D1176" s="1542"/>
      <c r="E1176" s="1542"/>
    </row>
    <row r="1177" spans="1:5">
      <c r="A1177" s="1541">
        <v>42840</v>
      </c>
      <c r="B1177" s="1542"/>
      <c r="C1177" s="1542"/>
      <c r="D1177" s="1542"/>
      <c r="E1177" s="1542"/>
    </row>
    <row r="1178" spans="1:5">
      <c r="A1178" s="1541">
        <v>42839</v>
      </c>
      <c r="B1178" s="1542">
        <v>16046.66</v>
      </c>
      <c r="C1178" s="1542">
        <v>179.95</v>
      </c>
      <c r="D1178" s="1542">
        <v>7250.92</v>
      </c>
      <c r="E1178" s="1542">
        <v>2046.88</v>
      </c>
    </row>
    <row r="1179" spans="1:5">
      <c r="A1179" s="1541">
        <v>42838</v>
      </c>
      <c r="B1179" s="1542">
        <v>16217.7</v>
      </c>
      <c r="C1179" s="1542">
        <v>184.18</v>
      </c>
      <c r="D1179" s="1542">
        <v>7254.27</v>
      </c>
      <c r="E1179" s="1542">
        <v>2052.02</v>
      </c>
    </row>
    <row r="1180" spans="1:5">
      <c r="A1180" s="1541">
        <v>42837</v>
      </c>
      <c r="B1180" s="1542">
        <v>16186.38</v>
      </c>
      <c r="C1180" s="1542">
        <v>185.23</v>
      </c>
      <c r="D1180" s="1542">
        <v>7292.97</v>
      </c>
      <c r="E1180" s="1542">
        <v>2041.93</v>
      </c>
    </row>
    <row r="1181" spans="1:5">
      <c r="A1181" s="1541">
        <v>42836</v>
      </c>
      <c r="B1181" s="1542">
        <v>16210.69</v>
      </c>
      <c r="C1181" s="1542">
        <v>185.93</v>
      </c>
      <c r="D1181" s="1542">
        <v>7312.27</v>
      </c>
      <c r="E1181" s="1542">
        <v>2033.77</v>
      </c>
    </row>
    <row r="1182" spans="1:5">
      <c r="A1182" s="1541">
        <v>42835</v>
      </c>
      <c r="B1182" s="1542">
        <v>16293.32</v>
      </c>
      <c r="C1182" s="1542">
        <v>188.91</v>
      </c>
      <c r="D1182" s="1542">
        <v>7307.2</v>
      </c>
      <c r="E1182" s="1542">
        <v>2041.09</v>
      </c>
    </row>
    <row r="1183" spans="1:5">
      <c r="A1183" s="1541">
        <v>42834</v>
      </c>
      <c r="B1183" s="1542"/>
      <c r="C1183" s="1542"/>
      <c r="D1183" s="1542"/>
      <c r="E1183" s="1542"/>
    </row>
    <row r="1184" spans="1:5">
      <c r="A1184" s="1541">
        <v>42833</v>
      </c>
      <c r="B1184" s="1542"/>
      <c r="C1184" s="1542"/>
      <c r="D1184" s="1542"/>
      <c r="E1184" s="1542"/>
    </row>
    <row r="1185" spans="1:5">
      <c r="A1185" s="1541">
        <v>42832</v>
      </c>
      <c r="B1185" s="1542">
        <v>16278.2</v>
      </c>
      <c r="C1185" s="1542">
        <v>188.86</v>
      </c>
      <c r="D1185" s="1542">
        <v>7300.26</v>
      </c>
      <c r="E1185" s="1542">
        <v>2048.73</v>
      </c>
    </row>
    <row r="1186" spans="1:5">
      <c r="A1186" s="1541">
        <v>42831</v>
      </c>
      <c r="B1186" s="1542">
        <v>16318.47</v>
      </c>
      <c r="C1186" s="1542">
        <v>188.53</v>
      </c>
      <c r="D1186" s="1542">
        <v>7304.37</v>
      </c>
      <c r="E1186" s="1542">
        <v>2052.2199999999998</v>
      </c>
    </row>
    <row r="1187" spans="1:5">
      <c r="A1187" s="1541">
        <v>42830</v>
      </c>
      <c r="B1187" s="1542">
        <v>16403.68</v>
      </c>
      <c r="C1187" s="1542">
        <v>188.58</v>
      </c>
      <c r="D1187" s="1542">
        <v>7299.39</v>
      </c>
      <c r="E1187" s="1542">
        <v>2064.8200000000002</v>
      </c>
    </row>
    <row r="1188" spans="1:5">
      <c r="A1188" s="1541">
        <v>42829</v>
      </c>
      <c r="B1188" s="1542"/>
      <c r="C1188" s="1542"/>
      <c r="D1188" s="1542">
        <v>7314.59</v>
      </c>
      <c r="E1188" s="1542">
        <v>2055.8200000000002</v>
      </c>
    </row>
    <row r="1189" spans="1:5">
      <c r="A1189" s="1541">
        <v>42828</v>
      </c>
      <c r="B1189" s="1542"/>
      <c r="C1189" s="1542"/>
      <c r="D1189" s="1542">
        <v>7309.76</v>
      </c>
      <c r="E1189" s="1542">
        <v>2055.54</v>
      </c>
    </row>
    <row r="1190" spans="1:5">
      <c r="A1190" s="1541">
        <v>42827</v>
      </c>
      <c r="B1190" s="1542"/>
      <c r="C1190" s="1542"/>
      <c r="D1190" s="1542"/>
      <c r="E1190" s="1542"/>
    </row>
    <row r="1191" spans="1:5">
      <c r="A1191" s="1541">
        <v>42826</v>
      </c>
      <c r="B1191" s="1542"/>
      <c r="C1191" s="1542"/>
      <c r="D1191" s="1542"/>
      <c r="E1191" s="1542"/>
    </row>
    <row r="1192" spans="1:5">
      <c r="A1192" s="1541">
        <v>42825</v>
      </c>
      <c r="B1192" s="1542">
        <v>16176.23</v>
      </c>
      <c r="C1192" s="1542">
        <v>186.91</v>
      </c>
      <c r="D1192" s="1542">
        <v>7328.14</v>
      </c>
      <c r="E1192" s="1542">
        <v>2040.9</v>
      </c>
    </row>
    <row r="1193" spans="1:5">
      <c r="A1193" s="1541">
        <v>42824</v>
      </c>
      <c r="B1193" s="1542">
        <v>16236.62</v>
      </c>
      <c r="C1193" s="1542">
        <v>187.13</v>
      </c>
      <c r="D1193" s="1542">
        <v>7351.83</v>
      </c>
      <c r="E1193" s="1542">
        <v>2064.4899999999998</v>
      </c>
    </row>
    <row r="1194" spans="1:5">
      <c r="A1194" s="1541">
        <v>42823</v>
      </c>
      <c r="B1194" s="1542">
        <v>16249.97</v>
      </c>
      <c r="C1194" s="1542">
        <v>186.52</v>
      </c>
      <c r="D1194" s="1542">
        <v>7337.65</v>
      </c>
      <c r="E1194" s="1542">
        <v>2069.1999999999998</v>
      </c>
    </row>
    <row r="1195" spans="1:5">
      <c r="A1195" s="1541">
        <v>42822</v>
      </c>
      <c r="B1195" s="1542">
        <v>16283.28</v>
      </c>
      <c r="C1195" s="1542">
        <v>185.58</v>
      </c>
      <c r="D1195" s="1542">
        <v>7338.85</v>
      </c>
      <c r="E1195" s="1542">
        <v>2065.23</v>
      </c>
    </row>
    <row r="1196" spans="1:5">
      <c r="A1196" s="1541">
        <v>42821</v>
      </c>
      <c r="B1196" s="1542">
        <v>16283.8</v>
      </c>
      <c r="C1196" s="1542">
        <v>187.94</v>
      </c>
      <c r="D1196" s="1542">
        <v>7284.55</v>
      </c>
      <c r="E1196" s="1542">
        <v>2055.36</v>
      </c>
    </row>
    <row r="1197" spans="1:5">
      <c r="A1197" s="1541">
        <v>42820</v>
      </c>
      <c r="B1197" s="1542"/>
      <c r="C1197" s="1542"/>
      <c r="D1197" s="1542"/>
      <c r="E1197" s="1542"/>
    </row>
    <row r="1198" spans="1:5">
      <c r="A1198" s="1541">
        <v>42819</v>
      </c>
      <c r="B1198" s="1542"/>
      <c r="C1198" s="1542"/>
      <c r="D1198" s="1542"/>
      <c r="E1198" s="1542"/>
    </row>
    <row r="1199" spans="1:5">
      <c r="A1199" s="1541">
        <v>42818</v>
      </c>
      <c r="B1199" s="1542">
        <v>16327.02</v>
      </c>
      <c r="C1199" s="1542">
        <v>189.82</v>
      </c>
      <c r="D1199" s="1542">
        <v>7286.89</v>
      </c>
      <c r="E1199" s="1542">
        <v>2062.58</v>
      </c>
    </row>
    <row r="1200" spans="1:5">
      <c r="A1200" s="1541">
        <v>42817</v>
      </c>
      <c r="B1200" s="1542">
        <v>16372.78</v>
      </c>
      <c r="C1200" s="1542">
        <v>190.38</v>
      </c>
      <c r="D1200" s="1542">
        <v>7283.2</v>
      </c>
      <c r="E1200" s="1542">
        <v>2059.89</v>
      </c>
    </row>
    <row r="1201" spans="1:5">
      <c r="A1201" s="1541">
        <v>42816</v>
      </c>
      <c r="B1201" s="1542">
        <v>16359.46</v>
      </c>
      <c r="C1201" s="1542">
        <v>190.32</v>
      </c>
      <c r="D1201" s="1542">
        <v>7273.7</v>
      </c>
      <c r="E1201" s="1542">
        <v>2057.63</v>
      </c>
    </row>
    <row r="1202" spans="1:5">
      <c r="A1202" s="1541">
        <v>42815</v>
      </c>
      <c r="B1202" s="1542">
        <v>16441.62</v>
      </c>
      <c r="C1202" s="1542">
        <v>189.64</v>
      </c>
      <c r="D1202" s="1542">
        <v>7288.36</v>
      </c>
      <c r="E1202" s="1542">
        <v>2070.09</v>
      </c>
    </row>
    <row r="1203" spans="1:5">
      <c r="A1203" s="1541">
        <v>42814</v>
      </c>
      <c r="B1203" s="1542">
        <v>16343.49</v>
      </c>
      <c r="C1203" s="1542">
        <v>190.43</v>
      </c>
      <c r="D1203" s="1542">
        <v>7343.65</v>
      </c>
      <c r="E1203" s="1542">
        <v>2068.5300000000002</v>
      </c>
    </row>
    <row r="1204" spans="1:5">
      <c r="A1204" s="1541">
        <v>42813</v>
      </c>
      <c r="B1204" s="1542"/>
      <c r="C1204" s="1542"/>
      <c r="D1204" s="1542"/>
      <c r="E1204" s="1542"/>
    </row>
    <row r="1205" spans="1:5">
      <c r="A1205" s="1541">
        <v>42812</v>
      </c>
      <c r="B1205" s="1542"/>
      <c r="C1205" s="1542"/>
      <c r="D1205" s="1542"/>
      <c r="E1205" s="1542"/>
    </row>
    <row r="1206" spans="1:5">
      <c r="A1206" s="1541">
        <v>42811</v>
      </c>
      <c r="B1206" s="1542">
        <v>16336.44</v>
      </c>
      <c r="C1206" s="1542">
        <v>190.32</v>
      </c>
      <c r="D1206" s="1542">
        <v>7353.18</v>
      </c>
      <c r="E1206" s="1542">
        <v>2054.0500000000002</v>
      </c>
    </row>
    <row r="1207" spans="1:5">
      <c r="A1207" s="1541">
        <v>42810</v>
      </c>
      <c r="B1207" s="1542">
        <v>16219.61</v>
      </c>
      <c r="C1207" s="1542">
        <v>188.26</v>
      </c>
      <c r="D1207" s="1542">
        <v>7356.6</v>
      </c>
      <c r="E1207" s="1542">
        <v>2049.0100000000002</v>
      </c>
    </row>
    <row r="1208" spans="1:5">
      <c r="A1208" s="1541">
        <v>42809</v>
      </c>
      <c r="B1208" s="1542">
        <v>16058.82</v>
      </c>
      <c r="C1208" s="1542">
        <v>187.46</v>
      </c>
      <c r="D1208" s="1542">
        <v>7315.25</v>
      </c>
      <c r="E1208" s="1542">
        <v>2006.91</v>
      </c>
    </row>
    <row r="1209" spans="1:5">
      <c r="A1209" s="1541">
        <v>42808</v>
      </c>
      <c r="B1209" s="1542">
        <v>16065.26</v>
      </c>
      <c r="C1209" s="1542">
        <v>187.63</v>
      </c>
      <c r="D1209" s="1542">
        <v>7270.78</v>
      </c>
      <c r="E1209" s="1542">
        <v>1999.15</v>
      </c>
    </row>
    <row r="1210" spans="1:5">
      <c r="A1210" s="1541">
        <v>42807</v>
      </c>
      <c r="B1210" s="1542">
        <v>15987.97</v>
      </c>
      <c r="C1210" s="1542">
        <v>186.72</v>
      </c>
      <c r="D1210" s="1542">
        <v>7298.33</v>
      </c>
      <c r="E1210" s="1542">
        <v>1995.86</v>
      </c>
    </row>
    <row r="1211" spans="1:5">
      <c r="A1211" s="1541">
        <v>42806</v>
      </c>
      <c r="B1211" s="1542"/>
      <c r="C1211" s="1542"/>
      <c r="D1211" s="1542"/>
      <c r="E1211" s="1542"/>
    </row>
    <row r="1212" spans="1:5">
      <c r="A1212" s="1541">
        <v>42805</v>
      </c>
      <c r="B1212" s="1542"/>
      <c r="C1212" s="1542"/>
      <c r="D1212" s="1542"/>
      <c r="E1212" s="1542"/>
    </row>
    <row r="1213" spans="1:5">
      <c r="A1213" s="1541">
        <v>42804</v>
      </c>
      <c r="B1213" s="1542">
        <v>15873.47</v>
      </c>
      <c r="C1213" s="1542">
        <v>185.34</v>
      </c>
      <c r="D1213" s="1542">
        <v>7280.49</v>
      </c>
      <c r="E1213" s="1542">
        <v>1969.53</v>
      </c>
    </row>
    <row r="1214" spans="1:5">
      <c r="A1214" s="1541">
        <v>42803</v>
      </c>
      <c r="B1214" s="1542">
        <v>15924.12</v>
      </c>
      <c r="C1214" s="1542">
        <v>186.36</v>
      </c>
      <c r="D1214" s="1542">
        <v>7240.99</v>
      </c>
      <c r="E1214" s="1542">
        <v>1962.69</v>
      </c>
    </row>
    <row r="1215" spans="1:5">
      <c r="A1215" s="1541">
        <v>42802</v>
      </c>
      <c r="B1215" s="1542">
        <v>16080.49</v>
      </c>
      <c r="C1215" s="1542">
        <v>187.58</v>
      </c>
      <c r="D1215" s="1542">
        <v>7235.53</v>
      </c>
      <c r="E1215" s="1542">
        <v>1987.91</v>
      </c>
    </row>
    <row r="1216" spans="1:5">
      <c r="A1216" s="1541">
        <v>42801</v>
      </c>
      <c r="B1216" s="1542">
        <v>16055.13</v>
      </c>
      <c r="C1216" s="1542">
        <v>187.89</v>
      </c>
      <c r="D1216" s="1542">
        <v>7257.11</v>
      </c>
      <c r="E1216" s="1542">
        <v>1991.12</v>
      </c>
    </row>
    <row r="1217" spans="1:5">
      <c r="A1217" s="1541">
        <v>42800</v>
      </c>
      <c r="B1217" s="1542">
        <v>15963.72</v>
      </c>
      <c r="C1217" s="1542">
        <v>186.91</v>
      </c>
      <c r="D1217" s="1542">
        <v>7276.94</v>
      </c>
      <c r="E1217" s="1542">
        <v>1986.74</v>
      </c>
    </row>
    <row r="1218" spans="1:5">
      <c r="A1218" s="1541">
        <v>42799</v>
      </c>
      <c r="B1218" s="1542"/>
      <c r="C1218" s="1542"/>
      <c r="D1218" s="1542"/>
      <c r="E1218" s="1542"/>
    </row>
    <row r="1219" spans="1:5">
      <c r="A1219" s="1541">
        <v>42798</v>
      </c>
      <c r="B1219" s="1542"/>
      <c r="C1219" s="1542"/>
      <c r="D1219" s="1542"/>
      <c r="E1219" s="1542"/>
    </row>
    <row r="1220" spans="1:5">
      <c r="A1220" s="1541">
        <v>42797</v>
      </c>
      <c r="B1220" s="1542">
        <v>15906.98</v>
      </c>
      <c r="C1220" s="1542">
        <v>185.59</v>
      </c>
      <c r="D1220" s="1542">
        <v>7289.68</v>
      </c>
      <c r="E1220" s="1542">
        <v>1979.47</v>
      </c>
    </row>
    <row r="1221" spans="1:5">
      <c r="A1221" s="1541">
        <v>42796</v>
      </c>
      <c r="B1221" s="1542">
        <v>15978.84</v>
      </c>
      <c r="C1221" s="1542">
        <v>184.97</v>
      </c>
      <c r="D1221" s="1542">
        <v>7288.9</v>
      </c>
      <c r="E1221" s="1542">
        <v>1990.8</v>
      </c>
    </row>
    <row r="1222" spans="1:5">
      <c r="A1222" s="1541">
        <v>42795</v>
      </c>
      <c r="B1222" s="1542">
        <v>15950.78</v>
      </c>
      <c r="C1222" s="1542">
        <v>185.4</v>
      </c>
      <c r="D1222" s="1542">
        <v>7316.49</v>
      </c>
      <c r="E1222" s="1542">
        <v>1994.98</v>
      </c>
    </row>
    <row r="1223" spans="1:5">
      <c r="A1223" s="1541">
        <v>42794</v>
      </c>
      <c r="B1223" s="1542"/>
      <c r="C1223" s="1542"/>
      <c r="D1223" s="1542">
        <v>7245.76</v>
      </c>
      <c r="E1223" s="1542">
        <v>1990.16</v>
      </c>
    </row>
    <row r="1224" spans="1:5">
      <c r="A1224" s="1541">
        <v>42793</v>
      </c>
      <c r="B1224" s="1542"/>
      <c r="C1224" s="1542"/>
      <c r="D1224" s="1542">
        <v>7256.79</v>
      </c>
      <c r="E1224" s="1542">
        <v>1998.48</v>
      </c>
    </row>
    <row r="1225" spans="1:5">
      <c r="A1225" s="1541">
        <v>42792</v>
      </c>
      <c r="B1225" s="1542"/>
      <c r="C1225" s="1542"/>
      <c r="D1225" s="1542"/>
      <c r="E1225" s="1542"/>
    </row>
    <row r="1226" spans="1:5">
      <c r="A1226" s="1541">
        <v>42791</v>
      </c>
      <c r="B1226" s="1542"/>
      <c r="C1226" s="1542"/>
      <c r="D1226" s="1542"/>
      <c r="E1226" s="1542"/>
    </row>
    <row r="1227" spans="1:5">
      <c r="A1227" s="1541">
        <v>42790</v>
      </c>
      <c r="B1227" s="1542">
        <v>16075.57</v>
      </c>
      <c r="C1227" s="1542">
        <v>186.39</v>
      </c>
      <c r="D1227" s="1542">
        <v>7253.03</v>
      </c>
      <c r="E1227" s="1542">
        <v>2005.21</v>
      </c>
    </row>
    <row r="1228" spans="1:5">
      <c r="A1228" s="1541">
        <v>42789</v>
      </c>
      <c r="B1228" s="1542">
        <v>16106.63</v>
      </c>
      <c r="C1228" s="1542">
        <v>186.26</v>
      </c>
      <c r="D1228" s="1542">
        <v>7269.6</v>
      </c>
      <c r="E1228" s="1542">
        <v>2023.39</v>
      </c>
    </row>
    <row r="1229" spans="1:5">
      <c r="A1229" s="1541">
        <v>42788</v>
      </c>
      <c r="B1229" s="1542">
        <v>16122.25</v>
      </c>
      <c r="C1229" s="1542">
        <v>186.12</v>
      </c>
      <c r="D1229" s="1542">
        <v>7255.53</v>
      </c>
      <c r="E1229" s="1542">
        <v>2020.9</v>
      </c>
    </row>
    <row r="1230" spans="1:5">
      <c r="A1230" s="1541">
        <v>42787</v>
      </c>
      <c r="B1230" s="1542">
        <v>16097.77</v>
      </c>
      <c r="C1230" s="1542">
        <v>185.03</v>
      </c>
      <c r="D1230" s="1542">
        <v>7257.16</v>
      </c>
      <c r="E1230" s="1542">
        <v>2009.56</v>
      </c>
    </row>
    <row r="1231" spans="1:5">
      <c r="A1231" s="1541">
        <v>42786</v>
      </c>
      <c r="B1231" s="1542">
        <v>16080.08</v>
      </c>
      <c r="C1231" s="1542">
        <v>185.42</v>
      </c>
      <c r="D1231" s="1542">
        <v>7232.34</v>
      </c>
      <c r="E1231" s="1542">
        <v>2004.67</v>
      </c>
    </row>
    <row r="1232" spans="1:5">
      <c r="A1232" s="1541">
        <v>42785</v>
      </c>
      <c r="B1232" s="1542"/>
      <c r="C1232" s="1542"/>
      <c r="D1232" s="1542"/>
      <c r="E1232" s="1542"/>
    </row>
    <row r="1233" spans="1:5">
      <c r="A1233" s="1541">
        <v>42784</v>
      </c>
      <c r="B1233" s="1542">
        <v>16124.12</v>
      </c>
      <c r="C1233" s="1542">
        <v>186.72</v>
      </c>
      <c r="D1233" s="1542"/>
      <c r="E1233" s="1542"/>
    </row>
    <row r="1234" spans="1:5">
      <c r="A1234" s="1541">
        <v>42783</v>
      </c>
      <c r="B1234" s="1542">
        <v>16090.88</v>
      </c>
      <c r="C1234" s="1542">
        <v>184.58</v>
      </c>
      <c r="D1234" s="1542">
        <v>7231.02</v>
      </c>
      <c r="E1234" s="1542">
        <v>1995</v>
      </c>
    </row>
    <row r="1235" spans="1:5">
      <c r="A1235" s="1541">
        <v>42782</v>
      </c>
      <c r="B1235" s="1542">
        <v>16109.84</v>
      </c>
      <c r="C1235" s="1542">
        <v>182.91</v>
      </c>
      <c r="D1235" s="1542">
        <v>7231.07</v>
      </c>
      <c r="E1235" s="1542">
        <v>2008.9</v>
      </c>
    </row>
    <row r="1236" spans="1:5">
      <c r="A1236" s="1541">
        <v>42781</v>
      </c>
      <c r="B1236" s="1542">
        <v>16156.83</v>
      </c>
      <c r="C1236" s="1542">
        <v>182.2</v>
      </c>
      <c r="D1236" s="1542">
        <v>7216.98</v>
      </c>
      <c r="E1236" s="1542">
        <v>2000.59</v>
      </c>
    </row>
    <row r="1237" spans="1:5">
      <c r="A1237" s="1541">
        <v>42780</v>
      </c>
      <c r="B1237" s="1542">
        <v>16023.32</v>
      </c>
      <c r="C1237" s="1542">
        <v>181.37</v>
      </c>
      <c r="D1237" s="1542">
        <v>7177.23</v>
      </c>
      <c r="E1237" s="1542">
        <v>1984.2</v>
      </c>
    </row>
    <row r="1238" spans="1:5">
      <c r="A1238" s="1541">
        <v>42779</v>
      </c>
      <c r="B1238" s="1542">
        <v>16009.37</v>
      </c>
      <c r="C1238" s="1542">
        <v>181.97</v>
      </c>
      <c r="D1238" s="1542">
        <v>7174.91</v>
      </c>
      <c r="E1238" s="1542">
        <v>1987.1</v>
      </c>
    </row>
    <row r="1239" spans="1:5">
      <c r="A1239" s="1541">
        <v>42778</v>
      </c>
      <c r="B1239" s="1542"/>
      <c r="C1239" s="1542"/>
      <c r="D1239" s="1542"/>
      <c r="E1239" s="1542"/>
    </row>
    <row r="1240" spans="1:5">
      <c r="A1240" s="1541">
        <v>42777</v>
      </c>
      <c r="B1240" s="1542"/>
      <c r="C1240" s="1542"/>
      <c r="D1240" s="1542"/>
      <c r="E1240" s="1542"/>
    </row>
    <row r="1241" spans="1:5">
      <c r="A1241" s="1541">
        <v>42776</v>
      </c>
      <c r="B1241" s="1542">
        <v>15935.63</v>
      </c>
      <c r="C1241" s="1542">
        <v>180.89</v>
      </c>
      <c r="D1241" s="1542">
        <v>7139.67</v>
      </c>
      <c r="E1241" s="1542">
        <v>1975.8</v>
      </c>
    </row>
    <row r="1242" spans="1:5">
      <c r="A1242" s="1541">
        <v>42775</v>
      </c>
      <c r="B1242" s="1542">
        <v>15811.31</v>
      </c>
      <c r="C1242" s="1542">
        <v>181.59</v>
      </c>
      <c r="D1242" s="1542">
        <v>7111.22</v>
      </c>
      <c r="E1242" s="1542">
        <v>1966.02</v>
      </c>
    </row>
    <row r="1243" spans="1:5">
      <c r="A1243" s="1541">
        <v>42774</v>
      </c>
      <c r="B1243" s="1542">
        <v>15733.92</v>
      </c>
      <c r="C1243" s="1542">
        <v>180.49</v>
      </c>
      <c r="D1243" s="1542">
        <v>7089.46</v>
      </c>
      <c r="E1243" s="1542">
        <v>1957.71</v>
      </c>
    </row>
    <row r="1244" spans="1:5">
      <c r="A1244" s="1541">
        <v>42773</v>
      </c>
      <c r="B1244" s="1542">
        <v>15752.58</v>
      </c>
      <c r="C1244" s="1542">
        <v>179.22</v>
      </c>
      <c r="D1244" s="1542">
        <v>7068.6</v>
      </c>
      <c r="E1244" s="1542">
        <v>1953.73</v>
      </c>
    </row>
    <row r="1245" spans="1:5">
      <c r="A1245" s="1541">
        <v>42772</v>
      </c>
      <c r="B1245" s="1542">
        <v>15725.29</v>
      </c>
      <c r="C1245" s="1542">
        <v>178.61</v>
      </c>
      <c r="D1245" s="1542">
        <v>7071.93</v>
      </c>
      <c r="E1245" s="1542">
        <v>1960.27</v>
      </c>
    </row>
    <row r="1246" spans="1:5">
      <c r="A1246" s="1541">
        <v>42771</v>
      </c>
      <c r="B1246" s="1542"/>
      <c r="C1246" s="1542"/>
      <c r="D1246" s="1542"/>
      <c r="E1246" s="1542"/>
    </row>
    <row r="1247" spans="1:5">
      <c r="A1247" s="1541">
        <v>42770</v>
      </c>
      <c r="B1247" s="1542"/>
      <c r="C1247" s="1542"/>
      <c r="D1247" s="1542"/>
      <c r="E1247" s="1542"/>
    </row>
    <row r="1248" spans="1:5">
      <c r="A1248" s="1541">
        <v>42769</v>
      </c>
      <c r="B1248" s="1542">
        <v>15589.35</v>
      </c>
      <c r="C1248" s="1542">
        <v>177.11</v>
      </c>
      <c r="D1248" s="1542">
        <v>7100.53</v>
      </c>
      <c r="E1248" s="1542">
        <v>1951.5</v>
      </c>
    </row>
    <row r="1249" spans="1:5">
      <c r="A1249" s="1541">
        <v>42768</v>
      </c>
      <c r="B1249" s="1542">
        <v>15545.51</v>
      </c>
      <c r="C1249" s="1542">
        <v>175.4</v>
      </c>
      <c r="D1249" s="1542">
        <v>7059.25</v>
      </c>
      <c r="E1249" s="1542">
        <v>1943.69</v>
      </c>
    </row>
    <row r="1250" spans="1:5">
      <c r="A1250" s="1541">
        <v>42767</v>
      </c>
      <c r="B1250" s="1542"/>
      <c r="C1250" s="1542"/>
      <c r="D1250" s="1542">
        <v>7051.6</v>
      </c>
      <c r="E1250" s="1542">
        <v>1938.96</v>
      </c>
    </row>
    <row r="1251" spans="1:5">
      <c r="A1251" s="1541">
        <v>42766</v>
      </c>
      <c r="B1251" s="1542"/>
      <c r="C1251" s="1542"/>
      <c r="D1251" s="1542">
        <v>7046.8</v>
      </c>
      <c r="E1251" s="1542">
        <v>1930.91</v>
      </c>
    </row>
    <row r="1252" spans="1:5">
      <c r="A1252" s="1541">
        <v>42765</v>
      </c>
      <c r="B1252" s="1542"/>
      <c r="C1252" s="1542"/>
      <c r="D1252" s="1542">
        <v>7045.41</v>
      </c>
      <c r="E1252" s="1542">
        <v>1939.07</v>
      </c>
    </row>
    <row r="1253" spans="1:5">
      <c r="A1253" s="1541">
        <v>42764</v>
      </c>
      <c r="B1253" s="1542"/>
      <c r="C1253" s="1542"/>
      <c r="D1253" s="1542"/>
      <c r="E1253" s="1542"/>
    </row>
    <row r="1254" spans="1:5">
      <c r="A1254" s="1541">
        <v>42763</v>
      </c>
      <c r="B1254" s="1542"/>
      <c r="C1254" s="1542"/>
      <c r="D1254" s="1542"/>
      <c r="E1254" s="1542"/>
    </row>
    <row r="1255" spans="1:5">
      <c r="A1255" s="1541">
        <v>42762</v>
      </c>
      <c r="B1255" s="1542"/>
      <c r="C1255" s="1542"/>
      <c r="D1255" s="1542">
        <v>7089.39</v>
      </c>
      <c r="E1255" s="1542">
        <v>1945.08</v>
      </c>
    </row>
    <row r="1256" spans="1:5">
      <c r="A1256" s="1541">
        <v>42761</v>
      </c>
      <c r="B1256" s="1542"/>
      <c r="C1256" s="1542"/>
      <c r="D1256" s="1542">
        <v>7090.47</v>
      </c>
      <c r="E1256" s="1542">
        <v>1946.8</v>
      </c>
    </row>
    <row r="1257" spans="1:5">
      <c r="A1257" s="1541">
        <v>42760</v>
      </c>
      <c r="B1257" s="1542"/>
      <c r="C1257" s="1542"/>
      <c r="D1257" s="1542">
        <v>7098.48</v>
      </c>
      <c r="E1257" s="1542">
        <v>1937.02</v>
      </c>
    </row>
    <row r="1258" spans="1:5">
      <c r="A1258" s="1541">
        <v>42759</v>
      </c>
      <c r="B1258" s="1542">
        <v>15576.81</v>
      </c>
      <c r="C1258" s="1542">
        <v>174.26</v>
      </c>
      <c r="D1258" s="1542">
        <v>7038.55</v>
      </c>
      <c r="E1258" s="1542">
        <v>1929.49</v>
      </c>
    </row>
    <row r="1259" spans="1:5">
      <c r="A1259" s="1541">
        <v>42758</v>
      </c>
      <c r="B1259" s="1542">
        <v>15537.4</v>
      </c>
      <c r="C1259" s="1542">
        <v>174.21</v>
      </c>
      <c r="D1259" s="1542">
        <v>7002.41</v>
      </c>
      <c r="E1259" s="1542">
        <v>1915.66</v>
      </c>
    </row>
    <row r="1260" spans="1:5">
      <c r="A1260" s="1541">
        <v>42757</v>
      </c>
      <c r="B1260" s="1542"/>
      <c r="C1260" s="1542"/>
      <c r="D1260" s="1542"/>
      <c r="E1260" s="1542"/>
    </row>
    <row r="1261" spans="1:5">
      <c r="A1261" s="1541">
        <v>42756</v>
      </c>
      <c r="B1261" s="1542"/>
      <c r="C1261" s="1542"/>
      <c r="D1261" s="1542"/>
      <c r="E1261" s="1542"/>
    </row>
    <row r="1262" spans="1:5">
      <c r="A1262" s="1541">
        <v>42755</v>
      </c>
      <c r="B1262" s="1542">
        <v>15384.75</v>
      </c>
      <c r="C1262" s="1542">
        <v>173.08</v>
      </c>
      <c r="D1262" s="1542">
        <v>7007.17</v>
      </c>
      <c r="E1262" s="1542">
        <v>1896.78</v>
      </c>
    </row>
    <row r="1263" spans="1:5">
      <c r="A1263" s="1541">
        <v>42754</v>
      </c>
      <c r="B1263" s="1542">
        <v>15362.77</v>
      </c>
      <c r="C1263" s="1542">
        <v>173.41</v>
      </c>
      <c r="D1263" s="1542">
        <v>6980.74</v>
      </c>
      <c r="E1263" s="1542">
        <v>1899.4</v>
      </c>
    </row>
    <row r="1264" spans="1:5">
      <c r="A1264" s="1541">
        <v>42753</v>
      </c>
      <c r="B1264" s="1542">
        <v>15402.08</v>
      </c>
      <c r="C1264" s="1542">
        <v>173.26</v>
      </c>
      <c r="D1264" s="1542">
        <v>7018.52</v>
      </c>
      <c r="E1264" s="1542">
        <v>1906.53</v>
      </c>
    </row>
    <row r="1265" spans="1:5">
      <c r="A1265" s="1541">
        <v>42752</v>
      </c>
      <c r="B1265" s="1542">
        <v>15422.78</v>
      </c>
      <c r="C1265" s="1542">
        <v>172.19</v>
      </c>
      <c r="D1265" s="1542">
        <v>7006.7</v>
      </c>
      <c r="E1265" s="1542">
        <v>1900.13</v>
      </c>
    </row>
    <row r="1266" spans="1:5">
      <c r="A1266" s="1541">
        <v>42751</v>
      </c>
      <c r="B1266" s="1542">
        <v>15320.24</v>
      </c>
      <c r="C1266" s="1542">
        <v>171.5</v>
      </c>
      <c r="D1266" s="1542">
        <v>7010.21</v>
      </c>
      <c r="E1266" s="1542">
        <v>1887.89</v>
      </c>
    </row>
    <row r="1267" spans="1:5">
      <c r="A1267" s="1541">
        <v>42750</v>
      </c>
      <c r="B1267" s="1542"/>
      <c r="C1267" s="1542"/>
      <c r="D1267" s="1542"/>
      <c r="E1267" s="1542"/>
    </row>
    <row r="1268" spans="1:5">
      <c r="A1268" s="1541">
        <v>42749</v>
      </c>
      <c r="B1268" s="1542"/>
      <c r="C1268" s="1542"/>
      <c r="D1268" s="1542"/>
      <c r="E1268" s="1542"/>
    </row>
    <row r="1269" spans="1:5">
      <c r="A1269" s="1541">
        <v>42748</v>
      </c>
      <c r="B1269" s="1542">
        <v>15462.84</v>
      </c>
      <c r="C1269" s="1542">
        <v>172.62</v>
      </c>
      <c r="D1269" s="1542">
        <v>7027.74</v>
      </c>
      <c r="E1269" s="1542">
        <v>1902.48</v>
      </c>
    </row>
    <row r="1270" spans="1:5">
      <c r="A1270" s="1541">
        <v>42747</v>
      </c>
      <c r="B1270" s="1542">
        <v>15514.53</v>
      </c>
      <c r="C1270" s="1542">
        <v>172.88</v>
      </c>
      <c r="D1270" s="1542">
        <v>7008.9</v>
      </c>
      <c r="E1270" s="1542">
        <v>1903.86</v>
      </c>
    </row>
    <row r="1271" spans="1:5">
      <c r="A1271" s="1541">
        <v>42746</v>
      </c>
      <c r="B1271" s="1542">
        <v>15408.29</v>
      </c>
      <c r="C1271" s="1542">
        <v>172.29</v>
      </c>
      <c r="D1271" s="1542">
        <v>6988.09</v>
      </c>
      <c r="E1271" s="1542">
        <v>1882.83</v>
      </c>
    </row>
    <row r="1272" spans="1:5">
      <c r="A1272" s="1541">
        <v>42745</v>
      </c>
      <c r="B1272" s="1542">
        <v>15414.73</v>
      </c>
      <c r="C1272" s="1542">
        <v>173.23</v>
      </c>
      <c r="D1272" s="1542">
        <v>6993.43</v>
      </c>
      <c r="E1272" s="1542">
        <v>1880.57</v>
      </c>
    </row>
    <row r="1273" spans="1:5">
      <c r="A1273" s="1541">
        <v>42744</v>
      </c>
      <c r="B1273" s="1542">
        <v>15402.82</v>
      </c>
      <c r="C1273" s="1542">
        <v>173.69</v>
      </c>
      <c r="D1273" s="1542">
        <v>6982.73</v>
      </c>
      <c r="E1273" s="1542">
        <v>1865.16</v>
      </c>
    </row>
    <row r="1274" spans="1:5">
      <c r="A1274" s="1541">
        <v>42743</v>
      </c>
      <c r="B1274" s="1542"/>
      <c r="C1274" s="1542"/>
      <c r="D1274" s="1542"/>
      <c r="E1274" s="1542"/>
    </row>
    <row r="1275" spans="1:5">
      <c r="A1275" s="1541">
        <v>42742</v>
      </c>
      <c r="B1275" s="1542"/>
      <c r="C1275" s="1542"/>
      <c r="D1275" s="1542"/>
      <c r="E1275" s="1542"/>
    </row>
    <row r="1276" spans="1:5">
      <c r="A1276" s="1541">
        <v>42741</v>
      </c>
      <c r="B1276" s="1542">
        <v>15451.94</v>
      </c>
      <c r="C1276" s="1542">
        <v>175.09</v>
      </c>
      <c r="D1276" s="1542">
        <v>7006.9</v>
      </c>
      <c r="E1276" s="1542">
        <v>1870.83</v>
      </c>
    </row>
    <row r="1277" spans="1:5">
      <c r="A1277" s="1541">
        <v>42740</v>
      </c>
      <c r="B1277" s="1542">
        <v>15428.73</v>
      </c>
      <c r="C1277" s="1542">
        <v>174.94</v>
      </c>
      <c r="D1277" s="1542">
        <v>7002.99</v>
      </c>
      <c r="E1277" s="1542">
        <v>1872.11</v>
      </c>
    </row>
    <row r="1278" spans="1:5">
      <c r="A1278" s="1541">
        <v>42739</v>
      </c>
      <c r="B1278" s="1542">
        <v>15311.39</v>
      </c>
      <c r="C1278" s="1542">
        <v>173.92</v>
      </c>
      <c r="D1278" s="1542">
        <v>6969.54</v>
      </c>
      <c r="E1278" s="1542">
        <v>1850.24</v>
      </c>
    </row>
    <row r="1279" spans="1:5">
      <c r="A1279" s="1541">
        <v>42738</v>
      </c>
      <c r="B1279" s="1542">
        <v>15288.17</v>
      </c>
      <c r="C1279" s="1542">
        <v>173.23</v>
      </c>
      <c r="D1279" s="1542">
        <v>6905.88</v>
      </c>
      <c r="E1279" s="1542">
        <v>1843.79</v>
      </c>
    </row>
    <row r="1280" spans="1:5">
      <c r="A1280" s="1541">
        <v>42737</v>
      </c>
      <c r="B1280" s="1542"/>
      <c r="C1280" s="1542"/>
      <c r="D1280" s="1542">
        <v>6886.52</v>
      </c>
      <c r="E1280" s="1542">
        <v>1829.83</v>
      </c>
    </row>
    <row r="1281" spans="1:5">
      <c r="A1281" s="1541">
        <v>42736</v>
      </c>
      <c r="B1281" s="1542"/>
      <c r="C1281" s="1542"/>
      <c r="D1281" s="1542"/>
      <c r="E1281" s="1542"/>
    </row>
    <row r="1282" spans="1:5">
      <c r="A1282" s="1541">
        <v>42735</v>
      </c>
      <c r="B1282" s="1542"/>
      <c r="C1282" s="1542"/>
      <c r="D1282" s="1542"/>
      <c r="E1282" s="1542"/>
    </row>
    <row r="1283" spans="1:5">
      <c r="A1283" s="1541">
        <v>42734</v>
      </c>
      <c r="B1283" s="1542">
        <v>15256.22</v>
      </c>
      <c r="C1283" s="1542">
        <v>173.11</v>
      </c>
      <c r="D1283" s="1542">
        <v>6879.16</v>
      </c>
      <c r="E1283" s="1542">
        <v>1830.64</v>
      </c>
    </row>
    <row r="1284" spans="1:5">
      <c r="A1284" s="1541">
        <v>42733</v>
      </c>
      <c r="B1284" s="1542">
        <v>15090.68</v>
      </c>
      <c r="C1284" s="1542">
        <v>172.28</v>
      </c>
      <c r="D1284" s="1542">
        <v>6885.81</v>
      </c>
      <c r="E1284" s="1542">
        <v>1822.5</v>
      </c>
    </row>
    <row r="1285" spans="1:5">
      <c r="A1285" s="1541">
        <v>42732</v>
      </c>
      <c r="B1285" s="1542">
        <v>15170.32</v>
      </c>
      <c r="C1285" s="1542">
        <v>171.66</v>
      </c>
      <c r="D1285" s="1542">
        <v>6875.14</v>
      </c>
      <c r="E1285" s="1542">
        <v>1807.04</v>
      </c>
    </row>
    <row r="1286" spans="1:5">
      <c r="A1286" s="1541">
        <v>42731</v>
      </c>
      <c r="B1286" s="1542">
        <v>15018.43</v>
      </c>
      <c r="C1286" s="1542">
        <v>170.59</v>
      </c>
      <c r="D1286" s="1542">
        <v>6912.89</v>
      </c>
      <c r="E1286" s="1542">
        <v>1788.92</v>
      </c>
    </row>
    <row r="1287" spans="1:5">
      <c r="A1287" s="1541">
        <v>42730</v>
      </c>
      <c r="B1287" s="1542">
        <v>15020.52</v>
      </c>
      <c r="C1287" s="1542">
        <v>170.04</v>
      </c>
      <c r="D1287" s="1542">
        <v>6904.69</v>
      </c>
      <c r="E1287" s="1542">
        <v>1783.92</v>
      </c>
    </row>
    <row r="1288" spans="1:5">
      <c r="A1288" s="1541">
        <v>42729</v>
      </c>
      <c r="B1288" s="1542"/>
      <c r="C1288" s="1542"/>
      <c r="D1288" s="1542"/>
      <c r="E1288" s="1542"/>
    </row>
    <row r="1289" spans="1:5">
      <c r="A1289" s="1541">
        <v>42728</v>
      </c>
      <c r="B1289" s="1542"/>
      <c r="C1289" s="1542"/>
      <c r="D1289" s="1542"/>
      <c r="E1289" s="1542"/>
    </row>
    <row r="1290" spans="1:5">
      <c r="A1290" s="1541">
        <v>42727</v>
      </c>
      <c r="B1290" s="1542">
        <v>14967.93</v>
      </c>
      <c r="C1290" s="1542">
        <v>170.04</v>
      </c>
      <c r="D1290" s="1542">
        <v>6907.31</v>
      </c>
      <c r="E1290" s="1542">
        <v>1782.09</v>
      </c>
    </row>
    <row r="1291" spans="1:5">
      <c r="A1291" s="1541">
        <v>42726</v>
      </c>
      <c r="B1291" s="1542">
        <v>15034.05</v>
      </c>
      <c r="C1291" s="1542">
        <v>170.43</v>
      </c>
      <c r="D1291" s="1542">
        <v>6901.74</v>
      </c>
      <c r="E1291" s="1542">
        <v>1783.66</v>
      </c>
    </row>
    <row r="1292" spans="1:5">
      <c r="A1292" s="1541">
        <v>42725</v>
      </c>
      <c r="B1292" s="1542">
        <v>15175.03</v>
      </c>
      <c r="C1292" s="1542">
        <v>170.78</v>
      </c>
      <c r="D1292" s="1542">
        <v>6909.93</v>
      </c>
      <c r="E1292" s="1542">
        <v>1801.34</v>
      </c>
    </row>
    <row r="1293" spans="1:5">
      <c r="A1293" s="1541">
        <v>42724</v>
      </c>
      <c r="B1293" s="1542">
        <v>15237.93</v>
      </c>
      <c r="C1293" s="1542">
        <v>171.02</v>
      </c>
      <c r="D1293" s="1542">
        <v>6914.72</v>
      </c>
      <c r="E1293" s="1542">
        <v>1801.6</v>
      </c>
    </row>
    <row r="1294" spans="1:5">
      <c r="A1294" s="1541">
        <v>42723</v>
      </c>
      <c r="B1294" s="1542">
        <v>15232.84</v>
      </c>
      <c r="C1294" s="1542">
        <v>171.16</v>
      </c>
      <c r="D1294" s="1542">
        <v>6903.84</v>
      </c>
      <c r="E1294" s="1542">
        <v>1801.2</v>
      </c>
    </row>
    <row r="1295" spans="1:5">
      <c r="A1295" s="1541">
        <v>42722</v>
      </c>
      <c r="B1295" s="1542"/>
      <c r="C1295" s="1542"/>
      <c r="D1295" s="1542"/>
      <c r="E1295" s="1542"/>
    </row>
    <row r="1296" spans="1:5">
      <c r="A1296" s="1541">
        <v>42721</v>
      </c>
      <c r="B1296" s="1542"/>
      <c r="C1296" s="1542"/>
      <c r="D1296" s="1542"/>
      <c r="E1296" s="1542"/>
    </row>
    <row r="1297" spans="1:5">
      <c r="A1297" s="1541">
        <v>42720</v>
      </c>
      <c r="B1297" s="1542">
        <v>15377.04</v>
      </c>
      <c r="C1297" s="1542">
        <v>172.53</v>
      </c>
      <c r="D1297" s="1542">
        <v>6887.51</v>
      </c>
      <c r="E1297" s="1542">
        <v>1812.36</v>
      </c>
    </row>
    <row r="1298" spans="1:5">
      <c r="A1298" s="1541">
        <v>42719</v>
      </c>
      <c r="B1298" s="1542">
        <v>15432.38</v>
      </c>
      <c r="C1298" s="1542">
        <v>171.8</v>
      </c>
      <c r="D1298" s="1542">
        <v>6886.5</v>
      </c>
      <c r="E1298" s="1542">
        <v>1817.01</v>
      </c>
    </row>
    <row r="1299" spans="1:5">
      <c r="A1299" s="1541">
        <v>42718</v>
      </c>
      <c r="B1299" s="1542">
        <v>15445.86</v>
      </c>
      <c r="C1299" s="1542">
        <v>171.8</v>
      </c>
      <c r="D1299" s="1542">
        <v>6922.41</v>
      </c>
      <c r="E1299" s="1542">
        <v>1846.81</v>
      </c>
    </row>
    <row r="1300" spans="1:5">
      <c r="A1300" s="1541">
        <v>42717</v>
      </c>
      <c r="B1300" s="1542">
        <v>15468.31</v>
      </c>
      <c r="C1300" s="1542">
        <v>170.9</v>
      </c>
      <c r="D1300" s="1542">
        <v>6962.49</v>
      </c>
      <c r="E1300" s="1542">
        <v>1856.17</v>
      </c>
    </row>
    <row r="1301" spans="1:5">
      <c r="A1301" s="1541">
        <v>42716</v>
      </c>
      <c r="B1301" s="1542">
        <v>15415.22</v>
      </c>
      <c r="C1301" s="1542">
        <v>170.5</v>
      </c>
      <c r="D1301" s="1542">
        <v>6907.71</v>
      </c>
      <c r="E1301" s="1542">
        <v>1845.65</v>
      </c>
    </row>
    <row r="1302" spans="1:5">
      <c r="A1302" s="1541">
        <v>42715</v>
      </c>
      <c r="B1302" s="1542"/>
      <c r="C1302" s="1542"/>
      <c r="D1302" s="1542"/>
      <c r="E1302" s="1542"/>
    </row>
    <row r="1303" spans="1:5">
      <c r="A1303" s="1541">
        <v>42714</v>
      </c>
      <c r="B1303" s="1542"/>
      <c r="C1303" s="1542"/>
      <c r="D1303" s="1542"/>
      <c r="E1303" s="1542"/>
    </row>
    <row r="1304" spans="1:5">
      <c r="A1304" s="1541">
        <v>42713</v>
      </c>
      <c r="B1304" s="1542">
        <v>15485.68</v>
      </c>
      <c r="C1304" s="1542">
        <v>171.83</v>
      </c>
      <c r="D1304" s="1542">
        <v>6906.98</v>
      </c>
      <c r="E1304" s="1542">
        <v>1857.45</v>
      </c>
    </row>
    <row r="1305" spans="1:5">
      <c r="A1305" s="1541">
        <v>42712</v>
      </c>
      <c r="B1305" s="1542">
        <v>15457.96</v>
      </c>
      <c r="C1305" s="1542">
        <v>171.55</v>
      </c>
      <c r="D1305" s="1542">
        <v>6878.76</v>
      </c>
      <c r="E1305" s="1542">
        <v>1860.56</v>
      </c>
    </row>
    <row r="1306" spans="1:5">
      <c r="A1306" s="1541">
        <v>42711</v>
      </c>
      <c r="B1306" s="1542">
        <v>15273.34</v>
      </c>
      <c r="C1306" s="1542">
        <v>170.54</v>
      </c>
      <c r="D1306" s="1542">
        <v>6863.96</v>
      </c>
      <c r="E1306" s="1542">
        <v>1835.73</v>
      </c>
    </row>
    <row r="1307" spans="1:5">
      <c r="A1307" s="1541">
        <v>42710</v>
      </c>
      <c r="B1307" s="1542">
        <v>15251.72</v>
      </c>
      <c r="C1307" s="1542">
        <v>170.14</v>
      </c>
      <c r="D1307" s="1542">
        <v>6778.7</v>
      </c>
      <c r="E1307" s="1542">
        <v>1822.72</v>
      </c>
    </row>
    <row r="1308" spans="1:5">
      <c r="A1308" s="1541">
        <v>42709</v>
      </c>
      <c r="B1308" s="1542">
        <v>15103.16</v>
      </c>
      <c r="C1308" s="1542">
        <v>169.31</v>
      </c>
      <c r="D1308" s="1542">
        <v>6740.42</v>
      </c>
      <c r="E1308" s="1542">
        <v>1806.76</v>
      </c>
    </row>
    <row r="1309" spans="1:5">
      <c r="A1309" s="1541">
        <v>42708</v>
      </c>
      <c r="B1309" s="1542"/>
      <c r="C1309" s="1542"/>
      <c r="D1309" s="1542"/>
      <c r="E1309" s="1542"/>
    </row>
    <row r="1310" spans="1:5">
      <c r="A1310" s="1541">
        <v>42707</v>
      </c>
      <c r="B1310" s="1542"/>
      <c r="C1310" s="1542"/>
      <c r="D1310" s="1542"/>
      <c r="E1310" s="1542"/>
    </row>
    <row r="1311" spans="1:5">
      <c r="A1311" s="1541">
        <v>42706</v>
      </c>
      <c r="B1311" s="1542">
        <v>15150.68</v>
      </c>
      <c r="C1311" s="1542">
        <v>168.83</v>
      </c>
      <c r="D1311" s="1542">
        <v>6703.98</v>
      </c>
      <c r="E1311" s="1542">
        <v>1804.83</v>
      </c>
    </row>
    <row r="1312" spans="1:5">
      <c r="A1312" s="1541">
        <v>42705</v>
      </c>
      <c r="B1312" s="1542">
        <v>15272.76</v>
      </c>
      <c r="C1312" s="1542">
        <v>169.78</v>
      </c>
      <c r="D1312" s="1542">
        <v>6702.77</v>
      </c>
      <c r="E1312" s="1542">
        <v>1816.04</v>
      </c>
    </row>
    <row r="1313" spans="1:5">
      <c r="A1313" s="1541">
        <v>42704</v>
      </c>
      <c r="B1313" s="1542">
        <v>15235.13</v>
      </c>
      <c r="C1313" s="1542">
        <v>169.94</v>
      </c>
      <c r="D1313" s="1542">
        <v>6716.02</v>
      </c>
      <c r="E1313" s="1542">
        <v>1825.34</v>
      </c>
    </row>
    <row r="1314" spans="1:5">
      <c r="A1314" s="1541">
        <v>42703</v>
      </c>
      <c r="B1314" s="1542">
        <v>15155.46</v>
      </c>
      <c r="C1314" s="1542">
        <v>169.72</v>
      </c>
      <c r="D1314" s="1542">
        <v>6728.14</v>
      </c>
      <c r="E1314" s="1542">
        <v>1815.87</v>
      </c>
    </row>
    <row r="1315" spans="1:5">
      <c r="A1315" s="1541">
        <v>42702</v>
      </c>
      <c r="B1315" s="1542">
        <v>15204.69</v>
      </c>
      <c r="C1315" s="1542">
        <v>169.53</v>
      </c>
      <c r="D1315" s="1542">
        <v>6717.48</v>
      </c>
      <c r="E1315" s="1542">
        <v>1825.78</v>
      </c>
    </row>
    <row r="1316" spans="1:5">
      <c r="A1316" s="1541">
        <v>42701</v>
      </c>
      <c r="B1316" s="1542"/>
      <c r="C1316" s="1542"/>
      <c r="D1316" s="1542"/>
      <c r="E1316" s="1542"/>
    </row>
    <row r="1317" spans="1:5">
      <c r="A1317" s="1541">
        <v>42700</v>
      </c>
      <c r="B1317" s="1542"/>
      <c r="C1317" s="1542"/>
      <c r="D1317" s="1542"/>
      <c r="E1317" s="1542"/>
    </row>
    <row r="1318" spans="1:5">
      <c r="A1318" s="1541">
        <v>42699</v>
      </c>
      <c r="B1318" s="1542">
        <v>15100.53</v>
      </c>
      <c r="C1318" s="1542">
        <v>169.06</v>
      </c>
      <c r="D1318" s="1542">
        <v>6747.58</v>
      </c>
      <c r="E1318" s="1542">
        <v>1810.14</v>
      </c>
    </row>
    <row r="1319" spans="1:5">
      <c r="A1319" s="1541">
        <v>42698</v>
      </c>
      <c r="B1319" s="1542">
        <v>15088.05</v>
      </c>
      <c r="C1319" s="1542">
        <v>168.75</v>
      </c>
      <c r="D1319" s="1542">
        <v>6717.81</v>
      </c>
      <c r="E1319" s="1542">
        <v>1802.16</v>
      </c>
    </row>
    <row r="1320" spans="1:5">
      <c r="A1320" s="1541">
        <v>42697</v>
      </c>
      <c r="B1320" s="1542">
        <v>15130.93</v>
      </c>
      <c r="C1320" s="1542">
        <v>168.92</v>
      </c>
      <c r="D1320" s="1542">
        <v>6703.34</v>
      </c>
      <c r="E1320" s="1542">
        <v>1810.39</v>
      </c>
    </row>
    <row r="1321" spans="1:5">
      <c r="A1321" s="1541">
        <v>42696</v>
      </c>
      <c r="B1321" s="1542">
        <v>15057</v>
      </c>
      <c r="C1321" s="1542">
        <v>168.84</v>
      </c>
      <c r="D1321" s="1542">
        <v>6716.29</v>
      </c>
      <c r="E1321" s="1542">
        <v>1813.54</v>
      </c>
    </row>
    <row r="1322" spans="1:5">
      <c r="A1322" s="1541">
        <v>42695</v>
      </c>
      <c r="B1322" s="1542">
        <v>14904.87</v>
      </c>
      <c r="C1322" s="1542">
        <v>167.65</v>
      </c>
      <c r="D1322" s="1542">
        <v>6705.93</v>
      </c>
      <c r="E1322" s="1542">
        <v>1792.2</v>
      </c>
    </row>
    <row r="1323" spans="1:5">
      <c r="A1323" s="1541">
        <v>42694</v>
      </c>
      <c r="B1323" s="1542"/>
      <c r="C1323" s="1542"/>
      <c r="D1323" s="1542"/>
      <c r="E1323" s="1542"/>
    </row>
    <row r="1324" spans="1:5">
      <c r="A1324" s="1541">
        <v>42693</v>
      </c>
      <c r="B1324" s="1542"/>
      <c r="C1324" s="1542"/>
      <c r="D1324" s="1542"/>
      <c r="E1324" s="1542"/>
    </row>
    <row r="1325" spans="1:5">
      <c r="A1325" s="1541">
        <v>42692</v>
      </c>
      <c r="B1325" s="1542">
        <v>14851.59</v>
      </c>
      <c r="C1325" s="1542">
        <v>167.11</v>
      </c>
      <c r="D1325" s="1542">
        <v>6654.22</v>
      </c>
      <c r="E1325" s="1542">
        <v>1786.14</v>
      </c>
    </row>
    <row r="1326" spans="1:5">
      <c r="A1326" s="1541">
        <v>42691</v>
      </c>
      <c r="B1326" s="1542">
        <v>14829.29</v>
      </c>
      <c r="C1326" s="1542">
        <v>165.68</v>
      </c>
      <c r="D1326" s="1542">
        <v>6691.3</v>
      </c>
      <c r="E1326" s="1542">
        <v>1791.76</v>
      </c>
    </row>
    <row r="1327" spans="1:5">
      <c r="A1327" s="1541">
        <v>42690</v>
      </c>
      <c r="B1327" s="1542">
        <v>14774.83</v>
      </c>
      <c r="C1327" s="1542">
        <v>165.75</v>
      </c>
      <c r="D1327" s="1542">
        <v>6657.32</v>
      </c>
      <c r="E1327" s="1542">
        <v>1791.65</v>
      </c>
    </row>
    <row r="1328" spans="1:5">
      <c r="A1328" s="1541">
        <v>42689</v>
      </c>
      <c r="B1328" s="1542">
        <v>14723.39</v>
      </c>
      <c r="C1328" s="1542">
        <v>165.4</v>
      </c>
      <c r="D1328" s="1542">
        <v>6669.48</v>
      </c>
      <c r="E1328" s="1542">
        <v>1779.53</v>
      </c>
    </row>
    <row r="1329" spans="1:5">
      <c r="A1329" s="1541">
        <v>42688</v>
      </c>
      <c r="B1329" s="1542">
        <v>14738.84</v>
      </c>
      <c r="C1329" s="1542">
        <v>165.29</v>
      </c>
      <c r="D1329" s="1542">
        <v>6630.97</v>
      </c>
      <c r="E1329" s="1542">
        <v>1774.15</v>
      </c>
    </row>
    <row r="1330" spans="1:5">
      <c r="A1330" s="1541">
        <v>42687</v>
      </c>
      <c r="B1330" s="1542"/>
      <c r="C1330" s="1542"/>
      <c r="D1330" s="1542"/>
      <c r="E1330" s="1542"/>
    </row>
    <row r="1331" spans="1:5">
      <c r="A1331" s="1541">
        <v>42686</v>
      </c>
      <c r="B1331" s="1542"/>
      <c r="C1331" s="1542"/>
      <c r="D1331" s="1542"/>
      <c r="E1331" s="1542"/>
    </row>
    <row r="1332" spans="1:5">
      <c r="A1332" s="1541">
        <v>42685</v>
      </c>
      <c r="B1332" s="1542">
        <v>14767.47</v>
      </c>
      <c r="C1332" s="1542">
        <v>166.15</v>
      </c>
      <c r="D1332" s="1542">
        <v>6647.79</v>
      </c>
      <c r="E1332" s="1542">
        <v>1795.51</v>
      </c>
    </row>
    <row r="1333" spans="1:5">
      <c r="A1333" s="1541">
        <v>42684</v>
      </c>
      <c r="B1333" s="1542">
        <v>15087.99</v>
      </c>
      <c r="C1333" s="1542">
        <v>168.04</v>
      </c>
      <c r="D1333" s="1542">
        <v>6664.59</v>
      </c>
      <c r="E1333" s="1542">
        <v>1851.6</v>
      </c>
    </row>
    <row r="1334" spans="1:5">
      <c r="A1334" s="1541">
        <v>42683</v>
      </c>
      <c r="B1334" s="1542">
        <v>14743.45</v>
      </c>
      <c r="C1334" s="1542">
        <v>162.30000000000001</v>
      </c>
      <c r="D1334" s="1542">
        <v>6644.07</v>
      </c>
      <c r="E1334" s="1542">
        <v>1861.09</v>
      </c>
    </row>
    <row r="1335" spans="1:5">
      <c r="A1335" s="1541">
        <v>42682</v>
      </c>
      <c r="B1335" s="1542">
        <v>15195.55</v>
      </c>
      <c r="C1335" s="1542">
        <v>168.41</v>
      </c>
      <c r="D1335" s="1542">
        <v>6625.28</v>
      </c>
      <c r="E1335" s="1542">
        <v>1908.11</v>
      </c>
    </row>
    <row r="1336" spans="1:5">
      <c r="A1336" s="1541">
        <v>42681</v>
      </c>
      <c r="B1336" s="1542">
        <v>15150.06</v>
      </c>
      <c r="C1336" s="1542">
        <v>168.62</v>
      </c>
      <c r="D1336" s="1542">
        <v>6599.27</v>
      </c>
      <c r="E1336" s="1542">
        <v>1891.87</v>
      </c>
    </row>
    <row r="1337" spans="1:5">
      <c r="A1337" s="1541">
        <v>42680</v>
      </c>
      <c r="B1337" s="1542"/>
      <c r="C1337" s="1542"/>
      <c r="D1337" s="1542"/>
      <c r="E1337" s="1542"/>
    </row>
    <row r="1338" spans="1:5">
      <c r="A1338" s="1541">
        <v>42679</v>
      </c>
      <c r="B1338" s="1542"/>
      <c r="C1338" s="1542"/>
      <c r="D1338" s="1542"/>
      <c r="E1338" s="1542"/>
    </row>
    <row r="1339" spans="1:5">
      <c r="A1339" s="1541">
        <v>42678</v>
      </c>
      <c r="B1339" s="1542">
        <v>14949.46</v>
      </c>
      <c r="C1339" s="1542">
        <v>168.17</v>
      </c>
      <c r="D1339" s="1542">
        <v>6499.41</v>
      </c>
      <c r="E1339" s="1542">
        <v>1860.87</v>
      </c>
    </row>
    <row r="1340" spans="1:5">
      <c r="A1340" s="1541">
        <v>42677</v>
      </c>
      <c r="B1340" s="1542">
        <v>14947.94</v>
      </c>
      <c r="C1340" s="1542">
        <v>168.32</v>
      </c>
      <c r="D1340" s="1542">
        <v>6525.93</v>
      </c>
      <c r="E1340" s="1542">
        <v>1870.92</v>
      </c>
    </row>
    <row r="1341" spans="1:5">
      <c r="A1341" s="1541">
        <v>42676</v>
      </c>
      <c r="B1341" s="1542">
        <v>15065.93</v>
      </c>
      <c r="C1341" s="1542">
        <v>170.21</v>
      </c>
      <c r="D1341" s="1542">
        <v>6547.02</v>
      </c>
      <c r="E1341" s="1542">
        <v>1882.02</v>
      </c>
    </row>
    <row r="1342" spans="1:5">
      <c r="A1342" s="1541">
        <v>42675</v>
      </c>
      <c r="B1342" s="1542">
        <v>15286.23</v>
      </c>
      <c r="C1342" s="1542">
        <v>174.38</v>
      </c>
      <c r="D1342" s="1542">
        <v>6590.07</v>
      </c>
      <c r="E1342" s="1542">
        <v>1908.15</v>
      </c>
    </row>
    <row r="1343" spans="1:5">
      <c r="A1343" s="1541">
        <v>42674</v>
      </c>
      <c r="B1343" s="1542">
        <v>15314.95</v>
      </c>
      <c r="C1343" s="1542">
        <v>174.66</v>
      </c>
      <c r="D1343" s="1542">
        <v>6617.26</v>
      </c>
      <c r="E1343" s="1542">
        <v>1913.3</v>
      </c>
    </row>
    <row r="1344" spans="1:5">
      <c r="A1344" s="1541">
        <v>42673</v>
      </c>
      <c r="B1344" s="1542"/>
      <c r="C1344" s="1542"/>
      <c r="D1344" s="1542"/>
      <c r="E1344" s="1542"/>
    </row>
    <row r="1345" spans="1:5">
      <c r="A1345" s="1541">
        <v>42672</v>
      </c>
      <c r="B1345" s="1542"/>
      <c r="C1345" s="1542"/>
      <c r="D1345" s="1542"/>
      <c r="E1345" s="1542"/>
    </row>
    <row r="1346" spans="1:5">
      <c r="A1346" s="1541">
        <v>42671</v>
      </c>
      <c r="B1346" s="1542">
        <v>15342.58</v>
      </c>
      <c r="C1346" s="1542">
        <v>175.14</v>
      </c>
      <c r="D1346" s="1542">
        <v>6617.27</v>
      </c>
      <c r="E1346" s="1542">
        <v>1909.92</v>
      </c>
    </row>
    <row r="1347" spans="1:5">
      <c r="A1347" s="1541">
        <v>42670</v>
      </c>
      <c r="B1347" s="1542">
        <v>15330.43</v>
      </c>
      <c r="C1347" s="1542">
        <v>176.45</v>
      </c>
      <c r="D1347" s="1542">
        <v>6631.32</v>
      </c>
      <c r="E1347" s="1542">
        <v>1913.67</v>
      </c>
    </row>
    <row r="1348" spans="1:5">
      <c r="A1348" s="1541">
        <v>42669</v>
      </c>
      <c r="B1348" s="1542">
        <v>15433.79</v>
      </c>
      <c r="C1348" s="1542">
        <v>176.64</v>
      </c>
      <c r="D1348" s="1542">
        <v>6651.28</v>
      </c>
      <c r="E1348" s="1542">
        <v>1924.69</v>
      </c>
    </row>
    <row r="1349" spans="1:5">
      <c r="A1349" s="1541">
        <v>42668</v>
      </c>
      <c r="B1349" s="1542">
        <v>15472.36</v>
      </c>
      <c r="C1349" s="1542">
        <v>176.57</v>
      </c>
      <c r="D1349" s="1542">
        <v>6656.22</v>
      </c>
      <c r="E1349" s="1542">
        <v>1940.9</v>
      </c>
    </row>
    <row r="1350" spans="1:5">
      <c r="A1350" s="1541">
        <v>42667</v>
      </c>
      <c r="B1350" s="1542">
        <v>15368.04</v>
      </c>
      <c r="C1350" s="1542">
        <v>175.97</v>
      </c>
      <c r="D1350" s="1542">
        <v>6675.83</v>
      </c>
      <c r="E1350" s="1542">
        <v>1941.22</v>
      </c>
    </row>
    <row r="1351" spans="1:5">
      <c r="A1351" s="1541">
        <v>42666</v>
      </c>
      <c r="B1351" s="1542"/>
      <c r="C1351" s="1542"/>
      <c r="D1351" s="1542"/>
      <c r="E1351" s="1542"/>
    </row>
    <row r="1352" spans="1:5">
      <c r="A1352" s="1541">
        <v>42665</v>
      </c>
      <c r="B1352" s="1542"/>
      <c r="C1352" s="1542"/>
      <c r="D1352" s="1542"/>
      <c r="E1352" s="1542"/>
    </row>
    <row r="1353" spans="1:5">
      <c r="A1353" s="1541">
        <v>42664</v>
      </c>
      <c r="B1353" s="1542">
        <v>15341.77</v>
      </c>
      <c r="C1353" s="1542">
        <v>176.26</v>
      </c>
      <c r="D1353" s="1542">
        <v>6655.65</v>
      </c>
      <c r="E1353" s="1542">
        <v>1926.06</v>
      </c>
    </row>
    <row r="1354" spans="1:5">
      <c r="A1354" s="1541">
        <v>42663</v>
      </c>
      <c r="B1354" s="1542">
        <v>15359.37</v>
      </c>
      <c r="C1354" s="1542">
        <v>176.21</v>
      </c>
      <c r="D1354" s="1542">
        <v>6666.88</v>
      </c>
      <c r="E1354" s="1542">
        <v>1930.44</v>
      </c>
    </row>
    <row r="1355" spans="1:5">
      <c r="A1355" s="1541">
        <v>42662</v>
      </c>
      <c r="B1355" s="1542">
        <v>15304.5</v>
      </c>
      <c r="C1355" s="1542">
        <v>175.76</v>
      </c>
      <c r="D1355" s="1542">
        <v>6676.61</v>
      </c>
      <c r="E1355" s="1542">
        <v>1930.38</v>
      </c>
    </row>
    <row r="1356" spans="1:5">
      <c r="A1356" s="1541">
        <v>42661</v>
      </c>
      <c r="B1356" s="1542">
        <v>15203.14</v>
      </c>
      <c r="C1356" s="1542">
        <v>174.84</v>
      </c>
      <c r="D1356" s="1542">
        <v>6653.99</v>
      </c>
      <c r="E1356" s="1542">
        <v>1920.23</v>
      </c>
    </row>
    <row r="1357" spans="1:5">
      <c r="A1357" s="1541">
        <v>42660</v>
      </c>
      <c r="B1357" s="1542">
        <v>15126.32</v>
      </c>
      <c r="C1357" s="1542">
        <v>174.06</v>
      </c>
      <c r="D1357" s="1542">
        <v>6602.12</v>
      </c>
      <c r="E1357" s="1542">
        <v>1890.99</v>
      </c>
    </row>
    <row r="1358" spans="1:5">
      <c r="A1358" s="1541">
        <v>42659</v>
      </c>
      <c r="B1358" s="1542"/>
      <c r="C1358" s="1542"/>
      <c r="D1358" s="1542"/>
      <c r="E1358" s="1542"/>
    </row>
    <row r="1359" spans="1:5">
      <c r="A1359" s="1541">
        <v>42658</v>
      </c>
      <c r="B1359" s="1542"/>
      <c r="C1359" s="1542"/>
      <c r="D1359" s="1542"/>
      <c r="E1359" s="1542"/>
    </row>
    <row r="1360" spans="1:5">
      <c r="A1360" s="1541">
        <v>42657</v>
      </c>
      <c r="B1360" s="1542">
        <v>15108.11</v>
      </c>
      <c r="C1360" s="1542">
        <v>173.05</v>
      </c>
      <c r="D1360" s="1542">
        <v>6624.97</v>
      </c>
      <c r="E1360" s="1542">
        <v>1895.89</v>
      </c>
    </row>
    <row r="1361" spans="1:5">
      <c r="A1361" s="1541">
        <v>42656</v>
      </c>
      <c r="B1361" s="1542">
        <v>15197.13</v>
      </c>
      <c r="C1361" s="1542">
        <v>176.1</v>
      </c>
      <c r="D1361" s="1542">
        <v>6608.95</v>
      </c>
      <c r="E1361" s="1542">
        <v>1882.4</v>
      </c>
    </row>
    <row r="1362" spans="1:5">
      <c r="A1362" s="1541">
        <v>42655</v>
      </c>
      <c r="B1362" s="1542">
        <v>15252.23</v>
      </c>
      <c r="C1362" s="1542">
        <v>177.26</v>
      </c>
      <c r="D1362" s="1542">
        <v>6631.91</v>
      </c>
      <c r="E1362" s="1542">
        <v>1907.93</v>
      </c>
    </row>
    <row r="1363" spans="1:5">
      <c r="A1363" s="1541">
        <v>42654</v>
      </c>
      <c r="B1363" s="1542">
        <v>15198.21</v>
      </c>
      <c r="C1363" s="1542">
        <v>177.1</v>
      </c>
      <c r="D1363" s="1542">
        <v>6650.14</v>
      </c>
      <c r="E1363" s="1542">
        <v>1913.82</v>
      </c>
    </row>
    <row r="1364" spans="1:5">
      <c r="A1364" s="1541">
        <v>42653</v>
      </c>
      <c r="B1364" s="1542"/>
      <c r="C1364" s="1542"/>
      <c r="D1364" s="1542">
        <v>6724.27</v>
      </c>
      <c r="E1364" s="1542">
        <v>1941.5</v>
      </c>
    </row>
    <row r="1365" spans="1:5">
      <c r="A1365" s="1541">
        <v>42652</v>
      </c>
      <c r="B1365" s="1542"/>
      <c r="C1365" s="1542"/>
      <c r="D1365" s="1542"/>
      <c r="E1365" s="1542"/>
    </row>
    <row r="1366" spans="1:5">
      <c r="A1366" s="1541">
        <v>42651</v>
      </c>
      <c r="B1366" s="1542"/>
      <c r="C1366" s="1542"/>
      <c r="D1366" s="1542"/>
      <c r="E1366" s="1542"/>
    </row>
    <row r="1367" spans="1:5">
      <c r="A1367" s="1541">
        <v>42650</v>
      </c>
      <c r="B1367" s="1542">
        <v>15273.65</v>
      </c>
      <c r="C1367" s="1542">
        <v>181.02</v>
      </c>
      <c r="D1367" s="1542">
        <v>6697.32</v>
      </c>
      <c r="E1367" s="1542">
        <v>1933.27</v>
      </c>
    </row>
    <row r="1368" spans="1:5">
      <c r="A1368" s="1541">
        <v>42649</v>
      </c>
      <c r="B1368" s="1542">
        <v>15304.15</v>
      </c>
      <c r="C1368" s="1542">
        <v>182.15</v>
      </c>
      <c r="D1368" s="1542">
        <v>6720.64</v>
      </c>
      <c r="E1368" s="1542">
        <v>1937.96</v>
      </c>
    </row>
    <row r="1369" spans="1:5">
      <c r="A1369" s="1541">
        <v>42648</v>
      </c>
      <c r="B1369" s="1542">
        <v>15284.23</v>
      </c>
      <c r="C1369" s="1542">
        <v>181.63</v>
      </c>
      <c r="D1369" s="1542">
        <v>6730.96</v>
      </c>
      <c r="E1369" s="1542">
        <v>1934.15</v>
      </c>
    </row>
    <row r="1370" spans="1:5">
      <c r="A1370" s="1541">
        <v>42647</v>
      </c>
      <c r="B1370" s="1542">
        <v>15309.76</v>
      </c>
      <c r="C1370" s="1542">
        <v>182.16</v>
      </c>
      <c r="D1370" s="1542">
        <v>6716.26</v>
      </c>
      <c r="E1370" s="1542">
        <v>1934.67</v>
      </c>
    </row>
    <row r="1371" spans="1:5">
      <c r="A1371" s="1541">
        <v>42646</v>
      </c>
      <c r="B1371" s="1542">
        <v>15221.46</v>
      </c>
      <c r="C1371" s="1542">
        <v>181.87</v>
      </c>
      <c r="D1371" s="1542">
        <v>6735.46</v>
      </c>
      <c r="E1371" s="1542">
        <v>1926.16</v>
      </c>
    </row>
    <row r="1372" spans="1:5">
      <c r="A1372" s="1541">
        <v>42645</v>
      </c>
      <c r="B1372" s="1542"/>
      <c r="C1372" s="1542"/>
      <c r="D1372" s="1542"/>
      <c r="E1372" s="1542"/>
    </row>
    <row r="1373" spans="1:5">
      <c r="A1373" s="1541">
        <v>42644</v>
      </c>
      <c r="B1373" s="1542"/>
      <c r="C1373" s="1542"/>
      <c r="D1373" s="1542"/>
      <c r="E1373" s="1542"/>
    </row>
    <row r="1374" spans="1:5">
      <c r="A1374" s="1541">
        <v>42643</v>
      </c>
      <c r="B1374" s="1542">
        <v>15110.44</v>
      </c>
      <c r="C1374" s="1542">
        <v>180.78</v>
      </c>
      <c r="D1374" s="1542">
        <v>6746.08</v>
      </c>
      <c r="E1374" s="1542">
        <v>1908.58</v>
      </c>
    </row>
    <row r="1375" spans="1:5">
      <c r="A1375" s="1541">
        <v>42642</v>
      </c>
      <c r="B1375" s="1542">
        <v>15281.96</v>
      </c>
      <c r="C1375" s="1542">
        <v>181.12</v>
      </c>
      <c r="D1375" s="1542">
        <v>6722.85</v>
      </c>
      <c r="E1375" s="1542">
        <v>1929.54</v>
      </c>
    </row>
    <row r="1376" spans="1:5">
      <c r="A1376" s="1541">
        <v>42641</v>
      </c>
      <c r="B1376" s="1542"/>
      <c r="C1376" s="1542"/>
      <c r="D1376" s="1542">
        <v>6745.59</v>
      </c>
      <c r="E1376" s="1542">
        <v>1926.85</v>
      </c>
    </row>
    <row r="1377" spans="1:5">
      <c r="A1377" s="1541">
        <v>42640</v>
      </c>
      <c r="B1377" s="1542"/>
      <c r="C1377" s="1542"/>
      <c r="D1377" s="1542">
        <v>6716.58</v>
      </c>
      <c r="E1377" s="1542">
        <v>1924.36</v>
      </c>
    </row>
    <row r="1378" spans="1:5">
      <c r="A1378" s="1541">
        <v>42639</v>
      </c>
      <c r="B1378" s="1542">
        <v>15156.06</v>
      </c>
      <c r="C1378" s="1542">
        <v>181.26</v>
      </c>
      <c r="D1378" s="1542">
        <v>6696.45</v>
      </c>
      <c r="E1378" s="1542">
        <v>1912.34</v>
      </c>
    </row>
    <row r="1379" spans="1:5">
      <c r="A1379" s="1541">
        <v>42638</v>
      </c>
      <c r="B1379" s="1542"/>
      <c r="C1379" s="1542"/>
      <c r="D1379" s="1542"/>
      <c r="E1379" s="1542"/>
    </row>
    <row r="1380" spans="1:5">
      <c r="A1380" s="1541">
        <v>42637</v>
      </c>
      <c r="B1380" s="1542"/>
      <c r="C1380" s="1542"/>
      <c r="D1380" s="1542"/>
      <c r="E1380" s="1542"/>
    </row>
    <row r="1381" spans="1:5">
      <c r="A1381" s="1541">
        <v>42636</v>
      </c>
      <c r="B1381" s="1542">
        <v>15304.14</v>
      </c>
      <c r="C1381" s="1542">
        <v>182.17</v>
      </c>
      <c r="D1381" s="1542">
        <v>6754</v>
      </c>
      <c r="E1381" s="1542">
        <v>1937.69</v>
      </c>
    </row>
    <row r="1382" spans="1:5">
      <c r="A1382" s="1541">
        <v>42635</v>
      </c>
      <c r="B1382" s="1542">
        <v>15222.78</v>
      </c>
      <c r="C1382" s="1542">
        <v>180.98</v>
      </c>
      <c r="D1382" s="1542">
        <v>6796.34</v>
      </c>
      <c r="E1382" s="1542">
        <v>1944.8</v>
      </c>
    </row>
    <row r="1383" spans="1:5">
      <c r="A1383" s="1541">
        <v>42634</v>
      </c>
      <c r="B1383" s="1542">
        <v>15211.41</v>
      </c>
      <c r="C1383" s="1542">
        <v>180.79</v>
      </c>
      <c r="D1383" s="1542">
        <v>6722.19</v>
      </c>
      <c r="E1383" s="1542">
        <v>1912.49</v>
      </c>
    </row>
    <row r="1384" spans="1:5">
      <c r="A1384" s="1541">
        <v>42633</v>
      </c>
      <c r="B1384" s="1542">
        <v>15101.1</v>
      </c>
      <c r="C1384" s="1542">
        <v>179.8</v>
      </c>
      <c r="D1384" s="1542">
        <v>6649.8</v>
      </c>
      <c r="E1384" s="1542">
        <v>1897.87</v>
      </c>
    </row>
    <row r="1385" spans="1:5">
      <c r="A1385" s="1541">
        <v>42632</v>
      </c>
      <c r="B1385" s="1542">
        <v>15086.19</v>
      </c>
      <c r="C1385" s="1542">
        <v>179.52</v>
      </c>
      <c r="D1385" s="1542">
        <v>6649.06</v>
      </c>
      <c r="E1385" s="1542">
        <v>1895.45</v>
      </c>
    </row>
    <row r="1386" spans="1:5">
      <c r="A1386" s="1541">
        <v>42631</v>
      </c>
      <c r="B1386" s="1542"/>
      <c r="C1386" s="1542"/>
      <c r="D1386" s="1542"/>
      <c r="E1386" s="1542"/>
    </row>
    <row r="1387" spans="1:5">
      <c r="A1387" s="1541">
        <v>42630</v>
      </c>
      <c r="B1387" s="1542"/>
      <c r="C1387" s="1542"/>
      <c r="D1387" s="1542"/>
      <c r="E1387" s="1542"/>
    </row>
    <row r="1388" spans="1:5">
      <c r="A1388" s="1541">
        <v>42629</v>
      </c>
      <c r="B1388" s="1542"/>
      <c r="C1388" s="1542"/>
      <c r="D1388" s="1542">
        <v>6622.23</v>
      </c>
      <c r="E1388" s="1542">
        <v>1869.51</v>
      </c>
    </row>
    <row r="1389" spans="1:5">
      <c r="A1389" s="1541">
        <v>42628</v>
      </c>
      <c r="B1389" s="1542"/>
      <c r="C1389" s="1542"/>
      <c r="D1389" s="1542">
        <v>6655.47</v>
      </c>
      <c r="E1389" s="1542">
        <v>1876.95</v>
      </c>
    </row>
    <row r="1390" spans="1:5">
      <c r="A1390" s="1541">
        <v>42627</v>
      </c>
      <c r="B1390" s="1542">
        <v>14673.19</v>
      </c>
      <c r="C1390" s="1542">
        <v>177.77</v>
      </c>
      <c r="D1390" s="1542">
        <v>6606.71</v>
      </c>
      <c r="E1390" s="1542">
        <v>1868.67</v>
      </c>
    </row>
    <row r="1391" spans="1:5">
      <c r="A1391" s="1541">
        <v>42626</v>
      </c>
      <c r="B1391" s="1542">
        <v>14736.69</v>
      </c>
      <c r="C1391" s="1542">
        <v>177.6</v>
      </c>
      <c r="D1391" s="1542">
        <v>6615.37</v>
      </c>
      <c r="E1391" s="1542">
        <v>1870.16</v>
      </c>
    </row>
    <row r="1392" spans="1:5">
      <c r="A1392" s="1541">
        <v>42625</v>
      </c>
      <c r="B1392" s="1542">
        <v>14746.96</v>
      </c>
      <c r="C1392" s="1542">
        <v>178.91</v>
      </c>
      <c r="D1392" s="1542">
        <v>6695.68</v>
      </c>
      <c r="E1392" s="1542">
        <v>1877.3</v>
      </c>
    </row>
    <row r="1393" spans="1:5">
      <c r="A1393" s="1541">
        <v>42624</v>
      </c>
      <c r="B1393" s="1542"/>
      <c r="C1393" s="1542"/>
      <c r="D1393" s="1542"/>
      <c r="E1393" s="1542"/>
    </row>
    <row r="1394" spans="1:5">
      <c r="A1394" s="1541">
        <v>42623</v>
      </c>
      <c r="B1394" s="1542">
        <v>14922.56</v>
      </c>
      <c r="C1394" s="1542">
        <v>179.72</v>
      </c>
      <c r="D1394" s="1542"/>
      <c r="E1394" s="1542"/>
    </row>
    <row r="1395" spans="1:5">
      <c r="A1395" s="1541">
        <v>42622</v>
      </c>
      <c r="B1395" s="1542">
        <v>15105.64</v>
      </c>
      <c r="C1395" s="1542">
        <v>182.03</v>
      </c>
      <c r="D1395" s="1542">
        <v>6664.91</v>
      </c>
      <c r="E1395" s="1542">
        <v>1919.21</v>
      </c>
    </row>
    <row r="1396" spans="1:5">
      <c r="A1396" s="1541">
        <v>42621</v>
      </c>
      <c r="B1396" s="1542">
        <v>15267.19</v>
      </c>
      <c r="C1396" s="1542">
        <v>182.32</v>
      </c>
      <c r="D1396" s="1542">
        <v>6807.2</v>
      </c>
      <c r="E1396" s="1542">
        <v>1956.95</v>
      </c>
    </row>
    <row r="1397" spans="1:5">
      <c r="A1397" s="1541">
        <v>42620</v>
      </c>
      <c r="B1397" s="1542">
        <v>15255.14</v>
      </c>
      <c r="C1397" s="1542">
        <v>181.45</v>
      </c>
      <c r="D1397" s="1542">
        <v>6818.59</v>
      </c>
      <c r="E1397" s="1542">
        <v>1954</v>
      </c>
    </row>
    <row r="1398" spans="1:5">
      <c r="A1398" s="1541">
        <v>42619</v>
      </c>
      <c r="B1398" s="1542">
        <v>15127.54</v>
      </c>
      <c r="C1398" s="1542">
        <v>179.48</v>
      </c>
      <c r="D1398" s="1542">
        <v>6811.26</v>
      </c>
      <c r="E1398" s="1542">
        <v>1948.28</v>
      </c>
    </row>
    <row r="1399" spans="1:5">
      <c r="A1399" s="1541">
        <v>42618</v>
      </c>
      <c r="B1399" s="1542">
        <v>14976.43</v>
      </c>
      <c r="C1399" s="1542">
        <v>178.39</v>
      </c>
      <c r="D1399" s="1542">
        <v>6777.81</v>
      </c>
      <c r="E1399" s="1542">
        <v>1919.03</v>
      </c>
    </row>
    <row r="1400" spans="1:5">
      <c r="A1400" s="1541">
        <v>42617</v>
      </c>
      <c r="B1400" s="1542"/>
      <c r="C1400" s="1542"/>
      <c r="D1400" s="1542"/>
      <c r="E1400" s="1542"/>
    </row>
    <row r="1401" spans="1:5">
      <c r="A1401" s="1541">
        <v>42616</v>
      </c>
      <c r="B1401" s="1542"/>
      <c r="C1401" s="1542"/>
      <c r="D1401" s="1542"/>
      <c r="E1401" s="1542"/>
    </row>
    <row r="1402" spans="1:5">
      <c r="A1402" s="1541">
        <v>42615</v>
      </c>
      <c r="B1402" s="1542">
        <v>14806.99</v>
      </c>
      <c r="C1402" s="1542">
        <v>177.05</v>
      </c>
      <c r="D1402" s="1542">
        <v>6766.88</v>
      </c>
      <c r="E1402" s="1542">
        <v>1897.89</v>
      </c>
    </row>
    <row r="1403" spans="1:5">
      <c r="A1403" s="1541">
        <v>42614</v>
      </c>
      <c r="B1403" s="1542">
        <v>14790.74</v>
      </c>
      <c r="C1403" s="1542">
        <v>179.65</v>
      </c>
      <c r="D1403" s="1542">
        <v>6723.5</v>
      </c>
      <c r="E1403" s="1542">
        <v>1878.96</v>
      </c>
    </row>
    <row r="1404" spans="1:5">
      <c r="A1404" s="1541">
        <v>42613</v>
      </c>
      <c r="B1404" s="1542">
        <v>14899.62</v>
      </c>
      <c r="C1404" s="1542">
        <v>180.09</v>
      </c>
      <c r="D1404" s="1542">
        <v>6707.42</v>
      </c>
      <c r="E1404" s="1542">
        <v>1883.8</v>
      </c>
    </row>
    <row r="1405" spans="1:5">
      <c r="A1405" s="1541">
        <v>42612</v>
      </c>
      <c r="B1405" s="1542">
        <v>14962.15</v>
      </c>
      <c r="C1405" s="1542">
        <v>179.92</v>
      </c>
      <c r="D1405" s="1542">
        <v>6722.66</v>
      </c>
      <c r="E1405" s="1542">
        <v>1894.61</v>
      </c>
    </row>
    <row r="1406" spans="1:5">
      <c r="A1406" s="1541">
        <v>42611</v>
      </c>
      <c r="B1406" s="1542">
        <v>14957.62</v>
      </c>
      <c r="C1406" s="1542">
        <v>179.39</v>
      </c>
      <c r="D1406" s="1542">
        <v>6729.49</v>
      </c>
      <c r="E1406" s="1542">
        <v>1888.32</v>
      </c>
    </row>
    <row r="1407" spans="1:5">
      <c r="A1407" s="1541">
        <v>42610</v>
      </c>
      <c r="B1407" s="1542"/>
      <c r="C1407" s="1542"/>
      <c r="D1407" s="1542"/>
      <c r="E1407" s="1542"/>
    </row>
    <row r="1408" spans="1:5">
      <c r="A1408" s="1541">
        <v>42609</v>
      </c>
      <c r="B1408" s="1542"/>
      <c r="C1408" s="1542"/>
      <c r="D1408" s="1542"/>
      <c r="E1408" s="1542"/>
    </row>
    <row r="1409" spans="1:5">
      <c r="A1409" s="1541">
        <v>42608</v>
      </c>
      <c r="B1409" s="1542">
        <v>14990.27</v>
      </c>
      <c r="C1409" s="1542">
        <v>179.43</v>
      </c>
      <c r="D1409" s="1542">
        <v>6730.35</v>
      </c>
      <c r="E1409" s="1542">
        <v>1899.7</v>
      </c>
    </row>
    <row r="1410" spans="1:5">
      <c r="A1410" s="1541">
        <v>42607</v>
      </c>
      <c r="B1410" s="1542">
        <v>14961.95</v>
      </c>
      <c r="C1410" s="1542">
        <v>179.79</v>
      </c>
      <c r="D1410" s="1542">
        <v>6734.94</v>
      </c>
      <c r="E1410" s="1542">
        <v>1892.63</v>
      </c>
    </row>
    <row r="1411" spans="1:5">
      <c r="A1411" s="1541">
        <v>42606</v>
      </c>
      <c r="B1411" s="1542">
        <v>14795.69</v>
      </c>
      <c r="C1411" s="1542">
        <v>178.77</v>
      </c>
      <c r="D1411" s="1542">
        <v>6749.75</v>
      </c>
      <c r="E1411" s="1542">
        <v>1889.78</v>
      </c>
    </row>
    <row r="1412" spans="1:5">
      <c r="A1412" s="1541">
        <v>42605</v>
      </c>
      <c r="B1412" s="1542">
        <v>14809.36</v>
      </c>
      <c r="C1412" s="1542">
        <v>178.88</v>
      </c>
      <c r="D1412" s="1542">
        <v>6778.11</v>
      </c>
      <c r="E1412" s="1542">
        <v>1909.99</v>
      </c>
    </row>
    <row r="1413" spans="1:5">
      <c r="A1413" s="1541">
        <v>42604</v>
      </c>
      <c r="B1413" s="1542">
        <v>14728.54</v>
      </c>
      <c r="C1413" s="1542">
        <v>177.42</v>
      </c>
      <c r="D1413" s="1542">
        <v>6754.72</v>
      </c>
      <c r="E1413" s="1542">
        <v>1905.09</v>
      </c>
    </row>
    <row r="1414" spans="1:5">
      <c r="A1414" s="1541">
        <v>42603</v>
      </c>
      <c r="B1414" s="1542"/>
      <c r="C1414" s="1542"/>
      <c r="D1414" s="1542"/>
      <c r="E1414" s="1542"/>
    </row>
    <row r="1415" spans="1:5">
      <c r="A1415" s="1541">
        <v>42602</v>
      </c>
      <c r="B1415" s="1542"/>
      <c r="C1415" s="1542"/>
      <c r="D1415" s="1542"/>
      <c r="E1415" s="1542"/>
    </row>
    <row r="1416" spans="1:5">
      <c r="A1416" s="1541">
        <v>42601</v>
      </c>
      <c r="B1416" s="1542">
        <v>14812.62</v>
      </c>
      <c r="C1416" s="1542">
        <v>178.97</v>
      </c>
      <c r="D1416" s="1542">
        <v>6751.59</v>
      </c>
      <c r="E1416" s="1542">
        <v>1917.93</v>
      </c>
    </row>
    <row r="1417" spans="1:5">
      <c r="A1417" s="1541">
        <v>42600</v>
      </c>
      <c r="B1417" s="1542">
        <v>14955.63</v>
      </c>
      <c r="C1417" s="1542">
        <v>179.53</v>
      </c>
      <c r="D1417" s="1542">
        <v>6770.36</v>
      </c>
      <c r="E1417" s="1542">
        <v>1930.7</v>
      </c>
    </row>
    <row r="1418" spans="1:5">
      <c r="A1418" s="1541">
        <v>42599</v>
      </c>
      <c r="B1418" s="1542">
        <v>14936.23</v>
      </c>
      <c r="C1418" s="1542">
        <v>178.27</v>
      </c>
      <c r="D1418" s="1542">
        <v>6749.46</v>
      </c>
      <c r="E1418" s="1542">
        <v>1916.18</v>
      </c>
    </row>
    <row r="1419" spans="1:5">
      <c r="A1419" s="1541">
        <v>42598</v>
      </c>
      <c r="B1419" s="1542">
        <v>14922.77</v>
      </c>
      <c r="C1419" s="1542">
        <v>179.8</v>
      </c>
      <c r="D1419" s="1542">
        <v>6745.1</v>
      </c>
      <c r="E1419" s="1542">
        <v>1928.64</v>
      </c>
    </row>
    <row r="1420" spans="1:5">
      <c r="A1420" s="1541">
        <v>42597</v>
      </c>
      <c r="B1420" s="1542">
        <v>14983.13</v>
      </c>
      <c r="C1420" s="1542">
        <v>179.57</v>
      </c>
      <c r="D1420" s="1542">
        <v>6777.43</v>
      </c>
      <c r="E1420" s="1542">
        <v>1929.2</v>
      </c>
    </row>
    <row r="1421" spans="1:5">
      <c r="A1421" s="1541">
        <v>42596</v>
      </c>
      <c r="B1421" s="1542"/>
      <c r="C1421" s="1542"/>
      <c r="D1421" s="1542"/>
      <c r="E1421" s="1542"/>
    </row>
    <row r="1422" spans="1:5">
      <c r="A1422" s="1541">
        <v>42595</v>
      </c>
      <c r="B1422" s="1542"/>
      <c r="C1422" s="1542"/>
      <c r="D1422" s="1542"/>
      <c r="E1422" s="1542"/>
    </row>
    <row r="1423" spans="1:5">
      <c r="A1423" s="1541">
        <v>42594</v>
      </c>
      <c r="B1423" s="1542">
        <v>14966.08</v>
      </c>
      <c r="C1423" s="1542">
        <v>179.47</v>
      </c>
      <c r="D1423" s="1542">
        <v>6763.84</v>
      </c>
      <c r="E1423" s="1542">
        <v>1916.31</v>
      </c>
    </row>
    <row r="1424" spans="1:5">
      <c r="A1424" s="1541">
        <v>42593</v>
      </c>
      <c r="B1424" s="1542">
        <v>14934.16</v>
      </c>
      <c r="C1424" s="1542">
        <v>178.97</v>
      </c>
      <c r="D1424" s="1542">
        <v>6761.99</v>
      </c>
      <c r="E1424" s="1542">
        <v>1910.98</v>
      </c>
    </row>
    <row r="1425" spans="1:5">
      <c r="A1425" s="1541">
        <v>42592</v>
      </c>
      <c r="B1425" s="1542">
        <v>15040.79</v>
      </c>
      <c r="C1425" s="1542">
        <v>179.59</v>
      </c>
      <c r="D1425" s="1542">
        <v>6726.42</v>
      </c>
      <c r="E1425" s="1542">
        <v>1901.14</v>
      </c>
    </row>
    <row r="1426" spans="1:5">
      <c r="A1426" s="1541">
        <v>42591</v>
      </c>
      <c r="B1426" s="1542">
        <v>14961.36</v>
      </c>
      <c r="C1426" s="1542">
        <v>179.24</v>
      </c>
      <c r="D1426" s="1542">
        <v>6728.96</v>
      </c>
      <c r="E1426" s="1542">
        <v>1894.21</v>
      </c>
    </row>
    <row r="1427" spans="1:5">
      <c r="A1427" s="1541">
        <v>42590</v>
      </c>
      <c r="B1427" s="1542">
        <v>14948.55</v>
      </c>
      <c r="C1427" s="1542">
        <v>181.29</v>
      </c>
      <c r="D1427" s="1542">
        <v>6695.28</v>
      </c>
      <c r="E1427" s="1542">
        <v>1885.09</v>
      </c>
    </row>
    <row r="1428" spans="1:5">
      <c r="A1428" s="1541">
        <v>42589</v>
      </c>
      <c r="B1428" s="1542"/>
      <c r="C1428" s="1542"/>
      <c r="D1428" s="1542"/>
      <c r="E1428" s="1542"/>
    </row>
    <row r="1429" spans="1:5">
      <c r="A1429" s="1541">
        <v>42588</v>
      </c>
      <c r="B1429" s="1542"/>
      <c r="C1429" s="1542"/>
      <c r="D1429" s="1542"/>
      <c r="E1429" s="1542"/>
    </row>
    <row r="1430" spans="1:5">
      <c r="A1430" s="1541">
        <v>42587</v>
      </c>
      <c r="B1430" s="1542">
        <v>14852.69</v>
      </c>
      <c r="C1430" s="1542">
        <v>181.76</v>
      </c>
      <c r="D1430" s="1542">
        <v>6682.22</v>
      </c>
      <c r="E1430" s="1542">
        <v>1863.98</v>
      </c>
    </row>
    <row r="1431" spans="1:5">
      <c r="A1431" s="1541">
        <v>42586</v>
      </c>
      <c r="B1431" s="1542">
        <v>14729.33</v>
      </c>
      <c r="C1431" s="1542">
        <v>180.88</v>
      </c>
      <c r="D1431" s="1542">
        <v>6647.05</v>
      </c>
      <c r="E1431" s="1542">
        <v>1843.72</v>
      </c>
    </row>
    <row r="1432" spans="1:5">
      <c r="A1432" s="1541">
        <v>42585</v>
      </c>
      <c r="B1432" s="1542">
        <v>14680.28</v>
      </c>
      <c r="C1432" s="1542">
        <v>180.17</v>
      </c>
      <c r="D1432" s="1542">
        <v>6628.67</v>
      </c>
      <c r="E1432" s="1542">
        <v>1826.91</v>
      </c>
    </row>
    <row r="1433" spans="1:5">
      <c r="A1433" s="1541">
        <v>42584</v>
      </c>
      <c r="B1433" s="1542">
        <v>14784.5</v>
      </c>
      <c r="C1433" s="1542">
        <v>180.61</v>
      </c>
      <c r="D1433" s="1542">
        <v>6639.37</v>
      </c>
      <c r="E1433" s="1542">
        <v>1844.89</v>
      </c>
    </row>
    <row r="1434" spans="1:5">
      <c r="A1434" s="1541">
        <v>42583</v>
      </c>
      <c r="B1434" s="1542">
        <v>14792.04</v>
      </c>
      <c r="C1434" s="1542">
        <v>180.15</v>
      </c>
      <c r="D1434" s="1542">
        <v>6682.44</v>
      </c>
      <c r="E1434" s="1542">
        <v>1856.84</v>
      </c>
    </row>
    <row r="1435" spans="1:5">
      <c r="A1435" s="1541">
        <v>42582</v>
      </c>
      <c r="B1435" s="1542"/>
      <c r="C1435" s="1542"/>
      <c r="D1435" s="1542"/>
      <c r="E1435" s="1542"/>
    </row>
    <row r="1436" spans="1:5">
      <c r="A1436" s="1541">
        <v>42581</v>
      </c>
      <c r="B1436" s="1542"/>
      <c r="C1436" s="1542"/>
      <c r="D1436" s="1542"/>
      <c r="E1436" s="1542"/>
    </row>
    <row r="1437" spans="1:5">
      <c r="A1437" s="1541">
        <v>42580</v>
      </c>
      <c r="B1437" s="1542">
        <v>14622.84</v>
      </c>
      <c r="C1437" s="1542">
        <v>178.79</v>
      </c>
      <c r="D1437" s="1542">
        <v>6698.47</v>
      </c>
      <c r="E1437" s="1542">
        <v>1837.52</v>
      </c>
    </row>
    <row r="1438" spans="1:5">
      <c r="A1438" s="1541">
        <v>42579</v>
      </c>
      <c r="B1438" s="1542">
        <v>14762.78</v>
      </c>
      <c r="C1438" s="1542">
        <v>178.58</v>
      </c>
      <c r="D1438" s="1542">
        <v>6643.15</v>
      </c>
      <c r="E1438" s="1542">
        <v>1841.61</v>
      </c>
    </row>
    <row r="1439" spans="1:5">
      <c r="A1439" s="1541">
        <v>42578</v>
      </c>
      <c r="B1439" s="1542">
        <v>14735.18</v>
      </c>
      <c r="C1439" s="1542">
        <v>178.76</v>
      </c>
      <c r="D1439" s="1542">
        <v>6637.8</v>
      </c>
      <c r="E1439" s="1542">
        <v>1838.39</v>
      </c>
    </row>
    <row r="1440" spans="1:5">
      <c r="A1440" s="1541">
        <v>42577</v>
      </c>
      <c r="B1440" s="1542">
        <v>14670.69</v>
      </c>
      <c r="C1440" s="1542">
        <v>179.16</v>
      </c>
      <c r="D1440" s="1542">
        <v>6635.89</v>
      </c>
      <c r="E1440" s="1542">
        <v>1831.37</v>
      </c>
    </row>
    <row r="1441" spans="1:5">
      <c r="A1441" s="1541">
        <v>42576</v>
      </c>
      <c r="B1441" s="1542">
        <v>14603.09</v>
      </c>
      <c r="C1441" s="1542">
        <v>178.16</v>
      </c>
      <c r="D1441" s="1542">
        <v>6627.76</v>
      </c>
      <c r="E1441" s="1542">
        <v>1827.75</v>
      </c>
    </row>
    <row r="1442" spans="1:5">
      <c r="A1442" s="1541">
        <v>42575</v>
      </c>
      <c r="B1442" s="1542"/>
      <c r="C1442" s="1542"/>
      <c r="D1442" s="1542"/>
      <c r="E1442" s="1542"/>
    </row>
    <row r="1443" spans="1:5">
      <c r="A1443" s="1541">
        <v>42574</v>
      </c>
      <c r="B1443" s="1542"/>
      <c r="C1443" s="1542"/>
      <c r="D1443" s="1542"/>
      <c r="E1443" s="1542"/>
    </row>
    <row r="1444" spans="1:5">
      <c r="A1444" s="1541">
        <v>42573</v>
      </c>
      <c r="B1444" s="1542">
        <v>14630.38</v>
      </c>
      <c r="C1444" s="1542">
        <v>178.9</v>
      </c>
      <c r="D1444" s="1542">
        <v>6639.47</v>
      </c>
      <c r="E1444" s="1542">
        <v>1828.06</v>
      </c>
    </row>
    <row r="1445" spans="1:5">
      <c r="A1445" s="1541">
        <v>42572</v>
      </c>
      <c r="B1445" s="1542">
        <v>14700.09</v>
      </c>
      <c r="C1445" s="1542">
        <v>179.09</v>
      </c>
      <c r="D1445" s="1542">
        <v>6633.2</v>
      </c>
      <c r="E1445" s="1542">
        <v>1831.98</v>
      </c>
    </row>
    <row r="1446" spans="1:5">
      <c r="A1446" s="1541">
        <v>42571</v>
      </c>
      <c r="B1446" s="1542">
        <v>14580.73</v>
      </c>
      <c r="C1446" s="1542">
        <v>178.01</v>
      </c>
      <c r="D1446" s="1542">
        <v>6640.57</v>
      </c>
      <c r="E1446" s="1542">
        <v>1830.64</v>
      </c>
    </row>
    <row r="1447" spans="1:5">
      <c r="A1447" s="1541">
        <v>42570</v>
      </c>
      <c r="B1447" s="1542">
        <v>14619.8</v>
      </c>
      <c r="C1447" s="1542">
        <v>178.66</v>
      </c>
      <c r="D1447" s="1542">
        <v>6606.64</v>
      </c>
      <c r="E1447" s="1542">
        <v>1825.06</v>
      </c>
    </row>
    <row r="1448" spans="1:5">
      <c r="A1448" s="1541">
        <v>42569</v>
      </c>
      <c r="B1448" s="1542">
        <v>14558.82</v>
      </c>
      <c r="C1448" s="1542">
        <v>178.77</v>
      </c>
      <c r="D1448" s="1542">
        <v>6626.8</v>
      </c>
      <c r="E1448" s="1542">
        <v>1828.34</v>
      </c>
    </row>
    <row r="1449" spans="1:5">
      <c r="A1449" s="1541">
        <v>42568</v>
      </c>
      <c r="B1449" s="1542"/>
      <c r="C1449" s="1542"/>
      <c r="D1449" s="1542"/>
      <c r="E1449" s="1542"/>
    </row>
    <row r="1450" spans="1:5">
      <c r="A1450" s="1541">
        <v>42567</v>
      </c>
      <c r="B1450" s="1542"/>
      <c r="C1450" s="1542"/>
      <c r="D1450" s="1542"/>
      <c r="E1450" s="1542"/>
    </row>
    <row r="1451" spans="1:5">
      <c r="A1451" s="1541">
        <v>42566</v>
      </c>
      <c r="B1451" s="1542">
        <v>14457.21</v>
      </c>
      <c r="C1451" s="1542">
        <v>177.41</v>
      </c>
      <c r="D1451" s="1542">
        <v>6613.57</v>
      </c>
      <c r="E1451" s="1542">
        <v>1823.42</v>
      </c>
    </row>
    <row r="1452" spans="1:5">
      <c r="A1452" s="1541">
        <v>42565</v>
      </c>
      <c r="B1452" s="1542">
        <v>14308.93</v>
      </c>
      <c r="C1452" s="1542">
        <v>175.84</v>
      </c>
      <c r="D1452" s="1542">
        <v>6623.9</v>
      </c>
      <c r="E1452" s="1542">
        <v>1818.56</v>
      </c>
    </row>
    <row r="1453" spans="1:5">
      <c r="A1453" s="1541">
        <v>42564</v>
      </c>
      <c r="B1453" s="1542">
        <v>14282.59</v>
      </c>
      <c r="C1453" s="1542">
        <v>175.33</v>
      </c>
      <c r="D1453" s="1542">
        <v>6589.39</v>
      </c>
      <c r="E1453" s="1542">
        <v>1798.18</v>
      </c>
    </row>
    <row r="1454" spans="1:5">
      <c r="A1454" s="1541">
        <v>42563</v>
      </c>
      <c r="B1454" s="1542">
        <v>14234.16</v>
      </c>
      <c r="C1454" s="1542">
        <v>174.61</v>
      </c>
      <c r="D1454" s="1542">
        <v>6574.64</v>
      </c>
      <c r="E1454" s="1542">
        <v>1793.03</v>
      </c>
    </row>
    <row r="1455" spans="1:5">
      <c r="A1455" s="1541">
        <v>42562</v>
      </c>
      <c r="B1455" s="1542">
        <v>14128.03</v>
      </c>
      <c r="C1455" s="1542">
        <v>173.73</v>
      </c>
      <c r="D1455" s="1542">
        <v>6518.09</v>
      </c>
      <c r="E1455" s="1542">
        <v>1777.08</v>
      </c>
    </row>
    <row r="1456" spans="1:5">
      <c r="A1456" s="1541">
        <v>42561</v>
      </c>
      <c r="B1456" s="1542"/>
      <c r="C1456" s="1542"/>
      <c r="D1456" s="1542"/>
      <c r="E1456" s="1542"/>
    </row>
    <row r="1457" spans="1:5">
      <c r="A1457" s="1541">
        <v>42560</v>
      </c>
      <c r="B1457" s="1542"/>
      <c r="C1457" s="1542"/>
      <c r="D1457" s="1542"/>
      <c r="E1457" s="1542"/>
    </row>
    <row r="1458" spans="1:5">
      <c r="A1458" s="1541">
        <v>42559</v>
      </c>
      <c r="B1458" s="1542"/>
      <c r="C1458" s="1542"/>
      <c r="D1458" s="1542">
        <v>6463.98</v>
      </c>
      <c r="E1458" s="1542">
        <v>1739.01</v>
      </c>
    </row>
    <row r="1459" spans="1:5">
      <c r="A1459" s="1541">
        <v>42558</v>
      </c>
      <c r="B1459" s="1542">
        <v>13888.96</v>
      </c>
      <c r="C1459" s="1542">
        <v>172.98</v>
      </c>
      <c r="D1459" s="1542">
        <v>6392.44</v>
      </c>
      <c r="E1459" s="1542">
        <v>1735.08</v>
      </c>
    </row>
    <row r="1460" spans="1:5">
      <c r="A1460" s="1541">
        <v>42557</v>
      </c>
      <c r="B1460" s="1542">
        <v>13766.24</v>
      </c>
      <c r="C1460" s="1542">
        <v>172.29</v>
      </c>
      <c r="D1460" s="1542">
        <v>6379.59</v>
      </c>
      <c r="E1460" s="1542">
        <v>1718.16</v>
      </c>
    </row>
    <row r="1461" spans="1:5">
      <c r="A1461" s="1541">
        <v>42556</v>
      </c>
      <c r="B1461" s="1542">
        <v>13977.7</v>
      </c>
      <c r="C1461" s="1542">
        <v>174.4</v>
      </c>
      <c r="D1461" s="1542">
        <v>6396.63</v>
      </c>
      <c r="E1461" s="1542">
        <v>1744.19</v>
      </c>
    </row>
    <row r="1462" spans="1:5">
      <c r="A1462" s="1541">
        <v>42555</v>
      </c>
      <c r="B1462" s="1542">
        <v>14044.9</v>
      </c>
      <c r="C1462" s="1542">
        <v>173.9</v>
      </c>
      <c r="D1462" s="1542">
        <v>6455.95</v>
      </c>
      <c r="E1462" s="1542">
        <v>1768.31</v>
      </c>
    </row>
    <row r="1463" spans="1:5">
      <c r="A1463" s="1541">
        <v>42554</v>
      </c>
      <c r="B1463" s="1542"/>
      <c r="C1463" s="1542"/>
      <c r="D1463" s="1542"/>
      <c r="E1463" s="1542"/>
    </row>
    <row r="1464" spans="1:5">
      <c r="A1464" s="1541">
        <v>42553</v>
      </c>
      <c r="B1464" s="1542"/>
      <c r="C1464" s="1542"/>
      <c r="D1464" s="1542"/>
      <c r="E1464" s="1542"/>
    </row>
    <row r="1465" spans="1:5">
      <c r="A1465" s="1541">
        <v>42552</v>
      </c>
      <c r="B1465" s="1542">
        <v>13986.37</v>
      </c>
      <c r="C1465" s="1542">
        <v>173.52</v>
      </c>
      <c r="D1465" s="1542">
        <v>6453.42</v>
      </c>
      <c r="E1465" s="1542">
        <v>1759.42</v>
      </c>
    </row>
    <row r="1466" spans="1:5">
      <c r="A1466" s="1541">
        <v>42551</v>
      </c>
      <c r="B1466" s="1542">
        <v>13869.89</v>
      </c>
      <c r="C1466" s="1542">
        <v>173.3</v>
      </c>
      <c r="D1466" s="1542">
        <v>6425.28</v>
      </c>
      <c r="E1466" s="1542">
        <v>1748.52</v>
      </c>
    </row>
    <row r="1467" spans="1:5">
      <c r="A1467" s="1541">
        <v>42550</v>
      </c>
      <c r="B1467" s="1542">
        <v>13728.77</v>
      </c>
      <c r="C1467" s="1542">
        <v>172.01</v>
      </c>
      <c r="D1467" s="1542">
        <v>6351.73</v>
      </c>
      <c r="E1467" s="1542">
        <v>1722.31</v>
      </c>
    </row>
    <row r="1468" spans="1:5">
      <c r="A1468" s="1541">
        <v>42549</v>
      </c>
      <c r="B1468" s="1542">
        <v>13596.83</v>
      </c>
      <c r="C1468" s="1542">
        <v>170.76</v>
      </c>
      <c r="D1468" s="1542">
        <v>6213.76</v>
      </c>
      <c r="E1468" s="1542">
        <v>1685.25</v>
      </c>
    </row>
    <row r="1469" spans="1:5">
      <c r="A1469" s="1541">
        <v>42548</v>
      </c>
      <c r="B1469" s="1542">
        <v>13520.95</v>
      </c>
      <c r="C1469" s="1542">
        <v>169.37</v>
      </c>
      <c r="D1469" s="1542">
        <v>6105.5</v>
      </c>
      <c r="E1469" s="1542">
        <v>1662.71</v>
      </c>
    </row>
    <row r="1470" spans="1:5">
      <c r="A1470" s="1541">
        <v>42547</v>
      </c>
      <c r="B1470" s="1542"/>
      <c r="C1470" s="1542"/>
      <c r="D1470" s="1542"/>
      <c r="E1470" s="1542"/>
    </row>
    <row r="1471" spans="1:5">
      <c r="A1471" s="1541">
        <v>42546</v>
      </c>
      <c r="B1471" s="1542"/>
      <c r="C1471" s="1542"/>
      <c r="D1471" s="1542"/>
      <c r="E1471" s="1542"/>
    </row>
    <row r="1472" spans="1:5">
      <c r="A1472" s="1541">
        <v>42545</v>
      </c>
      <c r="B1472" s="1542">
        <v>13436.89</v>
      </c>
      <c r="C1472" s="1542">
        <v>168.2</v>
      </c>
      <c r="D1472" s="1542">
        <v>6249.3</v>
      </c>
      <c r="E1472" s="1542">
        <v>1683.59</v>
      </c>
    </row>
    <row r="1473" spans="1:5">
      <c r="A1473" s="1541">
        <v>42544</v>
      </c>
      <c r="B1473" s="1542">
        <v>13751.3</v>
      </c>
      <c r="C1473" s="1542">
        <v>173.21</v>
      </c>
      <c r="D1473" s="1542">
        <v>6571.5</v>
      </c>
      <c r="E1473" s="1542">
        <v>1745.19</v>
      </c>
    </row>
    <row r="1474" spans="1:5">
      <c r="A1474" s="1541">
        <v>42543</v>
      </c>
      <c r="B1474" s="1542">
        <v>13807.06</v>
      </c>
      <c r="C1474" s="1542">
        <v>173.65</v>
      </c>
      <c r="D1474" s="1542">
        <v>6478.57</v>
      </c>
      <c r="E1474" s="1542">
        <v>1732.11</v>
      </c>
    </row>
    <row r="1475" spans="1:5">
      <c r="A1475" s="1541">
        <v>42542</v>
      </c>
      <c r="B1475" s="1542">
        <v>13756.79</v>
      </c>
      <c r="C1475" s="1542">
        <v>173.43</v>
      </c>
      <c r="D1475" s="1542">
        <v>6481.84</v>
      </c>
      <c r="E1475" s="1542">
        <v>1721.91</v>
      </c>
    </row>
    <row r="1476" spans="1:5">
      <c r="A1476" s="1541">
        <v>42541</v>
      </c>
      <c r="B1476" s="1542">
        <v>13661.23</v>
      </c>
      <c r="C1476" s="1542">
        <v>172.82</v>
      </c>
      <c r="D1476" s="1542">
        <v>6463.28</v>
      </c>
      <c r="E1476" s="1542">
        <v>1712.83</v>
      </c>
    </row>
    <row r="1477" spans="1:5">
      <c r="A1477" s="1541">
        <v>42540</v>
      </c>
      <c r="B1477" s="1542"/>
      <c r="C1477" s="1542"/>
      <c r="D1477" s="1542"/>
      <c r="E1477" s="1542"/>
    </row>
    <row r="1478" spans="1:5">
      <c r="A1478" s="1541">
        <v>42539</v>
      </c>
      <c r="B1478" s="1542"/>
      <c r="C1478" s="1542"/>
      <c r="D1478" s="1542"/>
      <c r="E1478" s="1542"/>
    </row>
    <row r="1479" spans="1:5">
      <c r="A1479" s="1541">
        <v>42538</v>
      </c>
      <c r="B1479" s="1542">
        <v>13569.18</v>
      </c>
      <c r="C1479" s="1542">
        <v>171.76</v>
      </c>
      <c r="D1479" s="1542">
        <v>6352.61</v>
      </c>
      <c r="E1479" s="1542">
        <v>1681.32</v>
      </c>
    </row>
    <row r="1480" spans="1:5">
      <c r="A1480" s="1541">
        <v>42537</v>
      </c>
      <c r="B1480" s="1542">
        <v>13452.09</v>
      </c>
      <c r="C1480" s="1542">
        <v>170.67</v>
      </c>
      <c r="D1480" s="1542">
        <v>6322.55</v>
      </c>
      <c r="E1480" s="1542">
        <v>1667.87</v>
      </c>
    </row>
    <row r="1481" spans="1:5">
      <c r="A1481" s="1541">
        <v>42536</v>
      </c>
      <c r="B1481" s="1542">
        <v>13629.59</v>
      </c>
      <c r="C1481" s="1542">
        <v>171.06</v>
      </c>
      <c r="D1481" s="1542">
        <v>6343.8</v>
      </c>
      <c r="E1481" s="1542">
        <v>1684.3</v>
      </c>
    </row>
    <row r="1482" spans="1:5">
      <c r="A1482" s="1541">
        <v>42535</v>
      </c>
      <c r="B1482" s="1542">
        <v>13581.06</v>
      </c>
      <c r="C1482" s="1542">
        <v>170.24</v>
      </c>
      <c r="D1482" s="1542">
        <v>6330.42</v>
      </c>
      <c r="E1482" s="1542">
        <v>1673.53</v>
      </c>
    </row>
    <row r="1483" spans="1:5">
      <c r="A1483" s="1541">
        <v>42534</v>
      </c>
      <c r="B1483" s="1542">
        <v>13517.66</v>
      </c>
      <c r="C1483" s="1542">
        <v>169.02</v>
      </c>
      <c r="D1483" s="1542">
        <v>6389.11</v>
      </c>
      <c r="E1483" s="1542">
        <v>1686.8</v>
      </c>
    </row>
    <row r="1484" spans="1:5">
      <c r="A1484" s="1541">
        <v>42533</v>
      </c>
      <c r="B1484" s="1542"/>
      <c r="C1484" s="1542"/>
      <c r="D1484" s="1542"/>
      <c r="E1484" s="1542"/>
    </row>
    <row r="1485" spans="1:5">
      <c r="A1485" s="1541">
        <v>42532</v>
      </c>
      <c r="B1485" s="1542"/>
      <c r="C1485" s="1542"/>
      <c r="D1485" s="1542"/>
      <c r="E1485" s="1542"/>
    </row>
    <row r="1486" spans="1:5">
      <c r="A1486" s="1541">
        <v>42531</v>
      </c>
      <c r="B1486" s="1542"/>
      <c r="C1486" s="1542"/>
      <c r="D1486" s="1542">
        <v>6463.93</v>
      </c>
      <c r="E1486" s="1542">
        <v>1716.54</v>
      </c>
    </row>
    <row r="1487" spans="1:5">
      <c r="A1487" s="1541">
        <v>42530</v>
      </c>
      <c r="B1487" s="1542"/>
      <c r="C1487" s="1542"/>
      <c r="D1487" s="1542">
        <v>6554.8</v>
      </c>
      <c r="E1487" s="1542">
        <v>1743.62</v>
      </c>
    </row>
    <row r="1488" spans="1:5">
      <c r="A1488" s="1541">
        <v>42529</v>
      </c>
      <c r="B1488" s="1542">
        <v>13801.32</v>
      </c>
      <c r="C1488" s="1542">
        <v>170.96</v>
      </c>
      <c r="D1488" s="1542">
        <v>6594.91</v>
      </c>
      <c r="E1488" s="1542">
        <v>1754.56</v>
      </c>
    </row>
    <row r="1489" spans="1:5">
      <c r="A1489" s="1541">
        <v>42528</v>
      </c>
      <c r="B1489" s="1542">
        <v>13744.93</v>
      </c>
      <c r="C1489" s="1542">
        <v>171.43</v>
      </c>
      <c r="D1489" s="1542">
        <v>6574.61</v>
      </c>
      <c r="E1489" s="1542">
        <v>1740.47</v>
      </c>
    </row>
    <row r="1490" spans="1:5">
      <c r="A1490" s="1541">
        <v>42527</v>
      </c>
      <c r="B1490" s="1542">
        <v>13613.81</v>
      </c>
      <c r="C1490" s="1542">
        <v>170.97</v>
      </c>
      <c r="D1490" s="1542">
        <v>6543.7</v>
      </c>
      <c r="E1490" s="1542">
        <v>1713.83</v>
      </c>
    </row>
    <row r="1491" spans="1:5">
      <c r="A1491" s="1541">
        <v>42526</v>
      </c>
      <c r="B1491" s="1542"/>
      <c r="C1491" s="1542"/>
      <c r="D1491" s="1542"/>
      <c r="E1491" s="1542"/>
    </row>
    <row r="1492" spans="1:5">
      <c r="A1492" s="1541">
        <v>42525</v>
      </c>
      <c r="B1492" s="1542">
        <v>13605.05</v>
      </c>
      <c r="C1492" s="1542">
        <v>172.47</v>
      </c>
      <c r="D1492" s="1542"/>
      <c r="E1492" s="1542"/>
    </row>
    <row r="1493" spans="1:5">
      <c r="A1493" s="1541">
        <v>42524</v>
      </c>
      <c r="B1493" s="1542">
        <v>13598.38</v>
      </c>
      <c r="C1493" s="1542">
        <v>172.16</v>
      </c>
      <c r="D1493" s="1542">
        <v>6512.78</v>
      </c>
      <c r="E1493" s="1542">
        <v>1698.76</v>
      </c>
    </row>
    <row r="1494" spans="1:5">
      <c r="A1494" s="1541">
        <v>42523</v>
      </c>
      <c r="B1494" s="1542">
        <v>13544.71</v>
      </c>
      <c r="C1494" s="1542">
        <v>171.98</v>
      </c>
      <c r="D1494" s="1542">
        <v>6494</v>
      </c>
      <c r="E1494" s="1542">
        <v>1684.26</v>
      </c>
    </row>
    <row r="1495" spans="1:5">
      <c r="A1495" s="1541">
        <v>42522</v>
      </c>
      <c r="B1495" s="1542">
        <v>13609.6</v>
      </c>
      <c r="C1495" s="1542">
        <v>174.16</v>
      </c>
      <c r="D1495" s="1542">
        <v>6488.96</v>
      </c>
      <c r="E1495" s="1542">
        <v>1679.33</v>
      </c>
    </row>
    <row r="1496" spans="1:5">
      <c r="A1496" s="1541">
        <v>42521</v>
      </c>
      <c r="B1496" s="1542">
        <v>13512.13</v>
      </c>
      <c r="C1496" s="1542">
        <v>173.64</v>
      </c>
      <c r="D1496" s="1542">
        <v>6494.94</v>
      </c>
      <c r="E1496" s="1542">
        <v>1679.74</v>
      </c>
    </row>
    <row r="1497" spans="1:5">
      <c r="A1497" s="1541">
        <v>42520</v>
      </c>
      <c r="B1497" s="1542">
        <v>13512.57</v>
      </c>
      <c r="C1497" s="1542">
        <v>172.89</v>
      </c>
      <c r="D1497" s="1542">
        <v>6503.16</v>
      </c>
      <c r="E1497" s="1542">
        <v>1680.03</v>
      </c>
    </row>
    <row r="1498" spans="1:5">
      <c r="A1498" s="1541">
        <v>42519</v>
      </c>
      <c r="B1498" s="1542"/>
      <c r="C1498" s="1542"/>
      <c r="D1498" s="1542"/>
      <c r="E1498" s="1542"/>
    </row>
    <row r="1499" spans="1:5">
      <c r="A1499" s="1541">
        <v>42518</v>
      </c>
      <c r="B1499" s="1542"/>
      <c r="C1499" s="1542"/>
      <c r="D1499" s="1542"/>
      <c r="E1499" s="1542"/>
    </row>
    <row r="1500" spans="1:5">
      <c r="A1500" s="1541">
        <v>42517</v>
      </c>
      <c r="B1500" s="1542">
        <v>13398.19</v>
      </c>
      <c r="C1500" s="1542">
        <v>170.31</v>
      </c>
      <c r="D1500" s="1542">
        <v>6499.99</v>
      </c>
      <c r="E1500" s="1542">
        <v>1680.91</v>
      </c>
    </row>
    <row r="1501" spans="1:5">
      <c r="A1501" s="1541">
        <v>42516</v>
      </c>
      <c r="B1501" s="1542">
        <v>13288.09</v>
      </c>
      <c r="C1501" s="1542">
        <v>169.32</v>
      </c>
      <c r="D1501" s="1542">
        <v>6483.6</v>
      </c>
      <c r="E1501" s="1542">
        <v>1669.68</v>
      </c>
    </row>
    <row r="1502" spans="1:5">
      <c r="A1502" s="1541">
        <v>42515</v>
      </c>
      <c r="B1502" s="1542">
        <v>13291.38</v>
      </c>
      <c r="C1502" s="1542">
        <v>168.62</v>
      </c>
      <c r="D1502" s="1542">
        <v>6469.93</v>
      </c>
      <c r="E1502" s="1542">
        <v>1662.89</v>
      </c>
    </row>
    <row r="1503" spans="1:5">
      <c r="A1503" s="1541">
        <v>42514</v>
      </c>
      <c r="B1503" s="1542">
        <v>13140.13</v>
      </c>
      <c r="C1503" s="1542">
        <v>167.16</v>
      </c>
      <c r="D1503" s="1542">
        <v>6413.04</v>
      </c>
      <c r="E1503" s="1542">
        <v>1638.47</v>
      </c>
    </row>
    <row r="1504" spans="1:5">
      <c r="A1504" s="1541">
        <v>42513</v>
      </c>
      <c r="B1504" s="1542">
        <v>13209.44</v>
      </c>
      <c r="C1504" s="1542">
        <v>167.2</v>
      </c>
      <c r="D1504" s="1542">
        <v>6340.11</v>
      </c>
      <c r="E1504" s="1542">
        <v>1640.19</v>
      </c>
    </row>
    <row r="1505" spans="1:5">
      <c r="A1505" s="1541">
        <v>42512</v>
      </c>
      <c r="B1505" s="1542"/>
      <c r="C1505" s="1542"/>
      <c r="D1505" s="1542"/>
      <c r="E1505" s="1542"/>
    </row>
    <row r="1506" spans="1:5">
      <c r="A1506" s="1541">
        <v>42511</v>
      </c>
      <c r="B1506" s="1542"/>
      <c r="C1506" s="1542"/>
      <c r="D1506" s="1542"/>
      <c r="E1506" s="1542"/>
    </row>
    <row r="1507" spans="1:5">
      <c r="A1507" s="1541">
        <v>42510</v>
      </c>
      <c r="B1507" s="1542">
        <v>12871.97</v>
      </c>
      <c r="C1507" s="1542">
        <v>163.84</v>
      </c>
      <c r="D1507" s="1542">
        <v>6354.85</v>
      </c>
      <c r="E1507" s="1542">
        <v>1632.43</v>
      </c>
    </row>
    <row r="1508" spans="1:5">
      <c r="A1508" s="1541">
        <v>42509</v>
      </c>
      <c r="B1508" s="1542">
        <v>12816.12</v>
      </c>
      <c r="C1508" s="1542">
        <v>162.96</v>
      </c>
      <c r="D1508" s="1542">
        <v>6306.7</v>
      </c>
      <c r="E1508" s="1542">
        <v>1625.08</v>
      </c>
    </row>
    <row r="1509" spans="1:5">
      <c r="A1509" s="1541">
        <v>42508</v>
      </c>
      <c r="B1509" s="1542">
        <v>12916.95</v>
      </c>
      <c r="C1509" s="1542">
        <v>164.38</v>
      </c>
      <c r="D1509" s="1542">
        <v>6357.27</v>
      </c>
      <c r="E1509" s="1542">
        <v>1650.73</v>
      </c>
    </row>
    <row r="1510" spans="1:5">
      <c r="A1510" s="1541">
        <v>42507</v>
      </c>
      <c r="B1510" s="1542">
        <v>12886.55</v>
      </c>
      <c r="C1510" s="1542">
        <v>163.57</v>
      </c>
      <c r="D1510" s="1542">
        <v>6358.24</v>
      </c>
      <c r="E1510" s="1542">
        <v>1665.96</v>
      </c>
    </row>
    <row r="1511" spans="1:5">
      <c r="A1511" s="1541">
        <v>42506</v>
      </c>
      <c r="B1511" s="1542">
        <v>12771.19</v>
      </c>
      <c r="C1511" s="1542">
        <v>160.71</v>
      </c>
      <c r="D1511" s="1542">
        <v>6382.58</v>
      </c>
      <c r="E1511" s="1542">
        <v>1657.11</v>
      </c>
    </row>
    <row r="1512" spans="1:5">
      <c r="A1512" s="1541">
        <v>42505</v>
      </c>
      <c r="B1512" s="1542"/>
      <c r="C1512" s="1542"/>
      <c r="D1512" s="1542"/>
      <c r="E1512" s="1542"/>
    </row>
    <row r="1513" spans="1:5">
      <c r="A1513" s="1541">
        <v>42504</v>
      </c>
      <c r="B1513" s="1542"/>
      <c r="C1513" s="1542"/>
      <c r="D1513" s="1542"/>
      <c r="E1513" s="1542"/>
    </row>
    <row r="1514" spans="1:5">
      <c r="A1514" s="1541">
        <v>42503</v>
      </c>
      <c r="B1514" s="1542">
        <v>12749.18</v>
      </c>
      <c r="C1514" s="1542">
        <v>159.44999999999999</v>
      </c>
      <c r="D1514" s="1542">
        <v>6332.82</v>
      </c>
      <c r="E1514" s="1542">
        <v>1654.26</v>
      </c>
    </row>
    <row r="1515" spans="1:5">
      <c r="A1515" s="1541">
        <v>42502</v>
      </c>
      <c r="B1515" s="1542">
        <v>12835.23</v>
      </c>
      <c r="C1515" s="1542">
        <v>158.83000000000001</v>
      </c>
      <c r="D1515" s="1542">
        <v>6385.73</v>
      </c>
      <c r="E1515" s="1542">
        <v>1676.22</v>
      </c>
    </row>
    <row r="1516" spans="1:5">
      <c r="A1516" s="1541">
        <v>42501</v>
      </c>
      <c r="B1516" s="1542">
        <v>12878.78</v>
      </c>
      <c r="C1516" s="1542">
        <v>162.21</v>
      </c>
      <c r="D1516" s="1542">
        <v>6396.63</v>
      </c>
      <c r="E1516" s="1542">
        <v>1678.81</v>
      </c>
    </row>
    <row r="1517" spans="1:5">
      <c r="A1517" s="1541">
        <v>42500</v>
      </c>
      <c r="B1517" s="1542">
        <v>12911.48</v>
      </c>
      <c r="C1517" s="1542">
        <v>162.94999999999999</v>
      </c>
      <c r="D1517" s="1542">
        <v>6428.95</v>
      </c>
      <c r="E1517" s="1542">
        <v>1676.61</v>
      </c>
    </row>
    <row r="1518" spans="1:5">
      <c r="A1518" s="1541">
        <v>42499</v>
      </c>
      <c r="B1518" s="1542">
        <v>12872.76</v>
      </c>
      <c r="C1518" s="1542">
        <v>162.30000000000001</v>
      </c>
      <c r="D1518" s="1542">
        <v>6352.75</v>
      </c>
      <c r="E1518" s="1542">
        <v>1663.9</v>
      </c>
    </row>
    <row r="1519" spans="1:5">
      <c r="A1519" s="1541">
        <v>42498</v>
      </c>
      <c r="B1519" s="1542"/>
      <c r="C1519" s="1542"/>
      <c r="D1519" s="1542"/>
      <c r="E1519" s="1542"/>
    </row>
    <row r="1520" spans="1:5">
      <c r="A1520" s="1541">
        <v>42497</v>
      </c>
      <c r="B1520" s="1542"/>
      <c r="C1520" s="1542"/>
      <c r="D1520" s="1542"/>
      <c r="E1520" s="1542"/>
    </row>
    <row r="1521" spans="1:5">
      <c r="A1521" s="1541">
        <v>42496</v>
      </c>
      <c r="B1521" s="1542">
        <v>12895.87</v>
      </c>
      <c r="C1521" s="1542">
        <v>164.47</v>
      </c>
      <c r="D1521" s="1542">
        <v>6353.35</v>
      </c>
      <c r="E1521" s="1542">
        <v>1672.94</v>
      </c>
    </row>
    <row r="1522" spans="1:5">
      <c r="A1522" s="1541">
        <v>42495</v>
      </c>
      <c r="B1522" s="1542">
        <v>12929.43</v>
      </c>
      <c r="C1522" s="1542">
        <v>165.98</v>
      </c>
      <c r="D1522" s="1542">
        <v>6344.36</v>
      </c>
      <c r="E1522" s="1542">
        <v>1681.45</v>
      </c>
    </row>
    <row r="1523" spans="1:5">
      <c r="A1523" s="1541">
        <v>42494</v>
      </c>
      <c r="B1523" s="1542">
        <v>12957.15</v>
      </c>
      <c r="C1523" s="1542">
        <v>165.27</v>
      </c>
      <c r="D1523" s="1542">
        <v>6352.48</v>
      </c>
      <c r="E1523" s="1542">
        <v>1689.84</v>
      </c>
    </row>
    <row r="1524" spans="1:5">
      <c r="A1524" s="1541">
        <v>42493</v>
      </c>
      <c r="B1524" s="1542">
        <v>13129.04</v>
      </c>
      <c r="C1524" s="1542">
        <v>166.66</v>
      </c>
      <c r="D1524" s="1542">
        <v>6407.65</v>
      </c>
      <c r="E1524" s="1542">
        <v>1705.32</v>
      </c>
    </row>
    <row r="1525" spans="1:5">
      <c r="A1525" s="1541">
        <v>42492</v>
      </c>
      <c r="B1525" s="1542"/>
      <c r="C1525" s="1542"/>
      <c r="D1525" s="1542">
        <v>6472.8</v>
      </c>
      <c r="E1525" s="1542">
        <v>1735.28</v>
      </c>
    </row>
    <row r="1526" spans="1:5">
      <c r="A1526" s="1541">
        <v>42491</v>
      </c>
      <c r="B1526" s="1542"/>
      <c r="C1526" s="1542"/>
      <c r="D1526" s="1542"/>
      <c r="E1526" s="1542"/>
    </row>
    <row r="1527" spans="1:5">
      <c r="A1527" s="1541">
        <v>42490</v>
      </c>
      <c r="B1527" s="1542"/>
      <c r="C1527" s="1542"/>
      <c r="D1527" s="1542"/>
      <c r="E1527" s="1542"/>
    </row>
    <row r="1528" spans="1:5">
      <c r="A1528" s="1541">
        <v>42489</v>
      </c>
      <c r="B1528" s="1542">
        <v>13261.65</v>
      </c>
      <c r="C1528" s="1542">
        <v>167.65</v>
      </c>
      <c r="D1528" s="1542">
        <v>6452.78</v>
      </c>
      <c r="E1528" s="1542">
        <v>1744.47</v>
      </c>
    </row>
    <row r="1529" spans="1:5">
      <c r="A1529" s="1541">
        <v>42488</v>
      </c>
      <c r="B1529" s="1542">
        <v>13413.57</v>
      </c>
      <c r="C1529" s="1542">
        <v>168.93</v>
      </c>
      <c r="D1529" s="1542">
        <v>6477.1</v>
      </c>
      <c r="E1529" s="1542">
        <v>1752.39</v>
      </c>
    </row>
    <row r="1530" spans="1:5">
      <c r="A1530" s="1541">
        <v>42487</v>
      </c>
      <c r="B1530" s="1542">
        <v>13554.74</v>
      </c>
      <c r="C1530" s="1542">
        <v>169.49</v>
      </c>
      <c r="D1530" s="1542">
        <v>6508.14</v>
      </c>
      <c r="E1530" s="1542">
        <v>1750.34</v>
      </c>
    </row>
    <row r="1531" spans="1:5">
      <c r="A1531" s="1541">
        <v>42486</v>
      </c>
      <c r="B1531" s="1542">
        <v>13584.04</v>
      </c>
      <c r="C1531" s="1542">
        <v>170.61</v>
      </c>
      <c r="D1531" s="1542">
        <v>6505.99</v>
      </c>
      <c r="E1531" s="1542">
        <v>1749.14</v>
      </c>
    </row>
    <row r="1532" spans="1:5">
      <c r="A1532" s="1541">
        <v>42485</v>
      </c>
      <c r="B1532" s="1542">
        <v>13550.35</v>
      </c>
      <c r="C1532" s="1542">
        <v>169.47</v>
      </c>
      <c r="D1532" s="1542">
        <v>6493.52</v>
      </c>
      <c r="E1532" s="1542">
        <v>1741.95</v>
      </c>
    </row>
    <row r="1533" spans="1:5">
      <c r="A1533" s="1541">
        <v>42484</v>
      </c>
      <c r="B1533" s="1542"/>
      <c r="C1533" s="1542"/>
      <c r="D1533" s="1542"/>
      <c r="E1533" s="1542"/>
    </row>
    <row r="1534" spans="1:5">
      <c r="A1534" s="1541">
        <v>42483</v>
      </c>
      <c r="B1534" s="1542"/>
      <c r="C1534" s="1542"/>
      <c r="D1534" s="1542"/>
      <c r="E1534" s="1542"/>
    </row>
    <row r="1535" spans="1:5">
      <c r="A1535" s="1541">
        <v>42482</v>
      </c>
      <c r="B1535" s="1542">
        <v>13511.51</v>
      </c>
      <c r="C1535" s="1542">
        <v>169.27</v>
      </c>
      <c r="D1535" s="1542">
        <v>6506.66</v>
      </c>
      <c r="E1535" s="1542">
        <v>1754.37</v>
      </c>
    </row>
    <row r="1536" spans="1:5">
      <c r="A1536" s="1541">
        <v>42481</v>
      </c>
      <c r="B1536" s="1542">
        <v>13563.59</v>
      </c>
      <c r="C1536" s="1542">
        <v>172.03</v>
      </c>
      <c r="D1536" s="1542">
        <v>6522.74</v>
      </c>
      <c r="E1536" s="1542">
        <v>1771.85</v>
      </c>
    </row>
    <row r="1537" spans="1:5">
      <c r="A1537" s="1541">
        <v>42480</v>
      </c>
      <c r="B1537" s="1542">
        <v>13477.84</v>
      </c>
      <c r="C1537" s="1542">
        <v>171.26</v>
      </c>
      <c r="D1537" s="1542">
        <v>6539.68</v>
      </c>
      <c r="E1537" s="1542">
        <v>1762.91</v>
      </c>
    </row>
    <row r="1538" spans="1:5">
      <c r="A1538" s="1541">
        <v>42479</v>
      </c>
      <c r="B1538" s="1542">
        <v>13666.6</v>
      </c>
      <c r="C1538" s="1542">
        <v>172.8</v>
      </c>
      <c r="D1538" s="1542">
        <v>6531.22</v>
      </c>
      <c r="E1538" s="1542">
        <v>1769.71</v>
      </c>
    </row>
    <row r="1539" spans="1:5">
      <c r="A1539" s="1541">
        <v>42478</v>
      </c>
      <c r="B1539" s="1542">
        <v>13717.71</v>
      </c>
      <c r="C1539" s="1542">
        <v>172.63</v>
      </c>
      <c r="D1539" s="1542">
        <v>6463.16</v>
      </c>
      <c r="E1539" s="1542">
        <v>1750.88</v>
      </c>
    </row>
    <row r="1540" spans="1:5">
      <c r="A1540" s="1541">
        <v>42477</v>
      </c>
      <c r="B1540" s="1542"/>
      <c r="C1540" s="1542"/>
      <c r="D1540" s="1542"/>
      <c r="E1540" s="1542"/>
    </row>
    <row r="1541" spans="1:5">
      <c r="A1541" s="1541">
        <v>42476</v>
      </c>
      <c r="B1541" s="1542"/>
      <c r="C1541" s="1542"/>
      <c r="D1541" s="1542"/>
      <c r="E1541" s="1542"/>
    </row>
    <row r="1542" spans="1:5">
      <c r="A1542" s="1541">
        <v>42475</v>
      </c>
      <c r="B1542" s="1542">
        <v>13772.14</v>
      </c>
      <c r="C1542" s="1542">
        <v>172.51</v>
      </c>
      <c r="D1542" s="1542">
        <v>6444.17</v>
      </c>
      <c r="E1542" s="1542">
        <v>1756.77</v>
      </c>
    </row>
    <row r="1543" spans="1:5">
      <c r="A1543" s="1541">
        <v>42474</v>
      </c>
      <c r="B1543" s="1542">
        <v>13720.4</v>
      </c>
      <c r="C1543" s="1542">
        <v>172.54</v>
      </c>
      <c r="D1543" s="1542">
        <v>6449.68</v>
      </c>
      <c r="E1543" s="1542">
        <v>1754.14</v>
      </c>
    </row>
    <row r="1544" spans="1:5">
      <c r="A1544" s="1541">
        <v>42473</v>
      </c>
      <c r="B1544" s="1542">
        <v>13695.67</v>
      </c>
      <c r="C1544" s="1542">
        <v>172.21</v>
      </c>
      <c r="D1544" s="1542">
        <v>6426.36</v>
      </c>
      <c r="E1544" s="1542">
        <v>1751.26</v>
      </c>
    </row>
    <row r="1545" spans="1:5">
      <c r="A1545" s="1541">
        <v>42472</v>
      </c>
      <c r="B1545" s="1542">
        <v>13504.28</v>
      </c>
      <c r="C1545" s="1542">
        <v>170.05</v>
      </c>
      <c r="D1545" s="1542">
        <v>6340.85</v>
      </c>
      <c r="E1545" s="1542">
        <v>1723.7</v>
      </c>
    </row>
    <row r="1546" spans="1:5">
      <c r="A1546" s="1541">
        <v>42471</v>
      </c>
      <c r="B1546" s="1542">
        <v>13554</v>
      </c>
      <c r="C1546" s="1542">
        <v>173.51</v>
      </c>
      <c r="D1546" s="1542">
        <v>6294.07</v>
      </c>
      <c r="E1546" s="1542">
        <v>1709.35</v>
      </c>
    </row>
    <row r="1547" spans="1:5">
      <c r="A1547" s="1541">
        <v>42470</v>
      </c>
      <c r="B1547" s="1542"/>
      <c r="C1547" s="1542"/>
      <c r="D1547" s="1542"/>
      <c r="E1547" s="1542"/>
    </row>
    <row r="1548" spans="1:5">
      <c r="A1548" s="1541">
        <v>42469</v>
      </c>
      <c r="B1548" s="1542"/>
      <c r="C1548" s="1542"/>
      <c r="D1548" s="1542"/>
      <c r="E1548" s="1542"/>
    </row>
    <row r="1549" spans="1:5">
      <c r="A1549" s="1541">
        <v>42468</v>
      </c>
      <c r="B1549" s="1542">
        <v>13520.62</v>
      </c>
      <c r="C1549" s="1542">
        <v>174.09</v>
      </c>
      <c r="D1549" s="1542">
        <v>6292.79</v>
      </c>
      <c r="E1549" s="1542">
        <v>1694.31</v>
      </c>
    </row>
    <row r="1550" spans="1:5">
      <c r="A1550" s="1541">
        <v>42467</v>
      </c>
      <c r="B1550" s="1542">
        <v>13439.5</v>
      </c>
      <c r="C1550" s="1542">
        <v>172.98</v>
      </c>
      <c r="D1550" s="1542">
        <v>6251.74</v>
      </c>
      <c r="E1550" s="1542">
        <v>1678.69</v>
      </c>
    </row>
    <row r="1551" spans="1:5">
      <c r="A1551" s="1541">
        <v>42466</v>
      </c>
      <c r="B1551" s="1542">
        <v>13475.98</v>
      </c>
      <c r="C1551" s="1542">
        <v>173.44</v>
      </c>
      <c r="D1551" s="1542">
        <v>6295.17</v>
      </c>
      <c r="E1551" s="1542">
        <v>1678.11</v>
      </c>
    </row>
    <row r="1552" spans="1:5">
      <c r="A1552" s="1541">
        <v>42465</v>
      </c>
      <c r="B1552" s="1542"/>
      <c r="C1552" s="1542"/>
      <c r="D1552" s="1542">
        <v>6236.07</v>
      </c>
      <c r="E1552" s="1542">
        <v>1686.12</v>
      </c>
    </row>
    <row r="1553" spans="1:5">
      <c r="A1553" s="1541">
        <v>42464</v>
      </c>
      <c r="B1553" s="1542"/>
      <c r="C1553" s="1542"/>
      <c r="D1553" s="1542">
        <v>6321.63</v>
      </c>
      <c r="E1553" s="1542">
        <v>1714.58</v>
      </c>
    </row>
    <row r="1554" spans="1:5">
      <c r="A1554" s="1541">
        <v>42463</v>
      </c>
      <c r="B1554" s="1542"/>
      <c r="C1554" s="1542"/>
      <c r="D1554" s="1542"/>
      <c r="E1554" s="1542"/>
    </row>
    <row r="1555" spans="1:5">
      <c r="A1555" s="1541">
        <v>42462</v>
      </c>
      <c r="B1555" s="1542"/>
      <c r="C1555" s="1542"/>
      <c r="D1555" s="1542"/>
      <c r="E1555" s="1542"/>
    </row>
    <row r="1556" spans="1:5">
      <c r="A1556" s="1541">
        <v>42461</v>
      </c>
      <c r="B1556" s="1542">
        <v>13704.33</v>
      </c>
      <c r="C1556" s="1542">
        <v>174.47</v>
      </c>
      <c r="D1556" s="1542">
        <v>6318.48</v>
      </c>
      <c r="E1556" s="1542">
        <v>1712.88</v>
      </c>
    </row>
    <row r="1557" spans="1:5">
      <c r="A1557" s="1541">
        <v>42460</v>
      </c>
      <c r="B1557" s="1542">
        <v>13842.48</v>
      </c>
      <c r="C1557" s="1542">
        <v>174.33</v>
      </c>
      <c r="D1557" s="1542">
        <v>6348.29</v>
      </c>
      <c r="E1557" s="1542">
        <v>1734.69</v>
      </c>
    </row>
    <row r="1558" spans="1:5">
      <c r="A1558" s="1541">
        <v>42459</v>
      </c>
      <c r="B1558" s="1542">
        <v>13830.15</v>
      </c>
      <c r="C1558" s="1542">
        <v>173.32</v>
      </c>
      <c r="D1558" s="1542">
        <v>6366.36</v>
      </c>
      <c r="E1558" s="1542">
        <v>1728.75</v>
      </c>
    </row>
    <row r="1559" spans="1:5">
      <c r="A1559" s="1541">
        <v>42458</v>
      </c>
      <c r="B1559" s="1542">
        <v>13640.69</v>
      </c>
      <c r="C1559" s="1542">
        <v>170.12</v>
      </c>
      <c r="D1559" s="1542">
        <v>6300.42</v>
      </c>
      <c r="E1559" s="1542">
        <v>1688.88</v>
      </c>
    </row>
    <row r="1560" spans="1:5">
      <c r="A1560" s="1541">
        <v>42457</v>
      </c>
      <c r="B1560" s="1542">
        <v>13756.4</v>
      </c>
      <c r="C1560" s="1542">
        <v>173.47</v>
      </c>
      <c r="D1560" s="1542">
        <v>6262.51</v>
      </c>
      <c r="E1560" s="1542">
        <v>1685.16</v>
      </c>
    </row>
    <row r="1561" spans="1:5">
      <c r="A1561" s="1541">
        <v>42456</v>
      </c>
      <c r="B1561" s="1542"/>
      <c r="C1561" s="1542"/>
      <c r="D1561" s="1542"/>
      <c r="E1561" s="1542"/>
    </row>
    <row r="1562" spans="1:5">
      <c r="A1562" s="1541">
        <v>42455</v>
      </c>
      <c r="B1562" s="1542"/>
      <c r="C1562" s="1542"/>
      <c r="D1562" s="1542"/>
      <c r="E1562" s="1542"/>
    </row>
    <row r="1563" spans="1:5">
      <c r="A1563" s="1541">
        <v>42454</v>
      </c>
      <c r="B1563" s="1542">
        <v>13779.38</v>
      </c>
      <c r="C1563" s="1542">
        <v>174.78</v>
      </c>
      <c r="D1563" s="1542">
        <v>6247.41</v>
      </c>
      <c r="E1563" s="1542">
        <v>1683.55</v>
      </c>
    </row>
    <row r="1564" spans="1:5">
      <c r="A1564" s="1541">
        <v>42453</v>
      </c>
      <c r="B1564" s="1542">
        <v>13840.19</v>
      </c>
      <c r="C1564" s="1542">
        <v>174.92</v>
      </c>
      <c r="D1564" s="1542">
        <v>6241.63</v>
      </c>
      <c r="E1564" s="1542">
        <v>1686.23</v>
      </c>
    </row>
    <row r="1565" spans="1:5">
      <c r="A1565" s="1541">
        <v>42452</v>
      </c>
      <c r="B1565" s="1542">
        <v>13876.13</v>
      </c>
      <c r="C1565" s="1542">
        <v>176.01</v>
      </c>
      <c r="D1565" s="1542">
        <v>6276.04</v>
      </c>
      <c r="E1565" s="1542">
        <v>1702.11</v>
      </c>
    </row>
    <row r="1566" spans="1:5">
      <c r="A1566" s="1541">
        <v>42451</v>
      </c>
      <c r="B1566" s="1542">
        <v>13907.14</v>
      </c>
      <c r="C1566" s="1542">
        <v>177.69</v>
      </c>
      <c r="D1566" s="1542">
        <v>6322.87</v>
      </c>
      <c r="E1566" s="1542">
        <v>1720.31</v>
      </c>
    </row>
    <row r="1567" spans="1:5">
      <c r="A1567" s="1541">
        <v>42450</v>
      </c>
      <c r="B1567" s="1542">
        <v>13949.92</v>
      </c>
      <c r="C1567" s="1542">
        <v>178.63</v>
      </c>
      <c r="D1567" s="1542">
        <v>6322.65</v>
      </c>
      <c r="E1567" s="1542">
        <v>1717.23</v>
      </c>
    </row>
    <row r="1568" spans="1:5">
      <c r="A1568" s="1541">
        <v>42449</v>
      </c>
      <c r="B1568" s="1542"/>
      <c r="C1568" s="1542"/>
      <c r="D1568" s="1542"/>
      <c r="E1568" s="1542"/>
    </row>
    <row r="1569" spans="1:5">
      <c r="A1569" s="1541">
        <v>42448</v>
      </c>
      <c r="B1569" s="1542"/>
      <c r="C1569" s="1542"/>
      <c r="D1569" s="1542"/>
      <c r="E1569" s="1542"/>
    </row>
    <row r="1570" spans="1:5">
      <c r="A1570" s="1541">
        <v>42447</v>
      </c>
      <c r="B1570" s="1542">
        <v>13946.77</v>
      </c>
      <c r="C1570" s="1542">
        <v>176.84</v>
      </c>
      <c r="D1570" s="1542">
        <v>6329.09</v>
      </c>
      <c r="E1570" s="1542">
        <v>1712.39</v>
      </c>
    </row>
    <row r="1571" spans="1:5">
      <c r="A1571" s="1541">
        <v>42446</v>
      </c>
      <c r="B1571" s="1542">
        <v>13826.18</v>
      </c>
      <c r="C1571" s="1542">
        <v>175.51</v>
      </c>
      <c r="D1571" s="1542">
        <v>6318.51</v>
      </c>
      <c r="E1571" s="1542">
        <v>1691.9</v>
      </c>
    </row>
    <row r="1572" spans="1:5">
      <c r="A1572" s="1541">
        <v>42445</v>
      </c>
      <c r="B1572" s="1542">
        <v>13770.16</v>
      </c>
      <c r="C1572" s="1542">
        <v>177.1</v>
      </c>
      <c r="D1572" s="1542">
        <v>6234.75</v>
      </c>
      <c r="E1572" s="1542">
        <v>1638.41</v>
      </c>
    </row>
    <row r="1573" spans="1:5">
      <c r="A1573" s="1541">
        <v>42444</v>
      </c>
      <c r="B1573" s="1542">
        <v>13630.92</v>
      </c>
      <c r="C1573" s="1542">
        <v>174.92</v>
      </c>
      <c r="D1573" s="1542">
        <v>6225.4</v>
      </c>
      <c r="E1573" s="1542">
        <v>1637.29</v>
      </c>
    </row>
    <row r="1574" spans="1:5">
      <c r="A1574" s="1541">
        <v>42443</v>
      </c>
      <c r="B1574" s="1542">
        <v>13847.34</v>
      </c>
      <c r="C1574" s="1542">
        <v>178.6</v>
      </c>
      <c r="D1574" s="1542">
        <v>6257.35</v>
      </c>
      <c r="E1574" s="1542">
        <v>1663.55</v>
      </c>
    </row>
    <row r="1575" spans="1:5">
      <c r="A1575" s="1541">
        <v>42442</v>
      </c>
      <c r="B1575" s="1542"/>
      <c r="C1575" s="1542"/>
      <c r="D1575" s="1542"/>
      <c r="E1575" s="1542"/>
    </row>
    <row r="1576" spans="1:5">
      <c r="A1576" s="1541">
        <v>42441</v>
      </c>
      <c r="B1576" s="1542"/>
      <c r="C1576" s="1542"/>
      <c r="D1576" s="1542"/>
      <c r="E1576" s="1542"/>
    </row>
    <row r="1577" spans="1:5">
      <c r="A1577" s="1541">
        <v>42440</v>
      </c>
      <c r="B1577" s="1542">
        <v>13781.24</v>
      </c>
      <c r="C1577" s="1542">
        <v>176.71</v>
      </c>
      <c r="D1577" s="1542">
        <v>6251.99</v>
      </c>
      <c r="E1577" s="1542">
        <v>1658.04</v>
      </c>
    </row>
    <row r="1578" spans="1:5">
      <c r="A1578" s="1541">
        <v>42439</v>
      </c>
      <c r="B1578" s="1542">
        <v>13709.32</v>
      </c>
      <c r="C1578" s="1542">
        <v>175.29</v>
      </c>
      <c r="D1578" s="1542">
        <v>6139.04</v>
      </c>
      <c r="E1578" s="1542">
        <v>1636.99</v>
      </c>
    </row>
    <row r="1579" spans="1:5">
      <c r="A1579" s="1541">
        <v>42438</v>
      </c>
      <c r="B1579" s="1542">
        <v>13667.22</v>
      </c>
      <c r="C1579" s="1542">
        <v>174.71</v>
      </c>
      <c r="D1579" s="1542">
        <v>6143.44</v>
      </c>
      <c r="E1579" s="1542">
        <v>1630.48</v>
      </c>
    </row>
    <row r="1580" spans="1:5">
      <c r="A1580" s="1541">
        <v>42437</v>
      </c>
      <c r="B1580" s="1542">
        <v>13715.02</v>
      </c>
      <c r="C1580" s="1542">
        <v>174.52</v>
      </c>
      <c r="D1580" s="1542">
        <v>6124.25</v>
      </c>
      <c r="E1580" s="1542">
        <v>1631.22</v>
      </c>
    </row>
    <row r="1581" spans="1:5">
      <c r="A1581" s="1541">
        <v>42436</v>
      </c>
      <c r="B1581" s="1542">
        <v>13707.48</v>
      </c>
      <c r="C1581" s="1542">
        <v>174.25</v>
      </c>
      <c r="D1581" s="1542">
        <v>6177.06</v>
      </c>
      <c r="E1581" s="1542">
        <v>1645.78</v>
      </c>
    </row>
    <row r="1582" spans="1:5">
      <c r="A1582" s="1541">
        <v>42435</v>
      </c>
      <c r="B1582" s="1542"/>
      <c r="C1582" s="1542"/>
      <c r="D1582" s="1542"/>
      <c r="E1582" s="1542"/>
    </row>
    <row r="1583" spans="1:5">
      <c r="A1583" s="1541">
        <v>42434</v>
      </c>
      <c r="B1583" s="1542"/>
      <c r="C1583" s="1542"/>
      <c r="D1583" s="1542"/>
      <c r="E1583" s="1542"/>
    </row>
    <row r="1584" spans="1:5">
      <c r="A1584" s="1541">
        <v>42433</v>
      </c>
      <c r="B1584" s="1542">
        <v>13682.17</v>
      </c>
      <c r="C1584" s="1542">
        <v>174.69</v>
      </c>
      <c r="D1584" s="1542">
        <v>6178.26</v>
      </c>
      <c r="E1584" s="1542">
        <v>1636.91</v>
      </c>
    </row>
    <row r="1585" spans="1:5">
      <c r="A1585" s="1541">
        <v>42432</v>
      </c>
      <c r="B1585" s="1542">
        <v>13631.89</v>
      </c>
      <c r="C1585" s="1542">
        <v>173.36</v>
      </c>
      <c r="D1585" s="1542">
        <v>6140.53</v>
      </c>
      <c r="E1585" s="1542">
        <v>1614.58</v>
      </c>
    </row>
    <row r="1586" spans="1:5">
      <c r="A1586" s="1541">
        <v>42431</v>
      </c>
      <c r="B1586" s="1542">
        <v>13524.65</v>
      </c>
      <c r="C1586" s="1542">
        <v>173.86</v>
      </c>
      <c r="D1586" s="1542">
        <v>6098.99</v>
      </c>
      <c r="E1586" s="1542">
        <v>1591.56</v>
      </c>
    </row>
    <row r="1587" spans="1:5">
      <c r="A1587" s="1541">
        <v>42430</v>
      </c>
      <c r="B1587" s="1542">
        <v>13432.27</v>
      </c>
      <c r="C1587" s="1542">
        <v>173.24</v>
      </c>
      <c r="D1587" s="1542">
        <v>6049.11</v>
      </c>
      <c r="E1587" s="1542">
        <v>1557.73</v>
      </c>
    </row>
    <row r="1588" spans="1:5">
      <c r="A1588" s="1541">
        <v>42429</v>
      </c>
      <c r="B1588" s="1542"/>
      <c r="C1588" s="1542"/>
      <c r="D1588" s="1542">
        <v>5940.8</v>
      </c>
      <c r="E1588" s="1542">
        <v>1531.63</v>
      </c>
    </row>
    <row r="1589" spans="1:5">
      <c r="A1589" s="1541">
        <v>42428</v>
      </c>
      <c r="B1589" s="1542"/>
      <c r="C1589" s="1542"/>
      <c r="D1589" s="1542"/>
      <c r="E1589" s="1542"/>
    </row>
    <row r="1590" spans="1:5">
      <c r="A1590" s="1541">
        <v>42427</v>
      </c>
      <c r="B1590" s="1542"/>
      <c r="C1590" s="1542"/>
      <c r="D1590" s="1542"/>
      <c r="E1590" s="1542"/>
    </row>
    <row r="1591" spans="1:5">
      <c r="A1591" s="1541">
        <v>42426</v>
      </c>
      <c r="B1591" s="1542">
        <v>13314.3</v>
      </c>
      <c r="C1591" s="1542">
        <v>171.32</v>
      </c>
      <c r="D1591" s="1542">
        <v>5968.13</v>
      </c>
      <c r="E1591" s="1542">
        <v>1530.93</v>
      </c>
    </row>
    <row r="1592" spans="1:5">
      <c r="A1592" s="1541">
        <v>42425</v>
      </c>
      <c r="B1592" s="1542">
        <v>13242.6</v>
      </c>
      <c r="C1592" s="1542">
        <v>169.93</v>
      </c>
      <c r="D1592" s="1542">
        <v>5965.43</v>
      </c>
      <c r="E1592" s="1542">
        <v>1521.28</v>
      </c>
    </row>
    <row r="1593" spans="1:5">
      <c r="A1593" s="1541">
        <v>42424</v>
      </c>
      <c r="B1593" s="1542">
        <v>13111.21</v>
      </c>
      <c r="C1593" s="1542">
        <v>170.6</v>
      </c>
      <c r="D1593" s="1542">
        <v>5888.99</v>
      </c>
      <c r="E1593" s="1542">
        <v>1523.5</v>
      </c>
    </row>
    <row r="1594" spans="1:5">
      <c r="A1594" s="1541">
        <v>42423</v>
      </c>
      <c r="B1594" s="1542">
        <v>13193.18</v>
      </c>
      <c r="C1594" s="1542">
        <v>172.94</v>
      </c>
      <c r="D1594" s="1542">
        <v>5911.76</v>
      </c>
      <c r="E1594" s="1542">
        <v>1540.28</v>
      </c>
    </row>
    <row r="1595" spans="1:5">
      <c r="A1595" s="1541">
        <v>42422</v>
      </c>
      <c r="B1595" s="1542">
        <v>13180.58</v>
      </c>
      <c r="C1595" s="1542">
        <v>172.44</v>
      </c>
      <c r="D1595" s="1542">
        <v>5977.87</v>
      </c>
      <c r="E1595" s="1542">
        <v>1549.85</v>
      </c>
    </row>
    <row r="1596" spans="1:5">
      <c r="A1596" s="1541">
        <v>42421</v>
      </c>
      <c r="B1596" s="1542"/>
      <c r="C1596" s="1542"/>
      <c r="D1596" s="1542"/>
      <c r="E1596" s="1542"/>
    </row>
    <row r="1597" spans="1:5">
      <c r="A1597" s="1541">
        <v>42420</v>
      </c>
      <c r="B1597" s="1542"/>
      <c r="C1597" s="1542"/>
      <c r="D1597" s="1542"/>
      <c r="E1597" s="1542"/>
    </row>
    <row r="1598" spans="1:5">
      <c r="A1598" s="1541">
        <v>42419</v>
      </c>
      <c r="B1598" s="1542">
        <v>13177.98</v>
      </c>
      <c r="C1598" s="1542">
        <v>173.2</v>
      </c>
      <c r="D1598" s="1542">
        <v>5901.51</v>
      </c>
      <c r="E1598" s="1542">
        <v>1532.34</v>
      </c>
    </row>
    <row r="1599" spans="1:5">
      <c r="A1599" s="1541">
        <v>42418</v>
      </c>
      <c r="B1599" s="1542">
        <v>13161.56</v>
      </c>
      <c r="C1599" s="1542">
        <v>172.94</v>
      </c>
      <c r="D1599" s="1542">
        <v>5921.41</v>
      </c>
      <c r="E1599" s="1542">
        <v>1542.86</v>
      </c>
    </row>
    <row r="1600" spans="1:5">
      <c r="A1600" s="1541">
        <v>42417</v>
      </c>
      <c r="B1600" s="1542">
        <v>13002.6</v>
      </c>
      <c r="C1600" s="1542">
        <v>169.62</v>
      </c>
      <c r="D1600" s="1542">
        <v>5922.48</v>
      </c>
      <c r="E1600" s="1542">
        <v>1521.11</v>
      </c>
    </row>
    <row r="1601" spans="1:5">
      <c r="A1601" s="1541">
        <v>42416</v>
      </c>
      <c r="B1601" s="1542">
        <v>12999.16</v>
      </c>
      <c r="C1601" s="1542">
        <v>168.6</v>
      </c>
      <c r="D1601" s="1542">
        <v>5828.48</v>
      </c>
      <c r="E1601" s="1542">
        <v>1512.01</v>
      </c>
    </row>
    <row r="1602" spans="1:5">
      <c r="A1602" s="1541">
        <v>42415</v>
      </c>
      <c r="B1602" s="1542">
        <v>12768.75</v>
      </c>
      <c r="C1602" s="1542">
        <v>166.8</v>
      </c>
      <c r="D1602" s="1542">
        <v>5765.65</v>
      </c>
      <c r="E1602" s="1542">
        <v>1502.59</v>
      </c>
    </row>
    <row r="1603" spans="1:5">
      <c r="A1603" s="1541">
        <v>42414</v>
      </c>
      <c r="B1603" s="1542"/>
      <c r="C1603" s="1542"/>
      <c r="D1603" s="1542"/>
      <c r="E1603" s="1542"/>
    </row>
    <row r="1604" spans="1:5">
      <c r="A1604" s="1541">
        <v>42413</v>
      </c>
      <c r="B1604" s="1542"/>
      <c r="C1604" s="1542"/>
      <c r="D1604" s="1542"/>
      <c r="E1604" s="1542"/>
    </row>
    <row r="1605" spans="1:5">
      <c r="A1605" s="1541">
        <v>42412</v>
      </c>
      <c r="B1605" s="1542"/>
      <c r="C1605" s="1542"/>
      <c r="D1605" s="1542">
        <v>5698.51</v>
      </c>
      <c r="E1605" s="1542">
        <v>1470.31</v>
      </c>
    </row>
    <row r="1606" spans="1:5">
      <c r="A1606" s="1541">
        <v>42411</v>
      </c>
      <c r="B1606" s="1542"/>
      <c r="C1606" s="1542"/>
      <c r="D1606" s="1542">
        <v>5630.87</v>
      </c>
      <c r="E1606" s="1542">
        <v>1474.02</v>
      </c>
    </row>
    <row r="1607" spans="1:5">
      <c r="A1607" s="1541">
        <v>42410</v>
      </c>
      <c r="B1607" s="1542"/>
      <c r="C1607" s="1542"/>
      <c r="D1607" s="1542">
        <v>5698.08</v>
      </c>
      <c r="E1607" s="1542">
        <v>1510.17</v>
      </c>
    </row>
    <row r="1608" spans="1:5">
      <c r="A1608" s="1541">
        <v>42409</v>
      </c>
      <c r="B1608" s="1542"/>
      <c r="C1608" s="1542"/>
      <c r="D1608" s="1542">
        <v>5703.73</v>
      </c>
      <c r="E1608" s="1542">
        <v>1508.71</v>
      </c>
    </row>
    <row r="1609" spans="1:5">
      <c r="A1609" s="1541">
        <v>42408</v>
      </c>
      <c r="B1609" s="1542"/>
      <c r="C1609" s="1542"/>
      <c r="D1609" s="1542">
        <v>5741.36</v>
      </c>
      <c r="E1609" s="1542">
        <v>1517.44</v>
      </c>
    </row>
    <row r="1610" spans="1:5">
      <c r="A1610" s="1541">
        <v>42407</v>
      </c>
      <c r="B1610" s="1542"/>
      <c r="C1610" s="1542"/>
      <c r="D1610" s="1542"/>
      <c r="E1610" s="1542"/>
    </row>
    <row r="1611" spans="1:5">
      <c r="A1611" s="1541">
        <v>42406</v>
      </c>
      <c r="B1611" s="1542"/>
      <c r="C1611" s="1542"/>
      <c r="D1611" s="1542"/>
      <c r="E1611" s="1542"/>
    </row>
    <row r="1612" spans="1:5">
      <c r="A1612" s="1541">
        <v>42405</v>
      </c>
      <c r="B1612" s="1542"/>
      <c r="C1612" s="1542"/>
      <c r="D1612" s="1542">
        <v>5838.04</v>
      </c>
      <c r="E1612" s="1542">
        <v>1528.75</v>
      </c>
    </row>
    <row r="1613" spans="1:5">
      <c r="A1613" s="1541">
        <v>42404</v>
      </c>
      <c r="B1613" s="1542"/>
      <c r="C1613" s="1542"/>
      <c r="D1613" s="1542">
        <v>5933.6</v>
      </c>
      <c r="E1613" s="1542">
        <v>1528.45</v>
      </c>
    </row>
    <row r="1614" spans="1:5">
      <c r="A1614" s="1541">
        <v>42403</v>
      </c>
      <c r="B1614" s="1542">
        <v>12763.19</v>
      </c>
      <c r="C1614" s="1542">
        <v>166.27</v>
      </c>
      <c r="D1614" s="1542">
        <v>5901.9</v>
      </c>
      <c r="E1614" s="1542">
        <v>1491.42</v>
      </c>
    </row>
    <row r="1615" spans="1:5">
      <c r="A1615" s="1541">
        <v>42402</v>
      </c>
      <c r="B1615" s="1542">
        <v>12871.2</v>
      </c>
      <c r="C1615" s="1542">
        <v>167.35</v>
      </c>
      <c r="D1615" s="1542">
        <v>5893.31</v>
      </c>
      <c r="E1615" s="1542">
        <v>1506.02</v>
      </c>
    </row>
    <row r="1616" spans="1:5">
      <c r="A1616" s="1541">
        <v>42401</v>
      </c>
      <c r="B1616" s="1542">
        <v>12911.93</v>
      </c>
      <c r="C1616" s="1542">
        <v>167.07</v>
      </c>
      <c r="D1616" s="1542">
        <v>5999</v>
      </c>
      <c r="E1616" s="1542">
        <v>1534.89</v>
      </c>
    </row>
    <row r="1617" spans="1:5">
      <c r="A1617" s="1541">
        <v>42400</v>
      </c>
      <c r="B1617" s="1542"/>
      <c r="C1617" s="1542"/>
      <c r="D1617" s="1542"/>
      <c r="E1617" s="1542"/>
    </row>
    <row r="1618" spans="1:5">
      <c r="A1618" s="1541">
        <v>42399</v>
      </c>
      <c r="B1618" s="1542">
        <v>12893.32</v>
      </c>
      <c r="C1618" s="1542">
        <v>168.03</v>
      </c>
      <c r="D1618" s="1542"/>
      <c r="E1618" s="1542"/>
    </row>
    <row r="1619" spans="1:5">
      <c r="A1619" s="1541">
        <v>42398</v>
      </c>
      <c r="B1619" s="1542">
        <v>12791.05</v>
      </c>
      <c r="C1619" s="1542">
        <v>164.92</v>
      </c>
      <c r="D1619" s="1542">
        <v>5981.67</v>
      </c>
      <c r="E1619" s="1542">
        <v>1533.98</v>
      </c>
    </row>
    <row r="1620" spans="1:5">
      <c r="A1620" s="1541">
        <v>42397</v>
      </c>
      <c r="B1620" s="1542">
        <v>12513.24</v>
      </c>
      <c r="C1620" s="1542">
        <v>162.22</v>
      </c>
      <c r="D1620" s="1542">
        <v>5868.67</v>
      </c>
      <c r="E1620" s="1542">
        <v>1492.36</v>
      </c>
    </row>
    <row r="1621" spans="1:5">
      <c r="A1621" s="1541">
        <v>42396</v>
      </c>
      <c r="B1621" s="1542">
        <v>12425.75</v>
      </c>
      <c r="C1621" s="1542">
        <v>160.74</v>
      </c>
      <c r="D1621" s="1542">
        <v>5863.25</v>
      </c>
      <c r="E1621" s="1542">
        <v>1479.33</v>
      </c>
    </row>
    <row r="1622" spans="1:5">
      <c r="A1622" s="1541">
        <v>42395</v>
      </c>
      <c r="B1622" s="1542">
        <v>12392.26</v>
      </c>
      <c r="C1622" s="1542">
        <v>161.08000000000001</v>
      </c>
      <c r="D1622" s="1542">
        <v>5878.95</v>
      </c>
      <c r="E1622" s="1542">
        <v>1463.45</v>
      </c>
    </row>
    <row r="1623" spans="1:5">
      <c r="A1623" s="1541">
        <v>42394</v>
      </c>
      <c r="B1623" s="1542">
        <v>12495.91</v>
      </c>
      <c r="C1623" s="1542">
        <v>161.11000000000001</v>
      </c>
      <c r="D1623" s="1542">
        <v>5822.98</v>
      </c>
      <c r="E1623" s="1542">
        <v>1479.47</v>
      </c>
    </row>
    <row r="1624" spans="1:5">
      <c r="A1624" s="1541">
        <v>42393</v>
      </c>
      <c r="B1624" s="1542"/>
      <c r="C1624" s="1542"/>
      <c r="D1624" s="1542"/>
      <c r="E1624" s="1542"/>
    </row>
    <row r="1625" spans="1:5">
      <c r="A1625" s="1541">
        <v>42392</v>
      </c>
      <c r="B1625" s="1542"/>
      <c r="C1625" s="1542"/>
      <c r="D1625" s="1542"/>
      <c r="E1625" s="1542"/>
    </row>
    <row r="1626" spans="1:5">
      <c r="A1626" s="1541">
        <v>42391</v>
      </c>
      <c r="B1626" s="1542">
        <v>12277.51</v>
      </c>
      <c r="C1626" s="1542">
        <v>158.38</v>
      </c>
      <c r="D1626" s="1542">
        <v>5882.84</v>
      </c>
      <c r="E1626" s="1542">
        <v>1468.2</v>
      </c>
    </row>
    <row r="1627" spans="1:5">
      <c r="A1627" s="1541">
        <v>42390</v>
      </c>
      <c r="B1627" s="1542">
        <v>12131.61</v>
      </c>
      <c r="C1627" s="1542">
        <v>158.36000000000001</v>
      </c>
      <c r="D1627" s="1542">
        <v>5733.68</v>
      </c>
      <c r="E1627" s="1542">
        <v>1422.45</v>
      </c>
    </row>
    <row r="1628" spans="1:5">
      <c r="A1628" s="1541">
        <v>42389</v>
      </c>
      <c r="B1628" s="1542">
        <v>12187.2</v>
      </c>
      <c r="C1628" s="1542">
        <v>158.88999999999999</v>
      </c>
      <c r="D1628" s="1542">
        <v>5709.87</v>
      </c>
      <c r="E1628" s="1542">
        <v>1431.16</v>
      </c>
    </row>
    <row r="1629" spans="1:5">
      <c r="A1629" s="1541">
        <v>42388</v>
      </c>
      <c r="B1629" s="1542">
        <v>12433.75</v>
      </c>
      <c r="C1629" s="1542">
        <v>163.85</v>
      </c>
      <c r="D1629" s="1542">
        <v>5819.45</v>
      </c>
      <c r="E1629" s="1542">
        <v>1475.83</v>
      </c>
    </row>
    <row r="1630" spans="1:5">
      <c r="A1630" s="1541">
        <v>42387</v>
      </c>
      <c r="B1630" s="1542">
        <v>12364.57</v>
      </c>
      <c r="C1630" s="1542">
        <v>161.88999999999999</v>
      </c>
      <c r="D1630" s="1542">
        <v>5794.76</v>
      </c>
      <c r="E1630" s="1542">
        <v>1453.17</v>
      </c>
    </row>
    <row r="1631" spans="1:5">
      <c r="A1631" s="1541">
        <v>42386</v>
      </c>
      <c r="B1631" s="1542"/>
      <c r="C1631" s="1542"/>
      <c r="D1631" s="1542"/>
      <c r="E1631" s="1542"/>
    </row>
    <row r="1632" spans="1:5">
      <c r="A1632" s="1541">
        <v>42385</v>
      </c>
      <c r="B1632" s="1542"/>
      <c r="C1632" s="1542"/>
      <c r="D1632" s="1542"/>
      <c r="E1632" s="1542"/>
    </row>
    <row r="1633" spans="1:5">
      <c r="A1633" s="1541">
        <v>42384</v>
      </c>
      <c r="B1633" s="1542">
        <v>12286.75</v>
      </c>
      <c r="C1633" s="1542">
        <v>158.16</v>
      </c>
      <c r="D1633" s="1542">
        <v>5821.34</v>
      </c>
      <c r="E1633" s="1542">
        <v>1465.11</v>
      </c>
    </row>
    <row r="1634" spans="1:5">
      <c r="A1634" s="1541">
        <v>42383</v>
      </c>
      <c r="B1634" s="1542">
        <v>12256.45</v>
      </c>
      <c r="C1634" s="1542">
        <v>157.36000000000001</v>
      </c>
      <c r="D1634" s="1542">
        <v>5928.57</v>
      </c>
      <c r="E1634" s="1542">
        <v>1493.94</v>
      </c>
    </row>
    <row r="1635" spans="1:5">
      <c r="A1635" s="1541">
        <v>42382</v>
      </c>
      <c r="B1635" s="1542">
        <v>12385.83</v>
      </c>
      <c r="C1635" s="1542">
        <v>159.9</v>
      </c>
      <c r="D1635" s="1542">
        <v>5910.21</v>
      </c>
      <c r="E1635" s="1542">
        <v>1507.18</v>
      </c>
    </row>
    <row r="1636" spans="1:5">
      <c r="A1636" s="1541">
        <v>42381</v>
      </c>
      <c r="B1636" s="1542">
        <v>12296.93</v>
      </c>
      <c r="C1636" s="1542">
        <v>157.53</v>
      </c>
      <c r="D1636" s="1542">
        <v>5976.38</v>
      </c>
      <c r="E1636" s="1542">
        <v>1494.08</v>
      </c>
    </row>
    <row r="1637" spans="1:5">
      <c r="A1637" s="1541">
        <v>42380</v>
      </c>
      <c r="B1637" s="1542">
        <v>12328.55</v>
      </c>
      <c r="C1637" s="1542">
        <v>162.36000000000001</v>
      </c>
      <c r="D1637" s="1542">
        <v>5960.54</v>
      </c>
      <c r="E1637" s="1542">
        <v>1494.37</v>
      </c>
    </row>
    <row r="1638" spans="1:5">
      <c r="A1638" s="1541">
        <v>42379</v>
      </c>
      <c r="B1638" s="1542"/>
      <c r="C1638" s="1542"/>
      <c r="D1638" s="1542"/>
      <c r="E1638" s="1542"/>
    </row>
    <row r="1639" spans="1:5">
      <c r="A1639" s="1541">
        <v>42378</v>
      </c>
      <c r="B1639" s="1542"/>
      <c r="C1639" s="1542"/>
      <c r="D1639" s="1542"/>
      <c r="E1639" s="1542"/>
    </row>
    <row r="1640" spans="1:5">
      <c r="A1640" s="1541">
        <v>42377</v>
      </c>
      <c r="B1640" s="1542">
        <v>12495.63</v>
      </c>
      <c r="C1640" s="1542">
        <v>165.99</v>
      </c>
      <c r="D1640" s="1542">
        <v>5975.38</v>
      </c>
      <c r="E1640" s="1542">
        <v>1528.84</v>
      </c>
    </row>
    <row r="1641" spans="1:5">
      <c r="A1641" s="1541">
        <v>42376</v>
      </c>
      <c r="B1641" s="1542">
        <v>12429.29</v>
      </c>
      <c r="C1641" s="1542">
        <v>162.77000000000001</v>
      </c>
      <c r="D1641" s="1542">
        <v>6032.16</v>
      </c>
      <c r="E1641" s="1542">
        <v>1526.33</v>
      </c>
    </row>
    <row r="1642" spans="1:5">
      <c r="A1642" s="1541">
        <v>42375</v>
      </c>
      <c r="B1642" s="1542">
        <v>12648.25</v>
      </c>
      <c r="C1642" s="1542">
        <v>167.75</v>
      </c>
      <c r="D1642" s="1542">
        <v>6161.51</v>
      </c>
      <c r="E1642" s="1542">
        <v>1569.54</v>
      </c>
    </row>
    <row r="1643" spans="1:5">
      <c r="A1643" s="1541">
        <v>42374</v>
      </c>
      <c r="B1643" s="1542">
        <v>12782.35</v>
      </c>
      <c r="C1643" s="1542">
        <v>169.61</v>
      </c>
      <c r="D1643" s="1542">
        <v>6238.46</v>
      </c>
      <c r="E1643" s="1542">
        <v>1587.41</v>
      </c>
    </row>
    <row r="1644" spans="1:5">
      <c r="A1644" s="1541">
        <v>42373</v>
      </c>
      <c r="B1644" s="1542">
        <v>12844.34</v>
      </c>
      <c r="C1644" s="1542">
        <v>170.11</v>
      </c>
      <c r="D1644" s="1542">
        <v>6239.38</v>
      </c>
      <c r="E1644" s="1542">
        <v>1585.97</v>
      </c>
    </row>
    <row r="1645" spans="1:5">
      <c r="A1645" s="1541">
        <v>42372</v>
      </c>
      <c r="B1645" s="1542"/>
      <c r="C1645" s="1542"/>
      <c r="D1645" s="1542"/>
      <c r="E1645" s="1542"/>
    </row>
    <row r="1646" spans="1:5">
      <c r="A1646" s="1541">
        <v>42371</v>
      </c>
      <c r="B1646" s="1542"/>
      <c r="C1646" s="1542"/>
      <c r="D1646" s="1542"/>
      <c r="E1646" s="1542"/>
    </row>
    <row r="1647" spans="1:5">
      <c r="A1647" s="1541">
        <v>42370</v>
      </c>
      <c r="B1647" s="1542"/>
      <c r="C1647" s="1542"/>
      <c r="D1647" s="1542">
        <v>6360.57</v>
      </c>
      <c r="E1647" s="1542">
        <v>1640.45</v>
      </c>
    </row>
    <row r="1648" spans="1:5">
      <c r="A1648" s="1541">
        <v>42369</v>
      </c>
      <c r="B1648" s="1542">
        <v>13198.59</v>
      </c>
      <c r="C1648" s="1542">
        <v>173.44</v>
      </c>
      <c r="D1648" s="1542">
        <v>6360.57</v>
      </c>
      <c r="E1648" s="1542">
        <v>1640.3</v>
      </c>
    </row>
    <row r="1649" spans="1:5">
      <c r="A1649" s="1541">
        <v>42368</v>
      </c>
      <c r="B1649" s="1542">
        <v>13106.66</v>
      </c>
      <c r="C1649" s="1542">
        <v>172.62</v>
      </c>
      <c r="D1649" s="1542">
        <v>6412.58</v>
      </c>
      <c r="E1649" s="1542">
        <v>1634.78</v>
      </c>
    </row>
    <row r="1650" spans="1:5">
      <c r="A1650" s="1541">
        <v>42367</v>
      </c>
      <c r="B1650" s="1542">
        <v>13128.71</v>
      </c>
      <c r="C1650" s="1542">
        <v>172.19</v>
      </c>
      <c r="D1650" s="1542">
        <v>6447.31</v>
      </c>
      <c r="E1650" s="1542">
        <v>1651.77</v>
      </c>
    </row>
    <row r="1651" spans="1:5">
      <c r="A1651" s="1541">
        <v>42366</v>
      </c>
      <c r="B1651" s="1542">
        <v>13230.93</v>
      </c>
      <c r="C1651" s="1542">
        <v>172.72</v>
      </c>
      <c r="D1651" s="1542">
        <v>6387.76</v>
      </c>
      <c r="E1651" s="1542">
        <v>1649.51</v>
      </c>
    </row>
    <row r="1652" spans="1:5">
      <c r="A1652" s="1541">
        <v>42365</v>
      </c>
      <c r="B1652" s="1542"/>
      <c r="C1652" s="1542"/>
      <c r="D1652" s="1542"/>
      <c r="E1652" s="1542"/>
    </row>
    <row r="1653" spans="1:5">
      <c r="A1653" s="1541">
        <v>42364</v>
      </c>
      <c r="B1653" s="1542"/>
      <c r="C1653" s="1542"/>
      <c r="D1653" s="1542"/>
      <c r="E1653" s="1542"/>
    </row>
    <row r="1654" spans="1:5">
      <c r="A1654" s="1541">
        <v>42363</v>
      </c>
      <c r="B1654" s="1542">
        <v>13238.52</v>
      </c>
      <c r="C1654" s="1542">
        <v>173.32</v>
      </c>
      <c r="D1654" s="1542">
        <v>6398.15</v>
      </c>
      <c r="E1654" s="1542">
        <v>1657.67</v>
      </c>
    </row>
    <row r="1655" spans="1:5">
      <c r="A1655" s="1541">
        <v>42362</v>
      </c>
      <c r="B1655" s="1542">
        <v>13176.9</v>
      </c>
      <c r="C1655" s="1542">
        <v>171.92</v>
      </c>
      <c r="D1655" s="1542">
        <v>6400.83</v>
      </c>
      <c r="E1655" s="1542">
        <v>1657.2</v>
      </c>
    </row>
    <row r="1656" spans="1:5">
      <c r="A1656" s="1541">
        <v>42361</v>
      </c>
      <c r="B1656" s="1542">
        <v>13163.19</v>
      </c>
      <c r="C1656" s="1542">
        <v>173.6</v>
      </c>
      <c r="D1656" s="1542">
        <v>6391.14</v>
      </c>
      <c r="E1656" s="1542">
        <v>1655.27</v>
      </c>
    </row>
    <row r="1657" spans="1:5">
      <c r="A1657" s="1541">
        <v>42360</v>
      </c>
      <c r="B1657" s="1542">
        <v>13126.86</v>
      </c>
      <c r="C1657" s="1542">
        <v>175.01</v>
      </c>
      <c r="D1657" s="1542">
        <v>6309.22</v>
      </c>
      <c r="E1657" s="1542">
        <v>1637.47</v>
      </c>
    </row>
    <row r="1658" spans="1:5">
      <c r="A1658" s="1541">
        <v>42359</v>
      </c>
      <c r="B1658" s="1542">
        <v>13110.11</v>
      </c>
      <c r="C1658" s="1542">
        <v>175.51</v>
      </c>
      <c r="D1658" s="1542">
        <v>6265.81</v>
      </c>
      <c r="E1658" s="1542">
        <v>1630.81</v>
      </c>
    </row>
    <row r="1659" spans="1:5">
      <c r="A1659" s="1541">
        <v>42358</v>
      </c>
      <c r="B1659" s="1542"/>
      <c r="C1659" s="1542"/>
      <c r="D1659" s="1542"/>
      <c r="E1659" s="1542"/>
    </row>
    <row r="1660" spans="1:5">
      <c r="A1660" s="1541">
        <v>42357</v>
      </c>
      <c r="B1660" s="1542"/>
      <c r="C1660" s="1542"/>
      <c r="D1660" s="1542"/>
      <c r="E1660" s="1542"/>
    </row>
    <row r="1661" spans="1:5">
      <c r="A1661" s="1541">
        <v>42356</v>
      </c>
      <c r="B1661" s="1542">
        <v>13070.79</v>
      </c>
      <c r="C1661" s="1542">
        <v>175.17</v>
      </c>
      <c r="D1661" s="1542">
        <v>6245.28</v>
      </c>
      <c r="E1661" s="1542">
        <v>1627.21</v>
      </c>
    </row>
    <row r="1662" spans="1:5">
      <c r="A1662" s="1541">
        <v>42355</v>
      </c>
      <c r="B1662" s="1542">
        <v>13169.48</v>
      </c>
      <c r="C1662" s="1542">
        <v>175.53</v>
      </c>
      <c r="D1662" s="1542">
        <v>6327.23</v>
      </c>
      <c r="E1662" s="1542">
        <v>1645.45</v>
      </c>
    </row>
    <row r="1663" spans="1:5">
      <c r="A1663" s="1541">
        <v>42354</v>
      </c>
      <c r="B1663" s="1542">
        <v>12955.77</v>
      </c>
      <c r="C1663" s="1542">
        <v>172.59</v>
      </c>
      <c r="D1663" s="1542">
        <v>6378.25</v>
      </c>
      <c r="E1663" s="1542">
        <v>1628.11</v>
      </c>
    </row>
    <row r="1664" spans="1:5">
      <c r="A1664" s="1541">
        <v>42353</v>
      </c>
      <c r="B1664" s="1542">
        <v>12779.57</v>
      </c>
      <c r="C1664" s="1542">
        <v>170.8</v>
      </c>
      <c r="D1664" s="1542">
        <v>6293.69</v>
      </c>
      <c r="E1664" s="1542">
        <v>1605.59</v>
      </c>
    </row>
    <row r="1665" spans="1:5">
      <c r="A1665" s="1541">
        <v>42352</v>
      </c>
      <c r="B1665" s="1542">
        <v>12727.03</v>
      </c>
      <c r="C1665" s="1542">
        <v>166.84</v>
      </c>
      <c r="D1665" s="1542">
        <v>6238.51</v>
      </c>
      <c r="E1665" s="1542">
        <v>1588.65</v>
      </c>
    </row>
    <row r="1666" spans="1:5">
      <c r="A1666" s="1541">
        <v>42351</v>
      </c>
      <c r="B1666" s="1542"/>
      <c r="C1666" s="1542"/>
      <c r="D1666" s="1542"/>
      <c r="E1666" s="1542"/>
    </row>
    <row r="1667" spans="1:5">
      <c r="A1667" s="1541">
        <v>42350</v>
      </c>
      <c r="B1667" s="1542"/>
      <c r="C1667" s="1542"/>
      <c r="D1667" s="1542"/>
      <c r="E1667" s="1542"/>
    </row>
    <row r="1668" spans="1:5">
      <c r="A1668" s="1541">
        <v>42349</v>
      </c>
      <c r="B1668" s="1542">
        <v>12846.91</v>
      </c>
      <c r="C1668" s="1542">
        <v>168.37</v>
      </c>
      <c r="D1668" s="1542">
        <v>6259.46</v>
      </c>
      <c r="E1668" s="1542">
        <v>1593.3</v>
      </c>
    </row>
    <row r="1669" spans="1:5">
      <c r="A1669" s="1541">
        <v>42348</v>
      </c>
      <c r="B1669" s="1542">
        <v>13005.65</v>
      </c>
      <c r="C1669" s="1542">
        <v>173.18</v>
      </c>
      <c r="D1669" s="1542">
        <v>6358.31</v>
      </c>
      <c r="E1669" s="1542">
        <v>1625.13</v>
      </c>
    </row>
    <row r="1670" spans="1:5">
      <c r="A1670" s="1541">
        <v>42347</v>
      </c>
      <c r="B1670" s="1542">
        <v>13026.93</v>
      </c>
      <c r="C1670" s="1542">
        <v>172.17</v>
      </c>
      <c r="D1670" s="1542">
        <v>6359.67</v>
      </c>
      <c r="E1670" s="1542">
        <v>1637.77</v>
      </c>
    </row>
    <row r="1671" spans="1:5">
      <c r="A1671" s="1541">
        <v>42346</v>
      </c>
      <c r="B1671" s="1542">
        <v>13207.77</v>
      </c>
      <c r="C1671" s="1542">
        <v>176.66</v>
      </c>
      <c r="D1671" s="1542">
        <v>6383.43</v>
      </c>
      <c r="E1671" s="1542">
        <v>1638.18</v>
      </c>
    </row>
    <row r="1672" spans="1:5">
      <c r="A1672" s="1541">
        <v>42345</v>
      </c>
      <c r="B1672" s="1542">
        <v>13382.54</v>
      </c>
      <c r="C1672" s="1542">
        <v>178.84</v>
      </c>
      <c r="D1672" s="1542">
        <v>6443.78</v>
      </c>
      <c r="E1672" s="1542">
        <v>1663.58</v>
      </c>
    </row>
    <row r="1673" spans="1:5">
      <c r="A1673" s="1541">
        <v>42344</v>
      </c>
      <c r="B1673" s="1542"/>
      <c r="C1673" s="1542"/>
      <c r="D1673" s="1542"/>
      <c r="E1673" s="1542"/>
    </row>
    <row r="1674" spans="1:5">
      <c r="A1674" s="1541">
        <v>42343</v>
      </c>
      <c r="B1674" s="1542"/>
      <c r="C1674" s="1542"/>
      <c r="D1674" s="1542"/>
      <c r="E1674" s="1542"/>
    </row>
    <row r="1675" spans="1:5">
      <c r="A1675" s="1541">
        <v>42342</v>
      </c>
      <c r="B1675" s="1542">
        <v>13294.42</v>
      </c>
      <c r="C1675" s="1542">
        <v>176.67</v>
      </c>
      <c r="D1675" s="1542">
        <v>6474.75</v>
      </c>
      <c r="E1675" s="1542">
        <v>1672.74</v>
      </c>
    </row>
    <row r="1676" spans="1:5">
      <c r="A1676" s="1541">
        <v>42341</v>
      </c>
      <c r="B1676" s="1542">
        <v>13385.38</v>
      </c>
      <c r="C1676" s="1542">
        <v>175.49</v>
      </c>
      <c r="D1676" s="1542">
        <v>6411.5</v>
      </c>
      <c r="E1676" s="1542">
        <v>1687.09</v>
      </c>
    </row>
    <row r="1677" spans="1:5">
      <c r="A1677" s="1541">
        <v>42340</v>
      </c>
      <c r="B1677" s="1542">
        <v>13387.49</v>
      </c>
      <c r="C1677" s="1542">
        <v>176.22</v>
      </c>
      <c r="D1677" s="1542">
        <v>6480.03</v>
      </c>
      <c r="E1677" s="1542">
        <v>1692.3</v>
      </c>
    </row>
    <row r="1678" spans="1:5">
      <c r="A1678" s="1541">
        <v>42339</v>
      </c>
      <c r="B1678" s="1542">
        <v>13396.84</v>
      </c>
      <c r="C1678" s="1542">
        <v>175.73</v>
      </c>
      <c r="D1678" s="1542">
        <v>6532.17</v>
      </c>
      <c r="E1678" s="1542">
        <v>1699.88</v>
      </c>
    </row>
    <row r="1679" spans="1:5">
      <c r="A1679" s="1541">
        <v>42338</v>
      </c>
      <c r="B1679" s="1542">
        <v>13170.98</v>
      </c>
      <c r="C1679" s="1542">
        <v>171.77</v>
      </c>
      <c r="D1679" s="1542">
        <v>6471.72</v>
      </c>
      <c r="E1679" s="1542">
        <v>1676.72</v>
      </c>
    </row>
    <row r="1680" spans="1:5">
      <c r="A1680" s="1541">
        <v>42337</v>
      </c>
      <c r="B1680" s="1542"/>
      <c r="C1680" s="1542"/>
      <c r="D1680" s="1542"/>
      <c r="E1680" s="1542"/>
    </row>
    <row r="1681" spans="1:5">
      <c r="A1681" s="1541">
        <v>42336</v>
      </c>
      <c r="B1681" s="1542"/>
      <c r="C1681" s="1542"/>
      <c r="D1681" s="1542"/>
      <c r="E1681" s="1542"/>
    </row>
    <row r="1682" spans="1:5">
      <c r="A1682" s="1541">
        <v>42335</v>
      </c>
      <c r="B1682" s="1542">
        <v>13294.11</v>
      </c>
      <c r="C1682" s="1542">
        <v>172.52</v>
      </c>
      <c r="D1682" s="1542">
        <v>6493.96</v>
      </c>
      <c r="E1682" s="1542">
        <v>1701.43</v>
      </c>
    </row>
    <row r="1683" spans="1:5">
      <c r="A1683" s="1541">
        <v>42334</v>
      </c>
      <c r="B1683" s="1542">
        <v>13431.02</v>
      </c>
      <c r="C1683" s="1542">
        <v>173.17</v>
      </c>
      <c r="D1683" s="1542">
        <v>6506.64</v>
      </c>
      <c r="E1683" s="1542">
        <v>1725.58</v>
      </c>
    </row>
    <row r="1684" spans="1:5">
      <c r="A1684" s="1541">
        <v>42333</v>
      </c>
      <c r="B1684" s="1542">
        <v>13274.68</v>
      </c>
      <c r="C1684" s="1542">
        <v>170.71</v>
      </c>
      <c r="D1684" s="1542">
        <v>6483.37</v>
      </c>
      <c r="E1684" s="1542">
        <v>1721.57</v>
      </c>
    </row>
    <row r="1685" spans="1:5">
      <c r="A1685" s="1541">
        <v>42332</v>
      </c>
      <c r="B1685" s="1542">
        <v>13296.85</v>
      </c>
      <c r="C1685" s="1542">
        <v>170.26</v>
      </c>
      <c r="D1685" s="1542">
        <v>6473.85</v>
      </c>
      <c r="E1685" s="1542">
        <v>1728.01</v>
      </c>
    </row>
    <row r="1686" spans="1:5">
      <c r="A1686" s="1541">
        <v>42331</v>
      </c>
      <c r="B1686" s="1542">
        <v>13432.22</v>
      </c>
      <c r="C1686" s="1542">
        <v>172.41</v>
      </c>
      <c r="D1686" s="1542">
        <v>6480.71</v>
      </c>
      <c r="E1686" s="1542">
        <v>1731.65</v>
      </c>
    </row>
    <row r="1687" spans="1:5">
      <c r="A1687" s="1541">
        <v>42330</v>
      </c>
      <c r="B1687" s="1542"/>
      <c r="C1687" s="1542"/>
      <c r="D1687" s="1542"/>
      <c r="E1687" s="1542"/>
    </row>
    <row r="1688" spans="1:5">
      <c r="A1688" s="1541">
        <v>42329</v>
      </c>
      <c r="B1688" s="1542"/>
      <c r="C1688" s="1542"/>
      <c r="D1688" s="1542"/>
      <c r="E1688" s="1542"/>
    </row>
    <row r="1689" spans="1:5">
      <c r="A1689" s="1541">
        <v>42328</v>
      </c>
      <c r="B1689" s="1542">
        <v>13400.13</v>
      </c>
      <c r="C1689" s="1542">
        <v>172.03</v>
      </c>
      <c r="D1689" s="1542">
        <v>6501.53</v>
      </c>
      <c r="E1689" s="1542">
        <v>1736.46</v>
      </c>
    </row>
    <row r="1690" spans="1:5">
      <c r="A1690" s="1541">
        <v>42327</v>
      </c>
      <c r="B1690" s="1542">
        <v>13418.72</v>
      </c>
      <c r="C1690" s="1542">
        <v>171.37</v>
      </c>
      <c r="D1690" s="1542">
        <v>6492.17</v>
      </c>
      <c r="E1690" s="1542">
        <v>1723.39</v>
      </c>
    </row>
    <row r="1691" spans="1:5">
      <c r="A1691" s="1541">
        <v>42326</v>
      </c>
      <c r="B1691" s="1542">
        <v>13202.28</v>
      </c>
      <c r="C1691" s="1542">
        <v>169.46</v>
      </c>
      <c r="D1691" s="1542">
        <v>6457.08</v>
      </c>
      <c r="E1691" s="1542">
        <v>1693.88</v>
      </c>
    </row>
    <row r="1692" spans="1:5">
      <c r="A1692" s="1541">
        <v>42325</v>
      </c>
      <c r="B1692" s="1542">
        <v>13327.25</v>
      </c>
      <c r="C1692" s="1542">
        <v>168.63</v>
      </c>
      <c r="D1692" s="1542">
        <v>6397.79</v>
      </c>
      <c r="E1692" s="1542">
        <v>1696.45</v>
      </c>
    </row>
    <row r="1693" spans="1:5">
      <c r="A1693" s="1541">
        <v>42324</v>
      </c>
      <c r="B1693" s="1542">
        <v>13130.94</v>
      </c>
      <c r="C1693" s="1542">
        <v>166.6</v>
      </c>
      <c r="D1693" s="1542">
        <v>6363.94</v>
      </c>
      <c r="E1693" s="1542">
        <v>1674.39</v>
      </c>
    </row>
    <row r="1694" spans="1:5">
      <c r="A1694" s="1541">
        <v>42323</v>
      </c>
      <c r="B1694" s="1542"/>
      <c r="C1694" s="1542"/>
      <c r="D1694" s="1542"/>
      <c r="E1694" s="1542"/>
    </row>
    <row r="1695" spans="1:5">
      <c r="A1695" s="1541">
        <v>42322</v>
      </c>
      <c r="B1695" s="1542"/>
      <c r="C1695" s="1542"/>
      <c r="D1695" s="1542"/>
      <c r="E1695" s="1542"/>
    </row>
    <row r="1696" spans="1:5">
      <c r="A1696" s="1541">
        <v>42321</v>
      </c>
      <c r="B1696" s="1542">
        <v>13184.9</v>
      </c>
      <c r="C1696" s="1542">
        <v>166.49</v>
      </c>
      <c r="D1696" s="1542">
        <v>6312.87</v>
      </c>
      <c r="E1696" s="1542">
        <v>1690.3</v>
      </c>
    </row>
    <row r="1697" spans="1:5">
      <c r="A1697" s="1541">
        <v>42320</v>
      </c>
      <c r="B1697" s="1542">
        <v>13340.97</v>
      </c>
      <c r="C1697" s="1542">
        <v>167.68</v>
      </c>
      <c r="D1697" s="1542">
        <v>6378.41</v>
      </c>
      <c r="E1697" s="1542">
        <v>1716.22</v>
      </c>
    </row>
    <row r="1698" spans="1:5">
      <c r="A1698" s="1541">
        <v>42319</v>
      </c>
      <c r="B1698" s="1542">
        <v>13320.26</v>
      </c>
      <c r="C1698" s="1542">
        <v>166.68</v>
      </c>
      <c r="D1698" s="1542">
        <v>6454.24</v>
      </c>
      <c r="E1698" s="1542">
        <v>1715.49</v>
      </c>
    </row>
    <row r="1699" spans="1:5">
      <c r="A1699" s="1541">
        <v>42318</v>
      </c>
      <c r="B1699" s="1542">
        <v>13513.2</v>
      </c>
      <c r="C1699" s="1542">
        <v>169.64</v>
      </c>
      <c r="D1699" s="1542">
        <v>6448.6</v>
      </c>
      <c r="E1699" s="1542">
        <v>1715.5</v>
      </c>
    </row>
    <row r="1700" spans="1:5">
      <c r="A1700" s="1541">
        <v>42317</v>
      </c>
      <c r="B1700" s="1542">
        <v>13680.33</v>
      </c>
      <c r="C1700" s="1542">
        <v>169.56</v>
      </c>
      <c r="D1700" s="1542">
        <v>6451.75</v>
      </c>
      <c r="E1700" s="1542">
        <v>1736.3</v>
      </c>
    </row>
    <row r="1701" spans="1:5">
      <c r="A1701" s="1541">
        <v>42316</v>
      </c>
      <c r="B1701" s="1542"/>
      <c r="C1701" s="1542"/>
      <c r="D1701" s="1542"/>
      <c r="E1701" s="1542"/>
    </row>
    <row r="1702" spans="1:5">
      <c r="A1702" s="1541">
        <v>42315</v>
      </c>
      <c r="B1702" s="1542"/>
      <c r="C1702" s="1542"/>
      <c r="D1702" s="1542"/>
      <c r="E1702" s="1542"/>
    </row>
    <row r="1703" spans="1:5">
      <c r="A1703" s="1541">
        <v>42314</v>
      </c>
      <c r="B1703" s="1542">
        <v>13761.14</v>
      </c>
      <c r="C1703" s="1542">
        <v>172.32</v>
      </c>
      <c r="D1703" s="1542">
        <v>6499.44</v>
      </c>
      <c r="E1703" s="1542">
        <v>1754.43</v>
      </c>
    </row>
    <row r="1704" spans="1:5">
      <c r="A1704" s="1541">
        <v>42313</v>
      </c>
      <c r="B1704" s="1542">
        <v>14009.04</v>
      </c>
      <c r="C1704" s="1542">
        <v>174.19</v>
      </c>
      <c r="D1704" s="1542">
        <v>6522.98</v>
      </c>
      <c r="E1704" s="1542">
        <v>1778.36</v>
      </c>
    </row>
    <row r="1705" spans="1:5">
      <c r="A1705" s="1541">
        <v>42312</v>
      </c>
      <c r="B1705" s="1542">
        <v>14019.85</v>
      </c>
      <c r="C1705" s="1542">
        <v>173.57</v>
      </c>
      <c r="D1705" s="1542">
        <v>6533.22</v>
      </c>
      <c r="E1705" s="1542">
        <v>1786.6</v>
      </c>
    </row>
    <row r="1706" spans="1:5">
      <c r="A1706" s="1541">
        <v>42311</v>
      </c>
      <c r="B1706" s="1542">
        <v>13792.14</v>
      </c>
      <c r="C1706" s="1542">
        <v>171.53</v>
      </c>
      <c r="D1706" s="1542">
        <v>6545.32</v>
      </c>
      <c r="E1706" s="1542">
        <v>1771.35</v>
      </c>
    </row>
    <row r="1707" spans="1:5">
      <c r="A1707" s="1541">
        <v>42310</v>
      </c>
      <c r="B1707" s="1542">
        <v>13636.3</v>
      </c>
      <c r="C1707" s="1542">
        <v>169.4</v>
      </c>
      <c r="D1707" s="1542">
        <v>6536.72</v>
      </c>
      <c r="E1707" s="1542">
        <v>1749.6</v>
      </c>
    </row>
    <row r="1708" spans="1:5">
      <c r="A1708" s="1541">
        <v>42309</v>
      </c>
      <c r="B1708" s="1542"/>
      <c r="C1708" s="1542"/>
      <c r="D1708" s="1542"/>
      <c r="E1708" s="1542"/>
    </row>
    <row r="1709" spans="1:5">
      <c r="A1709" s="1541">
        <v>42308</v>
      </c>
      <c r="B1709" s="1542"/>
      <c r="C1709" s="1542"/>
      <c r="D1709" s="1542"/>
      <c r="E1709" s="1542"/>
    </row>
    <row r="1710" spans="1:5">
      <c r="A1710" s="1541">
        <v>42307</v>
      </c>
      <c r="B1710" s="1542">
        <v>13540.6</v>
      </c>
      <c r="C1710" s="1542">
        <v>167.76</v>
      </c>
      <c r="D1710" s="1542">
        <v>6500.91</v>
      </c>
      <c r="E1710" s="1542">
        <v>1744.66</v>
      </c>
    </row>
    <row r="1711" spans="1:5">
      <c r="A1711" s="1541">
        <v>42306</v>
      </c>
      <c r="B1711" s="1542">
        <v>13567.14</v>
      </c>
      <c r="C1711" s="1542">
        <v>167.79</v>
      </c>
      <c r="D1711" s="1542">
        <v>6503.95</v>
      </c>
      <c r="E1711" s="1542">
        <v>1741.07</v>
      </c>
    </row>
    <row r="1712" spans="1:5">
      <c r="A1712" s="1541">
        <v>42305</v>
      </c>
      <c r="B1712" s="1542">
        <v>13717.37</v>
      </c>
      <c r="C1712" s="1542">
        <v>168.78</v>
      </c>
      <c r="D1712" s="1542">
        <v>6531.64</v>
      </c>
      <c r="E1712" s="1542">
        <v>1770.18</v>
      </c>
    </row>
    <row r="1713" spans="1:5">
      <c r="A1713" s="1541">
        <v>42304</v>
      </c>
      <c r="B1713" s="1542">
        <v>13773.29</v>
      </c>
      <c r="C1713" s="1542">
        <v>168.59</v>
      </c>
      <c r="D1713" s="1542">
        <v>6463.03</v>
      </c>
      <c r="E1713" s="1542">
        <v>1775.11</v>
      </c>
    </row>
    <row r="1714" spans="1:5">
      <c r="A1714" s="1541">
        <v>42303</v>
      </c>
      <c r="B1714" s="1542">
        <v>13843</v>
      </c>
      <c r="C1714" s="1542">
        <v>168.93</v>
      </c>
      <c r="D1714" s="1542">
        <v>6496.3</v>
      </c>
      <c r="E1714" s="1542">
        <v>1785.27</v>
      </c>
    </row>
    <row r="1715" spans="1:5">
      <c r="A1715" s="1541">
        <v>42302</v>
      </c>
      <c r="B1715" s="1542"/>
      <c r="C1715" s="1542"/>
      <c r="D1715" s="1542"/>
      <c r="E1715" s="1542"/>
    </row>
    <row r="1716" spans="1:5">
      <c r="A1716" s="1541">
        <v>42301</v>
      </c>
      <c r="B1716" s="1542"/>
      <c r="C1716" s="1542"/>
      <c r="D1716" s="1542"/>
      <c r="E1716" s="1542"/>
    </row>
    <row r="1717" spans="1:5">
      <c r="A1717" s="1541">
        <v>42300</v>
      </c>
      <c r="B1717" s="1542">
        <v>13729.75</v>
      </c>
      <c r="C1717" s="1542">
        <v>167.06</v>
      </c>
      <c r="D1717" s="1542">
        <v>6502.47</v>
      </c>
      <c r="E1717" s="1542">
        <v>1787.13</v>
      </c>
    </row>
    <row r="1718" spans="1:5">
      <c r="A1718" s="1541">
        <v>42299</v>
      </c>
      <c r="B1718" s="1542">
        <v>13626.3</v>
      </c>
      <c r="C1718" s="1542">
        <v>166.68</v>
      </c>
      <c r="D1718" s="1542">
        <v>6436.59</v>
      </c>
      <c r="E1718" s="1542">
        <v>1765.71</v>
      </c>
    </row>
    <row r="1719" spans="1:5">
      <c r="A1719" s="1541">
        <v>42298</v>
      </c>
      <c r="B1719" s="1542">
        <v>13627.23</v>
      </c>
      <c r="C1719" s="1542">
        <v>166.06</v>
      </c>
      <c r="D1719" s="1542">
        <v>6372.91</v>
      </c>
      <c r="E1719" s="1542">
        <v>1767.63</v>
      </c>
    </row>
    <row r="1720" spans="1:5">
      <c r="A1720" s="1541">
        <v>42297</v>
      </c>
      <c r="B1720" s="1542">
        <v>13697.47</v>
      </c>
      <c r="C1720" s="1542">
        <v>166.54</v>
      </c>
      <c r="D1720" s="1542">
        <v>6390.17</v>
      </c>
      <c r="E1720" s="1542">
        <v>1778.64</v>
      </c>
    </row>
    <row r="1721" spans="1:5">
      <c r="A1721" s="1541">
        <v>42296</v>
      </c>
      <c r="B1721" s="1542">
        <v>13662.48</v>
      </c>
      <c r="C1721" s="1542">
        <v>164.48</v>
      </c>
      <c r="D1721" s="1542">
        <v>6399.19</v>
      </c>
      <c r="E1721" s="1542">
        <v>1784.34</v>
      </c>
    </row>
    <row r="1722" spans="1:5">
      <c r="A1722" s="1541">
        <v>42295</v>
      </c>
      <c r="B1722" s="1542"/>
      <c r="C1722" s="1542"/>
      <c r="D1722" s="1542"/>
      <c r="E1722" s="1542"/>
    </row>
    <row r="1723" spans="1:5">
      <c r="A1723" s="1541">
        <v>42294</v>
      </c>
      <c r="B1723" s="1542"/>
      <c r="C1723" s="1542"/>
      <c r="D1723" s="1542"/>
      <c r="E1723" s="1542"/>
    </row>
    <row r="1724" spans="1:5">
      <c r="A1724" s="1541">
        <v>42293</v>
      </c>
      <c r="B1724" s="1542">
        <v>13620.47</v>
      </c>
      <c r="C1724" s="1542">
        <v>164.42</v>
      </c>
      <c r="D1724" s="1542">
        <v>6412.96</v>
      </c>
      <c r="E1724" s="1542">
        <v>1780.24</v>
      </c>
    </row>
    <row r="1725" spans="1:5">
      <c r="A1725" s="1541">
        <v>42292</v>
      </c>
      <c r="B1725" s="1542">
        <v>13615.03</v>
      </c>
      <c r="C1725" s="1542">
        <v>163.92</v>
      </c>
      <c r="D1725" s="1542">
        <v>6383.31</v>
      </c>
      <c r="E1725" s="1542">
        <v>1778.81</v>
      </c>
    </row>
    <row r="1726" spans="1:5">
      <c r="A1726" s="1541">
        <v>42291</v>
      </c>
      <c r="B1726" s="1542">
        <v>13489.63</v>
      </c>
      <c r="C1726" s="1542">
        <v>163.85</v>
      </c>
      <c r="D1726" s="1542">
        <v>6296.45</v>
      </c>
      <c r="E1726" s="1542">
        <v>1747.26</v>
      </c>
    </row>
    <row r="1727" spans="1:5">
      <c r="A1727" s="1541">
        <v>42290</v>
      </c>
      <c r="B1727" s="1542">
        <v>13561.51</v>
      </c>
      <c r="C1727" s="1542">
        <v>163.72</v>
      </c>
      <c r="D1727" s="1542">
        <v>6326.93</v>
      </c>
      <c r="E1727" s="1542">
        <v>1757.32</v>
      </c>
    </row>
    <row r="1728" spans="1:5">
      <c r="A1728" s="1541">
        <v>42289</v>
      </c>
      <c r="B1728" s="1542">
        <v>13570.69</v>
      </c>
      <c r="C1728" s="1542">
        <v>162.81</v>
      </c>
      <c r="D1728" s="1542">
        <v>6377.13</v>
      </c>
      <c r="E1728" s="1542">
        <v>1779.82</v>
      </c>
    </row>
    <row r="1729" spans="1:5">
      <c r="A1729" s="1541">
        <v>42288</v>
      </c>
      <c r="B1729" s="1542"/>
      <c r="C1729" s="1542"/>
      <c r="D1729" s="1542"/>
      <c r="E1729" s="1542"/>
    </row>
    <row r="1730" spans="1:5">
      <c r="A1730" s="1541">
        <v>42287</v>
      </c>
      <c r="B1730" s="1542"/>
      <c r="C1730" s="1542"/>
      <c r="D1730" s="1542"/>
      <c r="E1730" s="1542"/>
    </row>
    <row r="1731" spans="1:5">
      <c r="A1731" s="1541">
        <v>42286</v>
      </c>
      <c r="B1731" s="1542"/>
      <c r="C1731" s="1542"/>
      <c r="D1731" s="1542">
        <v>6374.76</v>
      </c>
      <c r="E1731" s="1542">
        <v>1767.64</v>
      </c>
    </row>
    <row r="1732" spans="1:5">
      <c r="A1732" s="1541">
        <v>42285</v>
      </c>
      <c r="B1732" s="1542">
        <v>13368.45</v>
      </c>
      <c r="C1732" s="1542">
        <v>161.71</v>
      </c>
      <c r="D1732" s="1542">
        <v>6335.79</v>
      </c>
      <c r="E1732" s="1542">
        <v>1745.06</v>
      </c>
    </row>
    <row r="1733" spans="1:5">
      <c r="A1733" s="1541">
        <v>42284</v>
      </c>
      <c r="B1733" s="1542">
        <v>13446.11</v>
      </c>
      <c r="C1733" s="1542">
        <v>164.29</v>
      </c>
      <c r="D1733" s="1542">
        <v>6296.99</v>
      </c>
      <c r="E1733" s="1542">
        <v>1749.85</v>
      </c>
    </row>
    <row r="1734" spans="1:5">
      <c r="A1734" s="1541">
        <v>42283</v>
      </c>
      <c r="B1734" s="1542">
        <v>13286.04</v>
      </c>
      <c r="C1734" s="1542">
        <v>162.30000000000001</v>
      </c>
      <c r="D1734" s="1542">
        <v>6248.09</v>
      </c>
      <c r="E1734" s="1542">
        <v>1704.39</v>
      </c>
    </row>
    <row r="1735" spans="1:5">
      <c r="A1735" s="1541">
        <v>42282</v>
      </c>
      <c r="B1735" s="1542">
        <v>13219.98</v>
      </c>
      <c r="C1735" s="1542">
        <v>163.41</v>
      </c>
      <c r="D1735" s="1542">
        <v>6234.67</v>
      </c>
      <c r="E1735" s="1542">
        <v>1689.14</v>
      </c>
    </row>
    <row r="1736" spans="1:5">
      <c r="A1736" s="1541">
        <v>42281</v>
      </c>
      <c r="B1736" s="1542"/>
      <c r="C1736" s="1542"/>
      <c r="D1736" s="1542"/>
      <c r="E1736" s="1542"/>
    </row>
    <row r="1737" spans="1:5">
      <c r="A1737" s="1541">
        <v>42280</v>
      </c>
      <c r="B1737" s="1542"/>
      <c r="C1737" s="1542"/>
      <c r="D1737" s="1542"/>
      <c r="E1737" s="1542"/>
    </row>
    <row r="1738" spans="1:5">
      <c r="A1738" s="1541">
        <v>42279</v>
      </c>
      <c r="B1738" s="1542">
        <v>13145.07</v>
      </c>
      <c r="C1738" s="1542">
        <v>160.91</v>
      </c>
      <c r="D1738" s="1542">
        <v>6118.88</v>
      </c>
      <c r="E1738" s="1542">
        <v>1653.22</v>
      </c>
    </row>
    <row r="1739" spans="1:5">
      <c r="A1739" s="1541">
        <v>42278</v>
      </c>
      <c r="B1739" s="1542">
        <v>13130.68</v>
      </c>
      <c r="C1739" s="1542">
        <v>160.54</v>
      </c>
      <c r="D1739" s="1542">
        <v>6045.38</v>
      </c>
      <c r="E1739" s="1542">
        <v>1639.84</v>
      </c>
    </row>
    <row r="1740" spans="1:5">
      <c r="A1740" s="1541">
        <v>42277</v>
      </c>
      <c r="B1740" s="1542">
        <v>12948.92</v>
      </c>
      <c r="C1740" s="1542">
        <v>157.96</v>
      </c>
      <c r="D1740" s="1542">
        <v>6021.95</v>
      </c>
      <c r="E1740" s="1542">
        <v>1628.39</v>
      </c>
    </row>
    <row r="1741" spans="1:5">
      <c r="A1741" s="1541">
        <v>42276</v>
      </c>
      <c r="B1741" s="1542"/>
      <c r="C1741" s="1542"/>
      <c r="D1741" s="1542">
        <v>5901.86</v>
      </c>
      <c r="E1741" s="1542">
        <v>1596.08</v>
      </c>
    </row>
    <row r="1742" spans="1:5">
      <c r="A1742" s="1541">
        <v>42275</v>
      </c>
      <c r="B1742" s="1542"/>
      <c r="C1742" s="1542"/>
      <c r="D1742" s="1542">
        <v>5938.22</v>
      </c>
      <c r="E1742" s="1542">
        <v>1606.57</v>
      </c>
    </row>
    <row r="1743" spans="1:5">
      <c r="A1743" s="1541">
        <v>42274</v>
      </c>
      <c r="B1743" s="1542"/>
      <c r="C1743" s="1542"/>
      <c r="D1743" s="1542"/>
      <c r="E1743" s="1542"/>
    </row>
    <row r="1744" spans="1:5">
      <c r="A1744" s="1541">
        <v>42273</v>
      </c>
      <c r="B1744" s="1542"/>
      <c r="C1744" s="1542"/>
      <c r="D1744" s="1542"/>
      <c r="E1744" s="1542"/>
    </row>
    <row r="1745" spans="1:5">
      <c r="A1745" s="1541">
        <v>42272</v>
      </c>
      <c r="B1745" s="1542">
        <v>12871.55</v>
      </c>
      <c r="C1745" s="1542">
        <v>156.88</v>
      </c>
      <c r="D1745" s="1542">
        <v>6064.43</v>
      </c>
      <c r="E1745" s="1542">
        <v>1621.99</v>
      </c>
    </row>
    <row r="1746" spans="1:5">
      <c r="A1746" s="1541">
        <v>42271</v>
      </c>
      <c r="B1746" s="1542">
        <v>12856.92</v>
      </c>
      <c r="C1746" s="1542">
        <v>155.1</v>
      </c>
      <c r="D1746" s="1542">
        <v>6036.57</v>
      </c>
      <c r="E1746" s="1542">
        <v>1614.82</v>
      </c>
    </row>
    <row r="1747" spans="1:5">
      <c r="A1747" s="1541">
        <v>42270</v>
      </c>
      <c r="B1747" s="1542">
        <v>12967.82</v>
      </c>
      <c r="C1747" s="1542">
        <v>158.05000000000001</v>
      </c>
      <c r="D1747" s="1542">
        <v>6071.72</v>
      </c>
      <c r="E1747" s="1542">
        <v>1627.22</v>
      </c>
    </row>
    <row r="1748" spans="1:5">
      <c r="A1748" s="1541">
        <v>42269</v>
      </c>
      <c r="B1748" s="1542">
        <v>13240.85</v>
      </c>
      <c r="C1748" s="1542">
        <v>160.97</v>
      </c>
      <c r="D1748" s="1542">
        <v>6087.05</v>
      </c>
      <c r="E1748" s="1542">
        <v>1660.86</v>
      </c>
    </row>
    <row r="1749" spans="1:5">
      <c r="A1749" s="1541">
        <v>42268</v>
      </c>
      <c r="B1749" s="1542">
        <v>13147.31</v>
      </c>
      <c r="C1749" s="1542">
        <v>158.9</v>
      </c>
      <c r="D1749" s="1542">
        <v>6193.98</v>
      </c>
      <c r="E1749" s="1542">
        <v>1675.74</v>
      </c>
    </row>
    <row r="1750" spans="1:5">
      <c r="A1750" s="1541">
        <v>42267</v>
      </c>
      <c r="B1750" s="1542"/>
      <c r="C1750" s="1542"/>
      <c r="D1750" s="1542"/>
      <c r="E1750" s="1542"/>
    </row>
    <row r="1751" spans="1:5">
      <c r="A1751" s="1541">
        <v>42266</v>
      </c>
      <c r="B1751" s="1542"/>
      <c r="C1751" s="1542"/>
      <c r="D1751" s="1542"/>
      <c r="E1751" s="1542"/>
    </row>
    <row r="1752" spans="1:5">
      <c r="A1752" s="1541">
        <v>42265</v>
      </c>
      <c r="B1752" s="1542">
        <v>13390.69</v>
      </c>
      <c r="C1752" s="1542">
        <v>160.75</v>
      </c>
      <c r="D1752" s="1542">
        <v>6200.4</v>
      </c>
      <c r="E1752" s="1542">
        <v>1704.92</v>
      </c>
    </row>
    <row r="1753" spans="1:5">
      <c r="A1753" s="1541">
        <v>42264</v>
      </c>
      <c r="B1753" s="1542">
        <v>13364.37</v>
      </c>
      <c r="C1753" s="1542">
        <v>158.47</v>
      </c>
      <c r="D1753" s="1542">
        <v>6284.49</v>
      </c>
      <c r="E1753" s="1542">
        <v>1699.83</v>
      </c>
    </row>
    <row r="1754" spans="1:5">
      <c r="A1754" s="1541">
        <v>42263</v>
      </c>
      <c r="B1754" s="1542">
        <v>13186.61</v>
      </c>
      <c r="C1754" s="1542">
        <v>157.24</v>
      </c>
      <c r="D1754" s="1542">
        <v>6287.37</v>
      </c>
      <c r="E1754" s="1542">
        <v>1689.99</v>
      </c>
    </row>
    <row r="1755" spans="1:5">
      <c r="A1755" s="1541">
        <v>42262</v>
      </c>
      <c r="B1755" s="1542">
        <v>13070.62</v>
      </c>
      <c r="C1755" s="1542">
        <v>155.08000000000001</v>
      </c>
      <c r="D1755" s="1542">
        <v>6211.95</v>
      </c>
      <c r="E1755" s="1542">
        <v>1657.22</v>
      </c>
    </row>
    <row r="1756" spans="1:5">
      <c r="A1756" s="1541">
        <v>42261</v>
      </c>
      <c r="B1756" s="1542">
        <v>13145.15</v>
      </c>
      <c r="C1756" s="1542">
        <v>155.82</v>
      </c>
      <c r="D1756" s="1542">
        <v>6159.64</v>
      </c>
      <c r="E1756" s="1542">
        <v>1658.97</v>
      </c>
    </row>
    <row r="1757" spans="1:5">
      <c r="A1757" s="1541">
        <v>42260</v>
      </c>
      <c r="B1757" s="1542"/>
      <c r="C1757" s="1542"/>
      <c r="D1757" s="1542"/>
      <c r="E1757" s="1542"/>
    </row>
    <row r="1758" spans="1:5">
      <c r="A1758" s="1541">
        <v>42259</v>
      </c>
      <c r="B1758" s="1542"/>
      <c r="C1758" s="1542"/>
      <c r="D1758" s="1542"/>
      <c r="E1758" s="1542"/>
    </row>
    <row r="1759" spans="1:5">
      <c r="A1759" s="1541">
        <v>42258</v>
      </c>
      <c r="B1759" s="1542">
        <v>13142.05</v>
      </c>
      <c r="C1759" s="1542">
        <v>154.75</v>
      </c>
      <c r="D1759" s="1542">
        <v>6184.9</v>
      </c>
      <c r="E1759" s="1542">
        <v>1647.92</v>
      </c>
    </row>
    <row r="1760" spans="1:5">
      <c r="A1760" s="1541">
        <v>42257</v>
      </c>
      <c r="B1760" s="1542">
        <v>13083.26</v>
      </c>
      <c r="C1760" s="1542">
        <v>153.51</v>
      </c>
      <c r="D1760" s="1542">
        <v>6177.66</v>
      </c>
      <c r="E1760" s="1542">
        <v>1651.29</v>
      </c>
    </row>
    <row r="1761" spans="1:5">
      <c r="A1761" s="1541">
        <v>42256</v>
      </c>
      <c r="B1761" s="1542">
        <v>13111.99</v>
      </c>
      <c r="C1761" s="1542">
        <v>151.93</v>
      </c>
      <c r="D1761" s="1542">
        <v>6187.37</v>
      </c>
      <c r="E1761" s="1542">
        <v>1661.74</v>
      </c>
    </row>
    <row r="1762" spans="1:5">
      <c r="A1762" s="1541">
        <v>42255</v>
      </c>
      <c r="B1762" s="1542">
        <v>12660.12</v>
      </c>
      <c r="C1762" s="1542">
        <v>148.62</v>
      </c>
      <c r="D1762" s="1542">
        <v>6182.3</v>
      </c>
      <c r="E1762" s="1542">
        <v>1622.7</v>
      </c>
    </row>
    <row r="1763" spans="1:5">
      <c r="A1763" s="1541">
        <v>42254</v>
      </c>
      <c r="B1763" s="1542">
        <v>12636.28</v>
      </c>
      <c r="C1763" s="1542">
        <v>147.38999999999999</v>
      </c>
      <c r="D1763" s="1542">
        <v>6073.77</v>
      </c>
      <c r="E1763" s="1542">
        <v>1597.2</v>
      </c>
    </row>
    <row r="1764" spans="1:5">
      <c r="A1764" s="1541">
        <v>42253</v>
      </c>
      <c r="B1764" s="1542"/>
      <c r="C1764" s="1542"/>
      <c r="D1764" s="1542"/>
      <c r="E1764" s="1542"/>
    </row>
    <row r="1765" spans="1:5">
      <c r="A1765" s="1541">
        <v>42252</v>
      </c>
      <c r="B1765" s="1542"/>
      <c r="C1765" s="1542"/>
      <c r="D1765" s="1542"/>
      <c r="E1765" s="1542"/>
    </row>
    <row r="1766" spans="1:5">
      <c r="A1766" s="1541">
        <v>42251</v>
      </c>
      <c r="B1766" s="1542">
        <v>12657.98</v>
      </c>
      <c r="C1766" s="1542">
        <v>146.38999999999999</v>
      </c>
      <c r="D1766" s="1542">
        <v>6062.45</v>
      </c>
      <c r="E1766" s="1542">
        <v>1617.56</v>
      </c>
    </row>
    <row r="1767" spans="1:5">
      <c r="A1767" s="1541">
        <v>42250</v>
      </c>
      <c r="B1767" s="1542">
        <v>12808.8</v>
      </c>
      <c r="C1767" s="1542">
        <v>148.47999999999999</v>
      </c>
      <c r="D1767" s="1542">
        <v>6165.56</v>
      </c>
      <c r="E1767" s="1542">
        <v>1643.93</v>
      </c>
    </row>
    <row r="1768" spans="1:5">
      <c r="A1768" s="1541">
        <v>42249</v>
      </c>
      <c r="B1768" s="1542">
        <v>12681.59</v>
      </c>
      <c r="C1768" s="1542">
        <v>146.49</v>
      </c>
      <c r="D1768" s="1542">
        <v>6137.65</v>
      </c>
      <c r="E1768" s="1542">
        <v>1633.3</v>
      </c>
    </row>
    <row r="1769" spans="1:5">
      <c r="A1769" s="1541">
        <v>42248</v>
      </c>
      <c r="B1769" s="1542">
        <v>12651.38</v>
      </c>
      <c r="C1769" s="1542">
        <v>145.54</v>
      </c>
      <c r="D1769" s="1542">
        <v>6080.06</v>
      </c>
      <c r="E1769" s="1542">
        <v>1642.31</v>
      </c>
    </row>
    <row r="1770" spans="1:5">
      <c r="A1770" s="1541">
        <v>42247</v>
      </c>
      <c r="B1770" s="1542">
        <v>12894.35</v>
      </c>
      <c r="C1770" s="1542">
        <v>144.88</v>
      </c>
      <c r="D1770" s="1542">
        <v>6249.65</v>
      </c>
      <c r="E1770" s="1542">
        <v>1678.28</v>
      </c>
    </row>
    <row r="1771" spans="1:5">
      <c r="A1771" s="1541">
        <v>42246</v>
      </c>
      <c r="B1771" s="1542"/>
      <c r="C1771" s="1542"/>
      <c r="D1771" s="1542"/>
      <c r="E1771" s="1542"/>
    </row>
    <row r="1772" spans="1:5">
      <c r="A1772" s="1541">
        <v>42245</v>
      </c>
      <c r="B1772" s="1542"/>
      <c r="C1772" s="1542"/>
      <c r="D1772" s="1542"/>
      <c r="E1772" s="1542"/>
    </row>
    <row r="1773" spans="1:5">
      <c r="A1773" s="1541">
        <v>42244</v>
      </c>
      <c r="B1773" s="1542">
        <v>12645.42</v>
      </c>
      <c r="C1773" s="1542">
        <v>144.04</v>
      </c>
      <c r="D1773" s="1542">
        <v>6297.19</v>
      </c>
      <c r="E1773" s="1542">
        <v>1681.35</v>
      </c>
    </row>
    <row r="1774" spans="1:5">
      <c r="A1774" s="1541">
        <v>42243</v>
      </c>
      <c r="B1774" s="1542">
        <v>12337.12</v>
      </c>
      <c r="C1774" s="1542">
        <v>141.29</v>
      </c>
      <c r="D1774" s="1542">
        <v>6268.06</v>
      </c>
      <c r="E1774" s="1542">
        <v>1666.63</v>
      </c>
    </row>
    <row r="1775" spans="1:5">
      <c r="A1775" s="1541">
        <v>42242</v>
      </c>
      <c r="B1775" s="1542">
        <v>12153.54</v>
      </c>
      <c r="C1775" s="1542">
        <v>138</v>
      </c>
      <c r="D1775" s="1542">
        <v>6138.06</v>
      </c>
      <c r="E1775" s="1542">
        <v>1613.68</v>
      </c>
    </row>
    <row r="1776" spans="1:5">
      <c r="A1776" s="1541">
        <v>42241</v>
      </c>
      <c r="B1776" s="1542">
        <v>12088.44</v>
      </c>
      <c r="C1776" s="1542">
        <v>135.80000000000001</v>
      </c>
      <c r="D1776" s="1542">
        <v>6013.71</v>
      </c>
      <c r="E1776" s="1542">
        <v>1616.16</v>
      </c>
    </row>
    <row r="1777" spans="1:5">
      <c r="A1777" s="1541">
        <v>42240</v>
      </c>
      <c r="B1777" s="1542">
        <v>11666.06</v>
      </c>
      <c r="C1777" s="1542">
        <v>133.51</v>
      </c>
      <c r="D1777" s="1542">
        <v>6034.64</v>
      </c>
      <c r="E1777" s="1542">
        <v>1581.75</v>
      </c>
    </row>
    <row r="1778" spans="1:5">
      <c r="A1778" s="1541">
        <v>42239</v>
      </c>
      <c r="B1778" s="1542"/>
      <c r="C1778" s="1542"/>
      <c r="D1778" s="1542"/>
      <c r="E1778" s="1542"/>
    </row>
    <row r="1779" spans="1:5">
      <c r="A1779" s="1541">
        <v>42238</v>
      </c>
      <c r="B1779" s="1542"/>
      <c r="C1779" s="1542"/>
      <c r="D1779" s="1542"/>
      <c r="E1779" s="1542"/>
    </row>
    <row r="1780" spans="1:5">
      <c r="A1780" s="1541">
        <v>42237</v>
      </c>
      <c r="B1780" s="1542">
        <v>12257.34</v>
      </c>
      <c r="C1780" s="1542">
        <v>143.29</v>
      </c>
      <c r="D1780" s="1542">
        <v>6267.8</v>
      </c>
      <c r="E1780" s="1542">
        <v>1664.53</v>
      </c>
    </row>
    <row r="1781" spans="1:5">
      <c r="A1781" s="1541">
        <v>42236</v>
      </c>
      <c r="B1781" s="1542">
        <v>12639.66</v>
      </c>
      <c r="C1781" s="1542">
        <v>148.43</v>
      </c>
      <c r="D1781" s="1542">
        <v>6442.87</v>
      </c>
      <c r="E1781" s="1542">
        <v>1701.16</v>
      </c>
    </row>
    <row r="1782" spans="1:5">
      <c r="A1782" s="1541">
        <v>42235</v>
      </c>
      <c r="B1782" s="1542">
        <v>12623.03</v>
      </c>
      <c r="C1782" s="1542">
        <v>147.41</v>
      </c>
      <c r="D1782" s="1542">
        <v>6551.51</v>
      </c>
      <c r="E1782" s="1542">
        <v>1721.96</v>
      </c>
    </row>
    <row r="1783" spans="1:5">
      <c r="A1783" s="1541">
        <v>42234</v>
      </c>
      <c r="B1783" s="1542">
        <v>12866.52</v>
      </c>
      <c r="C1783" s="1542">
        <v>150.68</v>
      </c>
      <c r="D1783" s="1542">
        <v>6620.31</v>
      </c>
      <c r="E1783" s="1542">
        <v>1737.5</v>
      </c>
    </row>
    <row r="1784" spans="1:5">
      <c r="A1784" s="1541">
        <v>42233</v>
      </c>
      <c r="B1784" s="1542">
        <v>12921.88</v>
      </c>
      <c r="C1784" s="1542">
        <v>151.33000000000001</v>
      </c>
      <c r="D1784" s="1542">
        <v>6637.5</v>
      </c>
      <c r="E1784" s="1542">
        <v>1750.95</v>
      </c>
    </row>
    <row r="1785" spans="1:5">
      <c r="A1785" s="1541">
        <v>42232</v>
      </c>
      <c r="B1785" s="1542"/>
      <c r="C1785" s="1542"/>
      <c r="D1785" s="1542"/>
      <c r="E1785" s="1542"/>
    </row>
    <row r="1786" spans="1:5">
      <c r="A1786" s="1541">
        <v>42231</v>
      </c>
      <c r="B1786" s="1542"/>
      <c r="C1786" s="1542"/>
      <c r="D1786" s="1542"/>
      <c r="E1786" s="1542"/>
    </row>
    <row r="1787" spans="1:5">
      <c r="A1787" s="1541">
        <v>42230</v>
      </c>
      <c r="B1787" s="1542">
        <v>13061.76</v>
      </c>
      <c r="C1787" s="1542">
        <v>154</v>
      </c>
      <c r="D1787" s="1542">
        <v>6617</v>
      </c>
      <c r="E1787" s="1542">
        <v>1769.5</v>
      </c>
    </row>
    <row r="1788" spans="1:5">
      <c r="A1788" s="1541">
        <v>42229</v>
      </c>
      <c r="B1788" s="1542">
        <v>13070.77</v>
      </c>
      <c r="C1788" s="1542">
        <v>153.97999999999999</v>
      </c>
      <c r="D1788" s="1542">
        <v>6607.54</v>
      </c>
      <c r="E1788" s="1542">
        <v>1771.5</v>
      </c>
    </row>
    <row r="1789" spans="1:5">
      <c r="A1789" s="1541">
        <v>42228</v>
      </c>
      <c r="B1789" s="1542">
        <v>13003.75</v>
      </c>
      <c r="C1789" s="1542">
        <v>153.02000000000001</v>
      </c>
      <c r="D1789" s="1542">
        <v>6607.77</v>
      </c>
      <c r="E1789" s="1542">
        <v>1764.39</v>
      </c>
    </row>
    <row r="1790" spans="1:5">
      <c r="A1790" s="1541">
        <v>42227</v>
      </c>
      <c r="B1790" s="1542">
        <v>13175.1</v>
      </c>
      <c r="C1790" s="1542">
        <v>153.5</v>
      </c>
      <c r="D1790" s="1542">
        <v>6634.03</v>
      </c>
      <c r="E1790" s="1542">
        <v>1798.2</v>
      </c>
    </row>
    <row r="1791" spans="1:5">
      <c r="A1791" s="1541">
        <v>42226</v>
      </c>
      <c r="B1791" s="1542">
        <v>13281.67</v>
      </c>
      <c r="C1791" s="1542">
        <v>154.34</v>
      </c>
      <c r="D1791" s="1542">
        <v>6697.6</v>
      </c>
      <c r="E1791" s="1542">
        <v>1817.27</v>
      </c>
    </row>
    <row r="1792" spans="1:5">
      <c r="A1792" s="1541">
        <v>42225</v>
      </c>
      <c r="B1792" s="1542"/>
      <c r="C1792" s="1542"/>
      <c r="D1792" s="1542"/>
      <c r="E1792" s="1542"/>
    </row>
    <row r="1793" spans="1:5">
      <c r="A1793" s="1541">
        <v>42224</v>
      </c>
      <c r="B1793" s="1542"/>
      <c r="C1793" s="1542"/>
      <c r="D1793" s="1542"/>
      <c r="E1793" s="1542"/>
    </row>
    <row r="1794" spans="1:5">
      <c r="A1794" s="1541">
        <v>42223</v>
      </c>
      <c r="B1794" s="1542">
        <v>13224.89</v>
      </c>
      <c r="C1794" s="1542">
        <v>149.99</v>
      </c>
      <c r="D1794" s="1542">
        <v>6624.39</v>
      </c>
      <c r="E1794" s="1542">
        <v>1811.4</v>
      </c>
    </row>
    <row r="1795" spans="1:5">
      <c r="A1795" s="1541">
        <v>42222</v>
      </c>
      <c r="B1795" s="1542">
        <v>13235.14</v>
      </c>
      <c r="C1795" s="1542">
        <v>148.6</v>
      </c>
      <c r="D1795" s="1542">
        <v>6644.26</v>
      </c>
      <c r="E1795" s="1542">
        <v>1811.07</v>
      </c>
    </row>
    <row r="1796" spans="1:5">
      <c r="A1796" s="1541">
        <v>42221</v>
      </c>
      <c r="B1796" s="1542">
        <v>13359.35</v>
      </c>
      <c r="C1796" s="1542">
        <v>150.75</v>
      </c>
      <c r="D1796" s="1542">
        <v>6680.52</v>
      </c>
      <c r="E1796" s="1542">
        <v>1824.95</v>
      </c>
    </row>
    <row r="1797" spans="1:5">
      <c r="A1797" s="1541">
        <v>42220</v>
      </c>
      <c r="B1797" s="1542">
        <v>13309.81</v>
      </c>
      <c r="C1797" s="1542">
        <v>148.79</v>
      </c>
      <c r="D1797" s="1542">
        <v>6664.37</v>
      </c>
      <c r="E1797" s="1542">
        <v>1827.27</v>
      </c>
    </row>
    <row r="1798" spans="1:5">
      <c r="A1798" s="1541">
        <v>42219</v>
      </c>
      <c r="B1798" s="1542">
        <v>13319.24</v>
      </c>
      <c r="C1798" s="1542">
        <v>154.16999999999999</v>
      </c>
      <c r="D1798" s="1542">
        <v>6673.01</v>
      </c>
      <c r="E1798" s="1542">
        <v>1822.42</v>
      </c>
    </row>
    <row r="1799" spans="1:5">
      <c r="A1799" s="1541">
        <v>42218</v>
      </c>
      <c r="B1799" s="1542"/>
      <c r="C1799" s="1542"/>
      <c r="D1799" s="1542"/>
      <c r="E1799" s="1542"/>
    </row>
    <row r="1800" spans="1:5">
      <c r="A1800" s="1541">
        <v>42217</v>
      </c>
      <c r="B1800" s="1542"/>
      <c r="C1800" s="1542"/>
      <c r="D1800" s="1542"/>
      <c r="E1800" s="1542"/>
    </row>
    <row r="1801" spans="1:5">
      <c r="A1801" s="1541">
        <v>42216</v>
      </c>
      <c r="B1801" s="1542">
        <v>13538.36</v>
      </c>
      <c r="C1801" s="1542">
        <v>157.97</v>
      </c>
      <c r="D1801" s="1542">
        <v>6689.58</v>
      </c>
      <c r="E1801" s="1542">
        <v>1844.46</v>
      </c>
    </row>
    <row r="1802" spans="1:5">
      <c r="A1802" s="1541">
        <v>42215</v>
      </c>
      <c r="B1802" s="1542">
        <v>13511.41</v>
      </c>
      <c r="C1802" s="1542">
        <v>158.30000000000001</v>
      </c>
      <c r="D1802" s="1542">
        <v>6667.31</v>
      </c>
      <c r="E1802" s="1542">
        <v>1828.68</v>
      </c>
    </row>
    <row r="1803" spans="1:5">
      <c r="A1803" s="1541">
        <v>42214</v>
      </c>
      <c r="B1803" s="1542">
        <v>13362.86</v>
      </c>
      <c r="C1803" s="1542">
        <v>156.44</v>
      </c>
      <c r="D1803" s="1542">
        <v>6670.33</v>
      </c>
      <c r="E1803" s="1542">
        <v>1840.85</v>
      </c>
    </row>
    <row r="1804" spans="1:5">
      <c r="A1804" s="1541">
        <v>42213</v>
      </c>
      <c r="B1804" s="1542">
        <v>13378.88</v>
      </c>
      <c r="C1804" s="1542">
        <v>156.03</v>
      </c>
      <c r="D1804" s="1542">
        <v>6618</v>
      </c>
      <c r="E1804" s="1542">
        <v>1822.48</v>
      </c>
    </row>
    <row r="1805" spans="1:5">
      <c r="A1805" s="1541">
        <v>42212</v>
      </c>
      <c r="B1805" s="1542">
        <v>13330.86</v>
      </c>
      <c r="C1805" s="1542">
        <v>153.72999999999999</v>
      </c>
      <c r="D1805" s="1542">
        <v>6566.9</v>
      </c>
      <c r="E1805" s="1542">
        <v>1825.09</v>
      </c>
    </row>
    <row r="1806" spans="1:5">
      <c r="A1806" s="1541">
        <v>42211</v>
      </c>
      <c r="B1806" s="1542"/>
      <c r="C1806" s="1542"/>
      <c r="D1806" s="1542"/>
      <c r="E1806" s="1542"/>
    </row>
    <row r="1807" spans="1:5">
      <c r="A1807" s="1541">
        <v>42210</v>
      </c>
      <c r="B1807" s="1542"/>
      <c r="C1807" s="1542"/>
      <c r="D1807" s="1542"/>
      <c r="E1807" s="1542"/>
    </row>
    <row r="1808" spans="1:5">
      <c r="A1808" s="1541">
        <v>42209</v>
      </c>
      <c r="B1808" s="1542">
        <v>13658.28</v>
      </c>
      <c r="C1808" s="1542">
        <v>161.72999999999999</v>
      </c>
      <c r="D1808" s="1542">
        <v>6611.96</v>
      </c>
      <c r="E1808" s="1542">
        <v>1861.27</v>
      </c>
    </row>
    <row r="1809" spans="1:5">
      <c r="A1809" s="1541">
        <v>42208</v>
      </c>
      <c r="B1809" s="1542">
        <v>13685.18</v>
      </c>
      <c r="C1809" s="1542">
        <v>162.5</v>
      </c>
      <c r="D1809" s="1542">
        <v>6677.44</v>
      </c>
      <c r="E1809" s="1542">
        <v>1887.99</v>
      </c>
    </row>
    <row r="1810" spans="1:5">
      <c r="A1810" s="1541">
        <v>42207</v>
      </c>
      <c r="B1810" s="1542">
        <v>13862.71</v>
      </c>
      <c r="C1810" s="1542">
        <v>165.77</v>
      </c>
      <c r="D1810" s="1542">
        <v>6691.39</v>
      </c>
      <c r="E1810" s="1542">
        <v>1903.09</v>
      </c>
    </row>
    <row r="1811" spans="1:5">
      <c r="A1811" s="1541">
        <v>42206</v>
      </c>
      <c r="B1811" s="1542">
        <v>13991.22</v>
      </c>
      <c r="C1811" s="1542">
        <v>167.75</v>
      </c>
      <c r="D1811" s="1542">
        <v>6733.53</v>
      </c>
      <c r="E1811" s="1542">
        <v>1920.74</v>
      </c>
    </row>
    <row r="1812" spans="1:5">
      <c r="A1812" s="1541">
        <v>42205</v>
      </c>
      <c r="B1812" s="1542">
        <v>13937.12</v>
      </c>
      <c r="C1812" s="1542">
        <v>169.13</v>
      </c>
      <c r="D1812" s="1542">
        <v>6749.77</v>
      </c>
      <c r="E1812" s="1542">
        <v>1911.72</v>
      </c>
    </row>
    <row r="1813" spans="1:5">
      <c r="A1813" s="1541">
        <v>42204</v>
      </c>
      <c r="B1813" s="1542"/>
      <c r="C1813" s="1542"/>
      <c r="D1813" s="1542"/>
      <c r="E1813" s="1542"/>
    </row>
    <row r="1814" spans="1:5">
      <c r="A1814" s="1541">
        <v>42203</v>
      </c>
      <c r="B1814" s="1542"/>
      <c r="C1814" s="1542"/>
      <c r="D1814" s="1542"/>
      <c r="E1814" s="1542"/>
    </row>
    <row r="1815" spans="1:5">
      <c r="A1815" s="1541">
        <v>42202</v>
      </c>
      <c r="B1815" s="1542">
        <v>14041.88</v>
      </c>
      <c r="C1815" s="1542">
        <v>171.05</v>
      </c>
      <c r="D1815" s="1542">
        <v>6744.52</v>
      </c>
      <c r="E1815" s="1542">
        <v>1924.4</v>
      </c>
    </row>
    <row r="1816" spans="1:5">
      <c r="A1816" s="1541">
        <v>42201</v>
      </c>
      <c r="B1816" s="1542">
        <v>14033.93</v>
      </c>
      <c r="C1816" s="1542">
        <v>171.69</v>
      </c>
      <c r="D1816" s="1542">
        <v>6748.62</v>
      </c>
      <c r="E1816" s="1542">
        <v>1924.4</v>
      </c>
    </row>
    <row r="1817" spans="1:5">
      <c r="A1817" s="1541">
        <v>42200</v>
      </c>
      <c r="B1817" s="1542">
        <v>14016.79</v>
      </c>
      <c r="C1817" s="1542">
        <v>171.88</v>
      </c>
      <c r="D1817" s="1542">
        <v>6696.16</v>
      </c>
      <c r="E1817" s="1542">
        <v>1916.28</v>
      </c>
    </row>
    <row r="1818" spans="1:5">
      <c r="A1818" s="1541">
        <v>42199</v>
      </c>
      <c r="B1818" s="1542">
        <v>13962.85</v>
      </c>
      <c r="C1818" s="1542">
        <v>172.21</v>
      </c>
      <c r="D1818" s="1542">
        <v>6700.96</v>
      </c>
      <c r="E1818" s="1542">
        <v>1919.91</v>
      </c>
    </row>
    <row r="1819" spans="1:5">
      <c r="A1819" s="1541">
        <v>42198</v>
      </c>
      <c r="B1819" s="1542">
        <v>13936.67</v>
      </c>
      <c r="C1819" s="1542">
        <v>172.36</v>
      </c>
      <c r="D1819" s="1542">
        <v>6660.31</v>
      </c>
      <c r="E1819" s="1542">
        <v>1923.76</v>
      </c>
    </row>
    <row r="1820" spans="1:5">
      <c r="A1820" s="1541">
        <v>42197</v>
      </c>
      <c r="B1820" s="1542"/>
      <c r="C1820" s="1542"/>
      <c r="D1820" s="1542"/>
      <c r="E1820" s="1542"/>
    </row>
    <row r="1821" spans="1:5">
      <c r="A1821" s="1541">
        <v>42196</v>
      </c>
      <c r="B1821" s="1542"/>
      <c r="C1821" s="1542"/>
      <c r="D1821" s="1542"/>
      <c r="E1821" s="1542"/>
    </row>
    <row r="1822" spans="1:5">
      <c r="A1822" s="1541">
        <v>42195</v>
      </c>
      <c r="B1822" s="1542"/>
      <c r="C1822" s="1542"/>
      <c r="D1822" s="1542">
        <v>6601.78</v>
      </c>
      <c r="E1822" s="1542">
        <v>1902.48</v>
      </c>
    </row>
    <row r="1823" spans="1:5">
      <c r="A1823" s="1541">
        <v>42194</v>
      </c>
      <c r="B1823" s="1542">
        <v>13743.06</v>
      </c>
      <c r="C1823" s="1542">
        <v>169.38</v>
      </c>
      <c r="D1823" s="1542">
        <v>6503.87</v>
      </c>
      <c r="E1823" s="1542">
        <v>1875.8</v>
      </c>
    </row>
    <row r="1824" spans="1:5">
      <c r="A1824" s="1541">
        <v>42193</v>
      </c>
      <c r="B1824" s="1542">
        <v>13817.85</v>
      </c>
      <c r="C1824" s="1542">
        <v>170.08</v>
      </c>
      <c r="D1824" s="1542">
        <v>6463.65</v>
      </c>
      <c r="E1824" s="1542">
        <v>1844.43</v>
      </c>
    </row>
    <row r="1825" spans="1:5">
      <c r="A1825" s="1541">
        <v>42192</v>
      </c>
      <c r="B1825" s="1542">
        <v>14237.53</v>
      </c>
      <c r="C1825" s="1542">
        <v>177.57</v>
      </c>
      <c r="D1825" s="1542">
        <v>6530.93</v>
      </c>
      <c r="E1825" s="1542">
        <v>1896.78</v>
      </c>
    </row>
    <row r="1826" spans="1:5">
      <c r="A1826" s="1541">
        <v>42191</v>
      </c>
      <c r="B1826" s="1542">
        <v>14239.1</v>
      </c>
      <c r="C1826" s="1542">
        <v>177.22</v>
      </c>
      <c r="D1826" s="1542">
        <v>6547.99</v>
      </c>
      <c r="E1826" s="1542">
        <v>1923.58</v>
      </c>
    </row>
    <row r="1827" spans="1:5">
      <c r="A1827" s="1541">
        <v>42190</v>
      </c>
      <c r="B1827" s="1542"/>
      <c r="C1827" s="1542"/>
      <c r="D1827" s="1542"/>
      <c r="E1827" s="1542"/>
    </row>
    <row r="1828" spans="1:5">
      <c r="A1828" s="1541">
        <v>42189</v>
      </c>
      <c r="B1828" s="1542"/>
      <c r="C1828" s="1542"/>
      <c r="D1828" s="1542"/>
      <c r="E1828" s="1542"/>
    </row>
    <row r="1829" spans="1:5">
      <c r="A1829" s="1541">
        <v>42188</v>
      </c>
      <c r="B1829" s="1542">
        <v>14391.89</v>
      </c>
      <c r="C1829" s="1542">
        <v>179.99</v>
      </c>
      <c r="D1829" s="1542">
        <v>6604.56</v>
      </c>
      <c r="E1829" s="1542">
        <v>1965.86</v>
      </c>
    </row>
    <row r="1830" spans="1:5">
      <c r="A1830" s="1541">
        <v>42187</v>
      </c>
      <c r="B1830" s="1542">
        <v>14416.53</v>
      </c>
      <c r="C1830" s="1542">
        <v>180.13</v>
      </c>
      <c r="D1830" s="1542">
        <v>6614.83</v>
      </c>
      <c r="E1830" s="1542">
        <v>1980.27</v>
      </c>
    </row>
    <row r="1831" spans="1:5">
      <c r="A1831" s="1541">
        <v>42186</v>
      </c>
      <c r="B1831" s="1542">
        <v>14401.91</v>
      </c>
      <c r="C1831" s="1542">
        <v>179.6</v>
      </c>
      <c r="D1831" s="1542">
        <v>6614.24</v>
      </c>
      <c r="E1831" s="1542">
        <v>1980.2</v>
      </c>
    </row>
    <row r="1832" spans="1:5">
      <c r="A1832" s="1541">
        <v>42185</v>
      </c>
      <c r="B1832" s="1542">
        <v>14307.35</v>
      </c>
      <c r="C1832" s="1542">
        <v>177.53</v>
      </c>
      <c r="D1832" s="1542">
        <v>6569.47</v>
      </c>
      <c r="E1832" s="1542">
        <v>1980.54</v>
      </c>
    </row>
    <row r="1833" spans="1:5">
      <c r="A1833" s="1541">
        <v>42184</v>
      </c>
      <c r="B1833" s="1542">
        <v>14144.9</v>
      </c>
      <c r="C1833" s="1542">
        <v>176.34</v>
      </c>
      <c r="D1833" s="1542">
        <v>6576.77</v>
      </c>
      <c r="E1833" s="1542">
        <v>1953.65</v>
      </c>
    </row>
    <row r="1834" spans="1:5">
      <c r="A1834" s="1541">
        <v>42183</v>
      </c>
      <c r="B1834" s="1542"/>
      <c r="C1834" s="1542"/>
      <c r="D1834" s="1542"/>
      <c r="E1834" s="1542"/>
    </row>
    <row r="1835" spans="1:5">
      <c r="A1835" s="1541">
        <v>42182</v>
      </c>
      <c r="B1835" s="1542"/>
      <c r="C1835" s="1542"/>
      <c r="D1835" s="1542"/>
      <c r="E1835" s="1542"/>
    </row>
    <row r="1836" spans="1:5">
      <c r="A1836" s="1541">
        <v>42181</v>
      </c>
      <c r="B1836" s="1542">
        <v>14428.68</v>
      </c>
      <c r="C1836" s="1542">
        <v>180.24</v>
      </c>
      <c r="D1836" s="1542">
        <v>6722.54</v>
      </c>
      <c r="E1836" s="1542">
        <v>1993.25</v>
      </c>
    </row>
    <row r="1837" spans="1:5">
      <c r="A1837" s="1541">
        <v>42180</v>
      </c>
      <c r="B1837" s="1542">
        <v>14440.35</v>
      </c>
      <c r="C1837" s="1542">
        <v>181</v>
      </c>
      <c r="D1837" s="1542">
        <v>6740.67</v>
      </c>
      <c r="E1837" s="1542">
        <v>2008.29</v>
      </c>
    </row>
    <row r="1838" spans="1:5">
      <c r="A1838" s="1541">
        <v>42179</v>
      </c>
      <c r="B1838" s="1542">
        <v>14319.17</v>
      </c>
      <c r="C1838" s="1542">
        <v>180.2</v>
      </c>
      <c r="D1838" s="1542">
        <v>6756.01</v>
      </c>
      <c r="E1838" s="1542">
        <v>2017.33</v>
      </c>
    </row>
    <row r="1839" spans="1:5">
      <c r="A1839" s="1541">
        <v>42178</v>
      </c>
      <c r="B1839" s="1542">
        <v>14309.65</v>
      </c>
      <c r="C1839" s="1542">
        <v>179.51</v>
      </c>
      <c r="D1839" s="1542">
        <v>6794.78</v>
      </c>
      <c r="E1839" s="1542">
        <v>2011.62</v>
      </c>
    </row>
    <row r="1840" spans="1:5">
      <c r="A1840" s="1541">
        <v>42177</v>
      </c>
      <c r="B1840" s="1542">
        <v>14232.05</v>
      </c>
      <c r="C1840" s="1542">
        <v>179.2</v>
      </c>
      <c r="D1840" s="1542">
        <v>6794.93</v>
      </c>
      <c r="E1840" s="1542">
        <v>2002.53</v>
      </c>
    </row>
    <row r="1841" spans="1:5">
      <c r="A1841" s="1541">
        <v>42176</v>
      </c>
      <c r="B1841" s="1542"/>
      <c r="C1841" s="1542"/>
      <c r="D1841" s="1542"/>
      <c r="E1841" s="1542"/>
    </row>
    <row r="1842" spans="1:5">
      <c r="A1842" s="1541">
        <v>42175</v>
      </c>
      <c r="B1842" s="1542"/>
      <c r="C1842" s="1542"/>
      <c r="D1842" s="1542"/>
      <c r="E1842" s="1542"/>
    </row>
    <row r="1843" spans="1:5">
      <c r="A1843" s="1541">
        <v>42174</v>
      </c>
      <c r="B1843" s="1542"/>
      <c r="C1843" s="1542"/>
      <c r="D1843" s="1542">
        <v>6714.17</v>
      </c>
      <c r="E1843" s="1542">
        <v>1976.44</v>
      </c>
    </row>
    <row r="1844" spans="1:5">
      <c r="A1844" s="1541">
        <v>42173</v>
      </c>
      <c r="B1844" s="1542">
        <v>14042.92</v>
      </c>
      <c r="C1844" s="1542">
        <v>178.06</v>
      </c>
      <c r="D1844" s="1542">
        <v>6735.87</v>
      </c>
      <c r="E1844" s="1542">
        <v>1982.38</v>
      </c>
    </row>
    <row r="1845" spans="1:5">
      <c r="A1845" s="1541">
        <v>42172</v>
      </c>
      <c r="B1845" s="1542">
        <v>13998.95</v>
      </c>
      <c r="C1845" s="1542">
        <v>176.27</v>
      </c>
      <c r="D1845" s="1542">
        <v>6665.06</v>
      </c>
      <c r="E1845" s="1542">
        <v>1965.58</v>
      </c>
    </row>
    <row r="1846" spans="1:5">
      <c r="A1846" s="1541">
        <v>42171</v>
      </c>
      <c r="B1846" s="1542">
        <v>14032.87</v>
      </c>
      <c r="C1846" s="1542">
        <v>175.41</v>
      </c>
      <c r="D1846" s="1542">
        <v>6670.85</v>
      </c>
      <c r="E1846" s="1542">
        <v>1957.18</v>
      </c>
    </row>
    <row r="1847" spans="1:5">
      <c r="A1847" s="1541">
        <v>42170</v>
      </c>
      <c r="B1847" s="1542">
        <v>14103.6</v>
      </c>
      <c r="C1847" s="1542">
        <v>176.84</v>
      </c>
      <c r="D1847" s="1542">
        <v>6645.86</v>
      </c>
      <c r="E1847" s="1542">
        <v>1967.22</v>
      </c>
    </row>
    <row r="1848" spans="1:5">
      <c r="A1848" s="1541">
        <v>42169</v>
      </c>
      <c r="B1848" s="1542"/>
      <c r="C1848" s="1542"/>
      <c r="D1848" s="1542"/>
      <c r="E1848" s="1542"/>
    </row>
    <row r="1849" spans="1:5">
      <c r="A1849" s="1541">
        <v>42168</v>
      </c>
      <c r="B1849" s="1542"/>
      <c r="C1849" s="1542"/>
      <c r="D1849" s="1542"/>
      <c r="E1849" s="1542"/>
    </row>
    <row r="1850" spans="1:5">
      <c r="A1850" s="1541">
        <v>42167</v>
      </c>
      <c r="B1850" s="1542">
        <v>14167.12</v>
      </c>
      <c r="C1850" s="1542">
        <v>176.65</v>
      </c>
      <c r="D1850" s="1542">
        <v>6695.23</v>
      </c>
      <c r="E1850" s="1542">
        <v>1985.03</v>
      </c>
    </row>
    <row r="1851" spans="1:5">
      <c r="A1851" s="1541">
        <v>42166</v>
      </c>
      <c r="B1851" s="1542">
        <v>14167.97</v>
      </c>
      <c r="C1851" s="1542">
        <v>175.97</v>
      </c>
      <c r="D1851" s="1542">
        <v>6730.01</v>
      </c>
      <c r="E1851" s="1542">
        <v>1979.39</v>
      </c>
    </row>
    <row r="1852" spans="1:5">
      <c r="A1852" s="1541">
        <v>42165</v>
      </c>
      <c r="B1852" s="1542">
        <v>14161.7</v>
      </c>
      <c r="C1852" s="1542">
        <v>175.63</v>
      </c>
      <c r="D1852" s="1542">
        <v>6717.79</v>
      </c>
      <c r="E1852" s="1542">
        <v>1981.33</v>
      </c>
    </row>
    <row r="1853" spans="1:5">
      <c r="A1853" s="1541">
        <v>42164</v>
      </c>
      <c r="B1853" s="1542">
        <v>13999.29</v>
      </c>
      <c r="C1853" s="1542">
        <v>172</v>
      </c>
      <c r="D1853" s="1542">
        <v>6622.52</v>
      </c>
      <c r="E1853" s="1542">
        <v>1967.38</v>
      </c>
    </row>
    <row r="1854" spans="1:5">
      <c r="A1854" s="1541">
        <v>42163</v>
      </c>
      <c r="B1854" s="1542">
        <v>14267.25</v>
      </c>
      <c r="C1854" s="1542">
        <v>179.1</v>
      </c>
      <c r="D1854" s="1542">
        <v>6624.45</v>
      </c>
      <c r="E1854" s="1542">
        <v>1979.4</v>
      </c>
    </row>
    <row r="1855" spans="1:5">
      <c r="A1855" s="1541">
        <v>42162</v>
      </c>
      <c r="B1855" s="1542"/>
      <c r="C1855" s="1542"/>
      <c r="D1855" s="1542"/>
      <c r="E1855" s="1542"/>
    </row>
    <row r="1856" spans="1:5">
      <c r="A1856" s="1541">
        <v>42161</v>
      </c>
      <c r="B1856" s="1542"/>
      <c r="C1856" s="1542"/>
      <c r="D1856" s="1542"/>
      <c r="E1856" s="1542"/>
    </row>
    <row r="1857" spans="1:5">
      <c r="A1857" s="1541">
        <v>42160</v>
      </c>
      <c r="B1857" s="1542">
        <v>14223.93</v>
      </c>
      <c r="C1857" s="1542">
        <v>179.76</v>
      </c>
      <c r="D1857" s="1542">
        <v>6654.45</v>
      </c>
      <c r="E1857" s="1542">
        <v>1989.49</v>
      </c>
    </row>
    <row r="1858" spans="1:5">
      <c r="A1858" s="1541">
        <v>42159</v>
      </c>
      <c r="B1858" s="1542">
        <v>14236.88</v>
      </c>
      <c r="C1858" s="1542">
        <v>179.8</v>
      </c>
      <c r="D1858" s="1542">
        <v>6710.96</v>
      </c>
      <c r="E1858" s="1542">
        <v>2001.26</v>
      </c>
    </row>
    <row r="1859" spans="1:5">
      <c r="A1859" s="1541">
        <v>42158</v>
      </c>
      <c r="B1859" s="1542">
        <v>14553.47</v>
      </c>
      <c r="C1859" s="1542">
        <v>184.95</v>
      </c>
      <c r="D1859" s="1542">
        <v>6765.06</v>
      </c>
      <c r="E1859" s="1542">
        <v>2015.7</v>
      </c>
    </row>
    <row r="1860" spans="1:5">
      <c r="A1860" s="1541">
        <v>42157</v>
      </c>
      <c r="B1860" s="1542">
        <v>14641.27</v>
      </c>
      <c r="C1860" s="1542">
        <v>186.98</v>
      </c>
      <c r="D1860" s="1542">
        <v>6735.78</v>
      </c>
      <c r="E1860" s="1542">
        <v>2023.46</v>
      </c>
    </row>
    <row r="1861" spans="1:5">
      <c r="A1861" s="1541">
        <v>42156</v>
      </c>
      <c r="B1861" s="1542">
        <v>14658.67</v>
      </c>
      <c r="C1861" s="1542">
        <v>187.45</v>
      </c>
      <c r="D1861" s="1542">
        <v>6719.79</v>
      </c>
      <c r="E1861" s="1542">
        <v>2029.42</v>
      </c>
    </row>
    <row r="1862" spans="1:5">
      <c r="A1862" s="1541">
        <v>42155</v>
      </c>
      <c r="B1862" s="1542"/>
      <c r="C1862" s="1542"/>
      <c r="D1862" s="1542"/>
      <c r="E1862" s="1542"/>
    </row>
    <row r="1863" spans="1:5">
      <c r="A1863" s="1541">
        <v>42154</v>
      </c>
      <c r="B1863" s="1542"/>
      <c r="C1863" s="1542"/>
      <c r="D1863" s="1542"/>
      <c r="E1863" s="1542"/>
    </row>
    <row r="1864" spans="1:5">
      <c r="A1864" s="1541">
        <v>42153</v>
      </c>
      <c r="B1864" s="1542">
        <v>14772.83</v>
      </c>
      <c r="C1864" s="1542">
        <v>187.08</v>
      </c>
      <c r="D1864" s="1542">
        <v>6723.06</v>
      </c>
      <c r="E1864" s="1542">
        <v>2031.75</v>
      </c>
    </row>
    <row r="1865" spans="1:5">
      <c r="A1865" s="1541">
        <v>42152</v>
      </c>
      <c r="B1865" s="1542">
        <v>14790.76</v>
      </c>
      <c r="C1865" s="1542">
        <v>186.49</v>
      </c>
      <c r="D1865" s="1542">
        <v>6768.43</v>
      </c>
      <c r="E1865" s="1542">
        <v>2042.45</v>
      </c>
    </row>
    <row r="1866" spans="1:5">
      <c r="A1866" s="1541">
        <v>42151</v>
      </c>
      <c r="B1866" s="1542">
        <v>14761.36</v>
      </c>
      <c r="C1866" s="1542">
        <v>184.94</v>
      </c>
      <c r="D1866" s="1542">
        <v>6775.38</v>
      </c>
      <c r="E1866" s="1542">
        <v>2061.62</v>
      </c>
    </row>
    <row r="1867" spans="1:5">
      <c r="A1867" s="1541">
        <v>42150</v>
      </c>
      <c r="B1867" s="1542">
        <v>14724.46</v>
      </c>
      <c r="C1867" s="1542">
        <v>182.87</v>
      </c>
      <c r="D1867" s="1542">
        <v>6727.49</v>
      </c>
      <c r="E1867" s="1542">
        <v>2076.29</v>
      </c>
    </row>
    <row r="1868" spans="1:5">
      <c r="A1868" s="1541">
        <v>42149</v>
      </c>
      <c r="B1868" s="1542">
        <v>14687.55</v>
      </c>
      <c r="C1868" s="1542">
        <v>182.81</v>
      </c>
      <c r="D1868" s="1542">
        <v>6812.74</v>
      </c>
      <c r="E1868" s="1542">
        <v>2093.83</v>
      </c>
    </row>
    <row r="1869" spans="1:5">
      <c r="A1869" s="1541">
        <v>42148</v>
      </c>
      <c r="B1869" s="1542"/>
      <c r="C1869" s="1542"/>
      <c r="D1869" s="1542"/>
      <c r="E1869" s="1542"/>
    </row>
    <row r="1870" spans="1:5">
      <c r="A1870" s="1541">
        <v>42147</v>
      </c>
      <c r="B1870" s="1542"/>
      <c r="C1870" s="1542"/>
      <c r="D1870" s="1542"/>
      <c r="E1870" s="1542"/>
    </row>
    <row r="1871" spans="1:5">
      <c r="A1871" s="1541">
        <v>42146</v>
      </c>
      <c r="B1871" s="1542">
        <v>14677.84</v>
      </c>
      <c r="C1871" s="1542">
        <v>181.62</v>
      </c>
      <c r="D1871" s="1542">
        <v>6811.48</v>
      </c>
      <c r="E1871" s="1542">
        <v>2098.38</v>
      </c>
    </row>
    <row r="1872" spans="1:5">
      <c r="A1872" s="1541">
        <v>42145</v>
      </c>
      <c r="B1872" s="1542">
        <v>14586.12</v>
      </c>
      <c r="C1872" s="1542">
        <v>180.71</v>
      </c>
      <c r="D1872" s="1542">
        <v>6838.32</v>
      </c>
      <c r="E1872" s="1542">
        <v>2087.81</v>
      </c>
    </row>
    <row r="1873" spans="1:5">
      <c r="A1873" s="1541">
        <v>42144</v>
      </c>
      <c r="B1873" s="1542">
        <v>14748.68</v>
      </c>
      <c r="C1873" s="1542">
        <v>181.18</v>
      </c>
      <c r="D1873" s="1542">
        <v>6811.01</v>
      </c>
      <c r="E1873" s="1542">
        <v>2094.61</v>
      </c>
    </row>
    <row r="1874" spans="1:5">
      <c r="A1874" s="1541">
        <v>42143</v>
      </c>
      <c r="B1874" s="1542">
        <v>14796.58</v>
      </c>
      <c r="C1874" s="1542">
        <v>180.26</v>
      </c>
      <c r="D1874" s="1542">
        <v>6809.25</v>
      </c>
      <c r="E1874" s="1542">
        <v>2103.9699999999998</v>
      </c>
    </row>
    <row r="1875" spans="1:5">
      <c r="A1875" s="1541">
        <v>42142</v>
      </c>
      <c r="B1875" s="1542">
        <v>14628.05</v>
      </c>
      <c r="C1875" s="1542">
        <v>178.06</v>
      </c>
      <c r="D1875" s="1542">
        <v>6827.05</v>
      </c>
      <c r="E1875" s="1542">
        <v>2103.85</v>
      </c>
    </row>
    <row r="1876" spans="1:5">
      <c r="A1876" s="1541">
        <v>42141</v>
      </c>
      <c r="B1876" s="1542"/>
      <c r="C1876" s="1542"/>
      <c r="D1876" s="1542"/>
      <c r="E1876" s="1542"/>
    </row>
    <row r="1877" spans="1:5">
      <c r="A1877" s="1541">
        <v>42140</v>
      </c>
      <c r="B1877" s="1542"/>
      <c r="C1877" s="1542"/>
      <c r="D1877" s="1542"/>
      <c r="E1877" s="1542"/>
    </row>
    <row r="1878" spans="1:5">
      <c r="A1878" s="1541">
        <v>42139</v>
      </c>
      <c r="B1878" s="1542">
        <v>14587.52</v>
      </c>
      <c r="C1878" s="1542">
        <v>180.33</v>
      </c>
      <c r="D1878" s="1542">
        <v>6819.14</v>
      </c>
      <c r="E1878" s="1542">
        <v>2108.7399999999998</v>
      </c>
    </row>
    <row r="1879" spans="1:5">
      <c r="A1879" s="1541">
        <v>42138</v>
      </c>
      <c r="B1879" s="1542">
        <v>14635.25</v>
      </c>
      <c r="C1879" s="1542">
        <v>181.4</v>
      </c>
      <c r="D1879" s="1542">
        <v>6804.39</v>
      </c>
      <c r="E1879" s="1542">
        <v>2093.2199999999998</v>
      </c>
    </row>
    <row r="1880" spans="1:5">
      <c r="A1880" s="1541">
        <v>42137</v>
      </c>
      <c r="B1880" s="1542">
        <v>14807.48</v>
      </c>
      <c r="C1880" s="1542">
        <v>181.78</v>
      </c>
      <c r="D1880" s="1542">
        <v>6751.64</v>
      </c>
      <c r="E1880" s="1542">
        <v>2089.1999999999998</v>
      </c>
    </row>
    <row r="1881" spans="1:5">
      <c r="A1881" s="1541">
        <v>42136</v>
      </c>
      <c r="B1881" s="1542">
        <v>14741.41</v>
      </c>
      <c r="C1881" s="1542">
        <v>180.34</v>
      </c>
      <c r="D1881" s="1542">
        <v>6730.68</v>
      </c>
      <c r="E1881" s="1542">
        <v>2079.25</v>
      </c>
    </row>
    <row r="1882" spans="1:5">
      <c r="A1882" s="1541">
        <v>42135</v>
      </c>
      <c r="B1882" s="1542">
        <v>14715.52</v>
      </c>
      <c r="C1882" s="1542">
        <v>179.92</v>
      </c>
      <c r="D1882" s="1542">
        <v>6745.38</v>
      </c>
      <c r="E1882" s="1542">
        <v>2093.2800000000002</v>
      </c>
    </row>
    <row r="1883" spans="1:5">
      <c r="A1883" s="1541">
        <v>42134</v>
      </c>
      <c r="B1883" s="1542"/>
      <c r="C1883" s="1542"/>
      <c r="D1883" s="1542"/>
      <c r="E1883" s="1542"/>
    </row>
    <row r="1884" spans="1:5">
      <c r="A1884" s="1541">
        <v>42133</v>
      </c>
      <c r="B1884" s="1542"/>
      <c r="C1884" s="1542"/>
      <c r="D1884" s="1542"/>
      <c r="E1884" s="1542"/>
    </row>
    <row r="1885" spans="1:5">
      <c r="A1885" s="1541">
        <v>42132</v>
      </c>
      <c r="B1885" s="1542">
        <v>14758.59</v>
      </c>
      <c r="C1885" s="1542">
        <v>183.65</v>
      </c>
      <c r="D1885" s="1542">
        <v>6763.9</v>
      </c>
      <c r="E1885" s="1542">
        <v>2090.98</v>
      </c>
    </row>
    <row r="1886" spans="1:5">
      <c r="A1886" s="1541">
        <v>42131</v>
      </c>
      <c r="B1886" s="1542">
        <v>14777.02</v>
      </c>
      <c r="C1886" s="1542">
        <v>185.44</v>
      </c>
      <c r="D1886" s="1542">
        <v>6666.86</v>
      </c>
      <c r="E1886" s="1542">
        <v>2070.52</v>
      </c>
    </row>
    <row r="1887" spans="1:5">
      <c r="A1887" s="1541">
        <v>42130</v>
      </c>
      <c r="B1887" s="1542">
        <v>14950.75</v>
      </c>
      <c r="C1887" s="1542">
        <v>188.07</v>
      </c>
      <c r="D1887" s="1542">
        <v>6677.72</v>
      </c>
      <c r="E1887" s="1542">
        <v>2101.73</v>
      </c>
    </row>
    <row r="1888" spans="1:5">
      <c r="A1888" s="1541">
        <v>42129</v>
      </c>
      <c r="B1888" s="1542">
        <v>14953.69</v>
      </c>
      <c r="C1888" s="1542">
        <v>187.79</v>
      </c>
      <c r="D1888" s="1542">
        <v>6678.13</v>
      </c>
      <c r="E1888" s="1542">
        <v>2116.7600000000002</v>
      </c>
    </row>
    <row r="1889" spans="1:5">
      <c r="A1889" s="1541">
        <v>42128</v>
      </c>
      <c r="B1889" s="1542">
        <v>14991.62</v>
      </c>
      <c r="C1889" s="1542">
        <v>187.88</v>
      </c>
      <c r="D1889" s="1542">
        <v>6742.63</v>
      </c>
      <c r="E1889" s="1542">
        <v>2117.2399999999998</v>
      </c>
    </row>
    <row r="1890" spans="1:5">
      <c r="A1890" s="1541">
        <v>42127</v>
      </c>
      <c r="B1890" s="1542"/>
      <c r="C1890" s="1542"/>
      <c r="D1890" s="1542"/>
      <c r="E1890" s="1542"/>
    </row>
    <row r="1891" spans="1:5">
      <c r="A1891" s="1541">
        <v>42126</v>
      </c>
      <c r="B1891" s="1542"/>
      <c r="C1891" s="1542"/>
      <c r="D1891" s="1542"/>
      <c r="E1891" s="1542"/>
    </row>
    <row r="1892" spans="1:5">
      <c r="A1892" s="1541">
        <v>42125</v>
      </c>
      <c r="B1892" s="1542"/>
      <c r="C1892" s="1542"/>
      <c r="D1892" s="1542">
        <v>6728.24</v>
      </c>
      <c r="E1892" s="1542">
        <v>2112.52</v>
      </c>
    </row>
    <row r="1893" spans="1:5">
      <c r="A1893" s="1541">
        <v>42124</v>
      </c>
      <c r="B1893" s="1542">
        <v>14953.23</v>
      </c>
      <c r="C1893" s="1542">
        <v>188.31</v>
      </c>
      <c r="D1893" s="1542">
        <v>6694.31</v>
      </c>
      <c r="E1893" s="1542">
        <v>2116.09</v>
      </c>
    </row>
    <row r="1894" spans="1:5">
      <c r="A1894" s="1541">
        <v>42123</v>
      </c>
      <c r="B1894" s="1542">
        <v>15004.68</v>
      </c>
      <c r="C1894" s="1542">
        <v>188.12</v>
      </c>
      <c r="D1894" s="1542">
        <v>6758.3</v>
      </c>
      <c r="E1894" s="1542">
        <v>2139.6</v>
      </c>
    </row>
    <row r="1895" spans="1:5">
      <c r="A1895" s="1541">
        <v>42122</v>
      </c>
      <c r="B1895" s="1542">
        <v>15161.52</v>
      </c>
      <c r="C1895" s="1542">
        <v>189.56</v>
      </c>
      <c r="D1895" s="1542">
        <v>6785.83</v>
      </c>
      <c r="E1895" s="1542">
        <v>2154.56</v>
      </c>
    </row>
    <row r="1896" spans="1:5">
      <c r="A1896" s="1541">
        <v>42121</v>
      </c>
      <c r="B1896" s="1542">
        <v>15186.32</v>
      </c>
      <c r="C1896" s="1542">
        <v>189.75</v>
      </c>
      <c r="D1896" s="1542">
        <v>6778.38</v>
      </c>
      <c r="E1896" s="1542">
        <v>2151.67</v>
      </c>
    </row>
    <row r="1897" spans="1:5">
      <c r="A1897" s="1541">
        <v>42120</v>
      </c>
      <c r="B1897" s="1542"/>
      <c r="C1897" s="1542"/>
      <c r="D1897" s="1542"/>
      <c r="E1897" s="1542"/>
    </row>
    <row r="1898" spans="1:5">
      <c r="A1898" s="1541">
        <v>42119</v>
      </c>
      <c r="B1898" s="1542"/>
      <c r="C1898" s="1542"/>
      <c r="D1898" s="1542"/>
      <c r="E1898" s="1542"/>
    </row>
    <row r="1899" spans="1:5">
      <c r="A1899" s="1541">
        <v>42118</v>
      </c>
      <c r="B1899" s="1542">
        <v>15095.2</v>
      </c>
      <c r="C1899" s="1542">
        <v>187.34</v>
      </c>
      <c r="D1899" s="1542">
        <v>6771.62</v>
      </c>
      <c r="E1899" s="1542">
        <v>2141.0100000000002</v>
      </c>
    </row>
    <row r="1900" spans="1:5">
      <c r="A1900" s="1541">
        <v>42117</v>
      </c>
      <c r="B1900" s="1542">
        <v>14918.89</v>
      </c>
      <c r="C1900" s="1542">
        <v>187.44</v>
      </c>
      <c r="D1900" s="1542">
        <v>6742.4</v>
      </c>
      <c r="E1900" s="1542">
        <v>2127.5300000000002</v>
      </c>
    </row>
    <row r="1901" spans="1:5">
      <c r="A1901" s="1541">
        <v>42116</v>
      </c>
      <c r="B1901" s="1542">
        <v>14637.96</v>
      </c>
      <c r="C1901" s="1542">
        <v>185.69</v>
      </c>
      <c r="D1901" s="1542">
        <v>6719.72</v>
      </c>
      <c r="E1901" s="1542">
        <v>2114.36</v>
      </c>
    </row>
    <row r="1902" spans="1:5">
      <c r="A1902" s="1541">
        <v>42115</v>
      </c>
      <c r="B1902" s="1542">
        <v>14517.63</v>
      </c>
      <c r="C1902" s="1542">
        <v>184</v>
      </c>
      <c r="D1902" s="1542">
        <v>6701.36</v>
      </c>
      <c r="E1902" s="1542">
        <v>2103.37</v>
      </c>
    </row>
    <row r="1903" spans="1:5">
      <c r="A1903" s="1541">
        <v>42114</v>
      </c>
      <c r="B1903" s="1542">
        <v>14546.37</v>
      </c>
      <c r="C1903" s="1542">
        <v>186.83</v>
      </c>
      <c r="D1903" s="1542">
        <v>6690.06</v>
      </c>
      <c r="E1903" s="1542">
        <v>2086.1799999999998</v>
      </c>
    </row>
    <row r="1904" spans="1:5">
      <c r="A1904" s="1541">
        <v>42113</v>
      </c>
      <c r="B1904" s="1542"/>
      <c r="C1904" s="1542"/>
      <c r="D1904" s="1542"/>
      <c r="E1904" s="1542"/>
    </row>
    <row r="1905" spans="1:5">
      <c r="A1905" s="1541">
        <v>42112</v>
      </c>
      <c r="B1905" s="1542"/>
      <c r="C1905" s="1542"/>
      <c r="D1905" s="1542"/>
      <c r="E1905" s="1542"/>
    </row>
    <row r="1906" spans="1:5">
      <c r="A1906" s="1541">
        <v>42111</v>
      </c>
      <c r="B1906" s="1542">
        <v>14573.9</v>
      </c>
      <c r="C1906" s="1542">
        <v>188</v>
      </c>
      <c r="D1906" s="1542">
        <v>6650.34</v>
      </c>
      <c r="E1906" s="1542">
        <v>2103.9299999999998</v>
      </c>
    </row>
    <row r="1907" spans="1:5">
      <c r="A1907" s="1541">
        <v>42110</v>
      </c>
      <c r="B1907" s="1542">
        <v>14704.76</v>
      </c>
      <c r="C1907" s="1542">
        <v>189.63</v>
      </c>
      <c r="D1907" s="1542">
        <v>6715.9</v>
      </c>
      <c r="E1907" s="1542">
        <v>2123.04</v>
      </c>
    </row>
    <row r="1908" spans="1:5">
      <c r="A1908" s="1541">
        <v>42109</v>
      </c>
      <c r="B1908" s="1542">
        <v>14526.9</v>
      </c>
      <c r="C1908" s="1542">
        <v>188.6</v>
      </c>
      <c r="D1908" s="1542">
        <v>6704.77</v>
      </c>
      <c r="E1908" s="1542">
        <v>2091.9899999999998</v>
      </c>
    </row>
    <row r="1909" spans="1:5">
      <c r="A1909" s="1541">
        <v>42108</v>
      </c>
      <c r="B1909" s="1542">
        <v>14682.46</v>
      </c>
      <c r="C1909" s="1542">
        <v>189.27</v>
      </c>
      <c r="D1909" s="1542">
        <v>6689.6</v>
      </c>
      <c r="E1909" s="1542">
        <v>2091.35</v>
      </c>
    </row>
    <row r="1910" spans="1:5">
      <c r="A1910" s="1541">
        <v>42107</v>
      </c>
      <c r="B1910" s="1542">
        <v>14719.46</v>
      </c>
      <c r="C1910" s="1542">
        <v>188.36</v>
      </c>
      <c r="D1910" s="1542">
        <v>6660.29</v>
      </c>
      <c r="E1910" s="1542">
        <v>2100.7199999999998</v>
      </c>
    </row>
    <row r="1911" spans="1:5">
      <c r="A1911" s="1541">
        <v>42106</v>
      </c>
      <c r="B1911" s="1542"/>
      <c r="C1911" s="1542"/>
      <c r="D1911" s="1542"/>
      <c r="E1911" s="1542"/>
    </row>
    <row r="1912" spans="1:5">
      <c r="A1912" s="1541">
        <v>42105</v>
      </c>
      <c r="B1912" s="1542"/>
      <c r="C1912" s="1542"/>
      <c r="D1912" s="1542"/>
      <c r="E1912" s="1542"/>
    </row>
    <row r="1913" spans="1:5">
      <c r="A1913" s="1541">
        <v>42104</v>
      </c>
      <c r="B1913" s="1542">
        <v>14645.11</v>
      </c>
      <c r="C1913" s="1542">
        <v>187.2</v>
      </c>
      <c r="D1913" s="1542">
        <v>6687.69</v>
      </c>
      <c r="E1913" s="1542">
        <v>2086.5500000000002</v>
      </c>
    </row>
    <row r="1914" spans="1:5">
      <c r="A1914" s="1541">
        <v>42103</v>
      </c>
      <c r="B1914" s="1542">
        <v>14569.5</v>
      </c>
      <c r="C1914" s="1542">
        <v>186.5</v>
      </c>
      <c r="D1914" s="1542">
        <v>6658.81</v>
      </c>
      <c r="E1914" s="1542">
        <v>2074.38</v>
      </c>
    </row>
    <row r="1915" spans="1:5">
      <c r="A1915" s="1541">
        <v>42102</v>
      </c>
      <c r="B1915" s="1542">
        <v>14575.48</v>
      </c>
      <c r="C1915" s="1542">
        <v>188.26</v>
      </c>
      <c r="D1915" s="1542">
        <v>6638.04</v>
      </c>
      <c r="E1915" s="1542">
        <v>2058.92</v>
      </c>
    </row>
    <row r="1916" spans="1:5">
      <c r="A1916" s="1541">
        <v>42101</v>
      </c>
      <c r="B1916" s="1542">
        <v>14681.97</v>
      </c>
      <c r="C1916" s="1542">
        <v>188.61</v>
      </c>
      <c r="D1916" s="1542">
        <v>6628.23</v>
      </c>
      <c r="E1916" s="1542">
        <v>2029.07</v>
      </c>
    </row>
    <row r="1917" spans="1:5">
      <c r="A1917" s="1541">
        <v>42100</v>
      </c>
      <c r="B1917" s="1542"/>
      <c r="C1917" s="1542"/>
      <c r="D1917" s="1542">
        <v>6628.41</v>
      </c>
      <c r="E1917" s="1542">
        <v>2028.19</v>
      </c>
    </row>
    <row r="1918" spans="1:5">
      <c r="A1918" s="1541">
        <v>42099</v>
      </c>
      <c r="B1918" s="1542"/>
      <c r="C1918" s="1542"/>
      <c r="D1918" s="1542"/>
      <c r="E1918" s="1542"/>
    </row>
    <row r="1919" spans="1:5">
      <c r="A1919" s="1541">
        <v>42098</v>
      </c>
      <c r="B1919" s="1542"/>
      <c r="C1919" s="1542"/>
      <c r="D1919" s="1542"/>
      <c r="E1919" s="1542"/>
    </row>
    <row r="1920" spans="1:5">
      <c r="A1920" s="1541">
        <v>42097</v>
      </c>
      <c r="B1920" s="1542"/>
      <c r="C1920" s="1542"/>
      <c r="D1920" s="1542">
        <v>6574.91</v>
      </c>
      <c r="E1920" s="1542">
        <v>2004.6</v>
      </c>
    </row>
    <row r="1921" spans="1:5">
      <c r="A1921" s="1541">
        <v>42096</v>
      </c>
      <c r="B1921" s="1542">
        <v>14618.65</v>
      </c>
      <c r="C1921" s="1542">
        <v>187.06</v>
      </c>
      <c r="D1921" s="1542">
        <v>6571.48</v>
      </c>
      <c r="E1921" s="1542">
        <v>2001.64</v>
      </c>
    </row>
    <row r="1922" spans="1:5">
      <c r="A1922" s="1541">
        <v>42095</v>
      </c>
      <c r="B1922" s="1542">
        <v>14477.55</v>
      </c>
      <c r="C1922" s="1542">
        <v>185.68</v>
      </c>
      <c r="D1922" s="1542">
        <v>6528.19</v>
      </c>
      <c r="E1922" s="1542">
        <v>1981.44</v>
      </c>
    </row>
    <row r="1923" spans="1:5">
      <c r="A1923" s="1541">
        <v>42094</v>
      </c>
      <c r="B1923" s="1542">
        <v>14597.52</v>
      </c>
      <c r="C1923" s="1542">
        <v>186.6</v>
      </c>
      <c r="D1923" s="1542">
        <v>6537.62</v>
      </c>
      <c r="E1923" s="1542">
        <v>1964.49</v>
      </c>
    </row>
    <row r="1924" spans="1:5">
      <c r="A1924" s="1541">
        <v>42093</v>
      </c>
      <c r="B1924" s="1542">
        <v>14499.19</v>
      </c>
      <c r="C1924" s="1542">
        <v>184.68</v>
      </c>
      <c r="D1924" s="1542">
        <v>6599.06</v>
      </c>
      <c r="E1924" s="1542">
        <v>1953</v>
      </c>
    </row>
    <row r="1925" spans="1:5">
      <c r="A1925" s="1541">
        <v>42092</v>
      </c>
      <c r="B1925" s="1542"/>
      <c r="C1925" s="1542"/>
      <c r="D1925" s="1542"/>
      <c r="E1925" s="1542"/>
    </row>
    <row r="1926" spans="1:5">
      <c r="A1926" s="1541">
        <v>42091</v>
      </c>
      <c r="B1926" s="1542"/>
      <c r="C1926" s="1542"/>
      <c r="D1926" s="1542"/>
      <c r="E1926" s="1542"/>
    </row>
    <row r="1927" spans="1:5">
      <c r="A1927" s="1541">
        <v>42090</v>
      </c>
      <c r="B1927" s="1542">
        <v>14471.56</v>
      </c>
      <c r="C1927" s="1542">
        <v>186.93</v>
      </c>
      <c r="D1927" s="1542">
        <v>6551.77</v>
      </c>
      <c r="E1927" s="1542">
        <v>1931.04</v>
      </c>
    </row>
    <row r="1928" spans="1:5">
      <c r="A1928" s="1541">
        <v>42089</v>
      </c>
      <c r="B1928" s="1542">
        <v>14647.28</v>
      </c>
      <c r="C1928" s="1542">
        <v>188.52</v>
      </c>
      <c r="D1928" s="1542">
        <v>6546.38</v>
      </c>
      <c r="E1928" s="1542">
        <v>1939.59</v>
      </c>
    </row>
    <row r="1929" spans="1:5">
      <c r="A1929" s="1541">
        <v>42088</v>
      </c>
      <c r="B1929" s="1542">
        <v>14721.45</v>
      </c>
      <c r="C1929" s="1542">
        <v>189.17</v>
      </c>
      <c r="D1929" s="1542">
        <v>6588.97</v>
      </c>
      <c r="E1929" s="1542">
        <v>1967.02</v>
      </c>
    </row>
    <row r="1930" spans="1:5">
      <c r="A1930" s="1541">
        <v>42087</v>
      </c>
      <c r="B1930" s="1542">
        <v>14818.64</v>
      </c>
      <c r="C1930" s="1542">
        <v>190.9</v>
      </c>
      <c r="D1930" s="1542">
        <v>6648.48</v>
      </c>
      <c r="E1930" s="1542">
        <v>1971.17</v>
      </c>
    </row>
    <row r="1931" spans="1:5">
      <c r="A1931" s="1541">
        <v>42086</v>
      </c>
      <c r="B1931" s="1542">
        <v>14858.89</v>
      </c>
      <c r="C1931" s="1542">
        <v>191.49</v>
      </c>
      <c r="D1931" s="1542">
        <v>6668.99</v>
      </c>
      <c r="E1931" s="1542">
        <v>1965.29</v>
      </c>
    </row>
    <row r="1932" spans="1:5">
      <c r="A1932" s="1541">
        <v>42085</v>
      </c>
      <c r="B1932" s="1542"/>
      <c r="C1932" s="1542"/>
      <c r="D1932" s="1542"/>
      <c r="E1932" s="1542"/>
    </row>
    <row r="1933" spans="1:5">
      <c r="A1933" s="1541">
        <v>42084</v>
      </c>
      <c r="B1933" s="1542"/>
      <c r="C1933" s="1542"/>
      <c r="D1933" s="1542"/>
      <c r="E1933" s="1542"/>
    </row>
    <row r="1934" spans="1:5">
      <c r="A1934" s="1541">
        <v>42083</v>
      </c>
      <c r="B1934" s="1542">
        <v>14846.1</v>
      </c>
      <c r="C1934" s="1542">
        <v>192.04</v>
      </c>
      <c r="D1934" s="1542">
        <v>6655.7</v>
      </c>
      <c r="E1934" s="1542">
        <v>1952.52</v>
      </c>
    </row>
    <row r="1935" spans="1:5">
      <c r="A1935" s="1541">
        <v>42082</v>
      </c>
      <c r="B1935" s="1542">
        <v>14826.37</v>
      </c>
      <c r="C1935" s="1542">
        <v>189.78</v>
      </c>
      <c r="D1935" s="1542">
        <v>6567.69</v>
      </c>
      <c r="E1935" s="1542">
        <v>1943.35</v>
      </c>
    </row>
    <row r="1936" spans="1:5">
      <c r="A1936" s="1541">
        <v>42081</v>
      </c>
      <c r="B1936" s="1542">
        <v>14699.53</v>
      </c>
      <c r="C1936" s="1542">
        <v>188.66</v>
      </c>
      <c r="D1936" s="1542">
        <v>6577.23</v>
      </c>
      <c r="E1936" s="1542">
        <v>1926.63</v>
      </c>
    </row>
    <row r="1937" spans="1:5">
      <c r="A1937" s="1541">
        <v>42080</v>
      </c>
      <c r="B1937" s="1542">
        <v>14525.95</v>
      </c>
      <c r="C1937" s="1542">
        <v>187.62</v>
      </c>
      <c r="D1937" s="1542">
        <v>6511.37</v>
      </c>
      <c r="E1937" s="1542">
        <v>1911.1</v>
      </c>
    </row>
    <row r="1938" spans="1:5">
      <c r="A1938" s="1541">
        <v>42079</v>
      </c>
      <c r="B1938" s="1542">
        <v>14485.55</v>
      </c>
      <c r="C1938" s="1542">
        <v>187.71</v>
      </c>
      <c r="D1938" s="1542">
        <v>6524.29</v>
      </c>
      <c r="E1938" s="1542">
        <v>1893.99</v>
      </c>
    </row>
    <row r="1939" spans="1:5">
      <c r="A1939" s="1541">
        <v>42078</v>
      </c>
      <c r="B1939" s="1542"/>
      <c r="C1939" s="1542"/>
      <c r="D1939" s="1542"/>
      <c r="E1939" s="1542"/>
    </row>
    <row r="1940" spans="1:5">
      <c r="A1940" s="1541">
        <v>42077</v>
      </c>
      <c r="B1940" s="1542"/>
      <c r="C1940" s="1542"/>
      <c r="D1940" s="1542"/>
      <c r="E1940" s="1542"/>
    </row>
    <row r="1941" spans="1:5">
      <c r="A1941" s="1541">
        <v>42076</v>
      </c>
      <c r="B1941" s="1542">
        <v>14586.72</v>
      </c>
      <c r="C1941" s="1542">
        <v>187.66</v>
      </c>
      <c r="D1941" s="1542">
        <v>6448</v>
      </c>
      <c r="E1941" s="1542">
        <v>1891.83</v>
      </c>
    </row>
    <row r="1942" spans="1:5">
      <c r="A1942" s="1541">
        <v>42075</v>
      </c>
      <c r="B1942" s="1542">
        <v>14612.07</v>
      </c>
      <c r="C1942" s="1542">
        <v>187.32</v>
      </c>
      <c r="D1942" s="1542">
        <v>6480.87</v>
      </c>
      <c r="E1942" s="1542">
        <v>1909.86</v>
      </c>
    </row>
    <row r="1943" spans="1:5">
      <c r="A1943" s="1541">
        <v>42074</v>
      </c>
      <c r="B1943" s="1542">
        <v>14501.2</v>
      </c>
      <c r="C1943" s="1542">
        <v>185.9</v>
      </c>
      <c r="D1943" s="1542">
        <v>6412.38</v>
      </c>
      <c r="E1943" s="1542">
        <v>1898.64</v>
      </c>
    </row>
    <row r="1944" spans="1:5">
      <c r="A1944" s="1541">
        <v>42073</v>
      </c>
      <c r="B1944" s="1542">
        <v>14521.51</v>
      </c>
      <c r="C1944" s="1542">
        <v>186.28</v>
      </c>
      <c r="D1944" s="1542">
        <v>6417.81</v>
      </c>
      <c r="E1944" s="1542">
        <v>1900.08</v>
      </c>
    </row>
    <row r="1945" spans="1:5">
      <c r="A1945" s="1541">
        <v>42072</v>
      </c>
      <c r="B1945" s="1542">
        <v>14561.8</v>
      </c>
      <c r="C1945" s="1542">
        <v>187.12</v>
      </c>
      <c r="D1945" s="1542">
        <v>6527.16</v>
      </c>
      <c r="E1945" s="1542">
        <v>1931.1</v>
      </c>
    </row>
    <row r="1946" spans="1:5">
      <c r="A1946" s="1541">
        <v>42071</v>
      </c>
      <c r="B1946" s="1542"/>
      <c r="C1946" s="1542"/>
      <c r="D1946" s="1542"/>
      <c r="E1946" s="1542"/>
    </row>
    <row r="1947" spans="1:5">
      <c r="A1947" s="1541">
        <v>42070</v>
      </c>
      <c r="B1947" s="1542"/>
      <c r="C1947" s="1542"/>
      <c r="D1947" s="1542"/>
      <c r="E1947" s="1542"/>
    </row>
    <row r="1948" spans="1:5">
      <c r="A1948" s="1541">
        <v>42069</v>
      </c>
      <c r="B1948" s="1542">
        <v>14687.87</v>
      </c>
      <c r="C1948" s="1542">
        <v>186.56</v>
      </c>
      <c r="D1948" s="1542">
        <v>6527.28</v>
      </c>
      <c r="E1948" s="1542">
        <v>1955.09</v>
      </c>
    </row>
    <row r="1949" spans="1:5">
      <c r="A1949" s="1541">
        <v>42068</v>
      </c>
      <c r="B1949" s="1542">
        <v>14610.68</v>
      </c>
      <c r="C1949" s="1542">
        <v>185.06</v>
      </c>
      <c r="D1949" s="1542">
        <v>6608.16</v>
      </c>
      <c r="E1949" s="1542">
        <v>1961.81</v>
      </c>
    </row>
    <row r="1950" spans="1:5">
      <c r="A1950" s="1541">
        <v>42067</v>
      </c>
      <c r="B1950" s="1542">
        <v>14651.25</v>
      </c>
      <c r="C1950" s="1542">
        <v>183.47</v>
      </c>
      <c r="D1950" s="1542">
        <v>6595.12</v>
      </c>
      <c r="E1950" s="1542">
        <v>1964.98</v>
      </c>
    </row>
    <row r="1951" spans="1:5">
      <c r="A1951" s="1541">
        <v>42066</v>
      </c>
      <c r="B1951" s="1542">
        <v>14626.95</v>
      </c>
      <c r="C1951" s="1542">
        <v>182.98</v>
      </c>
      <c r="D1951" s="1542">
        <v>6622.89</v>
      </c>
      <c r="E1951" s="1542">
        <v>1984.96</v>
      </c>
    </row>
    <row r="1952" spans="1:5">
      <c r="A1952" s="1541">
        <v>42065</v>
      </c>
      <c r="B1952" s="1542">
        <v>14620.23</v>
      </c>
      <c r="C1952" s="1542">
        <v>182.54</v>
      </c>
      <c r="D1952" s="1542">
        <v>6651.78</v>
      </c>
      <c r="E1952" s="1542">
        <v>1988.72</v>
      </c>
    </row>
    <row r="1953" spans="1:5">
      <c r="A1953" s="1541">
        <v>42064</v>
      </c>
      <c r="B1953" s="1542"/>
      <c r="C1953" s="1542"/>
      <c r="D1953" s="1542"/>
      <c r="E1953" s="1542"/>
    </row>
    <row r="1954" spans="1:5">
      <c r="A1954" s="1541">
        <v>42063</v>
      </c>
      <c r="B1954" s="1542"/>
      <c r="C1954" s="1542"/>
      <c r="D1954" s="1542"/>
      <c r="E1954" s="1542"/>
    </row>
    <row r="1955" spans="1:5">
      <c r="A1955" s="1541">
        <v>42062</v>
      </c>
      <c r="B1955" s="1542"/>
      <c r="C1955" s="1542"/>
      <c r="D1955" s="1542">
        <v>6637.22</v>
      </c>
      <c r="E1955" s="1542">
        <v>1992.43</v>
      </c>
    </row>
    <row r="1956" spans="1:5">
      <c r="A1956" s="1541">
        <v>42061</v>
      </c>
      <c r="B1956" s="1542">
        <v>14651.82</v>
      </c>
      <c r="C1956" s="1542">
        <v>182.22</v>
      </c>
      <c r="D1956" s="1542">
        <v>6641.33</v>
      </c>
      <c r="E1956" s="1542">
        <v>1999.52</v>
      </c>
    </row>
    <row r="1957" spans="1:5">
      <c r="A1957" s="1541">
        <v>42060</v>
      </c>
      <c r="B1957" s="1542">
        <v>14769.74</v>
      </c>
      <c r="C1957" s="1542">
        <v>181.7</v>
      </c>
      <c r="D1957" s="1542">
        <v>6651.2</v>
      </c>
      <c r="E1957" s="1542">
        <v>1997.46</v>
      </c>
    </row>
    <row r="1958" spans="1:5">
      <c r="A1958" s="1541">
        <v>42059</v>
      </c>
      <c r="B1958" s="1542">
        <v>14662.89</v>
      </c>
      <c r="C1958" s="1542">
        <v>181.04</v>
      </c>
      <c r="D1958" s="1542">
        <v>6642.78</v>
      </c>
      <c r="E1958" s="1542">
        <v>1987.51</v>
      </c>
    </row>
    <row r="1959" spans="1:5">
      <c r="A1959" s="1541">
        <v>42058</v>
      </c>
      <c r="B1959" s="1542"/>
      <c r="C1959" s="1542"/>
      <c r="D1959" s="1542">
        <v>6625.2</v>
      </c>
      <c r="E1959" s="1542">
        <v>1978.58</v>
      </c>
    </row>
    <row r="1960" spans="1:5">
      <c r="A1960" s="1541">
        <v>42057</v>
      </c>
      <c r="B1960" s="1542"/>
      <c r="C1960" s="1542"/>
      <c r="D1960" s="1542"/>
      <c r="E1960" s="1542"/>
    </row>
    <row r="1961" spans="1:5">
      <c r="A1961" s="1541">
        <v>42056</v>
      </c>
      <c r="B1961" s="1542"/>
      <c r="C1961" s="1542"/>
      <c r="D1961" s="1542"/>
      <c r="E1961" s="1542"/>
    </row>
    <row r="1962" spans="1:5">
      <c r="A1962" s="1541">
        <v>42055</v>
      </c>
      <c r="B1962" s="1542"/>
      <c r="C1962" s="1542"/>
      <c r="D1962" s="1542">
        <v>6616.57</v>
      </c>
      <c r="E1962" s="1542">
        <v>1980.38</v>
      </c>
    </row>
    <row r="1963" spans="1:5">
      <c r="A1963" s="1541">
        <v>42054</v>
      </c>
      <c r="B1963" s="1542"/>
      <c r="C1963" s="1542"/>
      <c r="D1963" s="1542">
        <v>6588.82</v>
      </c>
      <c r="E1963" s="1542">
        <v>1981.68</v>
      </c>
    </row>
    <row r="1964" spans="1:5">
      <c r="A1964" s="1541">
        <v>42053</v>
      </c>
      <c r="B1964" s="1542"/>
      <c r="C1964" s="1542"/>
      <c r="D1964" s="1542">
        <v>6580.72</v>
      </c>
      <c r="E1964" s="1542">
        <v>1981.46</v>
      </c>
    </row>
    <row r="1965" spans="1:5">
      <c r="A1965" s="1541">
        <v>42052</v>
      </c>
      <c r="B1965" s="1542"/>
      <c r="C1965" s="1542"/>
      <c r="D1965" s="1542">
        <v>6564.52</v>
      </c>
      <c r="E1965" s="1542">
        <v>1977.48</v>
      </c>
    </row>
    <row r="1966" spans="1:5">
      <c r="A1966" s="1541">
        <v>42051</v>
      </c>
      <c r="B1966" s="1542"/>
      <c r="C1966" s="1542"/>
      <c r="D1966" s="1542">
        <v>6556.4</v>
      </c>
      <c r="E1966" s="1542">
        <v>1979.4</v>
      </c>
    </row>
    <row r="1967" spans="1:5">
      <c r="A1967" s="1541">
        <v>42050</v>
      </c>
      <c r="B1967" s="1542"/>
      <c r="C1967" s="1542"/>
      <c r="D1967" s="1542"/>
      <c r="E1967" s="1542"/>
    </row>
    <row r="1968" spans="1:5">
      <c r="A1968" s="1541">
        <v>42049</v>
      </c>
      <c r="B1968" s="1542"/>
      <c r="C1968" s="1542"/>
      <c r="D1968" s="1542"/>
      <c r="E1968" s="1542"/>
    </row>
    <row r="1969" spans="1:5">
      <c r="A1969" s="1541">
        <v>42048</v>
      </c>
      <c r="B1969" s="1542">
        <v>14510.83</v>
      </c>
      <c r="C1969" s="1542">
        <v>179.09</v>
      </c>
      <c r="D1969" s="1542">
        <v>6553.63</v>
      </c>
      <c r="E1969" s="1542">
        <v>1984.52</v>
      </c>
    </row>
    <row r="1970" spans="1:5">
      <c r="A1970" s="1541">
        <v>42047</v>
      </c>
      <c r="B1970" s="1542">
        <v>14460.27</v>
      </c>
      <c r="C1970" s="1542">
        <v>177.71</v>
      </c>
      <c r="D1970" s="1542">
        <v>6512.27</v>
      </c>
      <c r="E1970" s="1542">
        <v>1953.28</v>
      </c>
    </row>
    <row r="1971" spans="1:5">
      <c r="A1971" s="1541">
        <v>42046</v>
      </c>
      <c r="B1971" s="1542">
        <v>14408.36</v>
      </c>
      <c r="C1971" s="1542">
        <v>178.27</v>
      </c>
      <c r="D1971" s="1542">
        <v>6436.94</v>
      </c>
      <c r="E1971" s="1542">
        <v>1933.2</v>
      </c>
    </row>
    <row r="1972" spans="1:5">
      <c r="A1972" s="1541">
        <v>42045</v>
      </c>
      <c r="B1972" s="1542">
        <v>14304.03</v>
      </c>
      <c r="C1972" s="1542">
        <v>178.24</v>
      </c>
      <c r="D1972" s="1542">
        <v>6451.38</v>
      </c>
      <c r="E1972" s="1542">
        <v>1943.77</v>
      </c>
    </row>
    <row r="1973" spans="1:5">
      <c r="A1973" s="1541">
        <v>42044</v>
      </c>
      <c r="B1973" s="1542">
        <v>14346.36</v>
      </c>
      <c r="C1973" s="1542">
        <v>179.59</v>
      </c>
      <c r="D1973" s="1542">
        <v>6407.76</v>
      </c>
      <c r="E1973" s="1542">
        <v>1955.69</v>
      </c>
    </row>
    <row r="1974" spans="1:5">
      <c r="A1974" s="1541">
        <v>42043</v>
      </c>
      <c r="B1974" s="1542"/>
      <c r="C1974" s="1542"/>
      <c r="D1974" s="1542"/>
      <c r="E1974" s="1542"/>
    </row>
    <row r="1975" spans="1:5">
      <c r="A1975" s="1541">
        <v>42042</v>
      </c>
      <c r="B1975" s="1542"/>
      <c r="C1975" s="1542"/>
      <c r="D1975" s="1542"/>
      <c r="E1975" s="1542"/>
    </row>
    <row r="1976" spans="1:5">
      <c r="A1976" s="1541">
        <v>42041</v>
      </c>
      <c r="B1976" s="1542">
        <v>14399.17</v>
      </c>
      <c r="C1976" s="1542">
        <v>179.89</v>
      </c>
      <c r="D1976" s="1542">
        <v>6431.22</v>
      </c>
      <c r="E1976" s="1542">
        <v>1967.17</v>
      </c>
    </row>
    <row r="1977" spans="1:5">
      <c r="A1977" s="1541">
        <v>42040</v>
      </c>
      <c r="B1977" s="1542">
        <v>14484.24</v>
      </c>
      <c r="C1977" s="1542">
        <v>180.77</v>
      </c>
      <c r="D1977" s="1542">
        <v>6456.19</v>
      </c>
      <c r="E1977" s="1542">
        <v>1974.41</v>
      </c>
    </row>
    <row r="1978" spans="1:5">
      <c r="A1978" s="1541">
        <v>42039</v>
      </c>
      <c r="B1978" s="1542">
        <v>14487.09</v>
      </c>
      <c r="C1978" s="1542">
        <v>180.77</v>
      </c>
      <c r="D1978" s="1542">
        <v>6408.67</v>
      </c>
      <c r="E1978" s="1542">
        <v>1971.6</v>
      </c>
    </row>
    <row r="1979" spans="1:5">
      <c r="A1979" s="1541">
        <v>42038</v>
      </c>
      <c r="B1979" s="1542">
        <v>14387.81</v>
      </c>
      <c r="C1979" s="1542">
        <v>180.32</v>
      </c>
      <c r="D1979" s="1542">
        <v>6407.93</v>
      </c>
      <c r="E1979" s="1542">
        <v>1962.89</v>
      </c>
    </row>
    <row r="1980" spans="1:5">
      <c r="A1980" s="1541">
        <v>42037</v>
      </c>
      <c r="B1980" s="1542">
        <v>14293.82</v>
      </c>
      <c r="C1980" s="1542">
        <v>179.68</v>
      </c>
      <c r="D1980" s="1542">
        <v>6329.85</v>
      </c>
      <c r="E1980" s="1542">
        <v>1937.36</v>
      </c>
    </row>
    <row r="1981" spans="1:5">
      <c r="A1981" s="1541">
        <v>42036</v>
      </c>
      <c r="B1981" s="1542"/>
      <c r="C1981" s="1542"/>
      <c r="D1981" s="1542"/>
      <c r="E1981" s="1542"/>
    </row>
    <row r="1982" spans="1:5">
      <c r="A1982" s="1541">
        <v>42035</v>
      </c>
      <c r="B1982" s="1542"/>
      <c r="C1982" s="1542"/>
      <c r="D1982" s="1542"/>
      <c r="E1982" s="1542"/>
    </row>
    <row r="1983" spans="1:5">
      <c r="A1983" s="1541">
        <v>42034</v>
      </c>
      <c r="B1983" s="1542">
        <v>14255.62</v>
      </c>
      <c r="C1983" s="1542">
        <v>180.85</v>
      </c>
      <c r="D1983" s="1542">
        <v>6266.93</v>
      </c>
      <c r="E1983" s="1542">
        <v>1932.36</v>
      </c>
    </row>
    <row r="1984" spans="1:5">
      <c r="A1984" s="1541">
        <v>42033</v>
      </c>
      <c r="B1984" s="1542">
        <v>14354.58</v>
      </c>
      <c r="C1984" s="1542">
        <v>181.01</v>
      </c>
      <c r="D1984" s="1542">
        <v>6327.64</v>
      </c>
      <c r="E1984" s="1542">
        <v>1955.5</v>
      </c>
    </row>
    <row r="1985" spans="1:5">
      <c r="A1985" s="1541">
        <v>42032</v>
      </c>
      <c r="B1985" s="1542">
        <v>14482.51</v>
      </c>
      <c r="C1985" s="1542">
        <v>181.57</v>
      </c>
      <c r="D1985" s="1542">
        <v>6310.01</v>
      </c>
      <c r="E1985" s="1542">
        <v>1978.52</v>
      </c>
    </row>
    <row r="1986" spans="1:5">
      <c r="A1986" s="1541">
        <v>42031</v>
      </c>
      <c r="B1986" s="1542">
        <v>14498.77</v>
      </c>
      <c r="C1986" s="1542">
        <v>181.79</v>
      </c>
      <c r="D1986" s="1542">
        <v>6370.28</v>
      </c>
      <c r="E1986" s="1542">
        <v>1988.94</v>
      </c>
    </row>
    <row r="1987" spans="1:5">
      <c r="A1987" s="1541">
        <v>42030</v>
      </c>
      <c r="B1987" s="1542">
        <v>14431.89</v>
      </c>
      <c r="C1987" s="1542">
        <v>180.81</v>
      </c>
      <c r="D1987" s="1542">
        <v>6396.25</v>
      </c>
      <c r="E1987" s="1542">
        <v>1986.6</v>
      </c>
    </row>
    <row r="1988" spans="1:5">
      <c r="A1988" s="1541">
        <v>42029</v>
      </c>
      <c r="B1988" s="1542"/>
      <c r="C1988" s="1542"/>
      <c r="D1988" s="1542"/>
      <c r="E1988" s="1542"/>
    </row>
    <row r="1989" spans="1:5">
      <c r="A1989" s="1541">
        <v>42028</v>
      </c>
      <c r="B1989" s="1542"/>
      <c r="C1989" s="1542"/>
      <c r="D1989" s="1542"/>
      <c r="E1989" s="1542"/>
    </row>
    <row r="1990" spans="1:5">
      <c r="A1990" s="1541">
        <v>42027</v>
      </c>
      <c r="B1990" s="1542">
        <v>14421.64</v>
      </c>
      <c r="C1990" s="1542">
        <v>181.24</v>
      </c>
      <c r="D1990" s="1542">
        <v>6378.23</v>
      </c>
      <c r="E1990" s="1542">
        <v>1990.82</v>
      </c>
    </row>
    <row r="1991" spans="1:5">
      <c r="A1991" s="1541">
        <v>42026</v>
      </c>
      <c r="B1991" s="1542">
        <v>14267.19</v>
      </c>
      <c r="C1991" s="1542">
        <v>180.86</v>
      </c>
      <c r="D1991" s="1542">
        <v>6388.43</v>
      </c>
      <c r="E1991" s="1542">
        <v>1976.02</v>
      </c>
    </row>
    <row r="1992" spans="1:5">
      <c r="A1992" s="1541">
        <v>42025</v>
      </c>
      <c r="B1992" s="1542">
        <v>14191.36</v>
      </c>
      <c r="C1992" s="1542">
        <v>179.59</v>
      </c>
      <c r="D1992" s="1542">
        <v>6327.81</v>
      </c>
      <c r="E1992" s="1542">
        <v>1960.97</v>
      </c>
    </row>
    <row r="1993" spans="1:5">
      <c r="A1993" s="1541">
        <v>42024</v>
      </c>
      <c r="B1993" s="1542">
        <v>14087.79</v>
      </c>
      <c r="C1993" s="1542">
        <v>179.76</v>
      </c>
      <c r="D1993" s="1542">
        <v>6293.5</v>
      </c>
      <c r="E1993" s="1542">
        <v>1923.23</v>
      </c>
    </row>
    <row r="1994" spans="1:5">
      <c r="A1994" s="1541">
        <v>42023</v>
      </c>
      <c r="B1994" s="1542">
        <v>13969.58</v>
      </c>
      <c r="C1994" s="1542">
        <v>177.33</v>
      </c>
      <c r="D1994" s="1542">
        <v>6280.75</v>
      </c>
      <c r="E1994" s="1542">
        <v>1913.66</v>
      </c>
    </row>
    <row r="1995" spans="1:5">
      <c r="A1995" s="1541">
        <v>42022</v>
      </c>
      <c r="B1995" s="1542"/>
      <c r="C1995" s="1542"/>
      <c r="D1995" s="1542"/>
      <c r="E1995" s="1542"/>
    </row>
    <row r="1996" spans="1:5">
      <c r="A1996" s="1541">
        <v>42021</v>
      </c>
      <c r="B1996" s="1542"/>
      <c r="C1996" s="1542"/>
      <c r="D1996" s="1542"/>
      <c r="E1996" s="1542"/>
    </row>
    <row r="1997" spans="1:5">
      <c r="A1997" s="1541">
        <v>42020</v>
      </c>
      <c r="B1997" s="1542">
        <v>13915.11</v>
      </c>
      <c r="C1997" s="1542">
        <v>177.98</v>
      </c>
      <c r="D1997" s="1542">
        <v>6255.56</v>
      </c>
      <c r="E1997" s="1542">
        <v>1923.57</v>
      </c>
    </row>
    <row r="1998" spans="1:5">
      <c r="A1998" s="1541">
        <v>42019</v>
      </c>
      <c r="B1998" s="1542">
        <v>13955.91</v>
      </c>
      <c r="C1998" s="1542">
        <v>180.61</v>
      </c>
      <c r="D1998" s="1542">
        <v>6208.01</v>
      </c>
      <c r="E1998" s="1542">
        <v>1928.62</v>
      </c>
    </row>
    <row r="1999" spans="1:5">
      <c r="A1999" s="1541">
        <v>42018</v>
      </c>
      <c r="B1999" s="1542">
        <v>13978.97</v>
      </c>
      <c r="C1999" s="1542">
        <v>181.11</v>
      </c>
      <c r="D1999" s="1542">
        <v>6218.63</v>
      </c>
      <c r="E1999" s="1542">
        <v>1920.09</v>
      </c>
    </row>
    <row r="2000" spans="1:5">
      <c r="A2000" s="1541">
        <v>42017</v>
      </c>
      <c r="B2000" s="1542">
        <v>14057.49</v>
      </c>
      <c r="C2000" s="1542">
        <v>180.37</v>
      </c>
      <c r="D2000" s="1542">
        <v>6266.36</v>
      </c>
      <c r="E2000" s="1542">
        <v>1928.45</v>
      </c>
    </row>
    <row r="2001" spans="1:5">
      <c r="A2001" s="1541">
        <v>42016</v>
      </c>
      <c r="B2001" s="1542">
        <v>13976.03</v>
      </c>
      <c r="C2001" s="1542">
        <v>179.77</v>
      </c>
      <c r="D2001" s="1542">
        <v>6260.41</v>
      </c>
      <c r="E2001" s="1542">
        <v>1919.68</v>
      </c>
    </row>
    <row r="2002" spans="1:5">
      <c r="A2002" s="1541">
        <v>42015</v>
      </c>
      <c r="B2002" s="1542"/>
      <c r="C2002" s="1542"/>
      <c r="D2002" s="1542"/>
      <c r="E2002" s="1542"/>
    </row>
    <row r="2003" spans="1:5">
      <c r="A2003" s="1541">
        <v>42014</v>
      </c>
      <c r="B2003" s="1542"/>
      <c r="C2003" s="1542"/>
      <c r="D2003" s="1542"/>
      <c r="E2003" s="1542"/>
    </row>
    <row r="2004" spans="1:5">
      <c r="A2004" s="1541">
        <v>42013</v>
      </c>
      <c r="B2004" s="1542">
        <v>14032.8</v>
      </c>
      <c r="C2004" s="1542">
        <v>180.66</v>
      </c>
      <c r="D2004" s="1542">
        <v>6286.85</v>
      </c>
      <c r="E2004" s="1542">
        <v>1931.34</v>
      </c>
    </row>
    <row r="2005" spans="1:5">
      <c r="A2005" s="1541">
        <v>42012</v>
      </c>
      <c r="B2005" s="1542">
        <v>14066.99</v>
      </c>
      <c r="C2005" s="1542">
        <v>180.34</v>
      </c>
      <c r="D2005" s="1542">
        <v>6325.56</v>
      </c>
      <c r="E2005" s="1542">
        <v>1926.24</v>
      </c>
    </row>
    <row r="2006" spans="1:5">
      <c r="A2006" s="1541">
        <v>42011</v>
      </c>
      <c r="B2006" s="1542">
        <v>13826.48</v>
      </c>
      <c r="C2006" s="1542">
        <v>179.7</v>
      </c>
      <c r="D2006" s="1542">
        <v>6206.09</v>
      </c>
      <c r="E2006" s="1542">
        <v>1890.67</v>
      </c>
    </row>
    <row r="2007" spans="1:5">
      <c r="A2007" s="1541">
        <v>42010</v>
      </c>
      <c r="B2007" s="1542">
        <v>13778.14</v>
      </c>
      <c r="C2007" s="1542">
        <v>179.74</v>
      </c>
      <c r="D2007" s="1542">
        <v>6175.71</v>
      </c>
      <c r="E2007" s="1542">
        <v>1877.73</v>
      </c>
    </row>
    <row r="2008" spans="1:5">
      <c r="A2008" s="1541">
        <v>42009</v>
      </c>
      <c r="B2008" s="1542">
        <v>14121.92</v>
      </c>
      <c r="C2008" s="1542">
        <v>182.84</v>
      </c>
      <c r="D2008" s="1542">
        <v>6238.69</v>
      </c>
      <c r="E2008" s="1542">
        <v>1889.75</v>
      </c>
    </row>
    <row r="2009" spans="1:5">
      <c r="A2009" s="1541">
        <v>42008</v>
      </c>
      <c r="B2009" s="1542"/>
      <c r="C2009" s="1542"/>
      <c r="D2009" s="1542"/>
      <c r="E2009" s="1542"/>
    </row>
    <row r="2010" spans="1:5">
      <c r="A2010" s="1541">
        <v>42007</v>
      </c>
      <c r="B2010" s="1542"/>
      <c r="C2010" s="1542"/>
      <c r="D2010" s="1542"/>
      <c r="E2010" s="1542"/>
    </row>
    <row r="2011" spans="1:5">
      <c r="A2011" s="1541">
        <v>42006</v>
      </c>
      <c r="B2011" s="1542"/>
      <c r="C2011" s="1542"/>
      <c r="D2011" s="1542">
        <v>6363.34</v>
      </c>
      <c r="E2011" s="1542">
        <v>1915.82</v>
      </c>
    </row>
    <row r="2012" spans="1:5">
      <c r="A2012" s="1541">
        <v>42005</v>
      </c>
      <c r="B2012" s="1542"/>
      <c r="C2012" s="1542"/>
      <c r="D2012" s="1542">
        <v>6381.09</v>
      </c>
      <c r="E2012" s="1542">
        <v>1920.64</v>
      </c>
    </row>
    <row r="2013" spans="1:5">
      <c r="A2013" s="1541">
        <v>42004</v>
      </c>
      <c r="B2013" s="1542">
        <v>14172.4</v>
      </c>
      <c r="C2013" s="1542">
        <v>182.48</v>
      </c>
      <c r="D2013" s="1542">
        <v>6381.06</v>
      </c>
      <c r="E2013" s="1542">
        <v>1920.69</v>
      </c>
    </row>
    <row r="2014" spans="1:5">
      <c r="A2014" s="1541">
        <v>42003</v>
      </c>
      <c r="B2014" s="1542">
        <v>14113.28</v>
      </c>
      <c r="C2014" s="1542">
        <v>181.46</v>
      </c>
      <c r="D2014" s="1542">
        <v>6423.37</v>
      </c>
      <c r="E2014" s="1542">
        <v>1917.23</v>
      </c>
    </row>
    <row r="2015" spans="1:5">
      <c r="A2015" s="1541">
        <v>42002</v>
      </c>
      <c r="B2015" s="1542">
        <v>14140.45</v>
      </c>
      <c r="C2015" s="1542">
        <v>181.32</v>
      </c>
      <c r="D2015" s="1542">
        <v>6462.8</v>
      </c>
      <c r="E2015" s="1542">
        <v>1925.47</v>
      </c>
    </row>
    <row r="2016" spans="1:5">
      <c r="A2016" s="1541">
        <v>42001</v>
      </c>
      <c r="B2016" s="1542"/>
      <c r="C2016" s="1542"/>
      <c r="D2016" s="1542"/>
      <c r="E2016" s="1542"/>
    </row>
    <row r="2017" spans="1:5">
      <c r="A2017" s="1541">
        <v>42000</v>
      </c>
      <c r="B2017" s="1542">
        <v>14037.24</v>
      </c>
      <c r="C2017" s="1542">
        <v>181.17</v>
      </c>
      <c r="D2017" s="1542"/>
      <c r="E2017" s="1542"/>
    </row>
    <row r="2018" spans="1:5">
      <c r="A2018" s="1541">
        <v>41999</v>
      </c>
      <c r="B2018" s="1542">
        <v>14030.5</v>
      </c>
      <c r="C2018" s="1542">
        <v>179.9</v>
      </c>
      <c r="D2018" s="1542">
        <v>6452.83</v>
      </c>
      <c r="E2018" s="1542">
        <v>1909.91</v>
      </c>
    </row>
    <row r="2019" spans="1:5">
      <c r="A2019" s="1541">
        <v>41998</v>
      </c>
      <c r="B2019" s="1542">
        <v>13946.19</v>
      </c>
      <c r="C2019" s="1542">
        <v>178.48</v>
      </c>
      <c r="D2019" s="1542">
        <v>6438.66</v>
      </c>
      <c r="E2019" s="1542">
        <v>1906.05</v>
      </c>
    </row>
    <row r="2020" spans="1:5">
      <c r="A2020" s="1541">
        <v>41997</v>
      </c>
      <c r="B2020" s="1542">
        <v>13988.02</v>
      </c>
      <c r="C2020" s="1542">
        <v>178.71</v>
      </c>
      <c r="D2020" s="1542">
        <v>6440.3</v>
      </c>
      <c r="E2020" s="1542">
        <v>1906.95</v>
      </c>
    </row>
    <row r="2021" spans="1:5">
      <c r="A2021" s="1541">
        <v>41996</v>
      </c>
      <c r="B2021" s="1542">
        <v>13853.31</v>
      </c>
      <c r="C2021" s="1542">
        <v>177.48</v>
      </c>
      <c r="D2021" s="1542">
        <v>6432.18</v>
      </c>
      <c r="E2021" s="1542">
        <v>1908.41</v>
      </c>
    </row>
    <row r="2022" spans="1:5">
      <c r="A2022" s="1541">
        <v>41995</v>
      </c>
      <c r="B2022" s="1542">
        <v>13849.19</v>
      </c>
      <c r="C2022" s="1542">
        <v>177.07</v>
      </c>
      <c r="D2022" s="1542">
        <v>6428.82</v>
      </c>
      <c r="E2022" s="1542">
        <v>1919.27</v>
      </c>
    </row>
    <row r="2023" spans="1:5">
      <c r="A2023" s="1541">
        <v>41994</v>
      </c>
      <c r="B2023" s="1542"/>
      <c r="C2023" s="1542"/>
      <c r="D2023" s="1542"/>
      <c r="E2023" s="1542"/>
    </row>
    <row r="2024" spans="1:5">
      <c r="A2024" s="1541">
        <v>41993</v>
      </c>
      <c r="B2024" s="1542"/>
      <c r="C2024" s="1542"/>
      <c r="D2024" s="1542"/>
      <c r="E2024" s="1542"/>
    </row>
    <row r="2025" spans="1:5">
      <c r="A2025" s="1541">
        <v>41992</v>
      </c>
      <c r="B2025" s="1542">
        <v>13703.79</v>
      </c>
      <c r="C2025" s="1542">
        <v>174.54</v>
      </c>
      <c r="D2025" s="1542">
        <v>6404.94</v>
      </c>
      <c r="E2025" s="1542">
        <v>1893.26</v>
      </c>
    </row>
    <row r="2026" spans="1:5">
      <c r="A2026" s="1541">
        <v>41991</v>
      </c>
      <c r="B2026" s="1542">
        <v>13519.71</v>
      </c>
      <c r="C2026" s="1542">
        <v>176.36</v>
      </c>
      <c r="D2026" s="1542">
        <v>6364.99</v>
      </c>
      <c r="E2026" s="1542">
        <v>1873.89</v>
      </c>
    </row>
    <row r="2027" spans="1:5">
      <c r="A2027" s="1541">
        <v>41990</v>
      </c>
      <c r="B2027" s="1542">
        <v>13443.16</v>
      </c>
      <c r="C2027" s="1542">
        <v>176.13</v>
      </c>
      <c r="D2027" s="1542">
        <v>6238.13</v>
      </c>
      <c r="E2027" s="1542">
        <v>1839.89</v>
      </c>
    </row>
    <row r="2028" spans="1:5">
      <c r="A2028" s="1541">
        <v>41989</v>
      </c>
      <c r="B2028" s="1542">
        <v>13629.79</v>
      </c>
      <c r="C2028" s="1542">
        <v>177.1</v>
      </c>
      <c r="D2028" s="1542">
        <v>6174.72</v>
      </c>
      <c r="E2028" s="1542">
        <v>1823.41</v>
      </c>
    </row>
    <row r="2029" spans="1:5">
      <c r="A2029" s="1541">
        <v>41988</v>
      </c>
      <c r="B2029" s="1542">
        <v>13682.65</v>
      </c>
      <c r="C2029" s="1542">
        <v>178.41</v>
      </c>
      <c r="D2029" s="1542">
        <v>6171.07</v>
      </c>
      <c r="E2029" s="1542">
        <v>1851.55</v>
      </c>
    </row>
    <row r="2030" spans="1:5">
      <c r="A2030" s="1541">
        <v>41987</v>
      </c>
      <c r="B2030" s="1542"/>
      <c r="C2030" s="1542"/>
      <c r="D2030" s="1542"/>
      <c r="E2030" s="1542"/>
    </row>
    <row r="2031" spans="1:5">
      <c r="A2031" s="1541">
        <v>41986</v>
      </c>
      <c r="B2031" s="1542"/>
      <c r="C2031" s="1542"/>
      <c r="D2031" s="1542"/>
      <c r="E2031" s="1542"/>
    </row>
    <row r="2032" spans="1:5">
      <c r="A2032" s="1541">
        <v>41985</v>
      </c>
      <c r="B2032" s="1542">
        <v>13746.14</v>
      </c>
      <c r="C2032" s="1542">
        <v>178.41</v>
      </c>
      <c r="D2032" s="1542">
        <v>6246.94</v>
      </c>
      <c r="E2032" s="1542">
        <v>1880.31</v>
      </c>
    </row>
    <row r="2033" spans="1:5">
      <c r="A2033" s="1541">
        <v>41984</v>
      </c>
      <c r="B2033" s="1542">
        <v>13724.43</v>
      </c>
      <c r="C2033" s="1542">
        <v>177.15</v>
      </c>
      <c r="D2033" s="1542">
        <v>6336.36</v>
      </c>
      <c r="E2033" s="1542">
        <v>1895.52</v>
      </c>
    </row>
    <row r="2034" spans="1:5">
      <c r="A2034" s="1541">
        <v>41983</v>
      </c>
      <c r="B2034" s="1542">
        <v>13753.49</v>
      </c>
      <c r="C2034" s="1542">
        <v>176.86</v>
      </c>
      <c r="D2034" s="1542">
        <v>6332.73</v>
      </c>
      <c r="E2034" s="1542">
        <v>1920.82</v>
      </c>
    </row>
    <row r="2035" spans="1:5">
      <c r="A2035" s="1541">
        <v>41982</v>
      </c>
      <c r="B2035" s="1542">
        <v>13900.81</v>
      </c>
      <c r="C2035" s="1542">
        <v>177.49</v>
      </c>
      <c r="D2035" s="1542">
        <v>6420.16</v>
      </c>
      <c r="E2035" s="1542">
        <v>1934.31</v>
      </c>
    </row>
    <row r="2036" spans="1:5">
      <c r="A2036" s="1541">
        <v>41981</v>
      </c>
      <c r="B2036" s="1542">
        <v>13989.72</v>
      </c>
      <c r="C2036" s="1542">
        <v>178.82</v>
      </c>
      <c r="D2036" s="1542">
        <v>6436.86</v>
      </c>
      <c r="E2036" s="1542">
        <v>1957.18</v>
      </c>
    </row>
    <row r="2037" spans="1:5">
      <c r="A2037" s="1541">
        <v>41980</v>
      </c>
      <c r="B2037" s="1542"/>
      <c r="C2037" s="1542"/>
      <c r="D2037" s="1542"/>
      <c r="E2037" s="1542"/>
    </row>
    <row r="2038" spans="1:5">
      <c r="A2038" s="1541">
        <v>41979</v>
      </c>
      <c r="B2038" s="1542"/>
      <c r="C2038" s="1542"/>
      <c r="D2038" s="1542"/>
      <c r="E2038" s="1542"/>
    </row>
    <row r="2039" spans="1:5">
      <c r="A2039" s="1541">
        <v>41978</v>
      </c>
      <c r="B2039" s="1542">
        <v>14019.08</v>
      </c>
      <c r="C2039" s="1542">
        <v>178.03</v>
      </c>
      <c r="D2039" s="1542">
        <v>6481.16</v>
      </c>
      <c r="E2039" s="1542">
        <v>1974.71</v>
      </c>
    </row>
    <row r="2040" spans="1:5">
      <c r="A2040" s="1541">
        <v>41977</v>
      </c>
      <c r="B2040" s="1542">
        <v>14047.32</v>
      </c>
      <c r="C2040" s="1542">
        <v>176.57</v>
      </c>
      <c r="D2040" s="1542">
        <v>6473.97</v>
      </c>
      <c r="E2040" s="1542">
        <v>1977.11</v>
      </c>
    </row>
    <row r="2041" spans="1:5">
      <c r="A2041" s="1541">
        <v>41976</v>
      </c>
      <c r="B2041" s="1542">
        <v>13971.4</v>
      </c>
      <c r="C2041" s="1542">
        <v>176.11</v>
      </c>
      <c r="D2041" s="1542">
        <v>6485.32</v>
      </c>
      <c r="E2041" s="1542">
        <v>1975.03</v>
      </c>
    </row>
    <row r="2042" spans="1:5">
      <c r="A2042" s="1541">
        <v>41975</v>
      </c>
      <c r="B2042" s="1542">
        <v>13757.5</v>
      </c>
      <c r="C2042" s="1542">
        <v>172.23</v>
      </c>
      <c r="D2042" s="1542">
        <v>6470.43</v>
      </c>
      <c r="E2042" s="1542">
        <v>1972.19</v>
      </c>
    </row>
    <row r="2043" spans="1:5">
      <c r="A2043" s="1541">
        <v>41974</v>
      </c>
      <c r="B2043" s="1542">
        <v>13883.77</v>
      </c>
      <c r="C2043" s="1542">
        <v>170.93</v>
      </c>
      <c r="D2043" s="1542">
        <v>6447.38</v>
      </c>
      <c r="E2043" s="1542">
        <v>1973.32</v>
      </c>
    </row>
    <row r="2044" spans="1:5">
      <c r="A2044" s="1541">
        <v>41973</v>
      </c>
      <c r="B2044" s="1542"/>
      <c r="C2044" s="1542"/>
      <c r="D2044" s="1542"/>
      <c r="E2044" s="1542"/>
    </row>
    <row r="2045" spans="1:5">
      <c r="A2045" s="1541">
        <v>41972</v>
      </c>
      <c r="B2045" s="1542"/>
      <c r="C2045" s="1542"/>
      <c r="D2045" s="1542"/>
      <c r="E2045" s="1542"/>
    </row>
    <row r="2046" spans="1:5">
      <c r="A2046" s="1541">
        <v>41971</v>
      </c>
      <c r="B2046" s="1542">
        <v>13989.51</v>
      </c>
      <c r="C2046" s="1542">
        <v>169.77</v>
      </c>
      <c r="D2046" s="1542">
        <v>6482.9</v>
      </c>
      <c r="E2046" s="1542">
        <v>2012.49</v>
      </c>
    </row>
    <row r="2047" spans="1:5">
      <c r="A2047" s="1541">
        <v>41970</v>
      </c>
      <c r="B2047" s="1542">
        <v>13956.24</v>
      </c>
      <c r="C2047" s="1542">
        <v>170.12</v>
      </c>
      <c r="D2047" s="1542">
        <v>6502.14</v>
      </c>
      <c r="E2047" s="1542">
        <v>2028.32</v>
      </c>
    </row>
    <row r="2048" spans="1:5">
      <c r="A2048" s="1541">
        <v>41969</v>
      </c>
      <c r="B2048" s="1542">
        <v>13890.9</v>
      </c>
      <c r="C2048" s="1542">
        <v>170.63</v>
      </c>
      <c r="D2048" s="1542">
        <v>6514.33</v>
      </c>
      <c r="E2048" s="1542">
        <v>2027.01</v>
      </c>
    </row>
    <row r="2049" spans="1:5">
      <c r="A2049" s="1541">
        <v>41968</v>
      </c>
      <c r="B2049" s="1542">
        <v>13881.53</v>
      </c>
      <c r="C2049" s="1542">
        <v>170.04</v>
      </c>
      <c r="D2049" s="1542">
        <v>6494.01</v>
      </c>
      <c r="E2049" s="1542">
        <v>2021.05</v>
      </c>
    </row>
    <row r="2050" spans="1:5">
      <c r="A2050" s="1541">
        <v>41967</v>
      </c>
      <c r="B2050" s="1542">
        <v>13890.8</v>
      </c>
      <c r="C2050" s="1542">
        <v>168.72</v>
      </c>
      <c r="D2050" s="1542">
        <v>6483.33</v>
      </c>
      <c r="E2050" s="1542">
        <v>2025.3</v>
      </c>
    </row>
    <row r="2051" spans="1:5">
      <c r="A2051" s="1541">
        <v>41966</v>
      </c>
      <c r="B2051" s="1542"/>
      <c r="C2051" s="1542"/>
      <c r="D2051" s="1542"/>
      <c r="E2051" s="1542"/>
    </row>
    <row r="2052" spans="1:5">
      <c r="A2052" s="1541">
        <v>41965</v>
      </c>
      <c r="B2052" s="1542"/>
      <c r="C2052" s="1542"/>
      <c r="D2052" s="1542"/>
      <c r="E2052" s="1542"/>
    </row>
    <row r="2053" spans="1:5">
      <c r="A2053" s="1541">
        <v>41964</v>
      </c>
      <c r="B2053" s="1542">
        <v>13843.91</v>
      </c>
      <c r="C2053" s="1542">
        <v>168.43</v>
      </c>
      <c r="D2053" s="1542">
        <v>6472.52</v>
      </c>
      <c r="E2053" s="1542">
        <v>2011.26</v>
      </c>
    </row>
    <row r="2054" spans="1:5">
      <c r="A2054" s="1541">
        <v>41963</v>
      </c>
      <c r="B2054" s="1542">
        <v>13824.62</v>
      </c>
      <c r="C2054" s="1542">
        <v>168.04</v>
      </c>
      <c r="D2054" s="1542">
        <v>6428.05</v>
      </c>
      <c r="E2054" s="1542">
        <v>1982.72</v>
      </c>
    </row>
    <row r="2055" spans="1:5">
      <c r="A2055" s="1541">
        <v>41962</v>
      </c>
      <c r="B2055" s="1542">
        <v>13648.55</v>
      </c>
      <c r="C2055" s="1542">
        <v>165.06</v>
      </c>
      <c r="D2055" s="1542">
        <v>6424.63</v>
      </c>
      <c r="E2055" s="1542">
        <v>1982.27</v>
      </c>
    </row>
    <row r="2056" spans="1:5">
      <c r="A2056" s="1541">
        <v>41961</v>
      </c>
      <c r="B2056" s="1542">
        <v>13489.93</v>
      </c>
      <c r="C2056" s="1542">
        <v>164.08</v>
      </c>
      <c r="D2056" s="1542">
        <v>6437.4</v>
      </c>
      <c r="E2056" s="1542">
        <v>1979.75</v>
      </c>
    </row>
    <row r="2057" spans="1:5">
      <c r="A2057" s="1541">
        <v>41960</v>
      </c>
      <c r="B2057" s="1542">
        <v>13528.49</v>
      </c>
      <c r="C2057" s="1542">
        <v>166.82</v>
      </c>
      <c r="D2057" s="1542">
        <v>6387.1</v>
      </c>
      <c r="E2057" s="1542">
        <v>1974.11</v>
      </c>
    </row>
    <row r="2058" spans="1:5">
      <c r="A2058" s="1541">
        <v>41959</v>
      </c>
      <c r="B2058" s="1542"/>
      <c r="C2058" s="1542"/>
      <c r="D2058" s="1542"/>
      <c r="E2058" s="1542"/>
    </row>
    <row r="2059" spans="1:5">
      <c r="A2059" s="1541">
        <v>41958</v>
      </c>
      <c r="B2059" s="1542"/>
      <c r="C2059" s="1542"/>
      <c r="D2059" s="1542"/>
      <c r="E2059" s="1542"/>
    </row>
    <row r="2060" spans="1:5">
      <c r="A2060" s="1541">
        <v>41957</v>
      </c>
      <c r="B2060" s="1542">
        <v>13678.46</v>
      </c>
      <c r="C2060" s="1542">
        <v>168.92</v>
      </c>
      <c r="D2060" s="1542">
        <v>6395.16</v>
      </c>
      <c r="E2060" s="1542">
        <v>1983.96</v>
      </c>
    </row>
    <row r="2061" spans="1:5">
      <c r="A2061" s="1541">
        <v>41956</v>
      </c>
      <c r="B2061" s="1542">
        <v>13675.1</v>
      </c>
      <c r="C2061" s="1542">
        <v>168.84</v>
      </c>
      <c r="D2061" s="1542">
        <v>6391.1</v>
      </c>
      <c r="E2061" s="1542">
        <v>1987.79</v>
      </c>
    </row>
    <row r="2062" spans="1:5">
      <c r="A2062" s="1541">
        <v>41955</v>
      </c>
      <c r="B2062" s="1542">
        <v>13581.11</v>
      </c>
      <c r="C2062" s="1542">
        <v>168.35</v>
      </c>
      <c r="D2062" s="1542">
        <v>6385.57</v>
      </c>
      <c r="E2062" s="1542">
        <v>1994.48</v>
      </c>
    </row>
    <row r="2063" spans="1:5">
      <c r="A2063" s="1541">
        <v>41954</v>
      </c>
      <c r="B2063" s="1542">
        <v>13756.52</v>
      </c>
      <c r="C2063" s="1542">
        <v>169.71</v>
      </c>
      <c r="D2063" s="1542">
        <v>6390.95</v>
      </c>
      <c r="E2063" s="1542">
        <v>1989.72</v>
      </c>
    </row>
    <row r="2064" spans="1:5">
      <c r="A2064" s="1541">
        <v>41953</v>
      </c>
      <c r="B2064" s="1542">
        <v>13780.59</v>
      </c>
      <c r="C2064" s="1542">
        <v>168.98</v>
      </c>
      <c r="D2064" s="1542">
        <v>6382.45</v>
      </c>
      <c r="E2064" s="1542">
        <v>1997.47</v>
      </c>
    </row>
    <row r="2065" spans="1:5">
      <c r="A2065" s="1541">
        <v>41952</v>
      </c>
      <c r="B2065" s="1542"/>
      <c r="C2065" s="1542"/>
      <c r="D2065" s="1542"/>
      <c r="E2065" s="1542"/>
    </row>
    <row r="2066" spans="1:5">
      <c r="A2066" s="1541">
        <v>41951</v>
      </c>
      <c r="B2066" s="1542"/>
      <c r="C2066" s="1542"/>
      <c r="D2066" s="1542"/>
      <c r="E2066" s="1542"/>
    </row>
    <row r="2067" spans="1:5">
      <c r="A2067" s="1541">
        <v>41950</v>
      </c>
      <c r="B2067" s="1542">
        <v>13571.43</v>
      </c>
      <c r="C2067" s="1542">
        <v>168.79</v>
      </c>
      <c r="D2067" s="1542">
        <v>6353.6</v>
      </c>
      <c r="E2067" s="1542">
        <v>1977.23</v>
      </c>
    </row>
    <row r="2068" spans="1:5">
      <c r="A2068" s="1541">
        <v>41949</v>
      </c>
      <c r="B2068" s="1542">
        <v>13538.54</v>
      </c>
      <c r="C2068" s="1542">
        <v>167.09</v>
      </c>
      <c r="D2068" s="1542">
        <v>6353.97</v>
      </c>
      <c r="E2068" s="1542">
        <v>1984.57</v>
      </c>
    </row>
    <row r="2069" spans="1:5">
      <c r="A2069" s="1541">
        <v>41948</v>
      </c>
      <c r="B2069" s="1542">
        <v>13647.54</v>
      </c>
      <c r="C2069" s="1542">
        <v>170.3</v>
      </c>
      <c r="D2069" s="1542">
        <v>6348.18</v>
      </c>
      <c r="E2069" s="1542">
        <v>1998.8</v>
      </c>
    </row>
    <row r="2070" spans="1:5">
      <c r="A2070" s="1541">
        <v>41947</v>
      </c>
      <c r="B2070" s="1542">
        <v>13688.01</v>
      </c>
      <c r="C2070" s="1542">
        <v>170.8</v>
      </c>
      <c r="D2070" s="1542">
        <v>6316.07</v>
      </c>
      <c r="E2070" s="1542">
        <v>2016.12</v>
      </c>
    </row>
    <row r="2071" spans="1:5">
      <c r="A2071" s="1541">
        <v>41946</v>
      </c>
      <c r="B2071" s="1542">
        <v>13711.89</v>
      </c>
      <c r="C2071" s="1542">
        <v>170.35</v>
      </c>
      <c r="D2071" s="1542">
        <v>6319.22</v>
      </c>
      <c r="E2071" s="1542">
        <v>2022.58</v>
      </c>
    </row>
    <row r="2072" spans="1:5">
      <c r="A2072" s="1541">
        <v>41945</v>
      </c>
      <c r="B2072" s="1542"/>
      <c r="C2072" s="1542"/>
      <c r="D2072" s="1542"/>
      <c r="E2072" s="1542"/>
    </row>
    <row r="2073" spans="1:5">
      <c r="A2073" s="1541">
        <v>41944</v>
      </c>
      <c r="B2073" s="1542"/>
      <c r="C2073" s="1542"/>
      <c r="D2073" s="1542"/>
      <c r="E2073" s="1542"/>
    </row>
    <row r="2074" spans="1:5">
      <c r="A2074" s="1541">
        <v>41943</v>
      </c>
      <c r="B2074" s="1542">
        <v>13666.06</v>
      </c>
      <c r="C2074" s="1542">
        <v>167.95</v>
      </c>
      <c r="D2074" s="1542">
        <v>6352.6</v>
      </c>
      <c r="E2074" s="1542">
        <v>2033.88</v>
      </c>
    </row>
    <row r="2075" spans="1:5">
      <c r="A2075" s="1541">
        <v>41942</v>
      </c>
      <c r="B2075" s="1542">
        <v>13533.83</v>
      </c>
      <c r="C2075" s="1542">
        <v>166.31</v>
      </c>
      <c r="D2075" s="1542">
        <v>6282.39</v>
      </c>
      <c r="E2075" s="1542">
        <v>2016.75</v>
      </c>
    </row>
    <row r="2076" spans="1:5">
      <c r="A2076" s="1541">
        <v>41941</v>
      </c>
      <c r="B2076" s="1542">
        <v>13557.61</v>
      </c>
      <c r="C2076" s="1542">
        <v>166.41</v>
      </c>
      <c r="D2076" s="1542">
        <v>6271.31</v>
      </c>
      <c r="E2076" s="1542">
        <v>2011.36</v>
      </c>
    </row>
    <row r="2077" spans="1:5">
      <c r="A2077" s="1541">
        <v>41940</v>
      </c>
      <c r="B2077" s="1542">
        <v>13359.35</v>
      </c>
      <c r="C2077" s="1542">
        <v>162.91</v>
      </c>
      <c r="D2077" s="1542">
        <v>6264.14</v>
      </c>
      <c r="E2077" s="1542">
        <v>1986.53</v>
      </c>
    </row>
    <row r="2078" spans="1:5">
      <c r="A2078" s="1541">
        <v>41939</v>
      </c>
      <c r="B2078" s="1542">
        <v>13137.39</v>
      </c>
      <c r="C2078" s="1542">
        <v>159.51</v>
      </c>
      <c r="D2078" s="1542">
        <v>6198.2</v>
      </c>
      <c r="E2078" s="1542">
        <v>1956.79</v>
      </c>
    </row>
    <row r="2079" spans="1:5">
      <c r="A2079" s="1541">
        <v>41938</v>
      </c>
      <c r="B2079" s="1542"/>
      <c r="C2079" s="1542"/>
      <c r="D2079" s="1542"/>
      <c r="E2079" s="1542"/>
    </row>
    <row r="2080" spans="1:5">
      <c r="A2080" s="1541">
        <v>41937</v>
      </c>
      <c r="B2080" s="1542"/>
      <c r="C2080" s="1542"/>
      <c r="D2080" s="1542"/>
      <c r="E2080" s="1542"/>
    </row>
    <row r="2081" spans="1:5">
      <c r="A2081" s="1541">
        <v>41936</v>
      </c>
      <c r="B2081" s="1542">
        <v>13165.15</v>
      </c>
      <c r="C2081" s="1542">
        <v>164.66</v>
      </c>
      <c r="D2081" s="1542">
        <v>6202.06</v>
      </c>
      <c r="E2081" s="1542">
        <v>1969.96</v>
      </c>
    </row>
    <row r="2082" spans="1:5">
      <c r="A2082" s="1541">
        <v>41935</v>
      </c>
      <c r="B2082" s="1542">
        <v>13294.67</v>
      </c>
      <c r="C2082" s="1542">
        <v>166.56</v>
      </c>
      <c r="D2082" s="1542">
        <v>6172.62</v>
      </c>
      <c r="E2082" s="1542">
        <v>1964.62</v>
      </c>
    </row>
    <row r="2083" spans="1:5">
      <c r="A2083" s="1541">
        <v>41934</v>
      </c>
      <c r="B2083" s="1542">
        <v>13321.71</v>
      </c>
      <c r="C2083" s="1542">
        <v>167.44</v>
      </c>
      <c r="D2083" s="1542">
        <v>6124.33</v>
      </c>
      <c r="E2083" s="1542">
        <v>1975.3</v>
      </c>
    </row>
    <row r="2084" spans="1:5">
      <c r="A2084" s="1541">
        <v>41933</v>
      </c>
      <c r="B2084" s="1542">
        <v>13178.29</v>
      </c>
      <c r="C2084" s="1542">
        <v>166.64</v>
      </c>
      <c r="D2084" s="1542">
        <v>6138.53</v>
      </c>
      <c r="E2084" s="1542">
        <v>1964.67</v>
      </c>
    </row>
    <row r="2085" spans="1:5">
      <c r="A2085" s="1541">
        <v>41932</v>
      </c>
      <c r="B2085" s="1542">
        <v>13191.22</v>
      </c>
      <c r="C2085" s="1542">
        <v>165.71</v>
      </c>
      <c r="D2085" s="1542">
        <v>6045.19</v>
      </c>
      <c r="E2085" s="1542">
        <v>1964.08</v>
      </c>
    </row>
    <row r="2086" spans="1:5">
      <c r="A2086" s="1541">
        <v>41931</v>
      </c>
      <c r="B2086" s="1542"/>
      <c r="C2086" s="1542"/>
      <c r="D2086" s="1542"/>
      <c r="E2086" s="1542"/>
    </row>
    <row r="2087" spans="1:5">
      <c r="A2087" s="1541">
        <v>41930</v>
      </c>
      <c r="B2087" s="1542"/>
      <c r="C2087" s="1542"/>
      <c r="D2087" s="1542"/>
      <c r="E2087" s="1542"/>
    </row>
    <row r="2088" spans="1:5">
      <c r="A2088" s="1541">
        <v>41929</v>
      </c>
      <c r="B2088" s="1542">
        <v>12962.43</v>
      </c>
      <c r="C2088" s="1542">
        <v>163.78</v>
      </c>
      <c r="D2088" s="1542">
        <v>5998.64</v>
      </c>
      <c r="E2088" s="1542">
        <v>1954.59</v>
      </c>
    </row>
    <row r="2089" spans="1:5">
      <c r="A2089" s="1541">
        <v>41928</v>
      </c>
      <c r="B2089" s="1542">
        <v>13146.35</v>
      </c>
      <c r="C2089" s="1542">
        <v>166.96</v>
      </c>
      <c r="D2089" s="1542">
        <v>5920.74</v>
      </c>
      <c r="E2089" s="1542">
        <v>1941.69</v>
      </c>
    </row>
    <row r="2090" spans="1:5">
      <c r="A2090" s="1541">
        <v>41927</v>
      </c>
      <c r="B2090" s="1542">
        <v>13179.56</v>
      </c>
      <c r="C2090" s="1542">
        <v>168.03</v>
      </c>
      <c r="D2090" s="1542">
        <v>5930.3</v>
      </c>
      <c r="E2090" s="1542">
        <v>1965.48</v>
      </c>
    </row>
    <row r="2091" spans="1:5">
      <c r="A2091" s="1541">
        <v>41926</v>
      </c>
      <c r="B2091" s="1542">
        <v>13351.45</v>
      </c>
      <c r="C2091" s="1542">
        <v>170.48</v>
      </c>
      <c r="D2091" s="1542">
        <v>5987.69</v>
      </c>
      <c r="E2091" s="1542">
        <v>1984.35</v>
      </c>
    </row>
    <row r="2092" spans="1:5">
      <c r="A2092" s="1541">
        <v>41925</v>
      </c>
      <c r="B2092" s="1542">
        <v>13263.86</v>
      </c>
      <c r="C2092" s="1542">
        <v>169.59</v>
      </c>
      <c r="D2092" s="1542">
        <v>5998.34</v>
      </c>
      <c r="E2092" s="1542">
        <v>1983.18</v>
      </c>
    </row>
    <row r="2093" spans="1:5">
      <c r="A2093" s="1541">
        <v>41924</v>
      </c>
      <c r="B2093" s="1542"/>
      <c r="C2093" s="1542"/>
      <c r="D2093" s="1542"/>
      <c r="E2093" s="1542"/>
    </row>
    <row r="2094" spans="1:5">
      <c r="A2094" s="1541">
        <v>41923</v>
      </c>
      <c r="B2094" s="1542"/>
      <c r="C2094" s="1542"/>
      <c r="D2094" s="1542"/>
      <c r="E2094" s="1542"/>
    </row>
    <row r="2095" spans="1:5">
      <c r="A2095" s="1541">
        <v>41922</v>
      </c>
      <c r="B2095" s="1542"/>
      <c r="C2095" s="1542"/>
      <c r="D2095" s="1542">
        <v>6046.76</v>
      </c>
      <c r="E2095" s="1542">
        <v>1979.91</v>
      </c>
    </row>
    <row r="2096" spans="1:5">
      <c r="A2096" s="1541">
        <v>41921</v>
      </c>
      <c r="B2096" s="1542">
        <v>13652.2</v>
      </c>
      <c r="C2096" s="1542">
        <v>177.4</v>
      </c>
      <c r="D2096" s="1542">
        <v>6143.98</v>
      </c>
      <c r="E2096" s="1542">
        <v>2016.78</v>
      </c>
    </row>
    <row r="2097" spans="1:5">
      <c r="A2097" s="1541">
        <v>41920</v>
      </c>
      <c r="B2097" s="1542">
        <v>13635.06</v>
      </c>
      <c r="C2097" s="1542">
        <v>180.04</v>
      </c>
      <c r="D2097" s="1542">
        <v>6219.98</v>
      </c>
      <c r="E2097" s="1542">
        <v>1997.5</v>
      </c>
    </row>
    <row r="2098" spans="1:5">
      <c r="A2098" s="1541">
        <v>41919</v>
      </c>
      <c r="B2098" s="1542">
        <v>13765.43</v>
      </c>
      <c r="C2098" s="1542">
        <v>182.58</v>
      </c>
      <c r="D2098" s="1542">
        <v>6173.76</v>
      </c>
      <c r="E2098" s="1542">
        <v>2021.7</v>
      </c>
    </row>
    <row r="2099" spans="1:5">
      <c r="A2099" s="1541">
        <v>41918</v>
      </c>
      <c r="B2099" s="1542">
        <v>13848.15</v>
      </c>
      <c r="C2099" s="1542">
        <v>184.66</v>
      </c>
      <c r="D2099" s="1542">
        <v>6242.34</v>
      </c>
      <c r="E2099" s="1542">
        <v>2020.58</v>
      </c>
    </row>
    <row r="2100" spans="1:5">
      <c r="A2100" s="1541">
        <v>41917</v>
      </c>
      <c r="B2100" s="1542"/>
      <c r="C2100" s="1542"/>
      <c r="D2100" s="1542"/>
      <c r="E2100" s="1542"/>
    </row>
    <row r="2101" spans="1:5">
      <c r="A2101" s="1541">
        <v>41916</v>
      </c>
      <c r="B2101" s="1542"/>
      <c r="C2101" s="1542"/>
      <c r="D2101" s="1542"/>
      <c r="E2101" s="1542"/>
    </row>
    <row r="2102" spans="1:5">
      <c r="A2102" s="1541">
        <v>41915</v>
      </c>
      <c r="B2102" s="1542">
        <v>13865.1</v>
      </c>
      <c r="C2102" s="1542">
        <v>183.63</v>
      </c>
      <c r="D2102" s="1542">
        <v>6225.4</v>
      </c>
      <c r="E2102" s="1542">
        <v>1993.92</v>
      </c>
    </row>
    <row r="2103" spans="1:5">
      <c r="A2103" s="1541">
        <v>41914</v>
      </c>
      <c r="B2103" s="1542">
        <v>13665.49</v>
      </c>
      <c r="C2103" s="1542">
        <v>181.68</v>
      </c>
      <c r="D2103" s="1542">
        <v>6198.07</v>
      </c>
      <c r="E2103" s="1542">
        <v>1984.43</v>
      </c>
    </row>
    <row r="2104" spans="1:5">
      <c r="A2104" s="1541">
        <v>41913</v>
      </c>
      <c r="B2104" s="1542">
        <v>13688.43</v>
      </c>
      <c r="C2104" s="1542">
        <v>180.96</v>
      </c>
      <c r="D2104" s="1542">
        <v>6239.37</v>
      </c>
      <c r="E2104" s="1542">
        <v>1993.05</v>
      </c>
    </row>
    <row r="2105" spans="1:5">
      <c r="A2105" s="1541">
        <v>41912</v>
      </c>
      <c r="B2105" s="1542">
        <v>13652.82</v>
      </c>
      <c r="C2105" s="1542">
        <v>180.06</v>
      </c>
      <c r="D2105" s="1542">
        <v>6310.27</v>
      </c>
      <c r="E2105" s="1542">
        <v>2009.95</v>
      </c>
    </row>
    <row r="2106" spans="1:5">
      <c r="A2106" s="1541">
        <v>41911</v>
      </c>
      <c r="B2106" s="1542">
        <v>13643.44</v>
      </c>
      <c r="C2106" s="1542">
        <v>180.65</v>
      </c>
      <c r="D2106" s="1542">
        <v>6324.08</v>
      </c>
      <c r="E2106" s="1542">
        <v>2018.14</v>
      </c>
    </row>
    <row r="2107" spans="1:5">
      <c r="A2107" s="1541">
        <v>41910</v>
      </c>
      <c r="B2107" s="1542"/>
      <c r="C2107" s="1542"/>
      <c r="D2107" s="1542"/>
      <c r="E2107" s="1542"/>
    </row>
    <row r="2108" spans="1:5">
      <c r="A2108" s="1541">
        <v>41909</v>
      </c>
      <c r="B2108" s="1542"/>
      <c r="C2108" s="1542"/>
      <c r="D2108" s="1542"/>
      <c r="E2108" s="1542"/>
    </row>
    <row r="2109" spans="1:5">
      <c r="A2109" s="1541">
        <v>41908</v>
      </c>
      <c r="B2109" s="1542">
        <v>13687.59</v>
      </c>
      <c r="C2109" s="1542">
        <v>178.76</v>
      </c>
      <c r="D2109" s="1542">
        <v>6344.86</v>
      </c>
      <c r="E2109" s="1542">
        <v>2046.79</v>
      </c>
    </row>
    <row r="2110" spans="1:5">
      <c r="A2110" s="1541">
        <v>41907</v>
      </c>
      <c r="B2110" s="1542">
        <v>13720.67</v>
      </c>
      <c r="C2110" s="1542">
        <v>179.31</v>
      </c>
      <c r="D2110" s="1542">
        <v>6322.36</v>
      </c>
      <c r="E2110" s="1542">
        <v>2050.1</v>
      </c>
    </row>
    <row r="2111" spans="1:5">
      <c r="A2111" s="1541">
        <v>41906</v>
      </c>
      <c r="B2111" s="1542">
        <v>13852.97</v>
      </c>
      <c r="C2111" s="1542">
        <v>181.6</v>
      </c>
      <c r="D2111" s="1542">
        <v>6398.67</v>
      </c>
      <c r="E2111" s="1542">
        <v>2069.2199999999998</v>
      </c>
    </row>
    <row r="2112" spans="1:5">
      <c r="A2112" s="1541">
        <v>41905</v>
      </c>
      <c r="B2112" s="1542">
        <v>13831.59</v>
      </c>
      <c r="C2112" s="1542">
        <v>181.95</v>
      </c>
      <c r="D2112" s="1542">
        <v>6370.81</v>
      </c>
      <c r="E2112" s="1542">
        <v>2064.14</v>
      </c>
    </row>
    <row r="2113" spans="1:5">
      <c r="A2113" s="1541">
        <v>41904</v>
      </c>
      <c r="B2113" s="1542">
        <v>13907.34</v>
      </c>
      <c r="C2113" s="1542">
        <v>182.9</v>
      </c>
      <c r="D2113" s="1542">
        <v>6408.08</v>
      </c>
      <c r="E2113" s="1542">
        <v>2079.09</v>
      </c>
    </row>
    <row r="2114" spans="1:5">
      <c r="A2114" s="1541">
        <v>41903</v>
      </c>
      <c r="B2114" s="1542"/>
      <c r="C2114" s="1542"/>
      <c r="D2114" s="1542"/>
      <c r="E2114" s="1542"/>
    </row>
    <row r="2115" spans="1:5">
      <c r="A2115" s="1541">
        <v>41902</v>
      </c>
      <c r="B2115" s="1542"/>
      <c r="C2115" s="1542"/>
      <c r="D2115" s="1542"/>
      <c r="E2115" s="1542"/>
    </row>
    <row r="2116" spans="1:5">
      <c r="A2116" s="1541">
        <v>41901</v>
      </c>
      <c r="B2116" s="1542">
        <v>14068.41</v>
      </c>
      <c r="C2116" s="1542">
        <v>183.88</v>
      </c>
      <c r="D2116" s="1542">
        <v>6459.1</v>
      </c>
      <c r="E2116" s="1542">
        <v>2106.2800000000002</v>
      </c>
    </row>
    <row r="2117" spans="1:5">
      <c r="A2117" s="1541">
        <v>41900</v>
      </c>
      <c r="B2117" s="1542">
        <v>14063.2</v>
      </c>
      <c r="C2117" s="1542">
        <v>182.23</v>
      </c>
      <c r="D2117" s="1542">
        <v>6467.89</v>
      </c>
      <c r="E2117" s="1542">
        <v>2111.0700000000002</v>
      </c>
    </row>
    <row r="2118" spans="1:5">
      <c r="A2118" s="1541">
        <v>41899</v>
      </c>
      <c r="B2118" s="1542">
        <v>13999.46</v>
      </c>
      <c r="C2118" s="1542">
        <v>181.16</v>
      </c>
      <c r="D2118" s="1542">
        <v>6439.9</v>
      </c>
      <c r="E2118" s="1542">
        <v>2123.02</v>
      </c>
    </row>
    <row r="2119" spans="1:5">
      <c r="A2119" s="1541">
        <v>41898</v>
      </c>
      <c r="B2119" s="1542">
        <v>13903.39</v>
      </c>
      <c r="C2119" s="1542">
        <v>179.72</v>
      </c>
      <c r="D2119" s="1542">
        <v>6429.34</v>
      </c>
      <c r="E2119" s="1542">
        <v>2106.35</v>
      </c>
    </row>
    <row r="2120" spans="1:5">
      <c r="A2120" s="1541">
        <v>41897</v>
      </c>
      <c r="B2120" s="1542">
        <v>14031.35</v>
      </c>
      <c r="C2120" s="1542">
        <v>180.46</v>
      </c>
      <c r="D2120" s="1542">
        <v>6408.17</v>
      </c>
      <c r="E2120" s="1542">
        <v>2109.65</v>
      </c>
    </row>
    <row r="2121" spans="1:5">
      <c r="A2121" s="1541">
        <v>41896</v>
      </c>
      <c r="B2121" s="1542"/>
      <c r="C2121" s="1542"/>
      <c r="D2121" s="1542"/>
      <c r="E2121" s="1542"/>
    </row>
    <row r="2122" spans="1:5">
      <c r="A2122" s="1541">
        <v>41895</v>
      </c>
      <c r="B2122" s="1542"/>
      <c r="C2122" s="1542"/>
      <c r="D2122" s="1542"/>
      <c r="E2122" s="1542"/>
    </row>
    <row r="2123" spans="1:5">
      <c r="A2123" s="1541">
        <v>41894</v>
      </c>
      <c r="B2123" s="1542">
        <v>14040.06</v>
      </c>
      <c r="C2123" s="1542">
        <v>180.55</v>
      </c>
      <c r="D2123" s="1542">
        <v>6417.84</v>
      </c>
      <c r="E2123" s="1542">
        <v>2120.2800000000002</v>
      </c>
    </row>
    <row r="2124" spans="1:5">
      <c r="A2124" s="1541">
        <v>41893</v>
      </c>
      <c r="B2124" s="1542">
        <v>14190.93</v>
      </c>
      <c r="C2124" s="1542">
        <v>182.43</v>
      </c>
      <c r="D2124" s="1542">
        <v>6445.56</v>
      </c>
      <c r="E2124" s="1542">
        <v>2135.94</v>
      </c>
    </row>
    <row r="2125" spans="1:5">
      <c r="A2125" s="1541">
        <v>41892</v>
      </c>
      <c r="B2125" s="1542">
        <v>14243.68</v>
      </c>
      <c r="C2125" s="1542">
        <v>183.48</v>
      </c>
      <c r="D2125" s="1542">
        <v>6439.91</v>
      </c>
      <c r="E2125" s="1542">
        <v>2146.83</v>
      </c>
    </row>
    <row r="2126" spans="1:5">
      <c r="A2126" s="1541">
        <v>41891</v>
      </c>
      <c r="B2126" s="1542">
        <v>14361.1</v>
      </c>
      <c r="C2126" s="1542">
        <v>183.63</v>
      </c>
      <c r="D2126" s="1542">
        <v>6429.55</v>
      </c>
      <c r="E2126" s="1542">
        <v>2171.34</v>
      </c>
    </row>
    <row r="2127" spans="1:5">
      <c r="A2127" s="1541">
        <v>41890</v>
      </c>
      <c r="B2127" s="1542"/>
      <c r="C2127" s="1542"/>
      <c r="D2127" s="1542">
        <v>6470.65</v>
      </c>
      <c r="E2127" s="1542">
        <v>2186.15</v>
      </c>
    </row>
    <row r="2128" spans="1:5">
      <c r="A2128" s="1541">
        <v>41889</v>
      </c>
      <c r="B2128" s="1542"/>
      <c r="C2128" s="1542"/>
      <c r="D2128" s="1542"/>
      <c r="E2128" s="1542"/>
    </row>
    <row r="2129" spans="1:5">
      <c r="A2129" s="1541">
        <v>41888</v>
      </c>
      <c r="B2129" s="1542"/>
      <c r="C2129" s="1542"/>
      <c r="D2129" s="1542"/>
      <c r="E2129" s="1542"/>
    </row>
    <row r="2130" spans="1:5">
      <c r="A2130" s="1541">
        <v>41887</v>
      </c>
      <c r="B2130" s="1542">
        <v>14320.25</v>
      </c>
      <c r="C2130" s="1542">
        <v>183.33</v>
      </c>
      <c r="D2130" s="1542">
        <v>6493.3</v>
      </c>
      <c r="E2130" s="1542">
        <v>2189.33</v>
      </c>
    </row>
    <row r="2131" spans="1:5">
      <c r="A2131" s="1541">
        <v>41886</v>
      </c>
      <c r="B2131" s="1542">
        <v>14348.55</v>
      </c>
      <c r="C2131" s="1542">
        <v>182.55</v>
      </c>
      <c r="D2131" s="1542">
        <v>6485.63</v>
      </c>
      <c r="E2131" s="1542">
        <v>2195.9499999999998</v>
      </c>
    </row>
    <row r="2132" spans="1:5">
      <c r="A2132" s="1541">
        <v>41885</v>
      </c>
      <c r="B2132" s="1542">
        <v>14380.67</v>
      </c>
      <c r="C2132" s="1542">
        <v>182.71</v>
      </c>
      <c r="D2132" s="1542">
        <v>6497.97</v>
      </c>
      <c r="E2132" s="1542">
        <v>2196.81</v>
      </c>
    </row>
    <row r="2133" spans="1:5">
      <c r="A2133" s="1541">
        <v>41884</v>
      </c>
      <c r="B2133" s="1542">
        <v>14303.09</v>
      </c>
      <c r="C2133" s="1542">
        <v>182.94</v>
      </c>
      <c r="D2133" s="1542">
        <v>6478.7</v>
      </c>
      <c r="E2133" s="1542">
        <v>2168.1999999999998</v>
      </c>
    </row>
    <row r="2134" spans="1:5">
      <c r="A2134" s="1541">
        <v>41883</v>
      </c>
      <c r="B2134" s="1542">
        <v>14473.43</v>
      </c>
      <c r="C2134" s="1542">
        <v>184.45</v>
      </c>
      <c r="D2134" s="1542">
        <v>6482.44</v>
      </c>
      <c r="E2134" s="1542">
        <v>2175.8200000000002</v>
      </c>
    </row>
    <row r="2135" spans="1:5">
      <c r="A2135" s="1541">
        <v>41882</v>
      </c>
      <c r="B2135" s="1542"/>
      <c r="C2135" s="1542"/>
      <c r="D2135" s="1542"/>
      <c r="E2135" s="1542"/>
    </row>
    <row r="2136" spans="1:5">
      <c r="A2136" s="1541">
        <v>41881</v>
      </c>
      <c r="B2136" s="1542"/>
      <c r="C2136" s="1542"/>
      <c r="D2136" s="1542"/>
      <c r="E2136" s="1542"/>
    </row>
    <row r="2137" spans="1:5">
      <c r="A2137" s="1541">
        <v>41880</v>
      </c>
      <c r="B2137" s="1542">
        <v>14355.86</v>
      </c>
      <c r="C2137" s="1542">
        <v>182.6</v>
      </c>
      <c r="D2137" s="1542">
        <v>6483.57</v>
      </c>
      <c r="E2137" s="1542">
        <v>2170.37</v>
      </c>
    </row>
    <row r="2138" spans="1:5">
      <c r="A2138" s="1541">
        <v>41879</v>
      </c>
      <c r="B2138" s="1542">
        <v>14417.62</v>
      </c>
      <c r="C2138" s="1542">
        <v>181.55</v>
      </c>
      <c r="D2138" s="1542">
        <v>6466.98</v>
      </c>
      <c r="E2138" s="1542">
        <v>2168.54</v>
      </c>
    </row>
    <row r="2139" spans="1:5">
      <c r="A2139" s="1541">
        <v>41878</v>
      </c>
      <c r="B2139" s="1542">
        <v>14404.3</v>
      </c>
      <c r="C2139" s="1542">
        <v>181.8</v>
      </c>
      <c r="D2139" s="1542">
        <v>6489.9</v>
      </c>
      <c r="E2139" s="1542">
        <v>2181.52</v>
      </c>
    </row>
    <row r="2140" spans="1:5">
      <c r="A2140" s="1541">
        <v>41877</v>
      </c>
      <c r="B2140" s="1542">
        <v>14263.04</v>
      </c>
      <c r="C2140" s="1542">
        <v>180.59</v>
      </c>
      <c r="D2140" s="1542">
        <v>6482.75</v>
      </c>
      <c r="E2140" s="1542">
        <v>2169.41</v>
      </c>
    </row>
    <row r="2141" spans="1:5">
      <c r="A2141" s="1541">
        <v>41876</v>
      </c>
      <c r="B2141" s="1542">
        <v>14255.34</v>
      </c>
      <c r="C2141" s="1542">
        <v>178.7</v>
      </c>
      <c r="D2141" s="1542">
        <v>6468.15</v>
      </c>
      <c r="E2141" s="1542">
        <v>2164.39</v>
      </c>
    </row>
    <row r="2142" spans="1:5">
      <c r="A2142" s="1541">
        <v>41875</v>
      </c>
      <c r="B2142" s="1542"/>
      <c r="C2142" s="1542"/>
      <c r="D2142" s="1542"/>
      <c r="E2142" s="1542"/>
    </row>
    <row r="2143" spans="1:5">
      <c r="A2143" s="1541">
        <v>41874</v>
      </c>
      <c r="B2143" s="1542"/>
      <c r="C2143" s="1542"/>
      <c r="D2143" s="1542"/>
      <c r="E2143" s="1542"/>
    </row>
    <row r="2144" spans="1:5">
      <c r="A2144" s="1541">
        <v>41873</v>
      </c>
      <c r="B2144" s="1542">
        <v>14235.45</v>
      </c>
      <c r="C2144" s="1542">
        <v>177.28</v>
      </c>
      <c r="D2144" s="1542">
        <v>6433.45</v>
      </c>
      <c r="E2144" s="1542">
        <v>2159.6</v>
      </c>
    </row>
    <row r="2145" spans="1:5">
      <c r="A2145" s="1541">
        <v>41872</v>
      </c>
      <c r="B2145" s="1542">
        <v>14042.36</v>
      </c>
      <c r="C2145" s="1542">
        <v>174.33</v>
      </c>
      <c r="D2145" s="1542">
        <v>6455</v>
      </c>
      <c r="E2145" s="1542">
        <v>2157.2199999999998</v>
      </c>
    </row>
    <row r="2146" spans="1:5">
      <c r="A2146" s="1541">
        <v>41871</v>
      </c>
      <c r="B2146" s="1542">
        <v>14089.9</v>
      </c>
      <c r="C2146" s="1542">
        <v>175.05</v>
      </c>
      <c r="D2146" s="1542">
        <v>6432.18</v>
      </c>
      <c r="E2146" s="1542">
        <v>2163.37</v>
      </c>
    </row>
    <row r="2147" spans="1:5">
      <c r="A2147" s="1541">
        <v>41870</v>
      </c>
      <c r="B2147" s="1542">
        <v>14021.51</v>
      </c>
      <c r="C2147" s="1542">
        <v>176.19</v>
      </c>
      <c r="D2147" s="1542">
        <v>6427.56</v>
      </c>
      <c r="E2147" s="1542">
        <v>2162.08</v>
      </c>
    </row>
    <row r="2148" spans="1:5">
      <c r="A2148" s="1541">
        <v>41869</v>
      </c>
      <c r="B2148" s="1542">
        <v>13860.15</v>
      </c>
      <c r="C2148" s="1542">
        <v>174</v>
      </c>
      <c r="D2148" s="1542">
        <v>6398.33</v>
      </c>
      <c r="E2148" s="1542">
        <v>2147.08</v>
      </c>
    </row>
    <row r="2149" spans="1:5">
      <c r="A2149" s="1541">
        <v>41868</v>
      </c>
      <c r="B2149" s="1542"/>
      <c r="C2149" s="1542"/>
      <c r="D2149" s="1542"/>
      <c r="E2149" s="1542"/>
    </row>
    <row r="2150" spans="1:5">
      <c r="A2150" s="1541">
        <v>41867</v>
      </c>
      <c r="B2150" s="1542"/>
      <c r="C2150" s="1542"/>
      <c r="D2150" s="1542"/>
      <c r="E2150" s="1542"/>
    </row>
    <row r="2151" spans="1:5">
      <c r="A2151" s="1541">
        <v>41866</v>
      </c>
      <c r="B2151" s="1542">
        <v>13958.89</v>
      </c>
      <c r="C2151" s="1542">
        <v>178</v>
      </c>
      <c r="D2151" s="1542">
        <v>6349.32</v>
      </c>
      <c r="E2151" s="1542">
        <v>2141.9899999999998</v>
      </c>
    </row>
    <row r="2152" spans="1:5">
      <c r="A2152" s="1541">
        <v>41865</v>
      </c>
      <c r="B2152" s="1542">
        <v>13994.5</v>
      </c>
      <c r="C2152" s="1542">
        <v>179.35</v>
      </c>
      <c r="D2152" s="1542">
        <v>6354.3</v>
      </c>
      <c r="E2152" s="1542">
        <v>2137.71</v>
      </c>
    </row>
    <row r="2153" spans="1:5">
      <c r="A2153" s="1541">
        <v>41864</v>
      </c>
      <c r="B2153" s="1542">
        <v>13981.02</v>
      </c>
      <c r="C2153" s="1542">
        <v>180.45</v>
      </c>
      <c r="D2153" s="1542">
        <v>6328.25</v>
      </c>
      <c r="E2153" s="1542">
        <v>2134.1</v>
      </c>
    </row>
    <row r="2154" spans="1:5">
      <c r="A2154" s="1541">
        <v>41863</v>
      </c>
      <c r="B2154" s="1542">
        <v>13863.92</v>
      </c>
      <c r="C2154" s="1542">
        <v>179.55</v>
      </c>
      <c r="D2154" s="1542">
        <v>6290.56</v>
      </c>
      <c r="E2154" s="1542">
        <v>2120.73</v>
      </c>
    </row>
    <row r="2155" spans="1:5">
      <c r="A2155" s="1541">
        <v>41862</v>
      </c>
      <c r="B2155" s="1542">
        <v>13877.16</v>
      </c>
      <c r="C2155" s="1542">
        <v>180.76</v>
      </c>
      <c r="D2155" s="1542">
        <v>6298.68</v>
      </c>
      <c r="E2155" s="1542">
        <v>2114.5100000000002</v>
      </c>
    </row>
    <row r="2156" spans="1:5">
      <c r="A2156" s="1541">
        <v>41861</v>
      </c>
      <c r="B2156" s="1542"/>
      <c r="C2156" s="1542"/>
      <c r="D2156" s="1542"/>
      <c r="E2156" s="1542"/>
    </row>
    <row r="2157" spans="1:5">
      <c r="A2157" s="1541">
        <v>41860</v>
      </c>
      <c r="B2157" s="1542"/>
      <c r="C2157" s="1542"/>
      <c r="D2157" s="1542"/>
      <c r="E2157" s="1542"/>
    </row>
    <row r="2158" spans="1:5">
      <c r="A2158" s="1541">
        <v>41859</v>
      </c>
      <c r="B2158" s="1542">
        <v>13734.72</v>
      </c>
      <c r="C2158" s="1542">
        <v>177.69</v>
      </c>
      <c r="D2158" s="1542">
        <v>6257.2</v>
      </c>
      <c r="E2158" s="1542">
        <v>2082.52</v>
      </c>
    </row>
    <row r="2159" spans="1:5">
      <c r="A2159" s="1541">
        <v>41858</v>
      </c>
      <c r="B2159" s="1542">
        <v>13802.59</v>
      </c>
      <c r="C2159" s="1542">
        <v>178.13</v>
      </c>
      <c r="D2159" s="1542">
        <v>6235.36</v>
      </c>
      <c r="E2159" s="1542">
        <v>2093.7199999999998</v>
      </c>
    </row>
    <row r="2160" spans="1:5">
      <c r="A2160" s="1541">
        <v>41857</v>
      </c>
      <c r="B2160" s="1542">
        <v>13810.94</v>
      </c>
      <c r="C2160" s="1542">
        <v>180.72</v>
      </c>
      <c r="D2160" s="1542">
        <v>6265.72</v>
      </c>
      <c r="E2160" s="1542">
        <v>2104.42</v>
      </c>
    </row>
    <row r="2161" spans="1:5">
      <c r="A2161" s="1541">
        <v>41856</v>
      </c>
      <c r="B2161" s="1542">
        <v>13799.12</v>
      </c>
      <c r="C2161" s="1542">
        <v>185.11</v>
      </c>
      <c r="D2161" s="1542">
        <v>6282.18</v>
      </c>
      <c r="E2161" s="1542">
        <v>2116.87</v>
      </c>
    </row>
    <row r="2162" spans="1:5">
      <c r="A2162" s="1541">
        <v>41855</v>
      </c>
      <c r="B2162" s="1542">
        <v>14080.22</v>
      </c>
      <c r="C2162" s="1542">
        <v>186.9</v>
      </c>
      <c r="D2162" s="1542">
        <v>6325.95</v>
      </c>
      <c r="E2162" s="1542">
        <v>2129.0500000000002</v>
      </c>
    </row>
    <row r="2163" spans="1:5">
      <c r="A2163" s="1541">
        <v>41854</v>
      </c>
      <c r="B2163" s="1542"/>
      <c r="C2163" s="1542"/>
      <c r="D2163" s="1542"/>
      <c r="E2163" s="1542"/>
    </row>
    <row r="2164" spans="1:5">
      <c r="A2164" s="1541">
        <v>41853</v>
      </c>
      <c r="B2164" s="1542"/>
      <c r="C2164" s="1542"/>
      <c r="D2164" s="1542"/>
      <c r="E2164" s="1542"/>
    </row>
    <row r="2165" spans="1:5">
      <c r="A2165" s="1541">
        <v>41852</v>
      </c>
      <c r="B2165" s="1542">
        <v>13981.9</v>
      </c>
      <c r="C2165" s="1542">
        <v>185.3</v>
      </c>
      <c r="D2165" s="1542">
        <v>6309.51</v>
      </c>
      <c r="E2165" s="1542">
        <v>2110.73</v>
      </c>
    </row>
    <row r="2166" spans="1:5">
      <c r="A2166" s="1541">
        <v>41851</v>
      </c>
      <c r="B2166" s="1542">
        <v>14045.85</v>
      </c>
      <c r="C2166" s="1542">
        <v>186.56</v>
      </c>
      <c r="D2166" s="1542">
        <v>6341.23</v>
      </c>
      <c r="E2166" s="1542">
        <v>2121.71</v>
      </c>
    </row>
    <row r="2167" spans="1:5">
      <c r="A2167" s="1541">
        <v>41850</v>
      </c>
      <c r="B2167" s="1542">
        <v>14233.38</v>
      </c>
      <c r="C2167" s="1542">
        <v>186.21</v>
      </c>
      <c r="D2167" s="1542">
        <v>6436.66</v>
      </c>
      <c r="E2167" s="1542">
        <v>2147.29</v>
      </c>
    </row>
    <row r="2168" spans="1:5">
      <c r="A2168" s="1541">
        <v>41849</v>
      </c>
      <c r="B2168" s="1542">
        <v>14143.74</v>
      </c>
      <c r="C2168" s="1542">
        <v>185.23</v>
      </c>
      <c r="D2168" s="1542">
        <v>6450.79</v>
      </c>
      <c r="E2168" s="1542">
        <v>2150.79</v>
      </c>
    </row>
    <row r="2169" spans="1:5">
      <c r="A2169" s="1541">
        <v>41848</v>
      </c>
      <c r="B2169" s="1542">
        <v>14179.32</v>
      </c>
      <c r="C2169" s="1542">
        <v>187.76</v>
      </c>
      <c r="D2169" s="1542">
        <v>6465.4</v>
      </c>
      <c r="E2169" s="1542">
        <v>2147.94</v>
      </c>
    </row>
    <row r="2170" spans="1:5">
      <c r="A2170" s="1541">
        <v>41847</v>
      </c>
      <c r="B2170" s="1542"/>
      <c r="C2170" s="1542"/>
      <c r="D2170" s="1542"/>
      <c r="E2170" s="1542"/>
    </row>
    <row r="2171" spans="1:5">
      <c r="A2171" s="1541">
        <v>41846</v>
      </c>
      <c r="B2171" s="1542"/>
      <c r="C2171" s="1542"/>
      <c r="D2171" s="1542"/>
      <c r="E2171" s="1542"/>
    </row>
    <row r="2172" spans="1:5">
      <c r="A2172" s="1541">
        <v>41845</v>
      </c>
      <c r="B2172" s="1542">
        <v>14205.41</v>
      </c>
      <c r="C2172" s="1542">
        <v>190.99</v>
      </c>
      <c r="D2172" s="1542">
        <v>6465.39</v>
      </c>
      <c r="E2172" s="1542">
        <v>2146.58</v>
      </c>
    </row>
    <row r="2173" spans="1:5">
      <c r="A2173" s="1541">
        <v>41844</v>
      </c>
      <c r="B2173" s="1542">
        <v>14332.24</v>
      </c>
      <c r="C2173" s="1542">
        <v>192.83</v>
      </c>
      <c r="D2173" s="1542">
        <v>6494.99</v>
      </c>
      <c r="E2173" s="1542">
        <v>2150.7600000000002</v>
      </c>
    </row>
    <row r="2174" spans="1:5">
      <c r="A2174" s="1541">
        <v>41843</v>
      </c>
      <c r="B2174" s="1542"/>
      <c r="C2174" s="1542"/>
      <c r="D2174" s="1542">
        <v>6486.98</v>
      </c>
      <c r="E2174" s="1542">
        <v>2144.36</v>
      </c>
    </row>
    <row r="2175" spans="1:5">
      <c r="A2175" s="1541">
        <v>41842</v>
      </c>
      <c r="B2175" s="1542">
        <v>14275.64</v>
      </c>
      <c r="C2175" s="1542">
        <v>191.02</v>
      </c>
      <c r="D2175" s="1542">
        <v>6474.35</v>
      </c>
      <c r="E2175" s="1542">
        <v>2137.94</v>
      </c>
    </row>
    <row r="2176" spans="1:5">
      <c r="A2176" s="1541">
        <v>41841</v>
      </c>
      <c r="B2176" s="1542">
        <v>14185.04</v>
      </c>
      <c r="C2176" s="1542">
        <v>190.44</v>
      </c>
      <c r="D2176" s="1542">
        <v>6434.76</v>
      </c>
      <c r="E2176" s="1542">
        <v>2115.59</v>
      </c>
    </row>
    <row r="2177" spans="1:5">
      <c r="A2177" s="1541">
        <v>41840</v>
      </c>
      <c r="B2177" s="1542"/>
      <c r="C2177" s="1542"/>
      <c r="D2177" s="1542"/>
      <c r="E2177" s="1542"/>
    </row>
    <row r="2178" spans="1:5">
      <c r="A2178" s="1541">
        <v>41839</v>
      </c>
      <c r="B2178" s="1542"/>
      <c r="C2178" s="1542"/>
      <c r="D2178" s="1542"/>
      <c r="E2178" s="1542"/>
    </row>
    <row r="2179" spans="1:5">
      <c r="A2179" s="1541">
        <v>41838</v>
      </c>
      <c r="B2179" s="1542">
        <v>14123.25</v>
      </c>
      <c r="C2179" s="1542">
        <v>189.4</v>
      </c>
      <c r="D2179" s="1542">
        <v>6450.13</v>
      </c>
      <c r="E2179" s="1542">
        <v>2115.54</v>
      </c>
    </row>
    <row r="2180" spans="1:5">
      <c r="A2180" s="1541">
        <v>41837</v>
      </c>
      <c r="B2180" s="1542">
        <v>14131.31</v>
      </c>
      <c r="C2180" s="1542">
        <v>189.64</v>
      </c>
      <c r="D2180" s="1542">
        <v>6416.07</v>
      </c>
      <c r="E2180" s="1542">
        <v>2114.12</v>
      </c>
    </row>
    <row r="2181" spans="1:5">
      <c r="A2181" s="1541">
        <v>41836</v>
      </c>
      <c r="B2181" s="1542">
        <v>14217.5</v>
      </c>
      <c r="C2181" s="1542">
        <v>190.31</v>
      </c>
      <c r="D2181" s="1542">
        <v>6476.39</v>
      </c>
      <c r="E2181" s="1542">
        <v>2121.9299999999998</v>
      </c>
    </row>
    <row r="2182" spans="1:5">
      <c r="A2182" s="1541">
        <v>41835</v>
      </c>
      <c r="B2182" s="1542">
        <v>14324.83</v>
      </c>
      <c r="C2182" s="1542">
        <v>192.25</v>
      </c>
      <c r="D2182" s="1542">
        <v>6438.66</v>
      </c>
      <c r="E2182" s="1542">
        <v>2119.37</v>
      </c>
    </row>
    <row r="2183" spans="1:5">
      <c r="A2183" s="1541">
        <v>41834</v>
      </c>
      <c r="B2183" s="1542">
        <v>14248.39</v>
      </c>
      <c r="C2183" s="1542">
        <v>191.02</v>
      </c>
      <c r="D2183" s="1542">
        <v>6459.34</v>
      </c>
      <c r="E2183" s="1542">
        <v>2113.2199999999998</v>
      </c>
    </row>
    <row r="2184" spans="1:5">
      <c r="A2184" s="1541">
        <v>41833</v>
      </c>
      <c r="B2184" s="1542"/>
      <c r="C2184" s="1542"/>
      <c r="D2184" s="1542"/>
      <c r="E2184" s="1542"/>
    </row>
    <row r="2185" spans="1:5">
      <c r="A2185" s="1541">
        <v>41832</v>
      </c>
      <c r="B2185" s="1542"/>
      <c r="C2185" s="1542"/>
      <c r="D2185" s="1542"/>
      <c r="E2185" s="1542"/>
    </row>
    <row r="2186" spans="1:5">
      <c r="A2186" s="1541">
        <v>41831</v>
      </c>
      <c r="B2186" s="1542">
        <v>14164.84</v>
      </c>
      <c r="C2186" s="1542">
        <v>189.62</v>
      </c>
      <c r="D2186" s="1542">
        <v>6418.53</v>
      </c>
      <c r="E2186" s="1542">
        <v>2101.4</v>
      </c>
    </row>
    <row r="2187" spans="1:5">
      <c r="A2187" s="1541">
        <v>41830</v>
      </c>
      <c r="B2187" s="1542">
        <v>14265.25</v>
      </c>
      <c r="C2187" s="1542">
        <v>194.77</v>
      </c>
      <c r="D2187" s="1542">
        <v>6412.57</v>
      </c>
      <c r="E2187" s="1542">
        <v>2108.67</v>
      </c>
    </row>
    <row r="2188" spans="1:5">
      <c r="A2188" s="1541">
        <v>41829</v>
      </c>
      <c r="B2188" s="1542">
        <v>14143.48</v>
      </c>
      <c r="C2188" s="1542">
        <v>194.1</v>
      </c>
      <c r="D2188" s="1542">
        <v>6455.23</v>
      </c>
      <c r="E2188" s="1542">
        <v>2105.4899999999998</v>
      </c>
    </row>
    <row r="2189" spans="1:5">
      <c r="A2189" s="1541">
        <v>41828</v>
      </c>
      <c r="B2189" s="1542">
        <v>14187.05</v>
      </c>
      <c r="C2189" s="1542">
        <v>193.77</v>
      </c>
      <c r="D2189" s="1542">
        <v>6438.49</v>
      </c>
      <c r="E2189" s="1542">
        <v>2112.59</v>
      </c>
    </row>
    <row r="2190" spans="1:5">
      <c r="A2190" s="1541">
        <v>41827</v>
      </c>
      <c r="B2190" s="1542">
        <v>14167.45</v>
      </c>
      <c r="C2190" s="1542">
        <v>193.29</v>
      </c>
      <c r="D2190" s="1542">
        <v>6486.14</v>
      </c>
      <c r="E2190" s="1542">
        <v>2111.6999999999998</v>
      </c>
    </row>
    <row r="2191" spans="1:5">
      <c r="A2191" s="1541">
        <v>41826</v>
      </c>
      <c r="B2191" s="1542"/>
      <c r="C2191" s="1542"/>
      <c r="D2191" s="1542"/>
      <c r="E2191" s="1542"/>
    </row>
    <row r="2192" spans="1:5">
      <c r="A2192" s="1541">
        <v>41825</v>
      </c>
      <c r="B2192" s="1542"/>
      <c r="C2192" s="1542"/>
      <c r="D2192" s="1542"/>
      <c r="E2192" s="1542"/>
    </row>
    <row r="2193" spans="1:5">
      <c r="A2193" s="1541">
        <v>41824</v>
      </c>
      <c r="B2193" s="1542">
        <v>14147.69</v>
      </c>
      <c r="C2193" s="1542">
        <v>194.81</v>
      </c>
      <c r="D2193" s="1542">
        <v>6517.76</v>
      </c>
      <c r="E2193" s="1542">
        <v>2107.5100000000002</v>
      </c>
    </row>
    <row r="2194" spans="1:5">
      <c r="A2194" s="1541">
        <v>41823</v>
      </c>
      <c r="B2194" s="1542">
        <v>14150.71</v>
      </c>
      <c r="C2194" s="1542">
        <v>195.5</v>
      </c>
      <c r="D2194" s="1542">
        <v>6520.25</v>
      </c>
      <c r="E2194" s="1542">
        <v>2106.0100000000002</v>
      </c>
    </row>
    <row r="2195" spans="1:5">
      <c r="A2195" s="1541">
        <v>41822</v>
      </c>
      <c r="B2195" s="1542">
        <v>14073.18</v>
      </c>
      <c r="C2195" s="1542">
        <v>193.69</v>
      </c>
      <c r="D2195" s="1542">
        <v>6493.64</v>
      </c>
      <c r="E2195" s="1542">
        <v>2101.6999999999998</v>
      </c>
    </row>
    <row r="2196" spans="1:5">
      <c r="A2196" s="1541">
        <v>41821</v>
      </c>
      <c r="B2196" s="1542">
        <v>14008.09</v>
      </c>
      <c r="C2196" s="1542">
        <v>195.59</v>
      </c>
      <c r="D2196" s="1542">
        <v>6485.16</v>
      </c>
      <c r="E2196" s="1542">
        <v>2081.33</v>
      </c>
    </row>
    <row r="2197" spans="1:5">
      <c r="A2197" s="1541">
        <v>41820</v>
      </c>
      <c r="B2197" s="1542">
        <v>13919.39</v>
      </c>
      <c r="C2197" s="1542">
        <v>194.92</v>
      </c>
      <c r="D2197" s="1542">
        <v>6442.5</v>
      </c>
      <c r="E2197" s="1542">
        <v>2079.79</v>
      </c>
    </row>
    <row r="2198" spans="1:5">
      <c r="A2198" s="1541">
        <v>41819</v>
      </c>
      <c r="B2198" s="1542"/>
      <c r="C2198" s="1542"/>
      <c r="D2198" s="1542"/>
      <c r="E2198" s="1542"/>
    </row>
    <row r="2199" spans="1:5">
      <c r="A2199" s="1541">
        <v>41818</v>
      </c>
      <c r="B2199" s="1542"/>
      <c r="C2199" s="1542"/>
      <c r="D2199" s="1542"/>
      <c r="E2199" s="1542"/>
    </row>
    <row r="2200" spans="1:5">
      <c r="A2200" s="1541">
        <v>41817</v>
      </c>
      <c r="B2200" s="1542">
        <v>13789.21</v>
      </c>
      <c r="C2200" s="1542">
        <v>193.05</v>
      </c>
      <c r="D2200" s="1542">
        <v>6432.89</v>
      </c>
      <c r="E2200" s="1542">
        <v>2070.29</v>
      </c>
    </row>
    <row r="2201" spans="1:5">
      <c r="A2201" s="1541">
        <v>41816</v>
      </c>
      <c r="B2201" s="1542">
        <v>13799.93</v>
      </c>
      <c r="C2201" s="1542">
        <v>193.38</v>
      </c>
      <c r="D2201" s="1542">
        <v>6419.12</v>
      </c>
      <c r="E2201" s="1542">
        <v>2071.29</v>
      </c>
    </row>
    <row r="2202" spans="1:5">
      <c r="A2202" s="1541">
        <v>41815</v>
      </c>
      <c r="B2202" s="1542">
        <v>13677.97</v>
      </c>
      <c r="C2202" s="1542">
        <v>191.82</v>
      </c>
      <c r="D2202" s="1542">
        <v>6420.77</v>
      </c>
      <c r="E2202" s="1542">
        <v>2061.14</v>
      </c>
    </row>
    <row r="2203" spans="1:5">
      <c r="A2203" s="1541">
        <v>41814</v>
      </c>
      <c r="B2203" s="1542">
        <v>13683.8</v>
      </c>
      <c r="C2203" s="1542">
        <v>190.56</v>
      </c>
      <c r="D2203" s="1542">
        <v>6418.79</v>
      </c>
      <c r="E2203" s="1542">
        <v>2073.1799999999998</v>
      </c>
    </row>
    <row r="2204" spans="1:5">
      <c r="A2204" s="1541">
        <v>41813</v>
      </c>
      <c r="B2204" s="1542">
        <v>13647.54</v>
      </c>
      <c r="C2204" s="1542">
        <v>190.24</v>
      </c>
      <c r="D2204" s="1542">
        <v>6449.72</v>
      </c>
      <c r="E2204" s="1542">
        <v>2061.31</v>
      </c>
    </row>
    <row r="2205" spans="1:5">
      <c r="A2205" s="1541">
        <v>41812</v>
      </c>
      <c r="B2205" s="1542"/>
      <c r="C2205" s="1542"/>
      <c r="D2205" s="1542"/>
      <c r="E2205" s="1542"/>
    </row>
    <row r="2206" spans="1:5">
      <c r="A2206" s="1541">
        <v>41811</v>
      </c>
      <c r="B2206" s="1542"/>
      <c r="C2206" s="1542"/>
      <c r="D2206" s="1542"/>
      <c r="E2206" s="1542"/>
    </row>
    <row r="2207" spans="1:5">
      <c r="A2207" s="1541">
        <v>41810</v>
      </c>
      <c r="B2207" s="1542">
        <v>13706.67</v>
      </c>
      <c r="C2207" s="1542">
        <v>193.57</v>
      </c>
      <c r="D2207" s="1542">
        <v>6453.65</v>
      </c>
      <c r="E2207" s="1542">
        <v>2063.9899999999998</v>
      </c>
    </row>
    <row r="2208" spans="1:5">
      <c r="A2208" s="1541">
        <v>41809</v>
      </c>
      <c r="B2208" s="1542">
        <v>13770.13</v>
      </c>
      <c r="C2208" s="1542">
        <v>193.29</v>
      </c>
      <c r="D2208" s="1542">
        <v>6457.19</v>
      </c>
      <c r="E2208" s="1542">
        <v>2075.9</v>
      </c>
    </row>
    <row r="2209" spans="1:5">
      <c r="A2209" s="1541">
        <v>41808</v>
      </c>
      <c r="B2209" s="1542">
        <v>13715.55</v>
      </c>
      <c r="C2209" s="1542">
        <v>191.82</v>
      </c>
      <c r="D2209" s="1542">
        <v>6417.42</v>
      </c>
      <c r="E2209" s="1542">
        <v>2063.98</v>
      </c>
    </row>
    <row r="2210" spans="1:5">
      <c r="A2210" s="1541">
        <v>41807</v>
      </c>
      <c r="B2210" s="1542">
        <v>13655.75</v>
      </c>
      <c r="C2210" s="1542">
        <v>193.97</v>
      </c>
      <c r="D2210" s="1542">
        <v>6383.45</v>
      </c>
      <c r="E2210" s="1542">
        <v>2061.67</v>
      </c>
    </row>
    <row r="2211" spans="1:5">
      <c r="A2211" s="1541">
        <v>41806</v>
      </c>
      <c r="B2211" s="1542">
        <v>13599.18</v>
      </c>
      <c r="C2211" s="1542">
        <v>193.49</v>
      </c>
      <c r="D2211" s="1542">
        <v>6376.86</v>
      </c>
      <c r="E2211" s="1542">
        <v>2067.04</v>
      </c>
    </row>
    <row r="2212" spans="1:5">
      <c r="A2212" s="1541">
        <v>41805</v>
      </c>
      <c r="B2212" s="1542"/>
      <c r="C2212" s="1542"/>
      <c r="D2212" s="1542"/>
      <c r="E2212" s="1542"/>
    </row>
    <row r="2213" spans="1:5">
      <c r="A2213" s="1541">
        <v>41804</v>
      </c>
      <c r="B2213" s="1542"/>
      <c r="C2213" s="1542"/>
      <c r="D2213" s="1542"/>
      <c r="E2213" s="1542"/>
    </row>
    <row r="2214" spans="1:5">
      <c r="A2214" s="1541">
        <v>41803</v>
      </c>
      <c r="B2214" s="1542">
        <v>13589.51</v>
      </c>
      <c r="C2214" s="1542">
        <v>193.03</v>
      </c>
      <c r="D2214" s="1542">
        <v>6377.61</v>
      </c>
      <c r="E2214" s="1542">
        <v>2071.2800000000002</v>
      </c>
    </row>
    <row r="2215" spans="1:5">
      <c r="A2215" s="1541">
        <v>41802</v>
      </c>
      <c r="B2215" s="1542">
        <v>13601.71</v>
      </c>
      <c r="C2215" s="1542">
        <v>193</v>
      </c>
      <c r="D2215" s="1542">
        <v>6371.18</v>
      </c>
      <c r="E2215" s="1542">
        <v>2082.16</v>
      </c>
    </row>
    <row r="2216" spans="1:5">
      <c r="A2216" s="1541">
        <v>41801</v>
      </c>
      <c r="B2216" s="1542">
        <v>13638.78</v>
      </c>
      <c r="C2216" s="1542">
        <v>193.16</v>
      </c>
      <c r="D2216" s="1542">
        <v>6391.17</v>
      </c>
      <c r="E2216" s="1542">
        <v>2082.92</v>
      </c>
    </row>
    <row r="2217" spans="1:5">
      <c r="A2217" s="1541">
        <v>41800</v>
      </c>
      <c r="B2217" s="1542">
        <v>13627.81</v>
      </c>
      <c r="C2217" s="1542">
        <v>192.79</v>
      </c>
      <c r="D2217" s="1542">
        <v>6404.9</v>
      </c>
      <c r="E2217" s="1542">
        <v>2085.7800000000002</v>
      </c>
    </row>
    <row r="2218" spans="1:5">
      <c r="A2218" s="1541">
        <v>41799</v>
      </c>
      <c r="B2218" s="1542">
        <v>13539.2</v>
      </c>
      <c r="C2218" s="1542">
        <v>192.63</v>
      </c>
      <c r="D2218" s="1542">
        <v>6407.19</v>
      </c>
      <c r="E2218" s="1542">
        <v>2068.58</v>
      </c>
    </row>
    <row r="2219" spans="1:5">
      <c r="A2219" s="1541">
        <v>41798</v>
      </c>
      <c r="B2219" s="1542"/>
      <c r="C2219" s="1542"/>
      <c r="D2219" s="1542"/>
      <c r="E2219" s="1542"/>
    </row>
    <row r="2220" spans="1:5">
      <c r="A2220" s="1541">
        <v>41797</v>
      </c>
      <c r="B2220" s="1542"/>
      <c r="C2220" s="1542"/>
      <c r="D2220" s="1542"/>
      <c r="E2220" s="1542"/>
    </row>
    <row r="2221" spans="1:5">
      <c r="A2221" s="1541">
        <v>41796</v>
      </c>
      <c r="B2221" s="1542">
        <v>13497.41</v>
      </c>
      <c r="C2221" s="1542">
        <v>191.91</v>
      </c>
      <c r="D2221" s="1542">
        <v>6401.4</v>
      </c>
      <c r="E2221" s="1542">
        <v>2060.5</v>
      </c>
    </row>
    <row r="2222" spans="1:5">
      <c r="A2222" s="1541">
        <v>41795</v>
      </c>
      <c r="B2222" s="1542">
        <v>13506.67</v>
      </c>
      <c r="C2222" s="1542">
        <v>191.64</v>
      </c>
      <c r="D2222" s="1542">
        <v>6367.91</v>
      </c>
      <c r="E2222" s="1542">
        <v>2040.79</v>
      </c>
    </row>
    <row r="2223" spans="1:5">
      <c r="A2223" s="1541">
        <v>41794</v>
      </c>
      <c r="B2223" s="1542">
        <v>13475.99</v>
      </c>
      <c r="C2223" s="1542">
        <v>190.34</v>
      </c>
      <c r="D2223" s="1542">
        <v>6338.59</v>
      </c>
      <c r="E2223" s="1542">
        <v>2032.7</v>
      </c>
    </row>
    <row r="2224" spans="1:5">
      <c r="A2224" s="1541">
        <v>41793</v>
      </c>
      <c r="B2224" s="1542">
        <v>13481.03</v>
      </c>
      <c r="C2224" s="1542">
        <v>189.52</v>
      </c>
      <c r="D2224" s="1542">
        <v>6330.29</v>
      </c>
      <c r="E2224" s="1542">
        <v>2041.87</v>
      </c>
    </row>
    <row r="2225" spans="1:5">
      <c r="A2225" s="1541">
        <v>41792</v>
      </c>
      <c r="B2225" s="1542"/>
      <c r="C2225" s="1542"/>
      <c r="D2225" s="1542">
        <v>6335.36</v>
      </c>
      <c r="E2225" s="1542">
        <v>2028.77</v>
      </c>
    </row>
    <row r="2226" spans="1:5">
      <c r="A2226" s="1541">
        <v>41791</v>
      </c>
      <c r="B2226" s="1542"/>
      <c r="C2226" s="1542"/>
      <c r="D2226" s="1542"/>
      <c r="E2226" s="1542"/>
    </row>
    <row r="2227" spans="1:5">
      <c r="A2227" s="1541">
        <v>41790</v>
      </c>
      <c r="B2227" s="1542"/>
      <c r="C2227" s="1542"/>
      <c r="D2227" s="1542"/>
      <c r="E2227" s="1542"/>
    </row>
    <row r="2228" spans="1:5">
      <c r="A2228" s="1541">
        <v>41789</v>
      </c>
      <c r="B2228" s="1542">
        <v>13410.77</v>
      </c>
      <c r="C2228" s="1542">
        <v>189.8</v>
      </c>
      <c r="D2228" s="1542">
        <v>6326.6</v>
      </c>
      <c r="E2228" s="1542">
        <v>2025.07</v>
      </c>
    </row>
    <row r="2229" spans="1:5">
      <c r="A2229" s="1541">
        <v>41788</v>
      </c>
      <c r="B2229" s="1542">
        <v>13459.67</v>
      </c>
      <c r="C2229" s="1542">
        <v>189.02</v>
      </c>
      <c r="D2229" s="1542">
        <v>6319.31</v>
      </c>
      <c r="E2229" s="1542">
        <v>2046.55</v>
      </c>
    </row>
    <row r="2230" spans="1:5">
      <c r="A2230" s="1541">
        <v>41787</v>
      </c>
      <c r="B2230" s="1542">
        <v>13478.45</v>
      </c>
      <c r="C2230" s="1542">
        <v>188.99</v>
      </c>
      <c r="D2230" s="1542">
        <v>6292.37</v>
      </c>
      <c r="E2230" s="1542">
        <v>2045.46</v>
      </c>
    </row>
    <row r="2231" spans="1:5">
      <c r="A2231" s="1541">
        <v>41786</v>
      </c>
      <c r="B2231" s="1542">
        <v>13380.3</v>
      </c>
      <c r="C2231" s="1542">
        <v>188.07</v>
      </c>
      <c r="D2231" s="1542">
        <v>6296.87</v>
      </c>
      <c r="E2231" s="1542">
        <v>2034.4</v>
      </c>
    </row>
    <row r="2232" spans="1:5">
      <c r="A2232" s="1541">
        <v>41785</v>
      </c>
      <c r="B2232" s="1542">
        <v>13351.82</v>
      </c>
      <c r="C2232" s="1542">
        <v>186.71</v>
      </c>
      <c r="D2232" s="1542">
        <v>6280.04</v>
      </c>
      <c r="E2232" s="1542">
        <v>2051.12</v>
      </c>
    </row>
    <row r="2233" spans="1:5">
      <c r="A2233" s="1541">
        <v>41784</v>
      </c>
      <c r="B2233" s="1542"/>
      <c r="C2233" s="1542"/>
      <c r="D2233" s="1542"/>
      <c r="E2233" s="1542"/>
    </row>
    <row r="2234" spans="1:5">
      <c r="A2234" s="1541">
        <v>41783</v>
      </c>
      <c r="B2234" s="1542"/>
      <c r="C2234" s="1542"/>
      <c r="D2234" s="1542"/>
      <c r="E2234" s="1542"/>
    </row>
    <row r="2235" spans="1:5">
      <c r="A2235" s="1541">
        <v>41782</v>
      </c>
      <c r="B2235" s="1542">
        <v>13310.6</v>
      </c>
      <c r="C2235" s="1542">
        <v>185.05</v>
      </c>
      <c r="D2235" s="1542">
        <v>6260.45</v>
      </c>
      <c r="E2235" s="1542">
        <v>2053.0100000000002</v>
      </c>
    </row>
    <row r="2236" spans="1:5">
      <c r="A2236" s="1541">
        <v>41781</v>
      </c>
      <c r="B2236" s="1542">
        <v>13253.58</v>
      </c>
      <c r="C2236" s="1542">
        <v>183.13</v>
      </c>
      <c r="D2236" s="1542">
        <v>6239.41</v>
      </c>
      <c r="E2236" s="1542">
        <v>2049.1999999999998</v>
      </c>
    </row>
    <row r="2237" spans="1:5">
      <c r="A2237" s="1541">
        <v>41780</v>
      </c>
      <c r="B2237" s="1542">
        <v>13095.15</v>
      </c>
      <c r="C2237" s="1542">
        <v>180.75</v>
      </c>
      <c r="D2237" s="1542">
        <v>6217.12</v>
      </c>
      <c r="E2237" s="1542">
        <v>2029.96</v>
      </c>
    </row>
    <row r="2238" spans="1:5">
      <c r="A2238" s="1541">
        <v>41779</v>
      </c>
      <c r="B2238" s="1542">
        <v>13132.26</v>
      </c>
      <c r="C2238" s="1542">
        <v>181.22</v>
      </c>
      <c r="D2238" s="1542">
        <v>6184.45</v>
      </c>
      <c r="E2238" s="1542">
        <v>2026.47</v>
      </c>
    </row>
    <row r="2239" spans="1:5">
      <c r="A2239" s="1541">
        <v>41778</v>
      </c>
      <c r="B2239" s="1542">
        <v>13150.15</v>
      </c>
      <c r="C2239" s="1542">
        <v>181.03</v>
      </c>
      <c r="D2239" s="1542">
        <v>6212.54</v>
      </c>
      <c r="E2239" s="1542">
        <v>2037.21</v>
      </c>
    </row>
    <row r="2240" spans="1:5">
      <c r="A2240" s="1541">
        <v>41777</v>
      </c>
      <c r="B2240" s="1542"/>
      <c r="C2240" s="1542"/>
      <c r="D2240" s="1542"/>
      <c r="E2240" s="1542"/>
    </row>
    <row r="2241" spans="1:5">
      <c r="A2241" s="1541">
        <v>41776</v>
      </c>
      <c r="B2241" s="1542"/>
      <c r="C2241" s="1542"/>
      <c r="D2241" s="1542"/>
      <c r="E2241" s="1542"/>
    </row>
    <row r="2242" spans="1:5">
      <c r="A2242" s="1541">
        <v>41775</v>
      </c>
      <c r="B2242" s="1542">
        <v>13133.24</v>
      </c>
      <c r="C2242" s="1542">
        <v>179.61</v>
      </c>
      <c r="D2242" s="1542">
        <v>6203.13</v>
      </c>
      <c r="E2242" s="1542">
        <v>2030.23</v>
      </c>
    </row>
    <row r="2243" spans="1:5">
      <c r="A2243" s="1541">
        <v>41774</v>
      </c>
      <c r="B2243" s="1542">
        <v>13121.71</v>
      </c>
      <c r="C2243" s="1542">
        <v>179.54</v>
      </c>
      <c r="D2243" s="1542">
        <v>6196.93</v>
      </c>
      <c r="E2243" s="1542">
        <v>2024.34</v>
      </c>
    </row>
    <row r="2244" spans="1:5">
      <c r="A2244" s="1541">
        <v>41773</v>
      </c>
      <c r="B2244" s="1542">
        <v>13113.43</v>
      </c>
      <c r="C2244" s="1542">
        <v>178.79</v>
      </c>
      <c r="D2244" s="1542">
        <v>6241.76</v>
      </c>
      <c r="E2244" s="1542">
        <v>2030.4</v>
      </c>
    </row>
    <row r="2245" spans="1:5">
      <c r="A2245" s="1541">
        <v>41772</v>
      </c>
      <c r="B2245" s="1542">
        <v>13028.88</v>
      </c>
      <c r="C2245" s="1542">
        <v>178.1</v>
      </c>
      <c r="D2245" s="1542">
        <v>6249.88</v>
      </c>
      <c r="E2245" s="1542">
        <v>2011.06</v>
      </c>
    </row>
    <row r="2246" spans="1:5">
      <c r="A2246" s="1541">
        <v>41771</v>
      </c>
      <c r="B2246" s="1542">
        <v>13015.09</v>
      </c>
      <c r="C2246" s="1542">
        <v>179.52</v>
      </c>
      <c r="D2246" s="1542">
        <v>6237.08</v>
      </c>
      <c r="E2246" s="1542">
        <v>1997.83</v>
      </c>
    </row>
    <row r="2247" spans="1:5">
      <c r="A2247" s="1541">
        <v>41770</v>
      </c>
      <c r="B2247" s="1542"/>
      <c r="C2247" s="1542"/>
      <c r="D2247" s="1542"/>
      <c r="E2247" s="1542"/>
    </row>
    <row r="2248" spans="1:5">
      <c r="A2248" s="1541">
        <v>41769</v>
      </c>
      <c r="B2248" s="1542"/>
      <c r="C2248" s="1542"/>
      <c r="D2248" s="1542"/>
      <c r="E2248" s="1542"/>
    </row>
    <row r="2249" spans="1:5">
      <c r="A2249" s="1541">
        <v>41768</v>
      </c>
      <c r="B2249" s="1542">
        <v>13134.9</v>
      </c>
      <c r="C2249" s="1542">
        <v>181.75</v>
      </c>
      <c r="D2249" s="1542">
        <v>6192.67</v>
      </c>
      <c r="E2249" s="1542">
        <v>1980.24</v>
      </c>
    </row>
    <row r="2250" spans="1:5">
      <c r="A2250" s="1541">
        <v>41767</v>
      </c>
      <c r="B2250" s="1542">
        <v>13195.79</v>
      </c>
      <c r="C2250" s="1542">
        <v>183.97</v>
      </c>
      <c r="D2250" s="1542">
        <v>6203.91</v>
      </c>
      <c r="E2250" s="1542">
        <v>1983.86</v>
      </c>
    </row>
    <row r="2251" spans="1:5">
      <c r="A2251" s="1541">
        <v>41766</v>
      </c>
      <c r="B2251" s="1542">
        <v>13139.93</v>
      </c>
      <c r="C2251" s="1542">
        <v>184.41</v>
      </c>
      <c r="D2251" s="1542">
        <v>6191.91</v>
      </c>
      <c r="E2251" s="1542">
        <v>1975.2</v>
      </c>
    </row>
    <row r="2252" spans="1:5">
      <c r="A2252" s="1541">
        <v>41765</v>
      </c>
      <c r="B2252" s="1542">
        <v>13168.26</v>
      </c>
      <c r="C2252" s="1542">
        <v>183.94</v>
      </c>
      <c r="D2252" s="1542">
        <v>6187.13</v>
      </c>
      <c r="E2252" s="1542">
        <v>1974.06</v>
      </c>
    </row>
    <row r="2253" spans="1:5">
      <c r="A2253" s="1541">
        <v>41764</v>
      </c>
      <c r="B2253" s="1542">
        <v>13105.79</v>
      </c>
      <c r="C2253" s="1542">
        <v>182.66</v>
      </c>
      <c r="D2253" s="1542">
        <v>6209.91</v>
      </c>
      <c r="E2253" s="1542">
        <v>1968.22</v>
      </c>
    </row>
    <row r="2254" spans="1:5">
      <c r="A2254" s="1541">
        <v>41763</v>
      </c>
      <c r="B2254" s="1542"/>
      <c r="C2254" s="1542"/>
      <c r="D2254" s="1542"/>
      <c r="E2254" s="1542"/>
    </row>
    <row r="2255" spans="1:5">
      <c r="A2255" s="1541">
        <v>41762</v>
      </c>
      <c r="B2255" s="1542"/>
      <c r="C2255" s="1542"/>
      <c r="D2255" s="1542"/>
      <c r="E2255" s="1542"/>
    </row>
    <row r="2256" spans="1:5">
      <c r="A2256" s="1541">
        <v>41761</v>
      </c>
      <c r="B2256" s="1542">
        <v>13101.2</v>
      </c>
      <c r="C2256" s="1542">
        <v>180.97</v>
      </c>
      <c r="D2256" s="1542">
        <v>6205.28</v>
      </c>
      <c r="E2256" s="1542">
        <v>1972.75</v>
      </c>
    </row>
    <row r="2257" spans="1:5">
      <c r="A2257" s="1541">
        <v>41760</v>
      </c>
      <c r="B2257" s="1542"/>
      <c r="C2257" s="1542"/>
      <c r="D2257" s="1542">
        <v>6208.75</v>
      </c>
      <c r="E2257" s="1542">
        <v>1957.76</v>
      </c>
    </row>
    <row r="2258" spans="1:5">
      <c r="A2258" s="1541">
        <v>41759</v>
      </c>
      <c r="B2258" s="1542">
        <v>12989.08</v>
      </c>
      <c r="C2258" s="1542">
        <v>178.21</v>
      </c>
      <c r="D2258" s="1542">
        <v>6198.8</v>
      </c>
      <c r="E2258" s="1542">
        <v>1956.34</v>
      </c>
    </row>
    <row r="2259" spans="1:5">
      <c r="A2259" s="1541">
        <v>41758</v>
      </c>
      <c r="B2259" s="1542">
        <v>13108.27</v>
      </c>
      <c r="C2259" s="1542">
        <v>181.45</v>
      </c>
      <c r="D2259" s="1542">
        <v>6177.04</v>
      </c>
      <c r="E2259" s="1542">
        <v>1965.11</v>
      </c>
    </row>
    <row r="2260" spans="1:5">
      <c r="A2260" s="1541">
        <v>41757</v>
      </c>
      <c r="B2260" s="1542">
        <v>13016.08</v>
      </c>
      <c r="C2260" s="1542">
        <v>178.34</v>
      </c>
      <c r="D2260" s="1542">
        <v>6140.75</v>
      </c>
      <c r="E2260" s="1542">
        <v>1950.82</v>
      </c>
    </row>
    <row r="2261" spans="1:5">
      <c r="A2261" s="1541">
        <v>41756</v>
      </c>
      <c r="B2261" s="1542"/>
      <c r="C2261" s="1542"/>
      <c r="D2261" s="1542"/>
      <c r="E2261" s="1542"/>
    </row>
    <row r="2262" spans="1:5">
      <c r="A2262" s="1541">
        <v>41755</v>
      </c>
      <c r="B2262" s="1542"/>
      <c r="C2262" s="1542"/>
      <c r="D2262" s="1542"/>
      <c r="E2262" s="1542"/>
    </row>
    <row r="2263" spans="1:5">
      <c r="A2263" s="1541">
        <v>41754</v>
      </c>
      <c r="B2263" s="1542">
        <v>12963.49</v>
      </c>
      <c r="C2263" s="1542">
        <v>177.85</v>
      </c>
      <c r="D2263" s="1542">
        <v>6133.19</v>
      </c>
      <c r="E2263" s="1542">
        <v>1951.2</v>
      </c>
    </row>
    <row r="2264" spans="1:5">
      <c r="A2264" s="1541">
        <v>41753</v>
      </c>
      <c r="B2264" s="1542">
        <v>13216.64</v>
      </c>
      <c r="C2264" s="1542">
        <v>183.9</v>
      </c>
      <c r="D2264" s="1542">
        <v>6170.61</v>
      </c>
      <c r="E2264" s="1542">
        <v>1972.93</v>
      </c>
    </row>
    <row r="2265" spans="1:5">
      <c r="A2265" s="1541">
        <v>41752</v>
      </c>
      <c r="B2265" s="1542">
        <v>13233.58</v>
      </c>
      <c r="C2265" s="1542">
        <v>184.83</v>
      </c>
      <c r="D2265" s="1542">
        <v>6163.33</v>
      </c>
      <c r="E2265" s="1542">
        <v>1971.5</v>
      </c>
    </row>
    <row r="2266" spans="1:5">
      <c r="A2266" s="1541">
        <v>41751</v>
      </c>
      <c r="B2266" s="1542">
        <v>13259.86</v>
      </c>
      <c r="C2266" s="1542">
        <v>185.53</v>
      </c>
      <c r="D2266" s="1542">
        <v>6172.12</v>
      </c>
      <c r="E2266" s="1542">
        <v>1981.05</v>
      </c>
    </row>
    <row r="2267" spans="1:5">
      <c r="A2267" s="1541">
        <v>41750</v>
      </c>
      <c r="B2267" s="1542">
        <v>13225.12</v>
      </c>
      <c r="C2267" s="1542">
        <v>184.86</v>
      </c>
      <c r="D2267" s="1542">
        <v>6136.33</v>
      </c>
      <c r="E2267" s="1542">
        <v>1984.58</v>
      </c>
    </row>
    <row r="2268" spans="1:5">
      <c r="A2268" s="1541">
        <v>41749</v>
      </c>
      <c r="B2268" s="1542"/>
      <c r="C2268" s="1542"/>
      <c r="D2268" s="1542"/>
      <c r="E2268" s="1542"/>
    </row>
    <row r="2269" spans="1:5">
      <c r="A2269" s="1541">
        <v>41748</v>
      </c>
      <c r="B2269" s="1542"/>
      <c r="C2269" s="1542"/>
      <c r="D2269" s="1542"/>
      <c r="E2269" s="1542"/>
    </row>
    <row r="2270" spans="1:5">
      <c r="A2270" s="1541">
        <v>41747</v>
      </c>
      <c r="B2270" s="1542">
        <v>13247.97</v>
      </c>
      <c r="C2270" s="1542">
        <v>184.17</v>
      </c>
      <c r="D2270" s="1542">
        <v>6129.67</v>
      </c>
      <c r="E2270" s="1542">
        <v>1986.62</v>
      </c>
    </row>
    <row r="2271" spans="1:5">
      <c r="A2271" s="1541">
        <v>41746</v>
      </c>
      <c r="B2271" s="1542">
        <v>13214.73</v>
      </c>
      <c r="C2271" s="1542">
        <v>183.84</v>
      </c>
      <c r="D2271" s="1542">
        <v>6126.78</v>
      </c>
      <c r="E2271" s="1542">
        <v>1981.33</v>
      </c>
    </row>
    <row r="2272" spans="1:5">
      <c r="A2272" s="1541">
        <v>41745</v>
      </c>
      <c r="B2272" s="1542">
        <v>13184.68</v>
      </c>
      <c r="C2272" s="1542">
        <v>182.48</v>
      </c>
      <c r="D2272" s="1542">
        <v>6108.13</v>
      </c>
      <c r="E2272" s="1542">
        <v>1968.05</v>
      </c>
    </row>
    <row r="2273" spans="1:5">
      <c r="A2273" s="1541">
        <v>41744</v>
      </c>
      <c r="B2273" s="1542">
        <v>13174.17</v>
      </c>
      <c r="C2273" s="1542">
        <v>181.96</v>
      </c>
      <c r="D2273" s="1542">
        <v>6041.12</v>
      </c>
      <c r="E2273" s="1542">
        <v>1962.83</v>
      </c>
    </row>
    <row r="2274" spans="1:5">
      <c r="A2274" s="1541">
        <v>41743</v>
      </c>
      <c r="B2274" s="1542">
        <v>13086.56</v>
      </c>
      <c r="C2274" s="1542">
        <v>179.28</v>
      </c>
      <c r="D2274" s="1542">
        <v>6032.31</v>
      </c>
      <c r="E2274" s="1542">
        <v>1985.38</v>
      </c>
    </row>
    <row r="2275" spans="1:5">
      <c r="A2275" s="1541">
        <v>41742</v>
      </c>
      <c r="B2275" s="1542"/>
      <c r="C2275" s="1542"/>
      <c r="D2275" s="1542"/>
      <c r="E2275" s="1542"/>
    </row>
    <row r="2276" spans="1:5">
      <c r="A2276" s="1541">
        <v>41741</v>
      </c>
      <c r="B2276" s="1542"/>
      <c r="C2276" s="1542"/>
      <c r="D2276" s="1542"/>
      <c r="E2276" s="1542"/>
    </row>
    <row r="2277" spans="1:5">
      <c r="A2277" s="1541">
        <v>41740</v>
      </c>
      <c r="B2277" s="1542">
        <v>13161.37</v>
      </c>
      <c r="C2277" s="1542">
        <v>183.78</v>
      </c>
      <c r="D2277" s="1542">
        <v>6008.61</v>
      </c>
      <c r="E2277" s="1542">
        <v>1992.65</v>
      </c>
    </row>
    <row r="2278" spans="1:5">
      <c r="A2278" s="1541">
        <v>41739</v>
      </c>
      <c r="B2278" s="1542">
        <v>13220.54</v>
      </c>
      <c r="C2278" s="1542">
        <v>186.69</v>
      </c>
      <c r="D2278" s="1542">
        <v>6072.81</v>
      </c>
      <c r="E2278" s="1542">
        <v>2004.77</v>
      </c>
    </row>
    <row r="2279" spans="1:5">
      <c r="A2279" s="1541">
        <v>41738</v>
      </c>
      <c r="B2279" s="1542">
        <v>13194.65</v>
      </c>
      <c r="C2279" s="1542">
        <v>187.52</v>
      </c>
      <c r="D2279" s="1542">
        <v>6142.73</v>
      </c>
      <c r="E2279" s="1542">
        <v>1991.18</v>
      </c>
    </row>
    <row r="2280" spans="1:5">
      <c r="A2280" s="1541">
        <v>41737</v>
      </c>
      <c r="B2280" s="1542">
        <v>13132.12</v>
      </c>
      <c r="C2280" s="1542">
        <v>186.72</v>
      </c>
      <c r="D2280" s="1542">
        <v>6099.55</v>
      </c>
      <c r="E2280" s="1542">
        <v>1984.59</v>
      </c>
    </row>
    <row r="2281" spans="1:5">
      <c r="A2281" s="1541">
        <v>41736</v>
      </c>
      <c r="B2281" s="1542">
        <v>13114.68</v>
      </c>
      <c r="C2281" s="1542">
        <v>186.39</v>
      </c>
      <c r="D2281" s="1542">
        <v>6081.98</v>
      </c>
      <c r="E2281" s="1542">
        <v>1970.13</v>
      </c>
    </row>
    <row r="2282" spans="1:5">
      <c r="A2282" s="1541">
        <v>41735</v>
      </c>
      <c r="B2282" s="1542"/>
      <c r="C2282" s="1542"/>
      <c r="D2282" s="1542"/>
      <c r="E2282" s="1542"/>
    </row>
    <row r="2283" spans="1:5">
      <c r="A2283" s="1541">
        <v>41734</v>
      </c>
      <c r="B2283" s="1542"/>
      <c r="C2283" s="1542"/>
      <c r="D2283" s="1542"/>
      <c r="E2283" s="1542"/>
    </row>
    <row r="2284" spans="1:5">
      <c r="A2284" s="1541">
        <v>41733</v>
      </c>
      <c r="B2284" s="1542"/>
      <c r="C2284" s="1542"/>
      <c r="D2284" s="1542">
        <v>6143.9</v>
      </c>
      <c r="E2284" s="1542">
        <v>1965.32</v>
      </c>
    </row>
    <row r="2285" spans="1:5">
      <c r="A2285" s="1541">
        <v>41732</v>
      </c>
      <c r="B2285" s="1542">
        <v>13132.55</v>
      </c>
      <c r="C2285" s="1542">
        <v>187.01</v>
      </c>
      <c r="D2285" s="1542">
        <v>6175.69</v>
      </c>
      <c r="E2285" s="1542">
        <v>1961.61</v>
      </c>
    </row>
    <row r="2286" spans="1:5">
      <c r="A2286" s="1541">
        <v>41731</v>
      </c>
      <c r="B2286" s="1542">
        <v>13157.54</v>
      </c>
      <c r="C2286" s="1542">
        <v>186.52</v>
      </c>
      <c r="D2286" s="1542">
        <v>6183.73</v>
      </c>
      <c r="E2286" s="1542">
        <v>1969.56</v>
      </c>
    </row>
    <row r="2287" spans="1:5">
      <c r="A2287" s="1541">
        <v>41730</v>
      </c>
      <c r="B2287" s="1542">
        <v>13109.8</v>
      </c>
      <c r="C2287" s="1542">
        <v>184.66</v>
      </c>
      <c r="D2287" s="1542">
        <v>6169.04</v>
      </c>
      <c r="E2287" s="1542">
        <v>1961.25</v>
      </c>
    </row>
    <row r="2288" spans="1:5">
      <c r="A2288" s="1541">
        <v>41729</v>
      </c>
      <c r="B2288" s="1542">
        <v>13074.55</v>
      </c>
      <c r="C2288" s="1542">
        <v>183.09</v>
      </c>
      <c r="D2288" s="1542">
        <v>6132.59</v>
      </c>
      <c r="E2288" s="1542">
        <v>1949.08</v>
      </c>
    </row>
    <row r="2289" spans="1:5">
      <c r="A2289" s="1541">
        <v>41728</v>
      </c>
      <c r="B2289" s="1542"/>
      <c r="C2289" s="1542"/>
      <c r="D2289" s="1542"/>
      <c r="E2289" s="1542"/>
    </row>
    <row r="2290" spans="1:5">
      <c r="A2290" s="1541">
        <v>41727</v>
      </c>
      <c r="B2290" s="1542"/>
      <c r="C2290" s="1542"/>
      <c r="D2290" s="1542"/>
      <c r="E2290" s="1542"/>
    </row>
    <row r="2291" spans="1:5">
      <c r="A2291" s="1541">
        <v>41726</v>
      </c>
      <c r="B2291" s="1542">
        <v>12964.26</v>
      </c>
      <c r="C2291" s="1542">
        <v>181.2</v>
      </c>
      <c r="D2291" s="1542">
        <v>6088.28</v>
      </c>
      <c r="E2291" s="1542">
        <v>1929.73</v>
      </c>
    </row>
    <row r="2292" spans="1:5">
      <c r="A2292" s="1541">
        <v>41725</v>
      </c>
      <c r="B2292" s="1542">
        <v>12971.54</v>
      </c>
      <c r="C2292" s="1542">
        <v>183.41</v>
      </c>
      <c r="D2292" s="1542">
        <v>6056.01</v>
      </c>
      <c r="E2292" s="1542">
        <v>1910.79</v>
      </c>
    </row>
    <row r="2293" spans="1:5">
      <c r="A2293" s="1541">
        <v>41724</v>
      </c>
      <c r="B2293" s="1542">
        <v>12909.05</v>
      </c>
      <c r="C2293" s="1542">
        <v>183.16</v>
      </c>
      <c r="D2293" s="1542">
        <v>6054.94</v>
      </c>
      <c r="E2293" s="1542">
        <v>1896.82</v>
      </c>
    </row>
    <row r="2294" spans="1:5">
      <c r="A2294" s="1541">
        <v>41723</v>
      </c>
      <c r="B2294" s="1542">
        <v>12838.18</v>
      </c>
      <c r="C2294" s="1542">
        <v>182.45</v>
      </c>
      <c r="D2294" s="1542">
        <v>6059.19</v>
      </c>
      <c r="E2294" s="1542">
        <v>1877.66</v>
      </c>
    </row>
    <row r="2295" spans="1:5">
      <c r="A2295" s="1541">
        <v>41722</v>
      </c>
      <c r="B2295" s="1542">
        <v>12714.19</v>
      </c>
      <c r="C2295" s="1542">
        <v>178.59</v>
      </c>
      <c r="D2295" s="1542">
        <v>6023.25</v>
      </c>
      <c r="E2295" s="1542">
        <v>1868.66</v>
      </c>
    </row>
    <row r="2296" spans="1:5">
      <c r="A2296" s="1541">
        <v>41721</v>
      </c>
      <c r="B2296" s="1542"/>
      <c r="C2296" s="1542"/>
      <c r="D2296" s="1542"/>
      <c r="E2296" s="1542"/>
    </row>
    <row r="2297" spans="1:5">
      <c r="A2297" s="1541">
        <v>41720</v>
      </c>
      <c r="B2297" s="1542"/>
      <c r="C2297" s="1542"/>
      <c r="D2297" s="1542"/>
      <c r="E2297" s="1542"/>
    </row>
    <row r="2298" spans="1:5">
      <c r="A2298" s="1541">
        <v>41719</v>
      </c>
      <c r="B2298" s="1542">
        <v>12672.52</v>
      </c>
      <c r="C2298" s="1542">
        <v>180.43</v>
      </c>
      <c r="D2298" s="1542">
        <v>6049.92</v>
      </c>
      <c r="E2298" s="1542">
        <v>1850.14</v>
      </c>
    </row>
    <row r="2299" spans="1:5">
      <c r="A2299" s="1541">
        <v>41718</v>
      </c>
      <c r="B2299" s="1542">
        <v>12702.29</v>
      </c>
      <c r="C2299" s="1542">
        <v>181.78</v>
      </c>
      <c r="D2299" s="1542">
        <v>6052.58</v>
      </c>
      <c r="E2299" s="1542">
        <v>1841.78</v>
      </c>
    </row>
    <row r="2300" spans="1:5">
      <c r="A2300" s="1541">
        <v>41717</v>
      </c>
      <c r="B2300" s="1542">
        <v>12838.42</v>
      </c>
      <c r="C2300" s="1542">
        <v>184.19</v>
      </c>
      <c r="D2300" s="1542">
        <v>6065.88</v>
      </c>
      <c r="E2300" s="1542">
        <v>1860.99</v>
      </c>
    </row>
    <row r="2301" spans="1:5">
      <c r="A2301" s="1541">
        <v>41716</v>
      </c>
      <c r="B2301" s="1542">
        <v>12901.18</v>
      </c>
      <c r="C2301" s="1542">
        <v>186.9</v>
      </c>
      <c r="D2301" s="1542">
        <v>6092.77</v>
      </c>
      <c r="E2301" s="1542">
        <v>1864.65</v>
      </c>
    </row>
    <row r="2302" spans="1:5">
      <c r="A2302" s="1541">
        <v>41715</v>
      </c>
      <c r="B2302" s="1542">
        <v>12854.13</v>
      </c>
      <c r="C2302" s="1542">
        <v>186.01</v>
      </c>
      <c r="D2302" s="1542">
        <v>6050.38</v>
      </c>
      <c r="E2302" s="1542">
        <v>1846.47</v>
      </c>
    </row>
    <row r="2303" spans="1:5">
      <c r="A2303" s="1541">
        <v>41714</v>
      </c>
      <c r="B2303" s="1542"/>
      <c r="C2303" s="1542"/>
      <c r="D2303" s="1542"/>
      <c r="E2303" s="1542"/>
    </row>
    <row r="2304" spans="1:5">
      <c r="A2304" s="1541">
        <v>41713</v>
      </c>
      <c r="B2304" s="1542"/>
      <c r="C2304" s="1542"/>
      <c r="D2304" s="1542"/>
      <c r="E2304" s="1542"/>
    </row>
    <row r="2305" spans="1:5">
      <c r="A2305" s="1541">
        <v>41712</v>
      </c>
      <c r="B2305" s="1542">
        <v>12835.7</v>
      </c>
      <c r="C2305" s="1542">
        <v>185.09</v>
      </c>
      <c r="D2305" s="1542">
        <v>6003.23</v>
      </c>
      <c r="E2305" s="1542">
        <v>1835.54</v>
      </c>
    </row>
    <row r="2306" spans="1:5">
      <c r="A2306" s="1541">
        <v>41711</v>
      </c>
      <c r="B2306" s="1542">
        <v>12924.6</v>
      </c>
      <c r="C2306" s="1542">
        <v>185.28</v>
      </c>
      <c r="D2306" s="1542">
        <v>6041.7</v>
      </c>
      <c r="E2306" s="1542">
        <v>1846.23</v>
      </c>
    </row>
    <row r="2307" spans="1:5">
      <c r="A2307" s="1541">
        <v>41710</v>
      </c>
      <c r="B2307" s="1542">
        <v>12831.42</v>
      </c>
      <c r="C2307" s="1542">
        <v>183.39</v>
      </c>
      <c r="D2307" s="1542">
        <v>6091.95</v>
      </c>
      <c r="E2307" s="1542">
        <v>1848.99</v>
      </c>
    </row>
    <row r="2308" spans="1:5">
      <c r="A2308" s="1541">
        <v>41709</v>
      </c>
      <c r="B2308" s="1542">
        <v>12857.42</v>
      </c>
      <c r="C2308" s="1542">
        <v>183.09</v>
      </c>
      <c r="D2308" s="1542">
        <v>6113.45</v>
      </c>
      <c r="E2308" s="1542">
        <v>1870.95</v>
      </c>
    </row>
    <row r="2309" spans="1:5">
      <c r="A2309" s="1541">
        <v>41708</v>
      </c>
      <c r="B2309" s="1542">
        <v>12802.63</v>
      </c>
      <c r="C2309" s="1542">
        <v>181.28</v>
      </c>
      <c r="D2309" s="1542">
        <v>6129.11</v>
      </c>
      <c r="E2309" s="1542">
        <v>1869.17</v>
      </c>
    </row>
    <row r="2310" spans="1:5">
      <c r="A2310" s="1541">
        <v>41707</v>
      </c>
      <c r="B2310" s="1542"/>
      <c r="C2310" s="1542"/>
      <c r="D2310" s="1542"/>
      <c r="E2310" s="1542"/>
    </row>
    <row r="2311" spans="1:5">
      <c r="A2311" s="1541">
        <v>41706</v>
      </c>
      <c r="B2311" s="1542"/>
      <c r="C2311" s="1542"/>
      <c r="D2311" s="1542"/>
      <c r="E2311" s="1542"/>
    </row>
    <row r="2312" spans="1:5">
      <c r="A2312" s="1541">
        <v>41705</v>
      </c>
      <c r="B2312" s="1542">
        <v>12874.61</v>
      </c>
      <c r="C2312" s="1542">
        <v>181.14</v>
      </c>
      <c r="D2312" s="1542">
        <v>6145.86</v>
      </c>
      <c r="E2312" s="1542">
        <v>1891.75</v>
      </c>
    </row>
    <row r="2313" spans="1:5">
      <c r="A2313" s="1541">
        <v>41704</v>
      </c>
      <c r="B2313" s="1542">
        <v>12874.36</v>
      </c>
      <c r="C2313" s="1542">
        <v>184.11</v>
      </c>
      <c r="D2313" s="1542">
        <v>6163.46</v>
      </c>
      <c r="E2313" s="1542">
        <v>1898.61</v>
      </c>
    </row>
    <row r="2314" spans="1:5">
      <c r="A2314" s="1541">
        <v>41703</v>
      </c>
      <c r="B2314" s="1542">
        <v>12754.9</v>
      </c>
      <c r="C2314" s="1542">
        <v>181.8</v>
      </c>
      <c r="D2314" s="1542">
        <v>6135.86</v>
      </c>
      <c r="E2314" s="1542">
        <v>1876.73</v>
      </c>
    </row>
    <row r="2315" spans="1:5">
      <c r="A2315" s="1541">
        <v>41702</v>
      </c>
      <c r="B2315" s="1542">
        <v>12639.07</v>
      </c>
      <c r="C2315" s="1542">
        <v>179.42</v>
      </c>
      <c r="D2315" s="1542">
        <v>6129.98</v>
      </c>
      <c r="E2315" s="1542">
        <v>1870.79</v>
      </c>
    </row>
    <row r="2316" spans="1:5">
      <c r="A2316" s="1541">
        <v>41701</v>
      </c>
      <c r="B2316" s="1542">
        <v>12709.17</v>
      </c>
      <c r="C2316" s="1542">
        <v>179.55</v>
      </c>
      <c r="D2316" s="1542">
        <v>6047.95</v>
      </c>
      <c r="E2316" s="1542">
        <v>1859.96</v>
      </c>
    </row>
    <row r="2317" spans="1:5">
      <c r="A2317" s="1541">
        <v>41700</v>
      </c>
      <c r="B2317" s="1542"/>
      <c r="C2317" s="1542"/>
      <c r="D2317" s="1542"/>
      <c r="E2317" s="1542"/>
    </row>
    <row r="2318" spans="1:5">
      <c r="A2318" s="1541">
        <v>41699</v>
      </c>
      <c r="B2318" s="1542"/>
      <c r="C2318" s="1542"/>
      <c r="D2318" s="1542"/>
      <c r="E2318" s="1542"/>
    </row>
    <row r="2319" spans="1:5">
      <c r="A2319" s="1541">
        <v>41698</v>
      </c>
      <c r="B2319" s="1542"/>
      <c r="C2319" s="1542"/>
      <c r="D2319" s="1542">
        <v>6120.25</v>
      </c>
      <c r="E2319" s="1542">
        <v>1890.62</v>
      </c>
    </row>
    <row r="2320" spans="1:5">
      <c r="A2320" s="1541">
        <v>41697</v>
      </c>
      <c r="B2320" s="1542">
        <v>12764.71</v>
      </c>
      <c r="C2320" s="1542">
        <v>178.82</v>
      </c>
      <c r="D2320" s="1542">
        <v>6094.49</v>
      </c>
      <c r="E2320" s="1542">
        <v>1884.34</v>
      </c>
    </row>
    <row r="2321" spans="1:5">
      <c r="A2321" s="1541">
        <v>41696</v>
      </c>
      <c r="B2321" s="1542">
        <v>12707.52</v>
      </c>
      <c r="C2321" s="1542">
        <v>178.21</v>
      </c>
      <c r="D2321" s="1542">
        <v>6079.66</v>
      </c>
      <c r="E2321" s="1542">
        <v>1870.65</v>
      </c>
    </row>
    <row r="2322" spans="1:5">
      <c r="A2322" s="1541">
        <v>41695</v>
      </c>
      <c r="B2322" s="1542">
        <v>12670.22</v>
      </c>
      <c r="C2322" s="1542">
        <v>177.27</v>
      </c>
      <c r="D2322" s="1542">
        <v>6095.25</v>
      </c>
      <c r="E2322" s="1542">
        <v>1869.19</v>
      </c>
    </row>
    <row r="2323" spans="1:5">
      <c r="A2323" s="1541">
        <v>41694</v>
      </c>
      <c r="B2323" s="1542">
        <v>12648.05</v>
      </c>
      <c r="C2323" s="1542">
        <v>176.12</v>
      </c>
      <c r="D2323" s="1542">
        <v>6091</v>
      </c>
      <c r="E2323" s="1542">
        <v>1874.75</v>
      </c>
    </row>
    <row r="2324" spans="1:5">
      <c r="A2324" s="1541">
        <v>41693</v>
      </c>
      <c r="B2324" s="1542"/>
      <c r="C2324" s="1542"/>
      <c r="D2324" s="1542"/>
      <c r="E2324" s="1542"/>
    </row>
    <row r="2325" spans="1:5">
      <c r="A2325" s="1541">
        <v>41692</v>
      </c>
      <c r="B2325" s="1542"/>
      <c r="C2325" s="1542"/>
      <c r="D2325" s="1542"/>
      <c r="E2325" s="1542"/>
    </row>
    <row r="2326" spans="1:5">
      <c r="A2326" s="1541">
        <v>41691</v>
      </c>
      <c r="B2326" s="1542">
        <v>12708.98</v>
      </c>
      <c r="C2326" s="1542">
        <v>175.27</v>
      </c>
      <c r="D2326" s="1542">
        <v>6059.55</v>
      </c>
      <c r="E2326" s="1542">
        <v>1876.36</v>
      </c>
    </row>
    <row r="2327" spans="1:5">
      <c r="A2327" s="1541">
        <v>41690</v>
      </c>
      <c r="B2327" s="1542">
        <v>12594.87</v>
      </c>
      <c r="C2327" s="1542">
        <v>172.77</v>
      </c>
      <c r="D2327" s="1542">
        <v>6045.04</v>
      </c>
      <c r="E2327" s="1542">
        <v>1859.35</v>
      </c>
    </row>
    <row r="2328" spans="1:5">
      <c r="A2328" s="1541">
        <v>41689</v>
      </c>
      <c r="B2328" s="1542">
        <v>12672.27</v>
      </c>
      <c r="C2328" s="1542">
        <v>172.96</v>
      </c>
      <c r="D2328" s="1542">
        <v>6040.9</v>
      </c>
      <c r="E2328" s="1542">
        <v>1875.82</v>
      </c>
    </row>
    <row r="2329" spans="1:5">
      <c r="A2329" s="1541">
        <v>41688</v>
      </c>
      <c r="B2329" s="1542">
        <v>12641.57</v>
      </c>
      <c r="C2329" s="1542">
        <v>171.83</v>
      </c>
      <c r="D2329" s="1542">
        <v>6059.61</v>
      </c>
      <c r="E2329" s="1542">
        <v>1874.96</v>
      </c>
    </row>
    <row r="2330" spans="1:5">
      <c r="A2330" s="1541">
        <v>41687</v>
      </c>
      <c r="B2330" s="1542">
        <v>12587.38</v>
      </c>
      <c r="C2330" s="1542">
        <v>170.64</v>
      </c>
      <c r="D2330" s="1542">
        <v>6033.53</v>
      </c>
      <c r="E2330" s="1542">
        <v>1885.46</v>
      </c>
    </row>
    <row r="2331" spans="1:5">
      <c r="A2331" s="1541">
        <v>41686</v>
      </c>
      <c r="B2331" s="1542"/>
      <c r="C2331" s="1542"/>
      <c r="D2331" s="1542"/>
      <c r="E2331" s="1542"/>
    </row>
    <row r="2332" spans="1:5">
      <c r="A2332" s="1541">
        <v>41685</v>
      </c>
      <c r="B2332" s="1542"/>
      <c r="C2332" s="1542"/>
      <c r="D2332" s="1542"/>
      <c r="E2332" s="1542"/>
    </row>
    <row r="2333" spans="1:5">
      <c r="A2333" s="1541">
        <v>41684</v>
      </c>
      <c r="B2333" s="1542">
        <v>12578.7</v>
      </c>
      <c r="C2333" s="1542">
        <v>169.86</v>
      </c>
      <c r="D2333" s="1542">
        <v>6020.45</v>
      </c>
      <c r="E2333" s="1542">
        <v>1871.7</v>
      </c>
    </row>
    <row r="2334" spans="1:5">
      <c r="A2334" s="1541">
        <v>41683</v>
      </c>
      <c r="B2334" s="1542">
        <v>12510.77</v>
      </c>
      <c r="C2334" s="1542">
        <v>170.54</v>
      </c>
      <c r="D2334" s="1542">
        <v>5994.9</v>
      </c>
      <c r="E2334" s="1542">
        <v>1849.25</v>
      </c>
    </row>
    <row r="2335" spans="1:5">
      <c r="A2335" s="1541">
        <v>41682</v>
      </c>
      <c r="B2335" s="1542">
        <v>12574.55</v>
      </c>
      <c r="C2335" s="1542">
        <v>170.25</v>
      </c>
      <c r="D2335" s="1542">
        <v>5974.52</v>
      </c>
      <c r="E2335" s="1542">
        <v>1863.62</v>
      </c>
    </row>
    <row r="2336" spans="1:5">
      <c r="A2336" s="1541">
        <v>41681</v>
      </c>
      <c r="B2336" s="1542">
        <v>12455.9</v>
      </c>
      <c r="C2336" s="1542">
        <v>168.79</v>
      </c>
      <c r="D2336" s="1542">
        <v>5960.22</v>
      </c>
      <c r="E2336" s="1542">
        <v>1846.9</v>
      </c>
    </row>
    <row r="2337" spans="1:5">
      <c r="A2337" s="1541">
        <v>41680</v>
      </c>
      <c r="B2337" s="1542">
        <v>12398.85</v>
      </c>
      <c r="C2337" s="1542">
        <v>167.37</v>
      </c>
      <c r="D2337" s="1542">
        <v>5895.44</v>
      </c>
      <c r="E2337" s="1542">
        <v>1828.48</v>
      </c>
    </row>
    <row r="2338" spans="1:5">
      <c r="A2338" s="1541">
        <v>41679</v>
      </c>
      <c r="B2338" s="1542"/>
      <c r="C2338" s="1542"/>
      <c r="D2338" s="1542"/>
      <c r="E2338" s="1542"/>
    </row>
    <row r="2339" spans="1:5">
      <c r="A2339" s="1541">
        <v>41678</v>
      </c>
      <c r="B2339" s="1542"/>
      <c r="C2339" s="1542"/>
      <c r="D2339" s="1542"/>
      <c r="E2339" s="1542"/>
    </row>
    <row r="2340" spans="1:5">
      <c r="A2340" s="1541">
        <v>41677</v>
      </c>
      <c r="B2340" s="1542">
        <v>12392.05</v>
      </c>
      <c r="C2340" s="1542">
        <v>167.1</v>
      </c>
      <c r="D2340" s="1542">
        <v>5877.14</v>
      </c>
      <c r="E2340" s="1542">
        <v>1831.73</v>
      </c>
    </row>
    <row r="2341" spans="1:5">
      <c r="A2341" s="1541">
        <v>41676</v>
      </c>
      <c r="B2341" s="1542">
        <v>12279.27</v>
      </c>
      <c r="C2341" s="1542">
        <v>165.77</v>
      </c>
      <c r="D2341" s="1542">
        <v>5807.38</v>
      </c>
      <c r="E2341" s="1542">
        <v>1817.02</v>
      </c>
    </row>
    <row r="2342" spans="1:5">
      <c r="A2342" s="1541">
        <v>41675</v>
      </c>
      <c r="B2342" s="1542">
        <v>12210.52</v>
      </c>
      <c r="C2342" s="1542">
        <v>163.02000000000001</v>
      </c>
      <c r="D2342" s="1542">
        <v>5731.75</v>
      </c>
      <c r="E2342" s="1542">
        <v>1791.05</v>
      </c>
    </row>
    <row r="2343" spans="1:5">
      <c r="A2343" s="1541">
        <v>41674</v>
      </c>
      <c r="B2343" s="1542"/>
      <c r="C2343" s="1542"/>
      <c r="D2343" s="1542">
        <v>5721.74</v>
      </c>
      <c r="E2343" s="1542">
        <v>1793.34</v>
      </c>
    </row>
    <row r="2344" spans="1:5">
      <c r="A2344" s="1541">
        <v>41673</v>
      </c>
      <c r="B2344" s="1542"/>
      <c r="C2344" s="1542"/>
      <c r="D2344" s="1542">
        <v>5728.82</v>
      </c>
      <c r="E2344" s="1542">
        <v>1810.92</v>
      </c>
    </row>
    <row r="2345" spans="1:5">
      <c r="A2345" s="1541">
        <v>41672</v>
      </c>
      <c r="B2345" s="1542"/>
      <c r="C2345" s="1542"/>
      <c r="D2345" s="1542"/>
      <c r="E2345" s="1542"/>
    </row>
    <row r="2346" spans="1:5">
      <c r="A2346" s="1541">
        <v>41671</v>
      </c>
      <c r="B2346" s="1542"/>
      <c r="C2346" s="1542"/>
      <c r="D2346" s="1542"/>
      <c r="E2346" s="1542"/>
    </row>
    <row r="2347" spans="1:5">
      <c r="A2347" s="1541">
        <v>41670</v>
      </c>
      <c r="B2347" s="1542"/>
      <c r="C2347" s="1542"/>
      <c r="D2347" s="1542">
        <v>5825.53</v>
      </c>
      <c r="E2347" s="1542">
        <v>1829.63</v>
      </c>
    </row>
    <row r="2348" spans="1:5">
      <c r="A2348" s="1541">
        <v>41669</v>
      </c>
      <c r="B2348" s="1542"/>
      <c r="C2348" s="1542"/>
      <c r="D2348" s="1542">
        <v>5858.3</v>
      </c>
      <c r="E2348" s="1542">
        <v>1829.3</v>
      </c>
    </row>
    <row r="2349" spans="1:5">
      <c r="A2349" s="1541">
        <v>41668</v>
      </c>
      <c r="B2349" s="1542"/>
      <c r="C2349" s="1542"/>
      <c r="D2349" s="1542">
        <v>5844.18</v>
      </c>
      <c r="E2349" s="1542">
        <v>1829.87</v>
      </c>
    </row>
    <row r="2350" spans="1:5">
      <c r="A2350" s="1541">
        <v>41667</v>
      </c>
      <c r="B2350" s="1542"/>
      <c r="C2350" s="1542"/>
      <c r="D2350" s="1542">
        <v>5871.11</v>
      </c>
      <c r="E2350" s="1542">
        <v>1824.67</v>
      </c>
    </row>
    <row r="2351" spans="1:5">
      <c r="A2351" s="1541">
        <v>41666</v>
      </c>
      <c r="B2351" s="1542">
        <v>12503.19</v>
      </c>
      <c r="C2351" s="1542">
        <v>163.02000000000001</v>
      </c>
      <c r="D2351" s="1542">
        <v>5847.66</v>
      </c>
      <c r="E2351" s="1542">
        <v>1818.88</v>
      </c>
    </row>
    <row r="2352" spans="1:5">
      <c r="A2352" s="1541">
        <v>41665</v>
      </c>
      <c r="B2352" s="1542"/>
      <c r="C2352" s="1542"/>
      <c r="D2352" s="1542"/>
      <c r="E2352" s="1542"/>
    </row>
    <row r="2353" spans="1:5">
      <c r="A2353" s="1541">
        <v>41664</v>
      </c>
      <c r="B2353" s="1542"/>
      <c r="C2353" s="1542"/>
      <c r="D2353" s="1542"/>
      <c r="E2353" s="1542"/>
    </row>
    <row r="2354" spans="1:5">
      <c r="A2354" s="1541">
        <v>41663</v>
      </c>
      <c r="B2354" s="1542">
        <v>12703.74</v>
      </c>
      <c r="C2354" s="1542">
        <v>165.38</v>
      </c>
      <c r="D2354" s="1542">
        <v>5896.41</v>
      </c>
      <c r="E2354" s="1542">
        <v>1854.22</v>
      </c>
    </row>
    <row r="2355" spans="1:5">
      <c r="A2355" s="1541">
        <v>41662</v>
      </c>
      <c r="B2355" s="1542">
        <v>12698.99</v>
      </c>
      <c r="C2355" s="1542">
        <v>166.22</v>
      </c>
      <c r="D2355" s="1542">
        <v>6013.31</v>
      </c>
      <c r="E2355" s="1542">
        <v>1881.71</v>
      </c>
    </row>
    <row r="2356" spans="1:5">
      <c r="A2356" s="1541">
        <v>41661</v>
      </c>
      <c r="B2356" s="1542">
        <v>12743.62</v>
      </c>
      <c r="C2356" s="1542">
        <v>166.08</v>
      </c>
      <c r="D2356" s="1542">
        <v>6054.23</v>
      </c>
      <c r="E2356" s="1542">
        <v>1906.07</v>
      </c>
    </row>
    <row r="2357" spans="1:5">
      <c r="A2357" s="1541">
        <v>41660</v>
      </c>
      <c r="B2357" s="1542">
        <v>12706.1</v>
      </c>
      <c r="C2357" s="1542">
        <v>165.49</v>
      </c>
      <c r="D2357" s="1542">
        <v>6045.46</v>
      </c>
      <c r="E2357" s="1542">
        <v>1894.88</v>
      </c>
    </row>
    <row r="2358" spans="1:5">
      <c r="A2358" s="1541">
        <v>41659</v>
      </c>
      <c r="B2358" s="1542">
        <v>12738.09</v>
      </c>
      <c r="C2358" s="1542">
        <v>166</v>
      </c>
      <c r="D2358" s="1542">
        <v>6036.69</v>
      </c>
      <c r="E2358" s="1542">
        <v>1895.02</v>
      </c>
    </row>
    <row r="2359" spans="1:5">
      <c r="A2359" s="1541">
        <v>41658</v>
      </c>
      <c r="B2359" s="1542"/>
      <c r="C2359" s="1542"/>
      <c r="D2359" s="1542"/>
      <c r="E2359" s="1542"/>
    </row>
    <row r="2360" spans="1:5">
      <c r="A2360" s="1541">
        <v>41657</v>
      </c>
      <c r="B2360" s="1542"/>
      <c r="C2360" s="1542"/>
      <c r="D2360" s="1542"/>
      <c r="E2360" s="1542"/>
    </row>
    <row r="2361" spans="1:5">
      <c r="A2361" s="1541">
        <v>41656</v>
      </c>
      <c r="B2361" s="1542">
        <v>12700.33</v>
      </c>
      <c r="C2361" s="1542">
        <v>165.46</v>
      </c>
      <c r="D2361" s="1542">
        <v>6037.42</v>
      </c>
      <c r="E2361" s="1542">
        <v>1897.66</v>
      </c>
    </row>
    <row r="2362" spans="1:5">
      <c r="A2362" s="1541">
        <v>41655</v>
      </c>
      <c r="B2362" s="1542">
        <v>12724.13</v>
      </c>
      <c r="C2362" s="1542">
        <v>165.58</v>
      </c>
      <c r="D2362" s="1542">
        <v>6044.7</v>
      </c>
      <c r="E2362" s="1542">
        <v>1902.18</v>
      </c>
    </row>
    <row r="2363" spans="1:5">
      <c r="A2363" s="1541">
        <v>41654</v>
      </c>
      <c r="B2363" s="1542">
        <v>12710.01</v>
      </c>
      <c r="C2363" s="1542">
        <v>165.32</v>
      </c>
      <c r="D2363" s="1542">
        <v>6047.05</v>
      </c>
      <c r="E2363" s="1542">
        <v>1908.48</v>
      </c>
    </row>
    <row r="2364" spans="1:5">
      <c r="A2364" s="1541">
        <v>41653</v>
      </c>
      <c r="B2364" s="1542">
        <v>12629.61</v>
      </c>
      <c r="C2364" s="1542">
        <v>164.29</v>
      </c>
      <c r="D2364" s="1542">
        <v>6016.53</v>
      </c>
      <c r="E2364" s="1542">
        <v>1903.16</v>
      </c>
    </row>
    <row r="2365" spans="1:5">
      <c r="A2365" s="1541">
        <v>41652</v>
      </c>
      <c r="B2365" s="1542">
        <v>12656.3</v>
      </c>
      <c r="C2365" s="1542">
        <v>164.78</v>
      </c>
      <c r="D2365" s="1542">
        <v>5993.43</v>
      </c>
      <c r="E2365" s="1542">
        <v>1907.34</v>
      </c>
    </row>
    <row r="2366" spans="1:5">
      <c r="A2366" s="1541">
        <v>41651</v>
      </c>
      <c r="B2366" s="1542"/>
      <c r="C2366" s="1542"/>
      <c r="D2366" s="1542"/>
      <c r="E2366" s="1542"/>
    </row>
    <row r="2367" spans="1:5">
      <c r="A2367" s="1541">
        <v>41650</v>
      </c>
      <c r="B2367" s="1542"/>
      <c r="C2367" s="1542"/>
      <c r="D2367" s="1542"/>
      <c r="E2367" s="1542"/>
    </row>
    <row r="2368" spans="1:5">
      <c r="A2368" s="1541">
        <v>41649</v>
      </c>
      <c r="B2368" s="1542">
        <v>12601.86</v>
      </c>
      <c r="C2368" s="1542">
        <v>165.66</v>
      </c>
      <c r="D2368" s="1542">
        <v>6028.42</v>
      </c>
      <c r="E2368" s="1542">
        <v>1893.07</v>
      </c>
    </row>
    <row r="2369" spans="1:5">
      <c r="A2369" s="1541">
        <v>41648</v>
      </c>
      <c r="B2369" s="1542">
        <v>12580.19</v>
      </c>
      <c r="C2369" s="1542">
        <v>165.53</v>
      </c>
      <c r="D2369" s="1542">
        <v>5996.58</v>
      </c>
      <c r="E2369" s="1542">
        <v>1879.33</v>
      </c>
    </row>
    <row r="2370" spans="1:5">
      <c r="A2370" s="1541">
        <v>41647</v>
      </c>
      <c r="B2370" s="1542">
        <v>12641.24</v>
      </c>
      <c r="C2370" s="1542">
        <v>167.07</v>
      </c>
      <c r="D2370" s="1542">
        <v>6010.41</v>
      </c>
      <c r="E2370" s="1542">
        <v>1898.93</v>
      </c>
    </row>
    <row r="2371" spans="1:5">
      <c r="A2371" s="1541">
        <v>41646</v>
      </c>
      <c r="B2371" s="1542">
        <v>12576.67</v>
      </c>
      <c r="C2371" s="1542">
        <v>166.42</v>
      </c>
      <c r="D2371" s="1542">
        <v>6000.26</v>
      </c>
      <c r="E2371" s="1542">
        <v>1895.63</v>
      </c>
    </row>
    <row r="2372" spans="1:5">
      <c r="A2372" s="1541">
        <v>41645</v>
      </c>
      <c r="B2372" s="1542">
        <v>12558.51</v>
      </c>
      <c r="C2372" s="1542">
        <v>165.08</v>
      </c>
      <c r="D2372" s="1542">
        <v>5976.59</v>
      </c>
      <c r="E2372" s="1542">
        <v>1897.46</v>
      </c>
    </row>
    <row r="2373" spans="1:5">
      <c r="A2373" s="1541">
        <v>41644</v>
      </c>
      <c r="B2373" s="1542"/>
      <c r="C2373" s="1542"/>
      <c r="D2373" s="1542"/>
      <c r="E2373" s="1542"/>
    </row>
    <row r="2374" spans="1:5">
      <c r="A2374" s="1541">
        <v>41643</v>
      </c>
      <c r="B2374" s="1542"/>
      <c r="C2374" s="1542"/>
      <c r="D2374" s="1542"/>
      <c r="E2374" s="1542"/>
    </row>
    <row r="2375" spans="1:5">
      <c r="A2375" s="1541">
        <v>41642</v>
      </c>
      <c r="B2375" s="1542">
        <v>12627.25</v>
      </c>
      <c r="C2375" s="1542">
        <v>166.05</v>
      </c>
      <c r="D2375" s="1542">
        <v>5994.35</v>
      </c>
      <c r="E2375" s="1542">
        <v>1911.17</v>
      </c>
    </row>
    <row r="2376" spans="1:5">
      <c r="A2376" s="1541">
        <v>41641</v>
      </c>
      <c r="B2376" s="1542">
        <v>12724.76</v>
      </c>
      <c r="C2376" s="1542">
        <v>165.61</v>
      </c>
      <c r="D2376" s="1542">
        <v>5991.07</v>
      </c>
      <c r="E2376" s="1542">
        <v>1933.18</v>
      </c>
    </row>
    <row r="2377" spans="1:5">
      <c r="A2377" s="1541">
        <v>41640</v>
      </c>
      <c r="B2377" s="1542"/>
      <c r="C2377" s="1542"/>
      <c r="D2377" s="1542">
        <v>6048.27</v>
      </c>
      <c r="E2377" s="1542">
        <v>1956.16</v>
      </c>
    </row>
    <row r="2378" spans="1:5">
      <c r="A2378" s="1541">
        <v>41639</v>
      </c>
      <c r="B2378" s="1542">
        <v>12723.25</v>
      </c>
      <c r="C2378" s="1542">
        <v>164.18</v>
      </c>
      <c r="D2378" s="1542">
        <v>6048.18</v>
      </c>
      <c r="E2378" s="1542">
        <v>1956.22</v>
      </c>
    </row>
    <row r="2379" spans="1:5">
      <c r="A2379" s="1541">
        <v>41638</v>
      </c>
      <c r="B2379" s="1542">
        <v>12740.86</v>
      </c>
      <c r="C2379" s="1542">
        <v>164.08</v>
      </c>
      <c r="D2379" s="1542">
        <v>6030.14</v>
      </c>
      <c r="E2379" s="1542">
        <v>1954.68</v>
      </c>
    </row>
    <row r="2380" spans="1:5">
      <c r="A2380" s="1541">
        <v>41637</v>
      </c>
      <c r="B2380" s="1542"/>
      <c r="C2380" s="1542"/>
      <c r="D2380" s="1542"/>
      <c r="E2380" s="1542"/>
    </row>
    <row r="2381" spans="1:5">
      <c r="A2381" s="1541">
        <v>41636</v>
      </c>
      <c r="B2381" s="1542"/>
      <c r="C2381" s="1542"/>
      <c r="D2381" s="1542"/>
      <c r="E2381" s="1542"/>
    </row>
    <row r="2382" spans="1:5">
      <c r="A2382" s="1541">
        <v>41635</v>
      </c>
      <c r="B2382" s="1542">
        <v>12610.27</v>
      </c>
      <c r="C2382" s="1542">
        <v>162.65</v>
      </c>
      <c r="D2382" s="1542">
        <v>6022.52</v>
      </c>
      <c r="E2382" s="1542">
        <v>1946.21</v>
      </c>
    </row>
    <row r="2383" spans="1:5">
      <c r="A2383" s="1541">
        <v>41634</v>
      </c>
      <c r="B2383" s="1542">
        <v>12537.65</v>
      </c>
      <c r="C2383" s="1542">
        <v>161.54</v>
      </c>
      <c r="D2383" s="1542">
        <v>5992.85</v>
      </c>
      <c r="E2383" s="1542">
        <v>1937.62</v>
      </c>
    </row>
    <row r="2384" spans="1:5">
      <c r="A2384" s="1541">
        <v>41633</v>
      </c>
      <c r="B2384" s="1542">
        <v>12510.85</v>
      </c>
      <c r="C2384" s="1542">
        <v>160.80000000000001</v>
      </c>
      <c r="D2384" s="1542">
        <v>5968.56</v>
      </c>
      <c r="E2384" s="1542">
        <v>1940.61</v>
      </c>
    </row>
    <row r="2385" spans="1:5">
      <c r="A2385" s="1541">
        <v>41632</v>
      </c>
      <c r="B2385" s="1542">
        <v>12485.35</v>
      </c>
      <c r="C2385" s="1542">
        <v>160.32</v>
      </c>
      <c r="D2385" s="1542">
        <v>5968.28</v>
      </c>
      <c r="E2385" s="1542">
        <v>1941.54</v>
      </c>
    </row>
    <row r="2386" spans="1:5">
      <c r="A2386" s="1541">
        <v>41631</v>
      </c>
      <c r="B2386" s="1542">
        <v>12494.16</v>
      </c>
      <c r="C2386" s="1542">
        <v>159.34</v>
      </c>
      <c r="D2386" s="1542">
        <v>5959.29</v>
      </c>
      <c r="E2386" s="1542">
        <v>1936.34</v>
      </c>
    </row>
    <row r="2387" spans="1:5">
      <c r="A2387" s="1541">
        <v>41630</v>
      </c>
      <c r="B2387" s="1542"/>
      <c r="C2387" s="1542"/>
      <c r="D2387" s="1542"/>
      <c r="E2387" s="1542"/>
    </row>
    <row r="2388" spans="1:5">
      <c r="A2388" s="1541">
        <v>41629</v>
      </c>
      <c r="B2388" s="1542"/>
      <c r="C2388" s="1542"/>
      <c r="D2388" s="1542"/>
      <c r="E2388" s="1542"/>
    </row>
    <row r="2389" spans="1:5">
      <c r="A2389" s="1541">
        <v>41628</v>
      </c>
      <c r="B2389" s="1542">
        <v>12423.35</v>
      </c>
      <c r="C2389" s="1542">
        <v>159.02000000000001</v>
      </c>
      <c r="D2389" s="1542">
        <v>5919.65</v>
      </c>
      <c r="E2389" s="1542">
        <v>1927.19</v>
      </c>
    </row>
    <row r="2390" spans="1:5">
      <c r="A2390" s="1541">
        <v>41627</v>
      </c>
      <c r="B2390" s="1542">
        <v>12421.68</v>
      </c>
      <c r="C2390" s="1542">
        <v>158.56</v>
      </c>
      <c r="D2390" s="1542">
        <v>5889.52</v>
      </c>
      <c r="E2390" s="1542">
        <v>1931.83</v>
      </c>
    </row>
    <row r="2391" spans="1:5">
      <c r="A2391" s="1541">
        <v>41626</v>
      </c>
      <c r="B2391" s="1542">
        <v>12335.45</v>
      </c>
      <c r="C2391" s="1542">
        <v>158.13</v>
      </c>
      <c r="D2391" s="1542">
        <v>5872.13</v>
      </c>
      <c r="E2391" s="1542">
        <v>1935.8</v>
      </c>
    </row>
    <row r="2392" spans="1:5">
      <c r="A2392" s="1541">
        <v>41625</v>
      </c>
      <c r="B2392" s="1542">
        <v>12341.2</v>
      </c>
      <c r="C2392" s="1542">
        <v>156.94</v>
      </c>
      <c r="D2392" s="1542">
        <v>5795.67</v>
      </c>
      <c r="E2392" s="1542">
        <v>1931.34</v>
      </c>
    </row>
    <row r="2393" spans="1:5">
      <c r="A2393" s="1541">
        <v>41624</v>
      </c>
      <c r="B2393" s="1542">
        <v>12283.49</v>
      </c>
      <c r="C2393" s="1542">
        <v>156.5</v>
      </c>
      <c r="D2393" s="1542">
        <v>5815.4</v>
      </c>
      <c r="E2393" s="1542">
        <v>1931.13</v>
      </c>
    </row>
    <row r="2394" spans="1:5">
      <c r="A2394" s="1541">
        <v>41623</v>
      </c>
      <c r="B2394" s="1542"/>
      <c r="C2394" s="1542"/>
      <c r="D2394" s="1542"/>
      <c r="E2394" s="1542"/>
    </row>
    <row r="2395" spans="1:5">
      <c r="A2395" s="1541">
        <v>41622</v>
      </c>
      <c r="B2395" s="1542"/>
      <c r="C2395" s="1542"/>
      <c r="D2395" s="1542"/>
      <c r="E2395" s="1542"/>
    </row>
    <row r="2396" spans="1:5">
      <c r="A2396" s="1541">
        <v>41621</v>
      </c>
      <c r="B2396" s="1542">
        <v>12376.47</v>
      </c>
      <c r="C2396" s="1542">
        <v>157.35</v>
      </c>
      <c r="D2396" s="1542">
        <v>5776.72</v>
      </c>
      <c r="E2396" s="1542">
        <v>1931.27</v>
      </c>
    </row>
    <row r="2397" spans="1:5">
      <c r="A2397" s="1541">
        <v>41620</v>
      </c>
      <c r="B2397" s="1542">
        <v>12353.41</v>
      </c>
      <c r="C2397" s="1542">
        <v>157.36000000000001</v>
      </c>
      <c r="D2397" s="1542">
        <v>5780.32</v>
      </c>
      <c r="E2397" s="1542">
        <v>1933.12</v>
      </c>
    </row>
    <row r="2398" spans="1:5">
      <c r="A2398" s="1541">
        <v>41619</v>
      </c>
      <c r="B2398" s="1542">
        <v>12460.42</v>
      </c>
      <c r="C2398" s="1542">
        <v>157.46</v>
      </c>
      <c r="D2398" s="1542">
        <v>5820.86</v>
      </c>
      <c r="E2398" s="1542">
        <v>1954.55</v>
      </c>
    </row>
    <row r="2399" spans="1:5">
      <c r="A2399" s="1541">
        <v>41618</v>
      </c>
      <c r="B2399" s="1542">
        <v>12474.64</v>
      </c>
      <c r="C2399" s="1542">
        <v>158.61000000000001</v>
      </c>
      <c r="D2399" s="1542">
        <v>5871.66</v>
      </c>
      <c r="E2399" s="1542">
        <v>1973.59</v>
      </c>
    </row>
    <row r="2400" spans="1:5">
      <c r="A2400" s="1541">
        <v>41617</v>
      </c>
      <c r="B2400" s="1542">
        <v>12476.46</v>
      </c>
      <c r="C2400" s="1542">
        <v>159.32</v>
      </c>
      <c r="D2400" s="1542">
        <v>5883.87</v>
      </c>
      <c r="E2400" s="1542">
        <v>1974.4</v>
      </c>
    </row>
    <row r="2401" spans="1:5">
      <c r="A2401" s="1541">
        <v>41616</v>
      </c>
      <c r="B2401" s="1542"/>
      <c r="C2401" s="1542"/>
      <c r="D2401" s="1542"/>
      <c r="E2401" s="1542"/>
    </row>
    <row r="2402" spans="1:5">
      <c r="A2402" s="1541">
        <v>41615</v>
      </c>
      <c r="B2402" s="1542"/>
      <c r="C2402" s="1542"/>
      <c r="D2402" s="1542"/>
      <c r="E2402" s="1542"/>
    </row>
    <row r="2403" spans="1:5">
      <c r="A2403" s="1541">
        <v>41614</v>
      </c>
      <c r="B2403" s="1542">
        <v>12362.84</v>
      </c>
      <c r="C2403" s="1542">
        <v>160.41</v>
      </c>
      <c r="D2403" s="1542">
        <v>5865.54</v>
      </c>
      <c r="E2403" s="1542">
        <v>1953.68</v>
      </c>
    </row>
    <row r="2404" spans="1:5">
      <c r="A2404" s="1541">
        <v>41613</v>
      </c>
      <c r="B2404" s="1542">
        <v>12374.39</v>
      </c>
      <c r="C2404" s="1542">
        <v>159.16</v>
      </c>
      <c r="D2404" s="1542">
        <v>5815.06</v>
      </c>
      <c r="E2404" s="1542">
        <v>1946.32</v>
      </c>
    </row>
    <row r="2405" spans="1:5">
      <c r="A2405" s="1541">
        <v>41612</v>
      </c>
      <c r="B2405" s="1542">
        <v>12437.12</v>
      </c>
      <c r="C2405" s="1542">
        <v>159.09</v>
      </c>
      <c r="D2405" s="1542">
        <v>5836.25</v>
      </c>
      <c r="E2405" s="1542">
        <v>1941.03</v>
      </c>
    </row>
    <row r="2406" spans="1:5">
      <c r="A2406" s="1541">
        <v>41611</v>
      </c>
      <c r="B2406" s="1542">
        <v>12399.53</v>
      </c>
      <c r="C2406" s="1542">
        <v>158.96</v>
      </c>
      <c r="D2406" s="1542">
        <v>5866.31</v>
      </c>
      <c r="E2406" s="1542">
        <v>1954.57</v>
      </c>
    </row>
    <row r="2407" spans="1:5">
      <c r="A2407" s="1541">
        <v>41610</v>
      </c>
      <c r="B2407" s="1542">
        <v>12432.12</v>
      </c>
      <c r="C2407" s="1542">
        <v>158.99</v>
      </c>
      <c r="D2407" s="1542">
        <v>5895.17</v>
      </c>
      <c r="E2407" s="1542">
        <v>1975.44</v>
      </c>
    </row>
    <row r="2408" spans="1:5">
      <c r="A2408" s="1541">
        <v>41609</v>
      </c>
      <c r="B2408" s="1542"/>
      <c r="C2408" s="1542"/>
      <c r="D2408" s="1542"/>
      <c r="E2408" s="1542"/>
    </row>
    <row r="2409" spans="1:5">
      <c r="A2409" s="1541">
        <v>41608</v>
      </c>
      <c r="B2409" s="1542"/>
      <c r="C2409" s="1542"/>
      <c r="D2409" s="1542"/>
      <c r="E2409" s="1542"/>
    </row>
    <row r="2410" spans="1:5">
      <c r="A2410" s="1541">
        <v>41607</v>
      </c>
      <c r="B2410" s="1542">
        <v>12420.62</v>
      </c>
      <c r="C2410" s="1542">
        <v>158.07</v>
      </c>
      <c r="D2410" s="1542">
        <v>5920.68</v>
      </c>
      <c r="E2410" s="1542">
        <v>1984.76</v>
      </c>
    </row>
    <row r="2411" spans="1:5">
      <c r="A2411" s="1541">
        <v>41606</v>
      </c>
      <c r="B2411" s="1542">
        <v>12355.03</v>
      </c>
      <c r="C2411" s="1542">
        <v>157.38999999999999</v>
      </c>
      <c r="D2411" s="1542">
        <v>5922.1</v>
      </c>
      <c r="E2411" s="1542">
        <v>1972.53</v>
      </c>
    </row>
    <row r="2412" spans="1:5">
      <c r="A2412" s="1541">
        <v>41605</v>
      </c>
      <c r="B2412" s="1542">
        <v>12256.71</v>
      </c>
      <c r="C2412" s="1542">
        <v>156.03</v>
      </c>
      <c r="D2412" s="1542">
        <v>5907.21</v>
      </c>
      <c r="E2412" s="1542">
        <v>1966.24</v>
      </c>
    </row>
    <row r="2413" spans="1:5">
      <c r="A2413" s="1541">
        <v>41604</v>
      </c>
      <c r="B2413" s="1542">
        <v>12185.99</v>
      </c>
      <c r="C2413" s="1542">
        <v>154.91999999999999</v>
      </c>
      <c r="D2413" s="1542">
        <v>5895.77</v>
      </c>
      <c r="E2413" s="1542">
        <v>1959.51</v>
      </c>
    </row>
    <row r="2414" spans="1:5">
      <c r="A2414" s="1541">
        <v>41603</v>
      </c>
      <c r="B2414" s="1542">
        <v>12096.6</v>
      </c>
      <c r="C2414" s="1542">
        <v>153.27000000000001</v>
      </c>
      <c r="D2414" s="1542">
        <v>5901.86</v>
      </c>
      <c r="E2414" s="1542">
        <v>1969.66</v>
      </c>
    </row>
    <row r="2415" spans="1:5">
      <c r="A2415" s="1541">
        <v>41602</v>
      </c>
      <c r="B2415" s="1542"/>
      <c r="C2415" s="1542"/>
      <c r="D2415" s="1542"/>
      <c r="E2415" s="1542"/>
    </row>
    <row r="2416" spans="1:5">
      <c r="A2416" s="1541">
        <v>41601</v>
      </c>
      <c r="B2416" s="1542"/>
      <c r="C2416" s="1542"/>
      <c r="D2416" s="1542"/>
      <c r="E2416" s="1542"/>
    </row>
    <row r="2417" spans="1:5">
      <c r="A2417" s="1541">
        <v>41600</v>
      </c>
      <c r="B2417" s="1542">
        <v>11992.09</v>
      </c>
      <c r="C2417" s="1542">
        <v>152.13</v>
      </c>
      <c r="D2417" s="1542">
        <v>5899.77</v>
      </c>
      <c r="E2417" s="1542">
        <v>1966.68</v>
      </c>
    </row>
    <row r="2418" spans="1:5">
      <c r="A2418" s="1541">
        <v>41599</v>
      </c>
      <c r="B2418" s="1542">
        <v>11966.49</v>
      </c>
      <c r="C2418" s="1542">
        <v>152.31</v>
      </c>
      <c r="D2418" s="1542">
        <v>5874.6</v>
      </c>
      <c r="E2418" s="1542">
        <v>1957.05</v>
      </c>
    </row>
    <row r="2419" spans="1:5">
      <c r="A2419" s="1541">
        <v>41598</v>
      </c>
      <c r="B2419" s="1542">
        <v>12121.64</v>
      </c>
      <c r="C2419" s="1542">
        <v>153.5</v>
      </c>
      <c r="D2419" s="1542">
        <v>5856.15</v>
      </c>
      <c r="E2419" s="1542">
        <v>1986.88</v>
      </c>
    </row>
    <row r="2420" spans="1:5">
      <c r="A2420" s="1541">
        <v>41597</v>
      </c>
      <c r="B2420" s="1542">
        <v>12204</v>
      </c>
      <c r="C2420" s="1542">
        <v>153.79</v>
      </c>
      <c r="D2420" s="1542">
        <v>5873.86</v>
      </c>
      <c r="E2420" s="1542">
        <v>1996.37</v>
      </c>
    </row>
    <row r="2421" spans="1:5">
      <c r="A2421" s="1541">
        <v>41596</v>
      </c>
      <c r="B2421" s="1542">
        <v>12102.42</v>
      </c>
      <c r="C2421" s="1542">
        <v>152.55000000000001</v>
      </c>
      <c r="D2421" s="1542">
        <v>5896.41</v>
      </c>
      <c r="E2421" s="1542">
        <v>1997.84</v>
      </c>
    </row>
    <row r="2422" spans="1:5">
      <c r="A2422" s="1541">
        <v>41595</v>
      </c>
      <c r="B2422" s="1542"/>
      <c r="C2422" s="1542"/>
      <c r="D2422" s="1542"/>
      <c r="E2422" s="1542"/>
    </row>
    <row r="2423" spans="1:5">
      <c r="A2423" s="1541">
        <v>41594</v>
      </c>
      <c r="B2423" s="1542"/>
      <c r="C2423" s="1542"/>
      <c r="D2423" s="1542"/>
      <c r="E2423" s="1542"/>
    </row>
    <row r="2424" spans="1:5">
      <c r="A2424" s="1541">
        <v>41593</v>
      </c>
      <c r="B2424" s="1542">
        <v>12081.23</v>
      </c>
      <c r="C2424" s="1542">
        <v>152.79</v>
      </c>
      <c r="D2424" s="1542">
        <v>5891.19</v>
      </c>
      <c r="E2424" s="1542">
        <v>1958.45</v>
      </c>
    </row>
    <row r="2425" spans="1:5">
      <c r="A2425" s="1541">
        <v>41592</v>
      </c>
      <c r="B2425" s="1542">
        <v>12018.87</v>
      </c>
      <c r="C2425" s="1542">
        <v>152.44</v>
      </c>
      <c r="D2425" s="1542">
        <v>5859.46</v>
      </c>
      <c r="E2425" s="1542">
        <v>1932.34</v>
      </c>
    </row>
    <row r="2426" spans="1:5">
      <c r="A2426" s="1541">
        <v>41591</v>
      </c>
      <c r="B2426" s="1542">
        <v>11973.58</v>
      </c>
      <c r="C2426" s="1542">
        <v>150.78</v>
      </c>
      <c r="D2426" s="1542">
        <v>5817.83</v>
      </c>
      <c r="E2426" s="1542">
        <v>1909.1</v>
      </c>
    </row>
    <row r="2427" spans="1:5">
      <c r="A2427" s="1541">
        <v>41590</v>
      </c>
      <c r="B2427" s="1542">
        <v>12108.03</v>
      </c>
      <c r="C2427" s="1542">
        <v>151.66</v>
      </c>
      <c r="D2427" s="1542">
        <v>5804.9</v>
      </c>
      <c r="E2427" s="1542">
        <v>1931.64</v>
      </c>
    </row>
    <row r="2428" spans="1:5">
      <c r="A2428" s="1541">
        <v>41589</v>
      </c>
      <c r="B2428" s="1542">
        <v>12089.19</v>
      </c>
      <c r="C2428" s="1542">
        <v>153.22999999999999</v>
      </c>
      <c r="D2428" s="1542">
        <v>5812.94</v>
      </c>
      <c r="E2428" s="1542">
        <v>1934.29</v>
      </c>
    </row>
    <row r="2429" spans="1:5">
      <c r="A2429" s="1541">
        <v>41588</v>
      </c>
      <c r="B2429" s="1542"/>
      <c r="C2429" s="1542"/>
      <c r="D2429" s="1542"/>
      <c r="E2429" s="1542"/>
    </row>
    <row r="2430" spans="1:5">
      <c r="A2430" s="1541">
        <v>41587</v>
      </c>
      <c r="B2430" s="1542"/>
      <c r="C2430" s="1542"/>
      <c r="D2430" s="1542"/>
      <c r="E2430" s="1542"/>
    </row>
    <row r="2431" spans="1:5">
      <c r="A2431" s="1541">
        <v>41586</v>
      </c>
      <c r="B2431" s="1542">
        <v>12158.67</v>
      </c>
      <c r="C2431" s="1542">
        <v>153.91999999999999</v>
      </c>
      <c r="D2431" s="1542">
        <v>5796.25</v>
      </c>
      <c r="E2431" s="1542">
        <v>1938.7</v>
      </c>
    </row>
    <row r="2432" spans="1:5">
      <c r="A2432" s="1541">
        <v>41585</v>
      </c>
      <c r="B2432" s="1542">
        <v>12238.63</v>
      </c>
      <c r="C2432" s="1542">
        <v>155.41999999999999</v>
      </c>
      <c r="D2432" s="1542">
        <v>5767.12</v>
      </c>
      <c r="E2432" s="1542">
        <v>1967.69</v>
      </c>
    </row>
    <row r="2433" spans="1:5">
      <c r="A2433" s="1541">
        <v>41584</v>
      </c>
      <c r="B2433" s="1542">
        <v>12236.03</v>
      </c>
      <c r="C2433" s="1542">
        <v>155.55000000000001</v>
      </c>
      <c r="D2433" s="1542">
        <v>5835.47</v>
      </c>
      <c r="E2433" s="1542">
        <v>1979.16</v>
      </c>
    </row>
    <row r="2434" spans="1:5">
      <c r="A2434" s="1541">
        <v>41583</v>
      </c>
      <c r="B2434" s="1542">
        <v>12206.6</v>
      </c>
      <c r="C2434" s="1542">
        <v>155.35</v>
      </c>
      <c r="D2434" s="1542">
        <v>5802.7</v>
      </c>
      <c r="E2434" s="1542">
        <v>1979.35</v>
      </c>
    </row>
    <row r="2435" spans="1:5">
      <c r="A2435" s="1541">
        <v>41582</v>
      </c>
      <c r="B2435" s="1542">
        <v>12342.42</v>
      </c>
      <c r="C2435" s="1542">
        <v>156.47</v>
      </c>
      <c r="D2435" s="1542">
        <v>5818.22</v>
      </c>
      <c r="E2435" s="1542">
        <v>2000.12</v>
      </c>
    </row>
    <row r="2436" spans="1:5">
      <c r="A2436" s="1541">
        <v>41581</v>
      </c>
      <c r="B2436" s="1542"/>
      <c r="C2436" s="1542"/>
      <c r="D2436" s="1542"/>
      <c r="E2436" s="1542"/>
    </row>
    <row r="2437" spans="1:5">
      <c r="A2437" s="1541">
        <v>41580</v>
      </c>
      <c r="B2437" s="1542"/>
      <c r="C2437" s="1542"/>
      <c r="D2437" s="1542"/>
      <c r="E2437" s="1542"/>
    </row>
    <row r="2438" spans="1:5">
      <c r="A2438" s="1541">
        <v>41579</v>
      </c>
      <c r="B2438" s="1542">
        <v>12392.72</v>
      </c>
      <c r="C2438" s="1542">
        <v>157.72999999999999</v>
      </c>
      <c r="D2438" s="1542">
        <v>5796.51</v>
      </c>
      <c r="E2438" s="1542">
        <v>2001.6</v>
      </c>
    </row>
    <row r="2439" spans="1:5">
      <c r="A2439" s="1541">
        <v>41578</v>
      </c>
      <c r="B2439" s="1542">
        <v>12484.12</v>
      </c>
      <c r="C2439" s="1542">
        <v>158.88999999999999</v>
      </c>
      <c r="D2439" s="1542">
        <v>5814.65</v>
      </c>
      <c r="E2439" s="1542">
        <v>2014.05</v>
      </c>
    </row>
    <row r="2440" spans="1:5">
      <c r="A2440" s="1541">
        <v>41577</v>
      </c>
      <c r="B2440" s="1542">
        <v>12506.29</v>
      </c>
      <c r="C2440" s="1542">
        <v>159.28</v>
      </c>
      <c r="D2440" s="1542">
        <v>5846.97</v>
      </c>
      <c r="E2440" s="1542">
        <v>2030.22</v>
      </c>
    </row>
    <row r="2441" spans="1:5">
      <c r="A2441" s="1541">
        <v>41576</v>
      </c>
      <c r="B2441" s="1542">
        <v>12441.14</v>
      </c>
      <c r="C2441" s="1542">
        <v>158.31</v>
      </c>
      <c r="D2441" s="1542">
        <v>5855.59</v>
      </c>
      <c r="E2441" s="1542">
        <v>2018.43</v>
      </c>
    </row>
    <row r="2442" spans="1:5">
      <c r="A2442" s="1541">
        <v>41575</v>
      </c>
      <c r="B2442" s="1542">
        <v>12421.72</v>
      </c>
      <c r="C2442" s="1542">
        <v>158.33000000000001</v>
      </c>
      <c r="D2442" s="1542">
        <v>5840.44</v>
      </c>
      <c r="E2442" s="1542">
        <v>2013.77</v>
      </c>
    </row>
    <row r="2443" spans="1:5">
      <c r="A2443" s="1541">
        <v>41574</v>
      </c>
      <c r="B2443" s="1542"/>
      <c r="C2443" s="1542"/>
      <c r="D2443" s="1542"/>
      <c r="E2443" s="1542"/>
    </row>
    <row r="2444" spans="1:5">
      <c r="A2444" s="1541">
        <v>41573</v>
      </c>
      <c r="B2444" s="1542"/>
      <c r="C2444" s="1542"/>
      <c r="D2444" s="1542"/>
      <c r="E2444" s="1542"/>
    </row>
    <row r="2445" spans="1:5">
      <c r="A2445" s="1541">
        <v>41572</v>
      </c>
      <c r="B2445" s="1542">
        <v>12331.28</v>
      </c>
      <c r="C2445" s="1542">
        <v>158.6</v>
      </c>
      <c r="D2445" s="1542">
        <v>5832.21</v>
      </c>
      <c r="E2445" s="1542">
        <v>1999.92</v>
      </c>
    </row>
    <row r="2446" spans="1:5">
      <c r="A2446" s="1541">
        <v>41571</v>
      </c>
      <c r="B2446" s="1542">
        <v>12430.41</v>
      </c>
      <c r="C2446" s="1542">
        <v>158.52000000000001</v>
      </c>
      <c r="D2446" s="1542">
        <v>5832.03</v>
      </c>
      <c r="E2446" s="1542">
        <v>2006.77</v>
      </c>
    </row>
    <row r="2447" spans="1:5">
      <c r="A2447" s="1541">
        <v>41570</v>
      </c>
      <c r="B2447" s="1542">
        <v>12400.72</v>
      </c>
      <c r="C2447" s="1542">
        <v>158.06</v>
      </c>
      <c r="D2447" s="1542">
        <v>5809.22</v>
      </c>
      <c r="E2447" s="1542">
        <v>2011.91</v>
      </c>
    </row>
    <row r="2448" spans="1:5">
      <c r="A2448" s="1541">
        <v>41569</v>
      </c>
      <c r="B2448" s="1542">
        <v>12437.07</v>
      </c>
      <c r="C2448" s="1542">
        <v>158.57</v>
      </c>
      <c r="D2448" s="1542">
        <v>5841.76</v>
      </c>
      <c r="E2448" s="1542">
        <v>2033.61</v>
      </c>
    </row>
    <row r="2449" spans="1:5">
      <c r="A2449" s="1541">
        <v>41568</v>
      </c>
      <c r="B2449" s="1542">
        <v>12438.61</v>
      </c>
      <c r="C2449" s="1542">
        <v>158.49</v>
      </c>
      <c r="D2449" s="1542">
        <v>5801.42</v>
      </c>
      <c r="E2449" s="1542">
        <v>2029.7</v>
      </c>
    </row>
    <row r="2450" spans="1:5">
      <c r="A2450" s="1541">
        <v>41567</v>
      </c>
      <c r="B2450" s="1542"/>
      <c r="C2450" s="1542"/>
      <c r="D2450" s="1542"/>
      <c r="E2450" s="1542"/>
    </row>
    <row r="2451" spans="1:5">
      <c r="A2451" s="1541">
        <v>41566</v>
      </c>
      <c r="B2451" s="1542"/>
      <c r="C2451" s="1542"/>
      <c r="D2451" s="1542"/>
      <c r="E2451" s="1542"/>
    </row>
    <row r="2452" spans="1:5">
      <c r="A2452" s="1541">
        <v>41565</v>
      </c>
      <c r="B2452" s="1542">
        <v>12470.93</v>
      </c>
      <c r="C2452" s="1542">
        <v>158.26</v>
      </c>
      <c r="D2452" s="1542">
        <v>5795.57</v>
      </c>
      <c r="E2452" s="1542">
        <v>2028.51</v>
      </c>
    </row>
    <row r="2453" spans="1:5">
      <c r="A2453" s="1541">
        <v>41564</v>
      </c>
      <c r="B2453" s="1542">
        <v>12372.67</v>
      </c>
      <c r="C2453" s="1542">
        <v>156.66999999999999</v>
      </c>
      <c r="D2453" s="1542">
        <v>5753.78</v>
      </c>
      <c r="E2453" s="1542">
        <v>2012.02</v>
      </c>
    </row>
    <row r="2454" spans="1:5">
      <c r="A2454" s="1541">
        <v>41563</v>
      </c>
      <c r="B2454" s="1542">
        <v>12309.87</v>
      </c>
      <c r="C2454" s="1542">
        <v>155.81</v>
      </c>
      <c r="D2454" s="1542">
        <v>5694.53</v>
      </c>
      <c r="E2454" s="1542">
        <v>2006.69</v>
      </c>
    </row>
    <row r="2455" spans="1:5">
      <c r="A2455" s="1541">
        <v>41562</v>
      </c>
      <c r="B2455" s="1542">
        <v>12362.6</v>
      </c>
      <c r="C2455" s="1542">
        <v>155.94999999999999</v>
      </c>
      <c r="D2455" s="1542">
        <v>5650.13</v>
      </c>
      <c r="E2455" s="1542">
        <v>2003.93</v>
      </c>
    </row>
    <row r="2456" spans="1:5">
      <c r="A2456" s="1541">
        <v>41561</v>
      </c>
      <c r="B2456" s="1542">
        <v>12223.85</v>
      </c>
      <c r="C2456" s="1542">
        <v>153.57</v>
      </c>
      <c r="D2456" s="1542">
        <v>5666.74</v>
      </c>
      <c r="E2456" s="1542">
        <v>1989.92</v>
      </c>
    </row>
    <row r="2457" spans="1:5">
      <c r="A2457" s="1541">
        <v>41560</v>
      </c>
      <c r="B2457" s="1542"/>
      <c r="C2457" s="1542"/>
      <c r="D2457" s="1542"/>
      <c r="E2457" s="1542"/>
    </row>
    <row r="2458" spans="1:5">
      <c r="A2458" s="1541">
        <v>41559</v>
      </c>
      <c r="B2458" s="1542"/>
      <c r="C2458" s="1542"/>
      <c r="D2458" s="1542"/>
      <c r="E2458" s="1542"/>
    </row>
    <row r="2459" spans="1:5">
      <c r="A2459" s="1541">
        <v>41558</v>
      </c>
      <c r="B2459" s="1542">
        <v>12335.25</v>
      </c>
      <c r="C2459" s="1542">
        <v>156.57</v>
      </c>
      <c r="D2459" s="1542">
        <v>5647.07</v>
      </c>
      <c r="E2459" s="1542">
        <v>1991</v>
      </c>
    </row>
    <row r="2460" spans="1:5">
      <c r="A2460" s="1541">
        <v>41557</v>
      </c>
      <c r="B2460" s="1542"/>
      <c r="C2460" s="1542"/>
      <c r="D2460" s="1542">
        <v>5605.56</v>
      </c>
      <c r="E2460" s="1542">
        <v>1973.08</v>
      </c>
    </row>
    <row r="2461" spans="1:5">
      <c r="A2461" s="1541">
        <v>41556</v>
      </c>
      <c r="B2461" s="1542">
        <v>12328.39</v>
      </c>
      <c r="C2461" s="1542">
        <v>156.69</v>
      </c>
      <c r="D2461" s="1542">
        <v>5510.31</v>
      </c>
      <c r="E2461" s="1542">
        <v>1956.71</v>
      </c>
    </row>
    <row r="2462" spans="1:5">
      <c r="A2462" s="1541">
        <v>41555</v>
      </c>
      <c r="B2462" s="1542">
        <v>12374.08</v>
      </c>
      <c r="C2462" s="1542">
        <v>158.15</v>
      </c>
      <c r="D2462" s="1542">
        <v>5521.89</v>
      </c>
      <c r="E2462" s="1542">
        <v>1962.9</v>
      </c>
    </row>
    <row r="2463" spans="1:5">
      <c r="A2463" s="1541">
        <v>41554</v>
      </c>
      <c r="B2463" s="1542">
        <v>12312.05</v>
      </c>
      <c r="C2463" s="1542">
        <v>158.55000000000001</v>
      </c>
      <c r="D2463" s="1542">
        <v>5569.1</v>
      </c>
      <c r="E2463" s="1542">
        <v>1954.68</v>
      </c>
    </row>
    <row r="2464" spans="1:5">
      <c r="A2464" s="1541">
        <v>41553</v>
      </c>
      <c r="B2464" s="1542"/>
      <c r="C2464" s="1542"/>
      <c r="D2464" s="1542"/>
      <c r="E2464" s="1542"/>
    </row>
    <row r="2465" spans="1:5">
      <c r="A2465" s="1541">
        <v>41552</v>
      </c>
      <c r="B2465" s="1542"/>
      <c r="C2465" s="1542"/>
      <c r="D2465" s="1542"/>
      <c r="E2465" s="1542"/>
    </row>
    <row r="2466" spans="1:5">
      <c r="A2466" s="1541">
        <v>41551</v>
      </c>
      <c r="B2466" s="1542">
        <v>12357.38</v>
      </c>
      <c r="C2466" s="1542">
        <v>159.01</v>
      </c>
      <c r="D2466" s="1542">
        <v>5609.33</v>
      </c>
      <c r="E2466" s="1542">
        <v>1960.41</v>
      </c>
    </row>
    <row r="2467" spans="1:5">
      <c r="A2467" s="1541">
        <v>41550</v>
      </c>
      <c r="B2467" s="1542">
        <v>12349.21</v>
      </c>
      <c r="C2467" s="1542">
        <v>157.61000000000001</v>
      </c>
      <c r="D2467" s="1542">
        <v>5592.14</v>
      </c>
      <c r="E2467" s="1542">
        <v>1955.21</v>
      </c>
    </row>
    <row r="2468" spans="1:5">
      <c r="A2468" s="1541">
        <v>41549</v>
      </c>
      <c r="B2468" s="1542">
        <v>12138.69</v>
      </c>
      <c r="C2468" s="1542">
        <v>155.68</v>
      </c>
      <c r="D2468" s="1542">
        <v>5621.93</v>
      </c>
      <c r="E2468" s="1542">
        <v>1940.8</v>
      </c>
    </row>
    <row r="2469" spans="1:5">
      <c r="A2469" s="1541">
        <v>41548</v>
      </c>
      <c r="B2469" s="1542">
        <v>12095.1</v>
      </c>
      <c r="C2469" s="1542">
        <v>155.01</v>
      </c>
      <c r="D2469" s="1542">
        <v>5630.34</v>
      </c>
      <c r="E2469" s="1542">
        <v>1937.84</v>
      </c>
    </row>
    <row r="2470" spans="1:5">
      <c r="A2470" s="1541">
        <v>41547</v>
      </c>
      <c r="B2470" s="1542">
        <v>12073.87</v>
      </c>
      <c r="C2470" s="1542">
        <v>154.59</v>
      </c>
      <c r="D2470" s="1542">
        <v>5594.34</v>
      </c>
      <c r="E2470" s="1542">
        <v>1920.46</v>
      </c>
    </row>
    <row r="2471" spans="1:5">
      <c r="A2471" s="1541">
        <v>41546</v>
      </c>
      <c r="B2471" s="1542"/>
      <c r="C2471" s="1542"/>
      <c r="D2471" s="1542"/>
      <c r="E2471" s="1542"/>
    </row>
    <row r="2472" spans="1:5">
      <c r="A2472" s="1541">
        <v>41545</v>
      </c>
      <c r="B2472" s="1542"/>
      <c r="C2472" s="1542"/>
      <c r="D2472" s="1542"/>
      <c r="E2472" s="1542"/>
    </row>
    <row r="2473" spans="1:5">
      <c r="A2473" s="1541">
        <v>41544</v>
      </c>
      <c r="B2473" s="1542">
        <v>12157.78</v>
      </c>
      <c r="C2473" s="1542">
        <v>154.46</v>
      </c>
      <c r="D2473" s="1542">
        <v>5635.23</v>
      </c>
      <c r="E2473" s="1542">
        <v>1944.41</v>
      </c>
    </row>
    <row r="2474" spans="1:5">
      <c r="A2474" s="1541">
        <v>41543</v>
      </c>
      <c r="B2474" s="1542">
        <v>12089.83</v>
      </c>
      <c r="C2474" s="1542">
        <v>154.16999999999999</v>
      </c>
      <c r="D2474" s="1542">
        <v>5641.14</v>
      </c>
      <c r="E2474" s="1542">
        <v>1950.24</v>
      </c>
    </row>
    <row r="2475" spans="1:5">
      <c r="A2475" s="1541">
        <v>41542</v>
      </c>
      <c r="B2475" s="1542">
        <v>12236.39</v>
      </c>
      <c r="C2475" s="1542">
        <v>155.80000000000001</v>
      </c>
      <c r="D2475" s="1542">
        <v>5626.04</v>
      </c>
      <c r="E2475" s="1542">
        <v>1959.04</v>
      </c>
    </row>
    <row r="2476" spans="1:5">
      <c r="A2476" s="1541">
        <v>41541</v>
      </c>
      <c r="B2476" s="1542">
        <v>12258.87</v>
      </c>
      <c r="C2476" s="1542">
        <v>155.26</v>
      </c>
      <c r="D2476" s="1542">
        <v>5632.28</v>
      </c>
      <c r="E2476" s="1542">
        <v>1964.82</v>
      </c>
    </row>
    <row r="2477" spans="1:5">
      <c r="A2477" s="1541">
        <v>41540</v>
      </c>
      <c r="B2477" s="1542">
        <v>12249.38</v>
      </c>
      <c r="C2477" s="1542">
        <v>155.13999999999999</v>
      </c>
      <c r="D2477" s="1542">
        <v>5639.97</v>
      </c>
      <c r="E2477" s="1542">
        <v>1975.75</v>
      </c>
    </row>
    <row r="2478" spans="1:5">
      <c r="A2478" s="1541">
        <v>41539</v>
      </c>
      <c r="B2478" s="1542"/>
      <c r="C2478" s="1542"/>
      <c r="D2478" s="1542"/>
      <c r="E2478" s="1542"/>
    </row>
    <row r="2479" spans="1:5">
      <c r="A2479" s="1541">
        <v>41538</v>
      </c>
      <c r="B2479" s="1542"/>
      <c r="C2479" s="1542"/>
      <c r="D2479" s="1542"/>
      <c r="E2479" s="1542"/>
    </row>
    <row r="2480" spans="1:5">
      <c r="A2480" s="1541">
        <v>41537</v>
      </c>
      <c r="B2480" s="1542"/>
      <c r="C2480" s="1542"/>
      <c r="D2480" s="1542">
        <v>5659.1</v>
      </c>
      <c r="E2480" s="1542">
        <v>1969.61</v>
      </c>
    </row>
    <row r="2481" spans="1:5">
      <c r="A2481" s="1541">
        <v>41536</v>
      </c>
      <c r="B2481" s="1542"/>
      <c r="C2481" s="1542"/>
      <c r="D2481" s="1542">
        <v>5694.8</v>
      </c>
      <c r="E2481" s="1542">
        <v>1987.76</v>
      </c>
    </row>
    <row r="2482" spans="1:5">
      <c r="A2482" s="1541">
        <v>41535</v>
      </c>
      <c r="B2482" s="1542">
        <v>12125.82</v>
      </c>
      <c r="C2482" s="1542">
        <v>154.16999999999999</v>
      </c>
      <c r="D2482" s="1542">
        <v>5652.34</v>
      </c>
      <c r="E2482" s="1542">
        <v>1945.8</v>
      </c>
    </row>
    <row r="2483" spans="1:5">
      <c r="A2483" s="1541">
        <v>41534</v>
      </c>
      <c r="B2483" s="1542">
        <v>12185.78</v>
      </c>
      <c r="C2483" s="1542">
        <v>153.22</v>
      </c>
      <c r="D2483" s="1542">
        <v>5600.45</v>
      </c>
      <c r="E2483" s="1542">
        <v>1948.54</v>
      </c>
    </row>
    <row r="2484" spans="1:5">
      <c r="A2484" s="1541">
        <v>41533</v>
      </c>
      <c r="B2484" s="1542">
        <v>12193.91</v>
      </c>
      <c r="C2484" s="1542">
        <v>153.25</v>
      </c>
      <c r="D2484" s="1542">
        <v>5597.79</v>
      </c>
      <c r="E2484" s="1542">
        <v>1946.95</v>
      </c>
    </row>
    <row r="2485" spans="1:5">
      <c r="A2485" s="1541">
        <v>41532</v>
      </c>
      <c r="B2485" s="1542"/>
      <c r="C2485" s="1542"/>
      <c r="D2485" s="1542"/>
      <c r="E2485" s="1542"/>
    </row>
    <row r="2486" spans="1:5">
      <c r="A2486" s="1541">
        <v>41531</v>
      </c>
      <c r="B2486" s="1542">
        <v>12027.21</v>
      </c>
      <c r="C2486" s="1542">
        <v>152.03</v>
      </c>
      <c r="D2486" s="1542"/>
      <c r="E2486" s="1542"/>
    </row>
    <row r="2487" spans="1:5">
      <c r="A2487" s="1541">
        <v>41530</v>
      </c>
      <c r="B2487" s="1542">
        <v>12065.2</v>
      </c>
      <c r="C2487" s="1542">
        <v>152.09</v>
      </c>
      <c r="D2487" s="1542">
        <v>5551.32</v>
      </c>
      <c r="E2487" s="1542">
        <v>1917.43</v>
      </c>
    </row>
    <row r="2488" spans="1:5">
      <c r="A2488" s="1541">
        <v>41529</v>
      </c>
      <c r="B2488" s="1542">
        <v>12149.63</v>
      </c>
      <c r="C2488" s="1542">
        <v>152.41</v>
      </c>
      <c r="D2488" s="1542">
        <v>5548.39</v>
      </c>
      <c r="E2488" s="1542">
        <v>1924.34</v>
      </c>
    </row>
    <row r="2489" spans="1:5">
      <c r="A2489" s="1541">
        <v>41528</v>
      </c>
      <c r="B2489" s="1542">
        <v>12125.37</v>
      </c>
      <c r="C2489" s="1542">
        <v>151.9</v>
      </c>
      <c r="D2489" s="1542">
        <v>5557.6</v>
      </c>
      <c r="E2489" s="1542">
        <v>1927.18</v>
      </c>
    </row>
    <row r="2490" spans="1:5">
      <c r="A2490" s="1541">
        <v>41527</v>
      </c>
      <c r="B2490" s="1542">
        <v>12124.71</v>
      </c>
      <c r="C2490" s="1542">
        <v>151.72</v>
      </c>
      <c r="D2490" s="1542">
        <v>5533.05</v>
      </c>
      <c r="E2490" s="1542">
        <v>1926.01</v>
      </c>
    </row>
    <row r="2491" spans="1:5">
      <c r="A2491" s="1541">
        <v>41526</v>
      </c>
      <c r="B2491" s="1542">
        <v>12099.26</v>
      </c>
      <c r="C2491" s="1542">
        <v>152.4</v>
      </c>
      <c r="D2491" s="1542">
        <v>5485.12</v>
      </c>
      <c r="E2491" s="1542">
        <v>1891.72</v>
      </c>
    </row>
    <row r="2492" spans="1:5">
      <c r="A2492" s="1541">
        <v>41525</v>
      </c>
      <c r="B2492" s="1542"/>
      <c r="C2492" s="1542"/>
      <c r="D2492" s="1542"/>
      <c r="E2492" s="1542"/>
    </row>
    <row r="2493" spans="1:5">
      <c r="A2493" s="1541">
        <v>41524</v>
      </c>
      <c r="B2493" s="1542"/>
      <c r="C2493" s="1542"/>
      <c r="D2493" s="1542"/>
      <c r="E2493" s="1542"/>
    </row>
    <row r="2494" spans="1:5">
      <c r="A2494" s="1541">
        <v>41523</v>
      </c>
      <c r="B2494" s="1542">
        <v>12048.46</v>
      </c>
      <c r="C2494" s="1542">
        <v>154.47</v>
      </c>
      <c r="D2494" s="1542">
        <v>5435.83</v>
      </c>
      <c r="E2494" s="1542">
        <v>1855.9</v>
      </c>
    </row>
    <row r="2495" spans="1:5">
      <c r="A2495" s="1541">
        <v>41522</v>
      </c>
      <c r="B2495" s="1542">
        <v>12055.65</v>
      </c>
      <c r="C2495" s="1542">
        <v>153.88</v>
      </c>
      <c r="D2495" s="1542">
        <v>5418.01</v>
      </c>
      <c r="E2495" s="1542">
        <v>1840.1</v>
      </c>
    </row>
    <row r="2496" spans="1:5">
      <c r="A2496" s="1541">
        <v>41521</v>
      </c>
      <c r="B2496" s="1542">
        <v>11928.92</v>
      </c>
      <c r="C2496" s="1542">
        <v>152.36000000000001</v>
      </c>
      <c r="D2496" s="1542">
        <v>5413.01</v>
      </c>
      <c r="E2496" s="1542">
        <v>1819.65</v>
      </c>
    </row>
    <row r="2497" spans="1:5">
      <c r="A2497" s="1541">
        <v>41520</v>
      </c>
      <c r="B2497" s="1542">
        <v>11935.94</v>
      </c>
      <c r="C2497" s="1542">
        <v>151.62</v>
      </c>
      <c r="D2497" s="1542">
        <v>5374.98</v>
      </c>
      <c r="E2497" s="1542">
        <v>1811.85</v>
      </c>
    </row>
    <row r="2498" spans="1:5">
      <c r="A2498" s="1541">
        <v>41519</v>
      </c>
      <c r="B2498" s="1542">
        <v>11862.52</v>
      </c>
      <c r="C2498" s="1542">
        <v>150.43</v>
      </c>
      <c r="D2498" s="1542">
        <v>5357.03</v>
      </c>
      <c r="E2498" s="1542">
        <v>1820.09</v>
      </c>
    </row>
    <row r="2499" spans="1:5">
      <c r="A2499" s="1541">
        <v>41518</v>
      </c>
      <c r="B2499" s="1542"/>
      <c r="C2499" s="1542"/>
      <c r="D2499" s="1542"/>
      <c r="E2499" s="1542"/>
    </row>
    <row r="2500" spans="1:5">
      <c r="A2500" s="1541">
        <v>41517</v>
      </c>
      <c r="B2500" s="1542"/>
      <c r="C2500" s="1542"/>
      <c r="D2500" s="1542"/>
      <c r="E2500" s="1542"/>
    </row>
    <row r="2501" spans="1:5">
      <c r="A2501" s="1541">
        <v>41516</v>
      </c>
      <c r="B2501" s="1542">
        <v>11837</v>
      </c>
      <c r="C2501" s="1542">
        <v>149.22999999999999</v>
      </c>
      <c r="D2501" s="1542">
        <v>5325.89</v>
      </c>
      <c r="E2501" s="1542">
        <v>1802.66</v>
      </c>
    </row>
    <row r="2502" spans="1:5">
      <c r="A2502" s="1541">
        <v>41515</v>
      </c>
      <c r="B2502" s="1542">
        <v>11681.9</v>
      </c>
      <c r="C2502" s="1542">
        <v>148.24</v>
      </c>
      <c r="D2502" s="1542">
        <v>5355.84</v>
      </c>
      <c r="E2502" s="1542">
        <v>1785.77</v>
      </c>
    </row>
    <row r="2503" spans="1:5">
      <c r="A2503" s="1541">
        <v>41514</v>
      </c>
      <c r="B2503" s="1542">
        <v>11537.06</v>
      </c>
      <c r="C2503" s="1542">
        <v>146.19</v>
      </c>
      <c r="D2503" s="1542">
        <v>5351.43</v>
      </c>
      <c r="E2503" s="1542">
        <v>1764.19</v>
      </c>
    </row>
    <row r="2504" spans="1:5">
      <c r="A2504" s="1541">
        <v>41513</v>
      </c>
      <c r="B2504" s="1542">
        <v>11530.4</v>
      </c>
      <c r="C2504" s="1542">
        <v>146.85</v>
      </c>
      <c r="D2504" s="1542">
        <v>5366.25</v>
      </c>
      <c r="E2504" s="1542">
        <v>1775.07</v>
      </c>
    </row>
    <row r="2505" spans="1:5">
      <c r="A2505" s="1541">
        <v>41512</v>
      </c>
      <c r="B2505" s="1542">
        <v>11635.47</v>
      </c>
      <c r="C2505" s="1542">
        <v>149.47</v>
      </c>
      <c r="D2505" s="1542">
        <v>5438.4</v>
      </c>
      <c r="E2505" s="1542">
        <v>1808.54</v>
      </c>
    </row>
    <row r="2506" spans="1:5">
      <c r="A2506" s="1541">
        <v>41511</v>
      </c>
      <c r="B2506" s="1542"/>
      <c r="C2506" s="1542"/>
      <c r="D2506" s="1542"/>
      <c r="E2506" s="1542"/>
    </row>
    <row r="2507" spans="1:5">
      <c r="A2507" s="1541">
        <v>41510</v>
      </c>
      <c r="B2507" s="1542"/>
      <c r="C2507" s="1542"/>
      <c r="D2507" s="1542"/>
      <c r="E2507" s="1542"/>
    </row>
    <row r="2508" spans="1:5">
      <c r="A2508" s="1541">
        <v>41509</v>
      </c>
      <c r="B2508" s="1542">
        <v>11601.81</v>
      </c>
      <c r="C2508" s="1542">
        <v>149.09</v>
      </c>
      <c r="D2508" s="1542">
        <v>5452.81</v>
      </c>
      <c r="E2508" s="1542">
        <v>1808.42</v>
      </c>
    </row>
    <row r="2509" spans="1:5">
      <c r="A2509" s="1541">
        <v>41508</v>
      </c>
      <c r="B2509" s="1542">
        <v>11512.56</v>
      </c>
      <c r="C2509" s="1542">
        <v>147.71</v>
      </c>
      <c r="D2509" s="1542">
        <v>5413.63</v>
      </c>
      <c r="E2509" s="1542">
        <v>1787.96</v>
      </c>
    </row>
    <row r="2510" spans="1:5">
      <c r="A2510" s="1541">
        <v>41507</v>
      </c>
      <c r="B2510" s="1542"/>
      <c r="C2510" s="1542"/>
      <c r="D2510" s="1542">
        <v>5384.11</v>
      </c>
      <c r="E2510" s="1542">
        <v>1791.57</v>
      </c>
    </row>
    <row r="2511" spans="1:5">
      <c r="A2511" s="1541">
        <v>41506</v>
      </c>
      <c r="B2511" s="1542">
        <v>11538.15</v>
      </c>
      <c r="C2511" s="1542">
        <v>147.63999999999999</v>
      </c>
      <c r="D2511" s="1542">
        <v>5422.62</v>
      </c>
      <c r="E2511" s="1542">
        <v>1806.71</v>
      </c>
    </row>
    <row r="2512" spans="1:5">
      <c r="A2512" s="1541">
        <v>41505</v>
      </c>
      <c r="B2512" s="1542">
        <v>11637.31</v>
      </c>
      <c r="C2512" s="1542">
        <v>150.27000000000001</v>
      </c>
      <c r="D2512" s="1542">
        <v>5425.08</v>
      </c>
      <c r="E2512" s="1542">
        <v>1831.31</v>
      </c>
    </row>
    <row r="2513" spans="1:5">
      <c r="A2513" s="1541">
        <v>41504</v>
      </c>
      <c r="B2513" s="1542"/>
      <c r="C2513" s="1542"/>
      <c r="D2513" s="1542"/>
      <c r="E2513" s="1542"/>
    </row>
    <row r="2514" spans="1:5">
      <c r="A2514" s="1541">
        <v>41503</v>
      </c>
      <c r="B2514" s="1542"/>
      <c r="C2514" s="1542"/>
      <c r="D2514" s="1542"/>
      <c r="E2514" s="1542"/>
    </row>
    <row r="2515" spans="1:5">
      <c r="A2515" s="1541">
        <v>41502</v>
      </c>
      <c r="B2515" s="1542">
        <v>11671.98</v>
      </c>
      <c r="C2515" s="1542">
        <v>149.87</v>
      </c>
      <c r="D2515" s="1542">
        <v>5451</v>
      </c>
      <c r="E2515" s="1542">
        <v>1856.84</v>
      </c>
    </row>
    <row r="2516" spans="1:5">
      <c r="A2516" s="1541">
        <v>41501</v>
      </c>
      <c r="B2516" s="1542">
        <v>11616.32</v>
      </c>
      <c r="C2516" s="1542">
        <v>149.71</v>
      </c>
      <c r="D2516" s="1542">
        <v>5448.37</v>
      </c>
      <c r="E2516" s="1542">
        <v>1860.92</v>
      </c>
    </row>
    <row r="2517" spans="1:5">
      <c r="A2517" s="1541">
        <v>41500</v>
      </c>
      <c r="B2517" s="1542">
        <v>11702.13</v>
      </c>
      <c r="C2517" s="1542">
        <v>150.18</v>
      </c>
      <c r="D2517" s="1542">
        <v>5516.02</v>
      </c>
      <c r="E2517" s="1542">
        <v>1875.12</v>
      </c>
    </row>
    <row r="2518" spans="1:5">
      <c r="A2518" s="1541">
        <v>41499</v>
      </c>
      <c r="B2518" s="1542">
        <v>11749.1</v>
      </c>
      <c r="C2518" s="1542">
        <v>150.08000000000001</v>
      </c>
      <c r="D2518" s="1542">
        <v>5514.3</v>
      </c>
      <c r="E2518" s="1542">
        <v>1871.16</v>
      </c>
    </row>
    <row r="2519" spans="1:5">
      <c r="A2519" s="1541">
        <v>41498</v>
      </c>
      <c r="B2519" s="1542">
        <v>11619.71</v>
      </c>
      <c r="C2519" s="1542">
        <v>148.63</v>
      </c>
      <c r="D2519" s="1542">
        <v>5502.24</v>
      </c>
      <c r="E2519" s="1542">
        <v>1855.16</v>
      </c>
    </row>
    <row r="2520" spans="1:5">
      <c r="A2520" s="1541">
        <v>41497</v>
      </c>
      <c r="B2520" s="1542"/>
      <c r="C2520" s="1542"/>
      <c r="D2520" s="1542"/>
      <c r="E2520" s="1542"/>
    </row>
    <row r="2521" spans="1:5">
      <c r="A2521" s="1541">
        <v>41496</v>
      </c>
      <c r="B2521" s="1542"/>
      <c r="C2521" s="1542"/>
      <c r="D2521" s="1542"/>
      <c r="E2521" s="1542"/>
    </row>
    <row r="2522" spans="1:5">
      <c r="A2522" s="1541">
        <v>41495</v>
      </c>
      <c r="B2522" s="1542">
        <v>11549.23</v>
      </c>
      <c r="C2522" s="1542">
        <v>148.84</v>
      </c>
      <c r="D2522" s="1542">
        <v>5512.35</v>
      </c>
      <c r="E2522" s="1542">
        <v>1842.47</v>
      </c>
    </row>
    <row r="2523" spans="1:5">
      <c r="A2523" s="1541">
        <v>41494</v>
      </c>
      <c r="B2523" s="1542">
        <v>11623.86</v>
      </c>
      <c r="C2523" s="1542">
        <v>149.35</v>
      </c>
      <c r="D2523" s="1542">
        <v>5514.98</v>
      </c>
      <c r="E2523" s="1542">
        <v>1832.79</v>
      </c>
    </row>
    <row r="2524" spans="1:5">
      <c r="A2524" s="1541">
        <v>41493</v>
      </c>
      <c r="B2524" s="1542">
        <v>11626.71</v>
      </c>
      <c r="C2524" s="1542">
        <v>148.34</v>
      </c>
      <c r="D2524" s="1542">
        <v>5483.59</v>
      </c>
      <c r="E2524" s="1542">
        <v>1815.75</v>
      </c>
    </row>
    <row r="2525" spans="1:5">
      <c r="A2525" s="1541">
        <v>41492</v>
      </c>
      <c r="B2525" s="1542">
        <v>11790.87</v>
      </c>
      <c r="C2525" s="1542">
        <v>150.54</v>
      </c>
      <c r="D2525" s="1542">
        <v>5512.96</v>
      </c>
      <c r="E2525" s="1542">
        <v>1831.68</v>
      </c>
    </row>
    <row r="2526" spans="1:5">
      <c r="A2526" s="1541">
        <v>41491</v>
      </c>
      <c r="B2526" s="1542">
        <v>11935.81</v>
      </c>
      <c r="C2526" s="1542">
        <v>150.82</v>
      </c>
      <c r="D2526" s="1542">
        <v>5521.55</v>
      </c>
      <c r="E2526" s="1542">
        <v>1851.02</v>
      </c>
    </row>
    <row r="2527" spans="1:5">
      <c r="A2527" s="1541">
        <v>41490</v>
      </c>
      <c r="B2527" s="1542"/>
      <c r="C2527" s="1542"/>
      <c r="D2527" s="1542"/>
      <c r="E2527" s="1542"/>
    </row>
    <row r="2528" spans="1:5">
      <c r="A2528" s="1541">
        <v>41489</v>
      </c>
      <c r="B2528" s="1542"/>
      <c r="C2528" s="1542"/>
      <c r="D2528" s="1542"/>
      <c r="E2528" s="1542"/>
    </row>
    <row r="2529" spans="1:5">
      <c r="A2529" s="1541">
        <v>41488</v>
      </c>
      <c r="B2529" s="1542">
        <v>11878.07</v>
      </c>
      <c r="C2529" s="1542">
        <v>149.68</v>
      </c>
      <c r="D2529" s="1542">
        <v>5533.33</v>
      </c>
      <c r="E2529" s="1542">
        <v>1848.98</v>
      </c>
    </row>
    <row r="2530" spans="1:5">
      <c r="A2530" s="1541">
        <v>41487</v>
      </c>
      <c r="B2530" s="1542">
        <v>11808.6</v>
      </c>
      <c r="C2530" s="1542">
        <v>149.35</v>
      </c>
      <c r="D2530" s="1542">
        <v>5501.01</v>
      </c>
      <c r="E2530" s="1542">
        <v>1846.55</v>
      </c>
    </row>
    <row r="2531" spans="1:5">
      <c r="A2531" s="1541">
        <v>41486</v>
      </c>
      <c r="B2531" s="1542">
        <v>11870.23</v>
      </c>
      <c r="C2531" s="1542">
        <v>149.04</v>
      </c>
      <c r="D2531" s="1542">
        <v>5439.35</v>
      </c>
      <c r="E2531" s="1542">
        <v>1833.43</v>
      </c>
    </row>
    <row r="2532" spans="1:5">
      <c r="A2532" s="1541">
        <v>41485</v>
      </c>
      <c r="B2532" s="1542">
        <v>11947.97</v>
      </c>
      <c r="C2532" s="1542">
        <v>150.13</v>
      </c>
      <c r="D2532" s="1542">
        <v>5447.44</v>
      </c>
      <c r="E2532" s="1542">
        <v>1845.15</v>
      </c>
    </row>
    <row r="2533" spans="1:5">
      <c r="A2533" s="1541">
        <v>41484</v>
      </c>
      <c r="B2533" s="1542">
        <v>11825.66</v>
      </c>
      <c r="C2533" s="1542">
        <v>148.69999999999999</v>
      </c>
      <c r="D2533" s="1542">
        <v>5441.89</v>
      </c>
      <c r="E2533" s="1542">
        <v>1845.38</v>
      </c>
    </row>
    <row r="2534" spans="1:5">
      <c r="A2534" s="1541">
        <v>41483</v>
      </c>
      <c r="B2534" s="1542"/>
      <c r="C2534" s="1542"/>
      <c r="D2534" s="1542"/>
      <c r="E2534" s="1542"/>
    </row>
    <row r="2535" spans="1:5">
      <c r="A2535" s="1541">
        <v>41482</v>
      </c>
      <c r="B2535" s="1542"/>
      <c r="C2535" s="1542"/>
      <c r="D2535" s="1542"/>
      <c r="E2535" s="1542"/>
    </row>
    <row r="2536" spans="1:5">
      <c r="A2536" s="1541">
        <v>41481</v>
      </c>
      <c r="B2536" s="1542">
        <v>11918.21</v>
      </c>
      <c r="C2536" s="1542">
        <v>149.55000000000001</v>
      </c>
      <c r="D2536" s="1542">
        <v>5468.15</v>
      </c>
      <c r="E2536" s="1542">
        <v>1860.14</v>
      </c>
    </row>
    <row r="2537" spans="1:5">
      <c r="A2537" s="1541">
        <v>41480</v>
      </c>
      <c r="B2537" s="1542">
        <v>11933.73</v>
      </c>
      <c r="C2537" s="1542">
        <v>149.22</v>
      </c>
      <c r="D2537" s="1542">
        <v>5473.59</v>
      </c>
      <c r="E2537" s="1542">
        <v>1861.62</v>
      </c>
    </row>
    <row r="2538" spans="1:5">
      <c r="A2538" s="1541">
        <v>41479</v>
      </c>
      <c r="B2538" s="1542">
        <v>11967.14</v>
      </c>
      <c r="C2538" s="1542">
        <v>150.33000000000001</v>
      </c>
      <c r="D2538" s="1542">
        <v>5475.89</v>
      </c>
      <c r="E2538" s="1542">
        <v>1869.29</v>
      </c>
    </row>
    <row r="2539" spans="1:5">
      <c r="A2539" s="1541">
        <v>41478</v>
      </c>
      <c r="B2539" s="1542">
        <v>11985.11</v>
      </c>
      <c r="C2539" s="1542">
        <v>149.6</v>
      </c>
      <c r="D2539" s="1542">
        <v>5480.84</v>
      </c>
      <c r="E2539" s="1542">
        <v>1874.01</v>
      </c>
    </row>
    <row r="2540" spans="1:5">
      <c r="A2540" s="1541">
        <v>41477</v>
      </c>
      <c r="B2540" s="1542">
        <v>11819.23</v>
      </c>
      <c r="C2540" s="1542">
        <v>147.68</v>
      </c>
      <c r="D2540" s="1542">
        <v>5483.71</v>
      </c>
      <c r="E2540" s="1542">
        <v>1844.76</v>
      </c>
    </row>
    <row r="2541" spans="1:5">
      <c r="A2541" s="1541">
        <v>41476</v>
      </c>
      <c r="B2541" s="1542"/>
      <c r="C2541" s="1542"/>
      <c r="D2541" s="1542"/>
      <c r="E2541" s="1542"/>
    </row>
    <row r="2542" spans="1:5">
      <c r="A2542" s="1541">
        <v>41475</v>
      </c>
      <c r="B2542" s="1542"/>
      <c r="C2542" s="1542"/>
      <c r="D2542" s="1542"/>
      <c r="E2542" s="1542"/>
    </row>
    <row r="2543" spans="1:5">
      <c r="A2543" s="1541">
        <v>41474</v>
      </c>
      <c r="B2543" s="1542">
        <v>11749.86</v>
      </c>
      <c r="C2543" s="1542">
        <v>146.41</v>
      </c>
      <c r="D2543" s="1542">
        <v>5458.04</v>
      </c>
      <c r="E2543" s="1542">
        <v>1837.79</v>
      </c>
    </row>
    <row r="2544" spans="1:5">
      <c r="A2544" s="1541">
        <v>41473</v>
      </c>
      <c r="B2544" s="1542">
        <v>11938.79</v>
      </c>
      <c r="C2544" s="1542">
        <v>148.05000000000001</v>
      </c>
      <c r="D2544" s="1542">
        <v>5449.33</v>
      </c>
      <c r="E2544" s="1542">
        <v>1851.16</v>
      </c>
    </row>
    <row r="2545" spans="1:5">
      <c r="A2545" s="1541">
        <v>41472</v>
      </c>
      <c r="B2545" s="1542">
        <v>12024.74</v>
      </c>
      <c r="C2545" s="1542">
        <v>149.87</v>
      </c>
      <c r="D2545" s="1542">
        <v>5421.09</v>
      </c>
      <c r="E2545" s="1542">
        <v>1854.66</v>
      </c>
    </row>
    <row r="2546" spans="1:5">
      <c r="A2546" s="1541">
        <v>41471</v>
      </c>
      <c r="B2546" s="1542">
        <v>11989.52</v>
      </c>
      <c r="C2546" s="1542">
        <v>150.43</v>
      </c>
      <c r="D2546" s="1542">
        <v>5410.39</v>
      </c>
      <c r="E2546" s="1542">
        <v>1841.71</v>
      </c>
    </row>
    <row r="2547" spans="1:5">
      <c r="A2547" s="1541">
        <v>41470</v>
      </c>
      <c r="B2547" s="1542">
        <v>11969.03</v>
      </c>
      <c r="C2547" s="1542">
        <v>149.87</v>
      </c>
      <c r="D2547" s="1542">
        <v>5411.85</v>
      </c>
      <c r="E2547" s="1542">
        <v>1839.67</v>
      </c>
    </row>
    <row r="2548" spans="1:5">
      <c r="A2548" s="1541">
        <v>41469</v>
      </c>
      <c r="B2548" s="1542"/>
      <c r="C2548" s="1542"/>
      <c r="D2548" s="1542"/>
      <c r="E2548" s="1542"/>
    </row>
    <row r="2549" spans="1:5">
      <c r="A2549" s="1541">
        <v>41468</v>
      </c>
      <c r="B2549" s="1542"/>
      <c r="C2549" s="1542"/>
      <c r="D2549" s="1542"/>
      <c r="E2549" s="1542"/>
    </row>
    <row r="2550" spans="1:5">
      <c r="A2550" s="1541">
        <v>41467</v>
      </c>
      <c r="B2550" s="1542">
        <v>11910.74</v>
      </c>
      <c r="C2550" s="1542">
        <v>148.08000000000001</v>
      </c>
      <c r="D2550" s="1542">
        <v>5402.35</v>
      </c>
      <c r="E2550" s="1542">
        <v>1826.19</v>
      </c>
    </row>
    <row r="2551" spans="1:5">
      <c r="A2551" s="1541">
        <v>41466</v>
      </c>
      <c r="B2551" s="1542">
        <v>11847.44</v>
      </c>
      <c r="C2551" s="1542">
        <v>146.86000000000001</v>
      </c>
      <c r="D2551" s="1542">
        <v>5396.44</v>
      </c>
      <c r="E2551" s="1542">
        <v>1821.34</v>
      </c>
    </row>
    <row r="2552" spans="1:5">
      <c r="A2552" s="1541">
        <v>41465</v>
      </c>
      <c r="B2552" s="1542">
        <v>11600.46</v>
      </c>
      <c r="C2552" s="1542">
        <v>145.19</v>
      </c>
      <c r="D2552" s="1542">
        <v>5311.94</v>
      </c>
      <c r="E2552" s="1542">
        <v>1768.66</v>
      </c>
    </row>
    <row r="2553" spans="1:5">
      <c r="A2553" s="1541">
        <v>41464</v>
      </c>
      <c r="B2553" s="1542">
        <v>11537.69</v>
      </c>
      <c r="C2553" s="1542">
        <v>145.47</v>
      </c>
      <c r="D2553" s="1542">
        <v>5294.15</v>
      </c>
      <c r="E2553" s="1542">
        <v>1762.74</v>
      </c>
    </row>
    <row r="2554" spans="1:5">
      <c r="A2554" s="1541">
        <v>41463</v>
      </c>
      <c r="B2554" s="1542">
        <v>11412.61</v>
      </c>
      <c r="C2554" s="1542">
        <v>144.6</v>
      </c>
      <c r="D2554" s="1542">
        <v>5254.61</v>
      </c>
      <c r="E2554" s="1542">
        <v>1749.67</v>
      </c>
    </row>
    <row r="2555" spans="1:5">
      <c r="A2555" s="1541">
        <v>41462</v>
      </c>
      <c r="B2555" s="1542"/>
      <c r="C2555" s="1542"/>
      <c r="D2555" s="1542"/>
      <c r="E2555" s="1542"/>
    </row>
    <row r="2556" spans="1:5">
      <c r="A2556" s="1541">
        <v>41461</v>
      </c>
      <c r="B2556" s="1542"/>
      <c r="C2556" s="1542"/>
      <c r="D2556" s="1542"/>
      <c r="E2556" s="1542"/>
    </row>
    <row r="2557" spans="1:5">
      <c r="A2557" s="1541">
        <v>41460</v>
      </c>
      <c r="B2557" s="1542">
        <v>11560.42</v>
      </c>
      <c r="C2557" s="1542">
        <v>145.63999999999999</v>
      </c>
      <c r="D2557" s="1542">
        <v>5223.24</v>
      </c>
      <c r="E2557" s="1542">
        <v>1771.65</v>
      </c>
    </row>
    <row r="2558" spans="1:5">
      <c r="A2558" s="1541">
        <v>41459</v>
      </c>
      <c r="B2558" s="1542">
        <v>11403.28</v>
      </c>
      <c r="C2558" s="1542">
        <v>144.44</v>
      </c>
      <c r="D2558" s="1542">
        <v>5220.1000000000004</v>
      </c>
      <c r="E2558" s="1542">
        <v>1780.3</v>
      </c>
    </row>
    <row r="2559" spans="1:5">
      <c r="A2559" s="1541">
        <v>41458</v>
      </c>
      <c r="B2559" s="1542">
        <v>11420.25</v>
      </c>
      <c r="C2559" s="1542">
        <v>145.55000000000001</v>
      </c>
      <c r="D2559" s="1542">
        <v>5192.5200000000004</v>
      </c>
      <c r="E2559" s="1542">
        <v>1760.99</v>
      </c>
    </row>
    <row r="2560" spans="1:5">
      <c r="A2560" s="1541">
        <v>41457</v>
      </c>
      <c r="B2560" s="1542">
        <v>11528.11</v>
      </c>
      <c r="C2560" s="1542">
        <v>146.43</v>
      </c>
      <c r="D2560" s="1542">
        <v>5207.72</v>
      </c>
      <c r="E2560" s="1542">
        <v>1798.01</v>
      </c>
    </row>
    <row r="2561" spans="1:5">
      <c r="A2561" s="1541">
        <v>41456</v>
      </c>
      <c r="B2561" s="1542">
        <v>11553.25</v>
      </c>
      <c r="C2561" s="1542">
        <v>146.66999999999999</v>
      </c>
      <c r="D2561" s="1542">
        <v>5205.16</v>
      </c>
      <c r="E2561" s="1542">
        <v>1816.88</v>
      </c>
    </row>
    <row r="2562" spans="1:5">
      <c r="A2562" s="1541">
        <v>41455</v>
      </c>
      <c r="B2562" s="1542"/>
      <c r="C2562" s="1542"/>
      <c r="D2562" s="1542"/>
      <c r="E2562" s="1542"/>
    </row>
    <row r="2563" spans="1:5">
      <c r="A2563" s="1541">
        <v>41454</v>
      </c>
      <c r="B2563" s="1542"/>
      <c r="C2563" s="1542"/>
      <c r="D2563" s="1542"/>
      <c r="E2563" s="1542"/>
    </row>
    <row r="2564" spans="1:5">
      <c r="A2564" s="1541">
        <v>41453</v>
      </c>
      <c r="B2564" s="1542">
        <v>11584.02</v>
      </c>
      <c r="C2564" s="1542">
        <v>143.65</v>
      </c>
      <c r="D2564" s="1542">
        <v>5165.88</v>
      </c>
      <c r="E2564" s="1542">
        <v>1813.5</v>
      </c>
    </row>
    <row r="2565" spans="1:5">
      <c r="A2565" s="1541">
        <v>41452</v>
      </c>
      <c r="B2565" s="1542">
        <v>11324.96</v>
      </c>
      <c r="C2565" s="1542">
        <v>143.6</v>
      </c>
      <c r="D2565" s="1542">
        <v>5174.72</v>
      </c>
      <c r="E2565" s="1542">
        <v>1772.89</v>
      </c>
    </row>
    <row r="2566" spans="1:5">
      <c r="A2566" s="1541">
        <v>41451</v>
      </c>
      <c r="B2566" s="1542">
        <v>11178.22</v>
      </c>
      <c r="C2566" s="1542">
        <v>141.63999999999999</v>
      </c>
      <c r="D2566" s="1542">
        <v>5136.37</v>
      </c>
      <c r="E2566" s="1542">
        <v>1738.67</v>
      </c>
    </row>
    <row r="2567" spans="1:5">
      <c r="A2567" s="1541">
        <v>41450</v>
      </c>
      <c r="B2567" s="1542">
        <v>11002.22</v>
      </c>
      <c r="C2567" s="1542">
        <v>139.55000000000001</v>
      </c>
      <c r="D2567" s="1542">
        <v>5088.1499999999996</v>
      </c>
      <c r="E2567" s="1542">
        <v>1707.43</v>
      </c>
    </row>
    <row r="2568" spans="1:5">
      <c r="A2568" s="1541">
        <v>41449</v>
      </c>
      <c r="B2568" s="1542">
        <v>11138.18</v>
      </c>
      <c r="C2568" s="1542">
        <v>143.75</v>
      </c>
      <c r="D2568" s="1542">
        <v>5046.24</v>
      </c>
      <c r="E2568" s="1542">
        <v>1702.4</v>
      </c>
    </row>
    <row r="2569" spans="1:5">
      <c r="A2569" s="1541">
        <v>41448</v>
      </c>
      <c r="B2569" s="1542"/>
      <c r="C2569" s="1542"/>
      <c r="D2569" s="1542"/>
      <c r="E2569" s="1542"/>
    </row>
    <row r="2570" spans="1:5">
      <c r="A2570" s="1541">
        <v>41447</v>
      </c>
      <c r="B2570" s="1542"/>
      <c r="C2570" s="1542"/>
      <c r="D2570" s="1542"/>
      <c r="E2570" s="1542"/>
    </row>
    <row r="2571" spans="1:5">
      <c r="A2571" s="1541">
        <v>41446</v>
      </c>
      <c r="B2571" s="1542">
        <v>11188.72</v>
      </c>
      <c r="C2571" s="1542">
        <v>144.03</v>
      </c>
      <c r="D2571" s="1542">
        <v>5118.1400000000003</v>
      </c>
      <c r="E2571" s="1542">
        <v>1735.37</v>
      </c>
    </row>
    <row r="2572" spans="1:5">
      <c r="A2572" s="1541">
        <v>41445</v>
      </c>
      <c r="B2572" s="1542">
        <v>11340.17</v>
      </c>
      <c r="C2572" s="1542">
        <v>146.15</v>
      </c>
      <c r="D2572" s="1542">
        <v>5127.78</v>
      </c>
      <c r="E2572" s="1542">
        <v>1750.42</v>
      </c>
    </row>
    <row r="2573" spans="1:5">
      <c r="A2573" s="1541">
        <v>41444</v>
      </c>
      <c r="B2573" s="1542">
        <v>11495.91</v>
      </c>
      <c r="C2573" s="1542">
        <v>147.77000000000001</v>
      </c>
      <c r="D2573" s="1542">
        <v>5310.95</v>
      </c>
      <c r="E2573" s="1542">
        <v>1823.77</v>
      </c>
    </row>
    <row r="2574" spans="1:5">
      <c r="A2574" s="1541">
        <v>41443</v>
      </c>
      <c r="B2574" s="1542">
        <v>11500.01</v>
      </c>
      <c r="C2574" s="1542">
        <v>147.38999999999999</v>
      </c>
      <c r="D2574" s="1542">
        <v>5340.1</v>
      </c>
      <c r="E2574" s="1542">
        <v>1836.5</v>
      </c>
    </row>
    <row r="2575" spans="1:5">
      <c r="A2575" s="1541">
        <v>41442</v>
      </c>
      <c r="B2575" s="1542">
        <v>11473.99</v>
      </c>
      <c r="C2575" s="1542">
        <v>146.43</v>
      </c>
      <c r="D2575" s="1542">
        <v>5318.13</v>
      </c>
      <c r="E2575" s="1542">
        <v>1843.31</v>
      </c>
    </row>
    <row r="2576" spans="1:5">
      <c r="A2576" s="1541">
        <v>41441</v>
      </c>
      <c r="B2576" s="1542"/>
      <c r="C2576" s="1542"/>
      <c r="D2576" s="1542"/>
      <c r="E2576" s="1542"/>
    </row>
    <row r="2577" spans="1:5">
      <c r="A2577" s="1541">
        <v>41440</v>
      </c>
      <c r="B2577" s="1542"/>
      <c r="C2577" s="1542"/>
      <c r="D2577" s="1542"/>
      <c r="E2577" s="1542"/>
    </row>
    <row r="2578" spans="1:5">
      <c r="A2578" s="1541">
        <v>41439</v>
      </c>
      <c r="B2578" s="1542">
        <v>11394.82</v>
      </c>
      <c r="C2578" s="1542">
        <v>144.13999999999999</v>
      </c>
      <c r="D2578" s="1542">
        <v>5270.77</v>
      </c>
      <c r="E2578" s="1542">
        <v>1835.19</v>
      </c>
    </row>
    <row r="2579" spans="1:5">
      <c r="A2579" s="1541">
        <v>41438</v>
      </c>
      <c r="B2579" s="1542">
        <v>11414.8</v>
      </c>
      <c r="C2579" s="1542">
        <v>145.25</v>
      </c>
      <c r="D2579" s="1542">
        <v>5272.1</v>
      </c>
      <c r="E2579" s="1542">
        <v>1815.7</v>
      </c>
    </row>
    <row r="2580" spans="1:5">
      <c r="A2580" s="1541">
        <v>41437</v>
      </c>
      <c r="B2580" s="1542"/>
      <c r="C2580" s="1542"/>
      <c r="D2580" s="1542">
        <v>5247.83</v>
      </c>
      <c r="E2580" s="1542">
        <v>1834.57</v>
      </c>
    </row>
    <row r="2581" spans="1:5">
      <c r="A2581" s="1541">
        <v>41436</v>
      </c>
      <c r="B2581" s="1542">
        <v>11650.66</v>
      </c>
      <c r="C2581" s="1542">
        <v>148.18</v>
      </c>
      <c r="D2581" s="1542">
        <v>5266.62</v>
      </c>
      <c r="E2581" s="1542">
        <v>1834.51</v>
      </c>
    </row>
    <row r="2582" spans="1:5">
      <c r="A2582" s="1541">
        <v>41435</v>
      </c>
      <c r="B2582" s="1542">
        <v>11714.4</v>
      </c>
      <c r="C2582" s="1542">
        <v>148.63</v>
      </c>
      <c r="D2582" s="1542">
        <v>5301.51</v>
      </c>
      <c r="E2582" s="1542">
        <v>1870.03</v>
      </c>
    </row>
    <row r="2583" spans="1:5">
      <c r="A2583" s="1541">
        <v>41434</v>
      </c>
      <c r="B2583" s="1542"/>
      <c r="C2583" s="1542"/>
      <c r="D2583" s="1542"/>
      <c r="E2583" s="1542"/>
    </row>
    <row r="2584" spans="1:5">
      <c r="A2584" s="1541">
        <v>41433</v>
      </c>
      <c r="B2584" s="1542"/>
      <c r="C2584" s="1542"/>
      <c r="D2584" s="1542"/>
      <c r="E2584" s="1542"/>
    </row>
    <row r="2585" spans="1:5">
      <c r="A2585" s="1541">
        <v>41432</v>
      </c>
      <c r="B2585" s="1542">
        <v>11620.04</v>
      </c>
      <c r="C2585" s="1542">
        <v>146.87</v>
      </c>
      <c r="D2585" s="1542">
        <v>5290.8</v>
      </c>
      <c r="E2585" s="1542">
        <v>1884.47</v>
      </c>
    </row>
    <row r="2586" spans="1:5">
      <c r="A2586" s="1541">
        <v>41431</v>
      </c>
      <c r="B2586" s="1542">
        <v>11621.1</v>
      </c>
      <c r="C2586" s="1542">
        <v>148.47999999999999</v>
      </c>
      <c r="D2586" s="1542">
        <v>5235.6099999999997</v>
      </c>
      <c r="E2586" s="1542">
        <v>1891.66</v>
      </c>
    </row>
    <row r="2587" spans="1:5">
      <c r="A2587" s="1541">
        <v>41430</v>
      </c>
      <c r="B2587" s="1542">
        <v>11743.81</v>
      </c>
      <c r="C2587" s="1542">
        <v>148.91</v>
      </c>
      <c r="D2587" s="1542">
        <v>5220.75</v>
      </c>
      <c r="E2587" s="1542">
        <v>1903.68</v>
      </c>
    </row>
    <row r="2588" spans="1:5">
      <c r="A2588" s="1541">
        <v>41429</v>
      </c>
      <c r="B2588" s="1542">
        <v>11757.16</v>
      </c>
      <c r="C2588" s="1542">
        <v>149.51</v>
      </c>
      <c r="D2588" s="1542">
        <v>5300.35</v>
      </c>
      <c r="E2588" s="1542">
        <v>1927.84</v>
      </c>
    </row>
    <row r="2589" spans="1:5">
      <c r="A2589" s="1541">
        <v>41428</v>
      </c>
      <c r="B2589" s="1542">
        <v>11771.23</v>
      </c>
      <c r="C2589" s="1542">
        <v>149.72</v>
      </c>
      <c r="D2589" s="1542">
        <v>5297.51</v>
      </c>
      <c r="E2589" s="1542">
        <v>1916.09</v>
      </c>
    </row>
    <row r="2590" spans="1:5">
      <c r="A2590" s="1541">
        <v>41427</v>
      </c>
      <c r="B2590" s="1542"/>
      <c r="C2590" s="1542"/>
      <c r="D2590" s="1542"/>
      <c r="E2590" s="1542"/>
    </row>
    <row r="2591" spans="1:5">
      <c r="A2591" s="1541">
        <v>41426</v>
      </c>
      <c r="B2591" s="1542"/>
      <c r="C2591" s="1542"/>
      <c r="D2591" s="1542"/>
      <c r="E2591" s="1542"/>
    </row>
    <row r="2592" spans="1:5">
      <c r="A2592" s="1541">
        <v>41425</v>
      </c>
      <c r="B2592" s="1542">
        <v>11848.42</v>
      </c>
      <c r="C2592" s="1542">
        <v>149.57</v>
      </c>
      <c r="D2592" s="1542">
        <v>5294.21</v>
      </c>
      <c r="E2592" s="1542">
        <v>1935.82</v>
      </c>
    </row>
    <row r="2593" spans="1:5">
      <c r="A2593" s="1541">
        <v>41424</v>
      </c>
      <c r="B2593" s="1542">
        <v>11831.9</v>
      </c>
      <c r="C2593" s="1542">
        <v>149.16999999999999</v>
      </c>
      <c r="D2593" s="1542">
        <v>5365.39</v>
      </c>
      <c r="E2593" s="1542">
        <v>1949.33</v>
      </c>
    </row>
    <row r="2594" spans="1:5">
      <c r="A2594" s="1541">
        <v>41423</v>
      </c>
      <c r="B2594" s="1542">
        <v>11967.71</v>
      </c>
      <c r="C2594" s="1542">
        <v>149.36000000000001</v>
      </c>
      <c r="D2594" s="1542">
        <v>5355.66</v>
      </c>
      <c r="E2594" s="1542">
        <v>1956.62</v>
      </c>
    </row>
    <row r="2595" spans="1:5">
      <c r="A2595" s="1541">
        <v>41422</v>
      </c>
      <c r="B2595" s="1542">
        <v>11860.28</v>
      </c>
      <c r="C2595" s="1542">
        <v>147.88999999999999</v>
      </c>
      <c r="D2595" s="1542">
        <v>5382.43</v>
      </c>
      <c r="E2595" s="1542">
        <v>1975.96</v>
      </c>
    </row>
    <row r="2596" spans="1:5">
      <c r="A2596" s="1541">
        <v>41421</v>
      </c>
      <c r="B2596" s="1542">
        <v>11884.74</v>
      </c>
      <c r="C2596" s="1542">
        <v>147.22999999999999</v>
      </c>
      <c r="D2596" s="1542">
        <v>5355.13</v>
      </c>
      <c r="E2596" s="1542">
        <v>1971.25</v>
      </c>
    </row>
    <row r="2597" spans="1:5">
      <c r="A2597" s="1541">
        <v>41420</v>
      </c>
      <c r="B2597" s="1542"/>
      <c r="C2597" s="1542"/>
      <c r="D2597" s="1542"/>
      <c r="E2597" s="1542"/>
    </row>
    <row r="2598" spans="1:5">
      <c r="A2598" s="1541">
        <v>41419</v>
      </c>
      <c r="B2598" s="1542"/>
      <c r="C2598" s="1542"/>
      <c r="D2598" s="1542"/>
      <c r="E2598" s="1542"/>
    </row>
    <row r="2599" spans="1:5">
      <c r="A2599" s="1541">
        <v>41418</v>
      </c>
      <c r="B2599" s="1542">
        <v>11783.8</v>
      </c>
      <c r="C2599" s="1542">
        <v>146.11000000000001</v>
      </c>
      <c r="D2599" s="1542">
        <v>5366.39</v>
      </c>
      <c r="E2599" s="1542">
        <v>1967.6</v>
      </c>
    </row>
    <row r="2600" spans="1:5">
      <c r="A2600" s="1541">
        <v>41417</v>
      </c>
      <c r="B2600" s="1542">
        <v>11824.07</v>
      </c>
      <c r="C2600" s="1542">
        <v>146.99</v>
      </c>
      <c r="D2600" s="1542">
        <v>5368.26</v>
      </c>
      <c r="E2600" s="1542">
        <v>1966.04</v>
      </c>
    </row>
    <row r="2601" spans="1:5">
      <c r="A2601" s="1541">
        <v>41416</v>
      </c>
      <c r="B2601" s="1542">
        <v>12055.18</v>
      </c>
      <c r="C2601" s="1542">
        <v>148.66999999999999</v>
      </c>
      <c r="D2601" s="1542">
        <v>5437.73</v>
      </c>
      <c r="E2601" s="1542">
        <v>2008.35</v>
      </c>
    </row>
    <row r="2602" spans="1:5">
      <c r="A2602" s="1541">
        <v>41415</v>
      </c>
      <c r="B2602" s="1542">
        <v>12032.34</v>
      </c>
      <c r="C2602" s="1542">
        <v>148.25</v>
      </c>
      <c r="D2602" s="1542">
        <v>5464.44</v>
      </c>
      <c r="E2602" s="1542">
        <v>2008.3</v>
      </c>
    </row>
    <row r="2603" spans="1:5">
      <c r="A2603" s="1541">
        <v>41414</v>
      </c>
      <c r="B2603" s="1542">
        <v>12023.21</v>
      </c>
      <c r="C2603" s="1542">
        <v>147.47</v>
      </c>
      <c r="D2603" s="1542">
        <v>5455.92</v>
      </c>
      <c r="E2603" s="1542">
        <v>2008.04</v>
      </c>
    </row>
    <row r="2604" spans="1:5">
      <c r="A2604" s="1541">
        <v>41413</v>
      </c>
      <c r="B2604" s="1542"/>
      <c r="C2604" s="1542"/>
      <c r="D2604" s="1542"/>
      <c r="E2604" s="1542"/>
    </row>
    <row r="2605" spans="1:5">
      <c r="A2605" s="1541">
        <v>41412</v>
      </c>
      <c r="B2605" s="1542"/>
      <c r="C2605" s="1542"/>
      <c r="D2605" s="1542"/>
      <c r="E2605" s="1542"/>
    </row>
    <row r="2606" spans="1:5">
      <c r="A2606" s="1541">
        <v>41411</v>
      </c>
      <c r="B2606" s="1542">
        <v>12010.5</v>
      </c>
      <c r="C2606" s="1542">
        <v>147.25</v>
      </c>
      <c r="D2606" s="1542">
        <v>5435.28</v>
      </c>
      <c r="E2606" s="1542">
        <v>2003.03</v>
      </c>
    </row>
    <row r="2607" spans="1:5">
      <c r="A2607" s="1541">
        <v>41410</v>
      </c>
      <c r="B2607" s="1542">
        <v>12041.87</v>
      </c>
      <c r="C2607" s="1542">
        <v>146.63999999999999</v>
      </c>
      <c r="D2607" s="1542">
        <v>5416.73</v>
      </c>
      <c r="E2607" s="1542">
        <v>2004.01</v>
      </c>
    </row>
    <row r="2608" spans="1:5">
      <c r="A2608" s="1541">
        <v>41409</v>
      </c>
      <c r="B2608" s="1542">
        <v>11939.31</v>
      </c>
      <c r="C2608" s="1542">
        <v>144.74</v>
      </c>
      <c r="D2608" s="1542">
        <v>5426.3</v>
      </c>
      <c r="E2608" s="1542">
        <v>2003.36</v>
      </c>
    </row>
    <row r="2609" spans="1:5">
      <c r="A2609" s="1541">
        <v>41408</v>
      </c>
      <c r="B2609" s="1542">
        <v>11843.48</v>
      </c>
      <c r="C2609" s="1542">
        <v>143.72999999999999</v>
      </c>
      <c r="D2609" s="1542">
        <v>5406.62</v>
      </c>
      <c r="E2609" s="1542">
        <v>2003.26</v>
      </c>
    </row>
    <row r="2610" spans="1:5">
      <c r="A2610" s="1541">
        <v>41407</v>
      </c>
      <c r="B2610" s="1542">
        <v>11838.45</v>
      </c>
      <c r="C2610" s="1542">
        <v>143.26</v>
      </c>
      <c r="D2610" s="1542">
        <v>5374.5</v>
      </c>
      <c r="E2610" s="1542">
        <v>1993.2</v>
      </c>
    </row>
    <row r="2611" spans="1:5">
      <c r="A2611" s="1541">
        <v>41406</v>
      </c>
      <c r="B2611" s="1542"/>
      <c r="C2611" s="1542"/>
      <c r="D2611" s="1542"/>
      <c r="E2611" s="1542"/>
    </row>
    <row r="2612" spans="1:5">
      <c r="A2612" s="1541">
        <v>41405</v>
      </c>
      <c r="B2612" s="1542"/>
      <c r="C2612" s="1542"/>
      <c r="D2612" s="1542"/>
      <c r="E2612" s="1542"/>
    </row>
    <row r="2613" spans="1:5">
      <c r="A2613" s="1541">
        <v>41404</v>
      </c>
      <c r="B2613" s="1542">
        <v>11884.3</v>
      </c>
      <c r="C2613" s="1542">
        <v>143.74</v>
      </c>
      <c r="D2613" s="1542">
        <v>5367.73</v>
      </c>
      <c r="E2613" s="1542">
        <v>2009.83</v>
      </c>
    </row>
    <row r="2614" spans="1:5">
      <c r="A2614" s="1541">
        <v>41403</v>
      </c>
      <c r="B2614" s="1542">
        <v>11892.37</v>
      </c>
      <c r="C2614" s="1542">
        <v>143.34</v>
      </c>
      <c r="D2614" s="1542">
        <v>5366.91</v>
      </c>
      <c r="E2614" s="1542">
        <v>2028.48</v>
      </c>
    </row>
    <row r="2615" spans="1:5">
      <c r="A2615" s="1541">
        <v>41402</v>
      </c>
      <c r="B2615" s="1542">
        <v>11865.22</v>
      </c>
      <c r="C2615" s="1542">
        <v>142.72</v>
      </c>
      <c r="D2615" s="1542">
        <v>5392.41</v>
      </c>
      <c r="E2615" s="1542">
        <v>2029.36</v>
      </c>
    </row>
    <row r="2616" spans="1:5">
      <c r="A2616" s="1541">
        <v>41401</v>
      </c>
      <c r="B2616" s="1542">
        <v>11715.91</v>
      </c>
      <c r="C2616" s="1542">
        <v>142.09</v>
      </c>
      <c r="D2616" s="1542">
        <v>5348.06</v>
      </c>
      <c r="E2616" s="1542">
        <v>2012.78</v>
      </c>
    </row>
    <row r="2617" spans="1:5">
      <c r="A2617" s="1541">
        <v>41400</v>
      </c>
      <c r="B2617" s="1542">
        <v>11724.5</v>
      </c>
      <c r="C2617" s="1542">
        <v>141.77000000000001</v>
      </c>
      <c r="D2617" s="1542">
        <v>5310.91</v>
      </c>
      <c r="E2617" s="1542">
        <v>1999.85</v>
      </c>
    </row>
    <row r="2618" spans="1:5">
      <c r="A2618" s="1541">
        <v>41399</v>
      </c>
      <c r="B2618" s="1542"/>
      <c r="C2618" s="1542"/>
      <c r="D2618" s="1542"/>
      <c r="E2618" s="1542"/>
    </row>
    <row r="2619" spans="1:5">
      <c r="A2619" s="1541">
        <v>41398</v>
      </c>
      <c r="B2619" s="1542"/>
      <c r="C2619" s="1542"/>
      <c r="D2619" s="1542"/>
      <c r="E2619" s="1542"/>
    </row>
    <row r="2620" spans="1:5">
      <c r="A2620" s="1541">
        <v>41397</v>
      </c>
      <c r="B2620" s="1542">
        <v>11675.68</v>
      </c>
      <c r="C2620" s="1542">
        <v>141.74</v>
      </c>
      <c r="D2620" s="1542">
        <v>5312.24</v>
      </c>
      <c r="E2620" s="1542">
        <v>1992.36</v>
      </c>
    </row>
    <row r="2621" spans="1:5">
      <c r="A2621" s="1541">
        <v>41396</v>
      </c>
      <c r="B2621" s="1542">
        <v>11666.32</v>
      </c>
      <c r="C2621" s="1542">
        <v>142.41999999999999</v>
      </c>
      <c r="D2621" s="1542">
        <v>5265.98</v>
      </c>
      <c r="E2621" s="1542">
        <v>1982.85</v>
      </c>
    </row>
    <row r="2622" spans="1:5">
      <c r="A2622" s="1541">
        <v>41395</v>
      </c>
      <c r="B2622" s="1542"/>
      <c r="C2622" s="1542"/>
      <c r="D2622" s="1542">
        <v>5253.51</v>
      </c>
      <c r="E2622" s="1542">
        <v>1983.29</v>
      </c>
    </row>
    <row r="2623" spans="1:5">
      <c r="A2623" s="1541">
        <v>41394</v>
      </c>
      <c r="B2623" s="1542">
        <v>11616.3</v>
      </c>
      <c r="C2623" s="1542">
        <v>141.44999999999999</v>
      </c>
      <c r="D2623" s="1542">
        <v>5287.52</v>
      </c>
      <c r="E2623" s="1542">
        <v>1985.83</v>
      </c>
    </row>
    <row r="2624" spans="1:5">
      <c r="A2624" s="1541">
        <v>41393</v>
      </c>
      <c r="B2624" s="1542">
        <v>11524.56</v>
      </c>
      <c r="C2624" s="1542">
        <v>140.13999999999999</v>
      </c>
      <c r="D2624" s="1542">
        <v>5259.27</v>
      </c>
      <c r="E2624" s="1542">
        <v>1961.75</v>
      </c>
    </row>
    <row r="2625" spans="1:5">
      <c r="A2625" s="1541">
        <v>41392</v>
      </c>
      <c r="B2625" s="1542"/>
      <c r="C2625" s="1542"/>
      <c r="D2625" s="1542"/>
      <c r="E2625" s="1542"/>
    </row>
    <row r="2626" spans="1:5">
      <c r="A2626" s="1541">
        <v>41391</v>
      </c>
      <c r="B2626" s="1542"/>
      <c r="C2626" s="1542"/>
      <c r="D2626" s="1542"/>
      <c r="E2626" s="1542"/>
    </row>
    <row r="2627" spans="1:5">
      <c r="A2627" s="1541">
        <v>41390</v>
      </c>
      <c r="B2627" s="1542">
        <v>11513.53</v>
      </c>
      <c r="C2627" s="1542">
        <v>140.29</v>
      </c>
      <c r="D2627" s="1542">
        <v>5219.3500000000004</v>
      </c>
      <c r="E2627" s="1542">
        <v>1951.8</v>
      </c>
    </row>
    <row r="2628" spans="1:5">
      <c r="A2628" s="1541">
        <v>41389</v>
      </c>
      <c r="B2628" s="1542">
        <v>11513.1</v>
      </c>
      <c r="C2628" s="1542">
        <v>140.72999999999999</v>
      </c>
      <c r="D2628" s="1542">
        <v>5223.0600000000004</v>
      </c>
      <c r="E2628" s="1542">
        <v>1961.05</v>
      </c>
    </row>
    <row r="2629" spans="1:5">
      <c r="A2629" s="1541">
        <v>41388</v>
      </c>
      <c r="B2629" s="1542">
        <v>11515.9</v>
      </c>
      <c r="C2629" s="1542">
        <v>141.06</v>
      </c>
      <c r="D2629" s="1542">
        <v>5192.1899999999996</v>
      </c>
      <c r="E2629" s="1542">
        <v>1942.41</v>
      </c>
    </row>
    <row r="2630" spans="1:5">
      <c r="A2630" s="1541">
        <v>41387</v>
      </c>
      <c r="B2630" s="1542">
        <v>11399.27</v>
      </c>
      <c r="C2630" s="1542">
        <v>140.18</v>
      </c>
      <c r="D2630" s="1542">
        <v>5165.88</v>
      </c>
      <c r="E2630" s="1542">
        <v>1927.3</v>
      </c>
    </row>
    <row r="2631" spans="1:5">
      <c r="A2631" s="1541">
        <v>41386</v>
      </c>
      <c r="B2631" s="1542">
        <v>11438.89</v>
      </c>
      <c r="C2631" s="1542">
        <v>140.12</v>
      </c>
      <c r="D2631" s="1542">
        <v>5105.46</v>
      </c>
      <c r="E2631" s="1542">
        <v>1931.32</v>
      </c>
    </row>
    <row r="2632" spans="1:5">
      <c r="A2632" s="1541">
        <v>41385</v>
      </c>
      <c r="B2632" s="1542"/>
      <c r="C2632" s="1542"/>
      <c r="D2632" s="1542"/>
      <c r="E2632" s="1542"/>
    </row>
    <row r="2633" spans="1:5">
      <c r="A2633" s="1541">
        <v>41384</v>
      </c>
      <c r="B2633" s="1542"/>
      <c r="C2633" s="1542"/>
      <c r="D2633" s="1542"/>
      <c r="E2633" s="1542"/>
    </row>
    <row r="2634" spans="1:5">
      <c r="A2634" s="1541">
        <v>41383</v>
      </c>
      <c r="B2634" s="1542">
        <v>11382.08</v>
      </c>
      <c r="C2634" s="1542">
        <v>140.1</v>
      </c>
      <c r="D2634" s="1542">
        <v>5087.72</v>
      </c>
      <c r="E2634" s="1542">
        <v>1929.42</v>
      </c>
    </row>
    <row r="2635" spans="1:5">
      <c r="A2635" s="1541">
        <v>41382</v>
      </c>
      <c r="B2635" s="1542">
        <v>11181.95</v>
      </c>
      <c r="C2635" s="1542">
        <v>138.22</v>
      </c>
      <c r="D2635" s="1542">
        <v>5056.3100000000004</v>
      </c>
      <c r="E2635" s="1542">
        <v>1902.84</v>
      </c>
    </row>
    <row r="2636" spans="1:5">
      <c r="A2636" s="1541">
        <v>41381</v>
      </c>
      <c r="B2636" s="1542">
        <v>11207.38</v>
      </c>
      <c r="C2636" s="1542">
        <v>138.19999999999999</v>
      </c>
      <c r="D2636" s="1542">
        <v>5081.1499999999996</v>
      </c>
      <c r="E2636" s="1542">
        <v>1909.72</v>
      </c>
    </row>
    <row r="2637" spans="1:5">
      <c r="A2637" s="1541">
        <v>41380</v>
      </c>
      <c r="B2637" s="1542">
        <v>11195.86</v>
      </c>
      <c r="C2637" s="1542">
        <v>137.28</v>
      </c>
      <c r="D2637" s="1542">
        <v>5145.49</v>
      </c>
      <c r="E2637" s="1542">
        <v>1923.63</v>
      </c>
    </row>
    <row r="2638" spans="1:5">
      <c r="A2638" s="1541">
        <v>41379</v>
      </c>
      <c r="B2638" s="1542">
        <v>11142.03</v>
      </c>
      <c r="C2638" s="1542">
        <v>136.74</v>
      </c>
      <c r="D2638" s="1542">
        <v>5117.72</v>
      </c>
      <c r="E2638" s="1542">
        <v>1912.9</v>
      </c>
    </row>
    <row r="2639" spans="1:5">
      <c r="A2639" s="1541">
        <v>41378</v>
      </c>
      <c r="B2639" s="1542"/>
      <c r="C2639" s="1542"/>
      <c r="D2639" s="1542"/>
      <c r="E2639" s="1542"/>
    </row>
    <row r="2640" spans="1:5">
      <c r="A2640" s="1541">
        <v>41377</v>
      </c>
      <c r="B2640" s="1542"/>
      <c r="C2640" s="1542"/>
      <c r="D2640" s="1542"/>
      <c r="E2640" s="1542"/>
    </row>
    <row r="2641" spans="1:5">
      <c r="A2641" s="1541">
        <v>41376</v>
      </c>
      <c r="B2641" s="1542">
        <v>11225.41</v>
      </c>
      <c r="C2641" s="1542">
        <v>138.19999999999999</v>
      </c>
      <c r="D2641" s="1542">
        <v>5207.29</v>
      </c>
      <c r="E2641" s="1542">
        <v>1943.68</v>
      </c>
    </row>
    <row r="2642" spans="1:5">
      <c r="A2642" s="1541">
        <v>41375</v>
      </c>
      <c r="B2642" s="1542">
        <v>11277.58</v>
      </c>
      <c r="C2642" s="1542">
        <v>138.5</v>
      </c>
      <c r="D2642" s="1542">
        <v>5228.8</v>
      </c>
      <c r="E2642" s="1542">
        <v>1961.33</v>
      </c>
    </row>
    <row r="2643" spans="1:5">
      <c r="A2643" s="1541">
        <v>41374</v>
      </c>
      <c r="B2643" s="1542">
        <v>11126.62</v>
      </c>
      <c r="C2643" s="1542">
        <v>137.63999999999999</v>
      </c>
      <c r="D2643" s="1542">
        <v>5190.79</v>
      </c>
      <c r="E2643" s="1542">
        <v>1952.25</v>
      </c>
    </row>
    <row r="2644" spans="1:5">
      <c r="A2644" s="1541">
        <v>41373</v>
      </c>
      <c r="B2644" s="1542">
        <v>11091.81</v>
      </c>
      <c r="C2644" s="1542">
        <v>137.19</v>
      </c>
      <c r="D2644" s="1542">
        <v>5120.82</v>
      </c>
      <c r="E2644" s="1542">
        <v>1935.78</v>
      </c>
    </row>
    <row r="2645" spans="1:5">
      <c r="A2645" s="1541">
        <v>41372</v>
      </c>
      <c r="B2645" s="1542">
        <v>11126.6</v>
      </c>
      <c r="C2645" s="1542">
        <v>137.36000000000001</v>
      </c>
      <c r="D2645" s="1542">
        <v>5097.3100000000004</v>
      </c>
      <c r="E2645" s="1542">
        <v>1917.89</v>
      </c>
    </row>
    <row r="2646" spans="1:5">
      <c r="A2646" s="1541">
        <v>41371</v>
      </c>
      <c r="B2646" s="1542"/>
      <c r="C2646" s="1542"/>
      <c r="D2646" s="1542"/>
      <c r="E2646" s="1542"/>
    </row>
    <row r="2647" spans="1:5">
      <c r="A2647" s="1541">
        <v>41370</v>
      </c>
      <c r="B2647" s="1542"/>
      <c r="C2647" s="1542"/>
      <c r="D2647" s="1542"/>
      <c r="E2647" s="1542"/>
    </row>
    <row r="2648" spans="1:5">
      <c r="A2648" s="1541">
        <v>41369</v>
      </c>
      <c r="B2648" s="1542"/>
      <c r="C2648" s="1542"/>
      <c r="D2648" s="1542">
        <v>5069.38</v>
      </c>
      <c r="E2648" s="1542">
        <v>1920.22</v>
      </c>
    </row>
    <row r="2649" spans="1:5">
      <c r="A2649" s="1541">
        <v>41368</v>
      </c>
      <c r="B2649" s="1542"/>
      <c r="C2649" s="1542"/>
      <c r="D2649" s="1542">
        <v>5080.24</v>
      </c>
      <c r="E2649" s="1542">
        <v>1937.03</v>
      </c>
    </row>
    <row r="2650" spans="1:5">
      <c r="A2650" s="1541">
        <v>41367</v>
      </c>
      <c r="B2650" s="1542">
        <v>11398.66</v>
      </c>
      <c r="C2650" s="1542">
        <v>140.94</v>
      </c>
      <c r="D2650" s="1542">
        <v>5091.93</v>
      </c>
      <c r="E2650" s="1542">
        <v>1951.99</v>
      </c>
    </row>
    <row r="2651" spans="1:5">
      <c r="A2651" s="1541">
        <v>41366</v>
      </c>
      <c r="B2651" s="1542">
        <v>11356.8</v>
      </c>
      <c r="C2651" s="1542">
        <v>139.66999999999999</v>
      </c>
      <c r="D2651" s="1542">
        <v>5126.16</v>
      </c>
      <c r="E2651" s="1542">
        <v>1959.71</v>
      </c>
    </row>
    <row r="2652" spans="1:5">
      <c r="A2652" s="1541">
        <v>41365</v>
      </c>
      <c r="B2652" s="1542">
        <v>11336.79</v>
      </c>
      <c r="C2652" s="1542">
        <v>139.38999999999999</v>
      </c>
      <c r="D2652" s="1542">
        <v>5099.72</v>
      </c>
      <c r="E2652" s="1542">
        <v>1963.4</v>
      </c>
    </row>
    <row r="2653" spans="1:5">
      <c r="A2653" s="1541">
        <v>41364</v>
      </c>
      <c r="B2653" s="1542"/>
      <c r="C2653" s="1542"/>
      <c r="D2653" s="1542"/>
      <c r="E2653" s="1542"/>
    </row>
    <row r="2654" spans="1:5">
      <c r="A2654" s="1541">
        <v>41363</v>
      </c>
      <c r="B2654" s="1542"/>
      <c r="C2654" s="1542"/>
      <c r="D2654" s="1542"/>
      <c r="E2654" s="1542"/>
    </row>
    <row r="2655" spans="1:5">
      <c r="A2655" s="1541">
        <v>41362</v>
      </c>
      <c r="B2655" s="1542">
        <v>11364.58</v>
      </c>
      <c r="C2655" s="1542">
        <v>140.75</v>
      </c>
      <c r="D2655" s="1542">
        <v>5122.5600000000004</v>
      </c>
      <c r="E2655" s="1542">
        <v>1970.21</v>
      </c>
    </row>
    <row r="2656" spans="1:5">
      <c r="A2656" s="1541">
        <v>41361</v>
      </c>
      <c r="B2656" s="1542">
        <v>11290.34</v>
      </c>
      <c r="C2656" s="1542">
        <v>139.93</v>
      </c>
      <c r="D2656" s="1542">
        <v>5122.93</v>
      </c>
      <c r="E2656" s="1542">
        <v>1965.85</v>
      </c>
    </row>
    <row r="2657" spans="1:5">
      <c r="A2657" s="1541">
        <v>41360</v>
      </c>
      <c r="B2657" s="1542">
        <v>11329.44</v>
      </c>
      <c r="C2657" s="1542">
        <v>140.13999999999999</v>
      </c>
      <c r="D2657" s="1542">
        <v>5102.49</v>
      </c>
      <c r="E2657" s="1542">
        <v>1964.64</v>
      </c>
    </row>
    <row r="2658" spans="1:5">
      <c r="A2658" s="1541">
        <v>41359</v>
      </c>
      <c r="B2658" s="1542">
        <v>11275.25</v>
      </c>
      <c r="C2658" s="1542">
        <v>139.65</v>
      </c>
      <c r="D2658" s="1542">
        <v>5111.3100000000004</v>
      </c>
      <c r="E2658" s="1542">
        <v>1958.03</v>
      </c>
    </row>
    <row r="2659" spans="1:5">
      <c r="A2659" s="1541">
        <v>41358</v>
      </c>
      <c r="B2659" s="1542">
        <v>11274.91</v>
      </c>
      <c r="C2659" s="1542">
        <v>139.19</v>
      </c>
      <c r="D2659" s="1542">
        <v>5088.91</v>
      </c>
      <c r="E2659" s="1542">
        <v>1945.77</v>
      </c>
    </row>
    <row r="2660" spans="1:5">
      <c r="A2660" s="1541">
        <v>41357</v>
      </c>
      <c r="B2660" s="1542"/>
      <c r="C2660" s="1542"/>
      <c r="D2660" s="1542"/>
      <c r="E2660" s="1542"/>
    </row>
    <row r="2661" spans="1:5">
      <c r="A2661" s="1541">
        <v>41356</v>
      </c>
      <c r="B2661" s="1542"/>
      <c r="C2661" s="1542"/>
      <c r="D2661" s="1542"/>
      <c r="E2661" s="1542"/>
    </row>
    <row r="2662" spans="1:5">
      <c r="A2662" s="1541">
        <v>41355</v>
      </c>
      <c r="B2662" s="1542">
        <v>11188.93</v>
      </c>
      <c r="C2662" s="1542">
        <v>138.27000000000001</v>
      </c>
      <c r="D2662" s="1542">
        <v>5108.87</v>
      </c>
      <c r="E2662" s="1542">
        <v>1932.82</v>
      </c>
    </row>
    <row r="2663" spans="1:5">
      <c r="A2663" s="1541">
        <v>41354</v>
      </c>
      <c r="B2663" s="1542">
        <v>11211.36</v>
      </c>
      <c r="C2663" s="1542">
        <v>138.29</v>
      </c>
      <c r="D2663" s="1542">
        <v>5088.47</v>
      </c>
      <c r="E2663" s="1542">
        <v>1945.1</v>
      </c>
    </row>
    <row r="2664" spans="1:5">
      <c r="A2664" s="1541">
        <v>41353</v>
      </c>
      <c r="B2664" s="1542">
        <v>11191.54</v>
      </c>
      <c r="C2664" s="1542">
        <v>137.83000000000001</v>
      </c>
      <c r="D2664" s="1542">
        <v>5115.1400000000003</v>
      </c>
      <c r="E2664" s="1542">
        <v>1952.5</v>
      </c>
    </row>
    <row r="2665" spans="1:5">
      <c r="A2665" s="1541">
        <v>41352</v>
      </c>
      <c r="B2665" s="1542">
        <v>11249.58</v>
      </c>
      <c r="C2665" s="1542">
        <v>137.63</v>
      </c>
      <c r="D2665" s="1542">
        <v>5087.09</v>
      </c>
      <c r="E2665" s="1542">
        <v>1949.87</v>
      </c>
    </row>
    <row r="2666" spans="1:5">
      <c r="A2666" s="1541">
        <v>41351</v>
      </c>
      <c r="B2666" s="1542">
        <v>11210.64</v>
      </c>
      <c r="C2666" s="1542">
        <v>136.44</v>
      </c>
      <c r="D2666" s="1542">
        <v>5102.01</v>
      </c>
      <c r="E2666" s="1542">
        <v>1959.66</v>
      </c>
    </row>
    <row r="2667" spans="1:5">
      <c r="A2667" s="1541">
        <v>41350</v>
      </c>
      <c r="B2667" s="1542"/>
      <c r="C2667" s="1542"/>
      <c r="D2667" s="1542"/>
      <c r="E2667" s="1542"/>
    </row>
    <row r="2668" spans="1:5">
      <c r="A2668" s="1541">
        <v>41349</v>
      </c>
      <c r="B2668" s="1542"/>
      <c r="C2668" s="1542"/>
      <c r="D2668" s="1542"/>
      <c r="E2668" s="1542"/>
    </row>
    <row r="2669" spans="1:5">
      <c r="A2669" s="1541">
        <v>41348</v>
      </c>
      <c r="B2669" s="1542">
        <v>11377.33</v>
      </c>
      <c r="C2669" s="1542">
        <v>138.34</v>
      </c>
      <c r="D2669" s="1542">
        <v>5149.54</v>
      </c>
      <c r="E2669" s="1542">
        <v>1982.54</v>
      </c>
    </row>
    <row r="2670" spans="1:5">
      <c r="A2670" s="1541">
        <v>41347</v>
      </c>
      <c r="B2670" s="1542">
        <v>11412.16</v>
      </c>
      <c r="C2670" s="1542">
        <v>138.25</v>
      </c>
      <c r="D2670" s="1542">
        <v>5134.09</v>
      </c>
      <c r="E2670" s="1542">
        <v>1992.82</v>
      </c>
    </row>
    <row r="2671" spans="1:5">
      <c r="A2671" s="1541">
        <v>41346</v>
      </c>
      <c r="B2671" s="1542">
        <v>11474.95</v>
      </c>
      <c r="C2671" s="1542">
        <v>138.37</v>
      </c>
      <c r="D2671" s="1542">
        <v>5097.03</v>
      </c>
      <c r="E2671" s="1542">
        <v>1995.19</v>
      </c>
    </row>
    <row r="2672" spans="1:5">
      <c r="A2672" s="1541">
        <v>41345</v>
      </c>
      <c r="B2672" s="1542">
        <v>11473.8</v>
      </c>
      <c r="C2672" s="1542">
        <v>138.88999999999999</v>
      </c>
      <c r="D2672" s="1542">
        <v>5107.33</v>
      </c>
      <c r="E2672" s="1542">
        <v>2011.46</v>
      </c>
    </row>
    <row r="2673" spans="1:5">
      <c r="A2673" s="1541">
        <v>41344</v>
      </c>
      <c r="B2673" s="1542">
        <v>11536.97</v>
      </c>
      <c r="C2673" s="1542">
        <v>139.16999999999999</v>
      </c>
      <c r="D2673" s="1542">
        <v>5112.6400000000003</v>
      </c>
      <c r="E2673" s="1542">
        <v>2022.62</v>
      </c>
    </row>
    <row r="2674" spans="1:5">
      <c r="A2674" s="1541">
        <v>41343</v>
      </c>
      <c r="B2674" s="1542"/>
      <c r="C2674" s="1542"/>
      <c r="D2674" s="1542"/>
      <c r="E2674" s="1542"/>
    </row>
    <row r="2675" spans="1:5">
      <c r="A2675" s="1541">
        <v>41342</v>
      </c>
      <c r="B2675" s="1542"/>
      <c r="C2675" s="1542"/>
      <c r="D2675" s="1542"/>
      <c r="E2675" s="1542"/>
    </row>
    <row r="2676" spans="1:5">
      <c r="A2676" s="1541">
        <v>41341</v>
      </c>
      <c r="B2676" s="1542">
        <v>11503.12</v>
      </c>
      <c r="C2676" s="1542">
        <v>139.01</v>
      </c>
      <c r="D2676" s="1542">
        <v>5090.6099999999997</v>
      </c>
      <c r="E2676" s="1542">
        <v>2026.97</v>
      </c>
    </row>
    <row r="2677" spans="1:5">
      <c r="A2677" s="1541">
        <v>41340</v>
      </c>
      <c r="B2677" s="1542">
        <v>11424.72</v>
      </c>
      <c r="C2677" s="1542">
        <v>139.04</v>
      </c>
      <c r="D2677" s="1542">
        <v>5076.6400000000003</v>
      </c>
      <c r="E2677" s="1542">
        <v>2011.69</v>
      </c>
    </row>
    <row r="2678" spans="1:5">
      <c r="A2678" s="1541">
        <v>41339</v>
      </c>
      <c r="B2678" s="1542">
        <v>11410.07</v>
      </c>
      <c r="C2678" s="1542">
        <v>137.72999999999999</v>
      </c>
      <c r="D2678" s="1542">
        <v>5065.9799999999996</v>
      </c>
      <c r="E2678" s="1542">
        <v>2015.23</v>
      </c>
    </row>
    <row r="2679" spans="1:5">
      <c r="A2679" s="1541">
        <v>41338</v>
      </c>
      <c r="B2679" s="1542">
        <v>11384.83</v>
      </c>
      <c r="C2679" s="1542">
        <v>136.97</v>
      </c>
      <c r="D2679" s="1542">
        <v>5057.46</v>
      </c>
      <c r="E2679" s="1542">
        <v>1995.87</v>
      </c>
    </row>
    <row r="2680" spans="1:5">
      <c r="A2680" s="1541">
        <v>41337</v>
      </c>
      <c r="B2680" s="1542">
        <v>11291</v>
      </c>
      <c r="C2680" s="1542">
        <v>135.46</v>
      </c>
      <c r="D2680" s="1542">
        <v>5002.71</v>
      </c>
      <c r="E2680" s="1542">
        <v>1979.39</v>
      </c>
    </row>
    <row r="2681" spans="1:5">
      <c r="A2681" s="1541">
        <v>41336</v>
      </c>
      <c r="B2681" s="1542"/>
      <c r="C2681" s="1542"/>
      <c r="D2681" s="1542"/>
      <c r="E2681" s="1542"/>
    </row>
    <row r="2682" spans="1:5">
      <c r="A2682" s="1541">
        <v>41335</v>
      </c>
      <c r="B2682" s="1542"/>
      <c r="C2682" s="1542"/>
      <c r="D2682" s="1542"/>
      <c r="E2682" s="1542"/>
    </row>
    <row r="2683" spans="1:5">
      <c r="A2683" s="1541">
        <v>41334</v>
      </c>
      <c r="B2683" s="1542">
        <v>11430.63</v>
      </c>
      <c r="C2683" s="1542">
        <v>136.96</v>
      </c>
      <c r="D2683" s="1542">
        <v>4990.75</v>
      </c>
      <c r="E2683" s="1542">
        <v>2001.63</v>
      </c>
    </row>
    <row r="2684" spans="1:5">
      <c r="A2684" s="1541">
        <v>41333</v>
      </c>
      <c r="B2684" s="1542"/>
      <c r="C2684" s="1542"/>
      <c r="D2684" s="1542">
        <v>5002.8</v>
      </c>
      <c r="E2684" s="1542">
        <v>2004.3</v>
      </c>
    </row>
    <row r="2685" spans="1:5">
      <c r="A2685" s="1541">
        <v>41332</v>
      </c>
      <c r="B2685" s="1542">
        <v>11334.98</v>
      </c>
      <c r="C2685" s="1542">
        <v>135.55000000000001</v>
      </c>
      <c r="D2685" s="1542">
        <v>4982.09</v>
      </c>
      <c r="E2685" s="1542">
        <v>1988.73</v>
      </c>
    </row>
    <row r="2686" spans="1:5">
      <c r="A2686" s="1541">
        <v>41331</v>
      </c>
      <c r="B2686" s="1542">
        <v>11310.47</v>
      </c>
      <c r="C2686" s="1542">
        <v>135.21</v>
      </c>
      <c r="D2686" s="1542">
        <v>4933.68</v>
      </c>
      <c r="E2686" s="1542">
        <v>1981.3</v>
      </c>
    </row>
    <row r="2687" spans="1:5">
      <c r="A2687" s="1541">
        <v>41330</v>
      </c>
      <c r="B2687" s="1542">
        <v>11406.31</v>
      </c>
      <c r="C2687" s="1542">
        <v>135.83000000000001</v>
      </c>
      <c r="D2687" s="1542">
        <v>4950.25</v>
      </c>
      <c r="E2687" s="1542">
        <v>2003.47</v>
      </c>
    </row>
    <row r="2688" spans="1:5">
      <c r="A2688" s="1541">
        <v>41329</v>
      </c>
      <c r="B2688" s="1542"/>
      <c r="C2688" s="1542"/>
      <c r="D2688" s="1542"/>
      <c r="E2688" s="1542"/>
    </row>
    <row r="2689" spans="1:5">
      <c r="A2689" s="1541">
        <v>41328</v>
      </c>
      <c r="B2689" s="1542">
        <v>11462.59</v>
      </c>
      <c r="C2689" s="1542">
        <v>134.97999999999999</v>
      </c>
      <c r="D2689" s="1542"/>
      <c r="E2689" s="1542"/>
    </row>
    <row r="2690" spans="1:5">
      <c r="A2690" s="1541">
        <v>41327</v>
      </c>
      <c r="B2690" s="1542">
        <v>11406.37</v>
      </c>
      <c r="C2690" s="1542">
        <v>134.6</v>
      </c>
      <c r="D2690" s="1542">
        <v>4988.55</v>
      </c>
      <c r="E2690" s="1542">
        <v>2001.49</v>
      </c>
    </row>
    <row r="2691" spans="1:5">
      <c r="A2691" s="1541">
        <v>41326</v>
      </c>
      <c r="B2691" s="1542">
        <v>11420.34</v>
      </c>
      <c r="C2691" s="1542">
        <v>134.47</v>
      </c>
      <c r="D2691" s="1542">
        <v>4952.76</v>
      </c>
      <c r="E2691" s="1542">
        <v>2001.01</v>
      </c>
    </row>
    <row r="2692" spans="1:5">
      <c r="A2692" s="1541">
        <v>41325</v>
      </c>
      <c r="B2692" s="1542">
        <v>11523.15</v>
      </c>
      <c r="C2692" s="1542">
        <v>134.79</v>
      </c>
      <c r="D2692" s="1542">
        <v>5015.7700000000004</v>
      </c>
      <c r="E2692" s="1542">
        <v>2030.01</v>
      </c>
    </row>
    <row r="2693" spans="1:5">
      <c r="A2693" s="1541">
        <v>41324</v>
      </c>
      <c r="B2693" s="1542">
        <v>11425.25</v>
      </c>
      <c r="C2693" s="1542">
        <v>133.29</v>
      </c>
      <c r="D2693" s="1542">
        <v>5049.8900000000003</v>
      </c>
      <c r="E2693" s="1542">
        <v>2021.46</v>
      </c>
    </row>
    <row r="2694" spans="1:5">
      <c r="A2694" s="1541">
        <v>41323</v>
      </c>
      <c r="B2694" s="1542">
        <v>11400.36</v>
      </c>
      <c r="C2694" s="1542">
        <v>131.88999999999999</v>
      </c>
      <c r="D2694" s="1542">
        <v>5008.93</v>
      </c>
      <c r="E2694" s="1542">
        <v>2022.13</v>
      </c>
    </row>
    <row r="2695" spans="1:5">
      <c r="A2695" s="1541">
        <v>41322</v>
      </c>
      <c r="B2695" s="1542"/>
      <c r="C2695" s="1542"/>
      <c r="D2695" s="1542"/>
      <c r="E2695" s="1542"/>
    </row>
    <row r="2696" spans="1:5">
      <c r="A2696" s="1541">
        <v>41321</v>
      </c>
      <c r="B2696" s="1542"/>
      <c r="C2696" s="1542"/>
      <c r="D2696" s="1542"/>
      <c r="E2696" s="1542"/>
    </row>
    <row r="2697" spans="1:5">
      <c r="A2697" s="1541">
        <v>41320</v>
      </c>
      <c r="B2697" s="1542"/>
      <c r="C2697" s="1542"/>
      <c r="D2697" s="1542">
        <v>5002.8</v>
      </c>
      <c r="E2697" s="1542">
        <v>2026.18</v>
      </c>
    </row>
    <row r="2698" spans="1:5">
      <c r="A2698" s="1541">
        <v>41319</v>
      </c>
      <c r="B2698" s="1542"/>
      <c r="C2698" s="1542"/>
      <c r="D2698" s="1542">
        <v>5019.1400000000003</v>
      </c>
      <c r="E2698" s="1542">
        <v>2024.86</v>
      </c>
    </row>
    <row r="2699" spans="1:5">
      <c r="A2699" s="1541">
        <v>41318</v>
      </c>
      <c r="B2699" s="1542"/>
      <c r="C2699" s="1542"/>
      <c r="D2699" s="1542">
        <v>5026.67</v>
      </c>
      <c r="E2699" s="1542">
        <v>2023.03</v>
      </c>
    </row>
    <row r="2700" spans="1:5">
      <c r="A2700" s="1541">
        <v>41317</v>
      </c>
      <c r="B2700" s="1542"/>
      <c r="C2700" s="1542"/>
      <c r="D2700" s="1542">
        <v>5024.25</v>
      </c>
      <c r="E2700" s="1542">
        <v>2011.91</v>
      </c>
    </row>
    <row r="2701" spans="1:5">
      <c r="A2701" s="1541">
        <v>41316</v>
      </c>
      <c r="B2701" s="1542"/>
      <c r="C2701" s="1542"/>
      <c r="D2701" s="1542">
        <v>4995.18</v>
      </c>
      <c r="E2701" s="1542">
        <v>2010.57</v>
      </c>
    </row>
    <row r="2702" spans="1:5">
      <c r="A2702" s="1541">
        <v>41315</v>
      </c>
      <c r="B2702" s="1542"/>
      <c r="C2702" s="1542"/>
      <c r="D2702" s="1542"/>
      <c r="E2702" s="1542"/>
    </row>
    <row r="2703" spans="1:5">
      <c r="A2703" s="1541">
        <v>41314</v>
      </c>
      <c r="B2703" s="1542"/>
      <c r="C2703" s="1542"/>
      <c r="D2703" s="1542"/>
      <c r="E2703" s="1542"/>
    </row>
    <row r="2704" spans="1:5">
      <c r="A2704" s="1541">
        <v>41313</v>
      </c>
      <c r="B2704" s="1542"/>
      <c r="C2704" s="1542"/>
      <c r="D2704" s="1542">
        <v>5011.8900000000003</v>
      </c>
      <c r="E2704" s="1542">
        <v>2014.58</v>
      </c>
    </row>
    <row r="2705" spans="1:5">
      <c r="A2705" s="1541">
        <v>41312</v>
      </c>
      <c r="B2705" s="1542"/>
      <c r="C2705" s="1542"/>
      <c r="D2705" s="1542">
        <v>4981.45</v>
      </c>
      <c r="E2705" s="1542">
        <v>2012.01</v>
      </c>
    </row>
    <row r="2706" spans="1:5">
      <c r="A2706" s="1541">
        <v>41311</v>
      </c>
      <c r="B2706" s="1542">
        <v>11347.42</v>
      </c>
      <c r="C2706" s="1542">
        <v>131.04</v>
      </c>
      <c r="D2706" s="1542">
        <v>5003.22</v>
      </c>
      <c r="E2706" s="1542">
        <v>2019.88</v>
      </c>
    </row>
    <row r="2707" spans="1:5">
      <c r="A2707" s="1541">
        <v>41310</v>
      </c>
      <c r="B2707" s="1542">
        <v>11319.14</v>
      </c>
      <c r="C2707" s="1542">
        <v>131.51</v>
      </c>
      <c r="D2707" s="1542">
        <v>4991.3599999999997</v>
      </c>
      <c r="E2707" s="1542">
        <v>2027.14</v>
      </c>
    </row>
    <row r="2708" spans="1:5">
      <c r="A2708" s="1541">
        <v>41309</v>
      </c>
      <c r="B2708" s="1542">
        <v>11371.12</v>
      </c>
      <c r="C2708" s="1542">
        <v>132.07</v>
      </c>
      <c r="D2708" s="1542">
        <v>4971.63</v>
      </c>
      <c r="E2708" s="1542">
        <v>2036.71</v>
      </c>
    </row>
    <row r="2709" spans="1:5">
      <c r="A2709" s="1541">
        <v>41308</v>
      </c>
      <c r="B2709" s="1542"/>
      <c r="C2709" s="1542"/>
      <c r="D2709" s="1542"/>
      <c r="E2709" s="1542"/>
    </row>
    <row r="2710" spans="1:5">
      <c r="A2710" s="1541">
        <v>41307</v>
      </c>
      <c r="B2710" s="1542"/>
      <c r="C2710" s="1542"/>
      <c r="D2710" s="1542"/>
      <c r="E2710" s="1542"/>
    </row>
    <row r="2711" spans="1:5">
      <c r="A2711" s="1541">
        <v>41306</v>
      </c>
      <c r="B2711" s="1542">
        <v>11274.68</v>
      </c>
      <c r="C2711" s="1542">
        <v>131.74</v>
      </c>
      <c r="D2711" s="1542">
        <v>5032.3500000000004</v>
      </c>
      <c r="E2711" s="1542">
        <v>2036.84</v>
      </c>
    </row>
    <row r="2712" spans="1:5">
      <c r="A2712" s="1541">
        <v>41305</v>
      </c>
      <c r="B2712" s="1542">
        <v>11266.15</v>
      </c>
      <c r="C2712" s="1542">
        <v>131.46</v>
      </c>
      <c r="D2712" s="1542">
        <v>4992.0600000000004</v>
      </c>
      <c r="E2712" s="1542">
        <v>2029.5</v>
      </c>
    </row>
    <row r="2713" spans="1:5">
      <c r="A2713" s="1541">
        <v>41304</v>
      </c>
      <c r="B2713" s="1542">
        <v>11241.7</v>
      </c>
      <c r="C2713" s="1542">
        <v>131.79</v>
      </c>
      <c r="D2713" s="1542">
        <v>5006.1099999999997</v>
      </c>
      <c r="E2713" s="1542">
        <v>2027.82</v>
      </c>
    </row>
    <row r="2714" spans="1:5">
      <c r="A2714" s="1541">
        <v>41303</v>
      </c>
      <c r="B2714" s="1542">
        <v>11197.23</v>
      </c>
      <c r="C2714" s="1542">
        <v>131.21</v>
      </c>
      <c r="D2714" s="1542">
        <v>5009.6000000000004</v>
      </c>
      <c r="E2714" s="1542">
        <v>2030.94</v>
      </c>
    </row>
    <row r="2715" spans="1:5">
      <c r="A2715" s="1541">
        <v>41302</v>
      </c>
      <c r="B2715" s="1542">
        <v>11071.89</v>
      </c>
      <c r="C2715" s="1542">
        <v>129.55000000000001</v>
      </c>
      <c r="D2715" s="1542">
        <v>4982.2700000000004</v>
      </c>
      <c r="E2715" s="1542">
        <v>2015.53</v>
      </c>
    </row>
    <row r="2716" spans="1:5">
      <c r="A2716" s="1541">
        <v>41301</v>
      </c>
      <c r="B2716" s="1542"/>
      <c r="C2716" s="1542"/>
      <c r="D2716" s="1542"/>
      <c r="E2716" s="1542"/>
    </row>
    <row r="2717" spans="1:5">
      <c r="A2717" s="1541">
        <v>41300</v>
      </c>
      <c r="B2717" s="1542"/>
      <c r="C2717" s="1542"/>
      <c r="D2717" s="1542"/>
      <c r="E2717" s="1542"/>
    </row>
    <row r="2718" spans="1:5">
      <c r="A2718" s="1541">
        <v>41299</v>
      </c>
      <c r="B2718" s="1542">
        <v>11011.49</v>
      </c>
      <c r="C2718" s="1542">
        <v>129.44999999999999</v>
      </c>
      <c r="D2718" s="1542">
        <v>4990.8</v>
      </c>
      <c r="E2718" s="1542">
        <v>2028.69</v>
      </c>
    </row>
    <row r="2719" spans="1:5">
      <c r="A2719" s="1541">
        <v>41298</v>
      </c>
      <c r="B2719" s="1542">
        <v>11045.09</v>
      </c>
      <c r="C2719" s="1542">
        <v>129.74</v>
      </c>
      <c r="D2719" s="1542">
        <v>4957.67</v>
      </c>
      <c r="E2719" s="1542">
        <v>2034.63</v>
      </c>
    </row>
    <row r="2720" spans="1:5">
      <c r="A2720" s="1541">
        <v>41297</v>
      </c>
      <c r="B2720" s="1542">
        <v>11114.25</v>
      </c>
      <c r="C2720" s="1542">
        <v>130.08000000000001</v>
      </c>
      <c r="D2720" s="1542">
        <v>4945.9799999999996</v>
      </c>
      <c r="E2720" s="1542">
        <v>2042.71</v>
      </c>
    </row>
    <row r="2721" spans="1:5">
      <c r="A2721" s="1541">
        <v>41296</v>
      </c>
      <c r="B2721" s="1542">
        <v>11135.66</v>
      </c>
      <c r="C2721" s="1542">
        <v>129.84</v>
      </c>
      <c r="D2721" s="1542">
        <v>4947.84</v>
      </c>
      <c r="E2721" s="1542">
        <v>2047.5</v>
      </c>
    </row>
    <row r="2722" spans="1:5">
      <c r="A2722" s="1541">
        <v>41295</v>
      </c>
      <c r="B2722" s="1542">
        <v>11086.61</v>
      </c>
      <c r="C2722" s="1542">
        <v>128.93</v>
      </c>
      <c r="D2722" s="1542">
        <v>4933.21</v>
      </c>
      <c r="E2722" s="1542">
        <v>2045.44</v>
      </c>
    </row>
    <row r="2723" spans="1:5">
      <c r="A2723" s="1541">
        <v>41294</v>
      </c>
      <c r="B2723" s="1542"/>
      <c r="C2723" s="1542"/>
      <c r="D2723" s="1542"/>
      <c r="E2723" s="1542"/>
    </row>
    <row r="2724" spans="1:5">
      <c r="A2724" s="1541">
        <v>41293</v>
      </c>
      <c r="B2724" s="1542"/>
      <c r="C2724" s="1542"/>
      <c r="D2724" s="1542"/>
      <c r="E2724" s="1542"/>
    </row>
    <row r="2725" spans="1:5">
      <c r="A2725" s="1541">
        <v>41292</v>
      </c>
      <c r="B2725" s="1542">
        <v>11098.01</v>
      </c>
      <c r="C2725" s="1542">
        <v>128.43</v>
      </c>
      <c r="D2725" s="1542">
        <v>4927.97</v>
      </c>
      <c r="E2725" s="1542">
        <v>2050.35</v>
      </c>
    </row>
    <row r="2726" spans="1:5">
      <c r="A2726" s="1541">
        <v>41291</v>
      </c>
      <c r="B2726" s="1542">
        <v>10931.21</v>
      </c>
      <c r="C2726" s="1542">
        <v>126.57</v>
      </c>
      <c r="D2726" s="1542">
        <v>4920.99</v>
      </c>
      <c r="E2726" s="1542">
        <v>2035.95</v>
      </c>
    </row>
    <row r="2727" spans="1:5">
      <c r="A2727" s="1541">
        <v>41290</v>
      </c>
      <c r="B2727" s="1542">
        <v>11051.45</v>
      </c>
      <c r="C2727" s="1542">
        <v>130.08000000000001</v>
      </c>
      <c r="D2727" s="1542">
        <v>4895.25</v>
      </c>
      <c r="E2727" s="1542">
        <v>2032.27</v>
      </c>
    </row>
    <row r="2728" spans="1:5">
      <c r="A2728" s="1541">
        <v>41289</v>
      </c>
      <c r="B2728" s="1542">
        <v>11144.16</v>
      </c>
      <c r="C2728" s="1542">
        <v>130.69999999999999</v>
      </c>
      <c r="D2728" s="1542">
        <v>4908.3100000000004</v>
      </c>
      <c r="E2728" s="1542">
        <v>2036.56</v>
      </c>
    </row>
    <row r="2729" spans="1:5">
      <c r="A2729" s="1541">
        <v>41288</v>
      </c>
      <c r="B2729" s="1542">
        <v>11228.76</v>
      </c>
      <c r="C2729" s="1542">
        <v>131.22999999999999</v>
      </c>
      <c r="D2729" s="1542">
        <v>4898.87</v>
      </c>
      <c r="E2729" s="1542">
        <v>2050.2800000000002</v>
      </c>
    </row>
    <row r="2730" spans="1:5">
      <c r="A2730" s="1541">
        <v>41287</v>
      </c>
      <c r="B2730" s="1542"/>
      <c r="C2730" s="1542"/>
      <c r="D2730" s="1542"/>
      <c r="E2730" s="1542"/>
    </row>
    <row r="2731" spans="1:5">
      <c r="A2731" s="1541">
        <v>41286</v>
      </c>
      <c r="B2731" s="1542"/>
      <c r="C2731" s="1542"/>
      <c r="D2731" s="1542"/>
      <c r="E2731" s="1542"/>
    </row>
    <row r="2732" spans="1:5">
      <c r="A2732" s="1541">
        <v>41285</v>
      </c>
      <c r="B2732" s="1542">
        <v>11221.85</v>
      </c>
      <c r="C2732" s="1542">
        <v>130.91999999999999</v>
      </c>
      <c r="D2732" s="1542">
        <v>4905.0200000000004</v>
      </c>
      <c r="E2732" s="1542">
        <v>2035.68</v>
      </c>
    </row>
    <row r="2733" spans="1:5">
      <c r="A2733" s="1541">
        <v>41284</v>
      </c>
      <c r="B2733" s="1542">
        <v>11211.06</v>
      </c>
      <c r="C2733" s="1542">
        <v>130.49</v>
      </c>
      <c r="D2733" s="1542">
        <v>4892.46</v>
      </c>
      <c r="E2733" s="1542">
        <v>2043.17</v>
      </c>
    </row>
    <row r="2734" spans="1:5">
      <c r="A2734" s="1541">
        <v>41283</v>
      </c>
      <c r="B2734" s="1542">
        <v>11106.29</v>
      </c>
      <c r="C2734" s="1542">
        <v>130.44</v>
      </c>
      <c r="D2734" s="1542">
        <v>4852.1099999999997</v>
      </c>
      <c r="E2734" s="1542">
        <v>2035.65</v>
      </c>
    </row>
    <row r="2735" spans="1:5">
      <c r="A2735" s="1541">
        <v>41282</v>
      </c>
      <c r="B2735" s="1542">
        <v>11081.93</v>
      </c>
      <c r="C2735" s="1542">
        <v>129.47999999999999</v>
      </c>
      <c r="D2735" s="1542">
        <v>4834.6400000000003</v>
      </c>
      <c r="E2735" s="1542">
        <v>2029.63</v>
      </c>
    </row>
    <row r="2736" spans="1:5">
      <c r="A2736" s="1541">
        <v>41281</v>
      </c>
      <c r="B2736" s="1542">
        <v>11129.91</v>
      </c>
      <c r="C2736" s="1542">
        <v>129.69</v>
      </c>
      <c r="D2736" s="1542">
        <v>4850.3</v>
      </c>
      <c r="E2736" s="1542">
        <v>2040.83</v>
      </c>
    </row>
    <row r="2737" spans="1:5">
      <c r="A2737" s="1541">
        <v>41280</v>
      </c>
      <c r="B2737" s="1542"/>
      <c r="C2737" s="1542"/>
      <c r="D2737" s="1542"/>
      <c r="E2737" s="1542"/>
    </row>
    <row r="2738" spans="1:5">
      <c r="A2738" s="1541">
        <v>41279</v>
      </c>
      <c r="B2738" s="1542"/>
      <c r="C2738" s="1542"/>
      <c r="D2738" s="1542"/>
      <c r="E2738" s="1542"/>
    </row>
    <row r="2739" spans="1:5">
      <c r="A2739" s="1541">
        <v>41278</v>
      </c>
      <c r="B2739" s="1542">
        <v>11202.96</v>
      </c>
      <c r="C2739" s="1542">
        <v>129.26</v>
      </c>
      <c r="D2739" s="1542">
        <v>4861.6499999999996</v>
      </c>
      <c r="E2739" s="1542">
        <v>2044.77</v>
      </c>
    </row>
    <row r="2740" spans="1:5">
      <c r="A2740" s="1541">
        <v>41277</v>
      </c>
      <c r="B2740" s="1542">
        <v>11247.23</v>
      </c>
      <c r="C2740" s="1542">
        <v>129.35</v>
      </c>
      <c r="D2740" s="1542">
        <v>4841.32</v>
      </c>
      <c r="E2740" s="1542">
        <v>2053.83</v>
      </c>
    </row>
    <row r="2741" spans="1:5">
      <c r="A2741" s="1541">
        <v>41276</v>
      </c>
      <c r="B2741" s="1542">
        <v>11164.55</v>
      </c>
      <c r="C2741" s="1542">
        <v>128.25</v>
      </c>
      <c r="D2741" s="1542">
        <v>4851.82</v>
      </c>
      <c r="E2741" s="1542">
        <v>2045.22</v>
      </c>
    </row>
    <row r="2742" spans="1:5">
      <c r="A2742" s="1541">
        <v>41275</v>
      </c>
      <c r="B2742" s="1542"/>
      <c r="C2742" s="1542"/>
      <c r="D2742" s="1542">
        <v>4748.8900000000003</v>
      </c>
      <c r="E2742" s="1542">
        <v>2002.67</v>
      </c>
    </row>
    <row r="2743" spans="1:5">
      <c r="A2743" s="1541">
        <v>41274</v>
      </c>
      <c r="B2743" s="1542"/>
      <c r="C2743" s="1542"/>
      <c r="D2743" s="1542">
        <v>4748.7</v>
      </c>
      <c r="E2743" s="1542">
        <v>2001.6</v>
      </c>
    </row>
    <row r="2744" spans="1:5">
      <c r="A2744" s="1541">
        <v>41273</v>
      </c>
      <c r="B2744" s="1542"/>
      <c r="C2744" s="1542"/>
      <c r="D2744" s="1542"/>
      <c r="E2744" s="1542"/>
    </row>
    <row r="2745" spans="1:5">
      <c r="A2745" s="1541">
        <v>41272</v>
      </c>
      <c r="B2745" s="1542"/>
      <c r="C2745" s="1542"/>
      <c r="D2745" s="1542"/>
      <c r="E2745" s="1542"/>
    </row>
    <row r="2746" spans="1:5">
      <c r="A2746" s="1541">
        <v>41271</v>
      </c>
      <c r="B2746" s="1542">
        <v>11050.13</v>
      </c>
      <c r="C2746" s="1542">
        <v>127.21</v>
      </c>
      <c r="D2746" s="1542">
        <v>4707.3</v>
      </c>
      <c r="E2746" s="1542">
        <v>2001.56</v>
      </c>
    </row>
    <row r="2747" spans="1:5">
      <c r="A2747" s="1541">
        <v>41270</v>
      </c>
      <c r="B2747" s="1542">
        <v>10976.81</v>
      </c>
      <c r="C2747" s="1542">
        <v>126.45</v>
      </c>
      <c r="D2747" s="1542">
        <v>4740.49</v>
      </c>
      <c r="E2747" s="1542">
        <v>1990.62</v>
      </c>
    </row>
    <row r="2748" spans="1:5">
      <c r="A2748" s="1541">
        <v>41269</v>
      </c>
      <c r="B2748" s="1542">
        <v>10956.4</v>
      </c>
      <c r="C2748" s="1542">
        <v>126.33</v>
      </c>
      <c r="D2748" s="1542">
        <v>4738.63</v>
      </c>
      <c r="E2748" s="1542">
        <v>1985.05</v>
      </c>
    </row>
    <row r="2749" spans="1:5">
      <c r="A2749" s="1541">
        <v>41268</v>
      </c>
      <c r="B2749" s="1542">
        <v>10959.81</v>
      </c>
      <c r="C2749" s="1542">
        <v>125.96</v>
      </c>
      <c r="D2749" s="1542">
        <v>4748.87</v>
      </c>
      <c r="E2749" s="1542">
        <v>1981.51</v>
      </c>
    </row>
    <row r="2750" spans="1:5">
      <c r="A2750" s="1541">
        <v>41267</v>
      </c>
      <c r="B2750" s="1542">
        <v>10814.78</v>
      </c>
      <c r="C2750" s="1542">
        <v>125.37</v>
      </c>
      <c r="D2750" s="1542">
        <v>4746.37</v>
      </c>
      <c r="E2750" s="1542">
        <v>1978.31</v>
      </c>
    </row>
    <row r="2751" spans="1:5">
      <c r="A2751" s="1541">
        <v>41266</v>
      </c>
      <c r="B2751" s="1542"/>
      <c r="C2751" s="1542"/>
      <c r="D2751" s="1542"/>
      <c r="E2751" s="1542"/>
    </row>
    <row r="2752" spans="1:5">
      <c r="A2752" s="1541">
        <v>41265</v>
      </c>
      <c r="B2752" s="1542">
        <v>10821.42</v>
      </c>
      <c r="C2752" s="1542">
        <v>125.43</v>
      </c>
      <c r="D2752" s="1542"/>
      <c r="E2752" s="1542"/>
    </row>
    <row r="2753" spans="1:5">
      <c r="A2753" s="1541">
        <v>41264</v>
      </c>
      <c r="B2753" s="1542">
        <v>10792.4</v>
      </c>
      <c r="C2753" s="1542">
        <v>124.17</v>
      </c>
      <c r="D2753" s="1542">
        <v>4755.42</v>
      </c>
      <c r="E2753" s="1542">
        <v>1976.96</v>
      </c>
    </row>
    <row r="2754" spans="1:5">
      <c r="A2754" s="1541">
        <v>41263</v>
      </c>
      <c r="B2754" s="1542">
        <v>10900.81</v>
      </c>
      <c r="C2754" s="1542">
        <v>124.87</v>
      </c>
      <c r="D2754" s="1542">
        <v>4793.22</v>
      </c>
      <c r="E2754" s="1542">
        <v>1995.23</v>
      </c>
    </row>
    <row r="2755" spans="1:5">
      <c r="A2755" s="1541">
        <v>41262</v>
      </c>
      <c r="B2755" s="1542">
        <v>11018.51</v>
      </c>
      <c r="C2755" s="1542">
        <v>125.66</v>
      </c>
      <c r="D2755" s="1542">
        <v>4782.21</v>
      </c>
      <c r="E2755" s="1542">
        <v>1996.1</v>
      </c>
    </row>
    <row r="2756" spans="1:5">
      <c r="A2756" s="1541">
        <v>41261</v>
      </c>
      <c r="B2756" s="1542">
        <v>10970.09</v>
      </c>
      <c r="C2756" s="1542">
        <v>124.77</v>
      </c>
      <c r="D2756" s="1542">
        <v>4778.58</v>
      </c>
      <c r="E2756" s="1542">
        <v>1982.94</v>
      </c>
    </row>
    <row r="2757" spans="1:5">
      <c r="A2757" s="1541">
        <v>41260</v>
      </c>
      <c r="B2757" s="1542">
        <v>10952.21</v>
      </c>
      <c r="C2757" s="1542">
        <v>124.16</v>
      </c>
      <c r="D2757" s="1542">
        <v>4733.42</v>
      </c>
      <c r="E2757" s="1542">
        <v>1971.13</v>
      </c>
    </row>
    <row r="2758" spans="1:5">
      <c r="A2758" s="1541">
        <v>41259</v>
      </c>
      <c r="B2758" s="1542"/>
      <c r="C2758" s="1542"/>
      <c r="D2758" s="1542"/>
      <c r="E2758" s="1542"/>
    </row>
    <row r="2759" spans="1:5">
      <c r="A2759" s="1541">
        <v>41258</v>
      </c>
      <c r="B2759" s="1542"/>
      <c r="C2759" s="1542"/>
      <c r="D2759" s="1542"/>
      <c r="E2759" s="1542"/>
    </row>
    <row r="2760" spans="1:5">
      <c r="A2760" s="1541">
        <v>41257</v>
      </c>
      <c r="B2760" s="1542">
        <v>11049.08</v>
      </c>
      <c r="C2760" s="1542">
        <v>125.07</v>
      </c>
      <c r="D2760" s="1542">
        <v>4698.63</v>
      </c>
      <c r="E2760" s="1542">
        <v>1976.35</v>
      </c>
    </row>
    <row r="2761" spans="1:5">
      <c r="A2761" s="1541">
        <v>41256</v>
      </c>
      <c r="B2761" s="1542">
        <v>11132.77</v>
      </c>
      <c r="C2761" s="1542">
        <v>125.79</v>
      </c>
      <c r="D2761" s="1542">
        <v>4705.9399999999996</v>
      </c>
      <c r="E2761" s="1542">
        <v>1975.86</v>
      </c>
    </row>
    <row r="2762" spans="1:5">
      <c r="A2762" s="1541">
        <v>41255</v>
      </c>
      <c r="B2762" s="1542">
        <v>11036.76</v>
      </c>
      <c r="C2762" s="1542">
        <v>124.62</v>
      </c>
      <c r="D2762" s="1542">
        <v>4721.58</v>
      </c>
      <c r="E2762" s="1542">
        <v>1973.57</v>
      </c>
    </row>
    <row r="2763" spans="1:5">
      <c r="A2763" s="1541">
        <v>41254</v>
      </c>
      <c r="B2763" s="1542">
        <v>10926.97</v>
      </c>
      <c r="C2763" s="1542">
        <v>123.18</v>
      </c>
      <c r="D2763" s="1542">
        <v>4712.38</v>
      </c>
      <c r="E2763" s="1542">
        <v>1960.57</v>
      </c>
    </row>
    <row r="2764" spans="1:5">
      <c r="A2764" s="1541">
        <v>41253</v>
      </c>
      <c r="B2764" s="1542">
        <v>10920.95</v>
      </c>
      <c r="C2764" s="1542">
        <v>124.23</v>
      </c>
      <c r="D2764" s="1542">
        <v>4684.05</v>
      </c>
      <c r="E2764" s="1542">
        <v>1950.14</v>
      </c>
    </row>
    <row r="2765" spans="1:5">
      <c r="A2765" s="1541">
        <v>41252</v>
      </c>
      <c r="B2765" s="1542"/>
      <c r="C2765" s="1542"/>
      <c r="D2765" s="1542"/>
      <c r="E2765" s="1542"/>
    </row>
    <row r="2766" spans="1:5">
      <c r="A2766" s="1541">
        <v>41251</v>
      </c>
      <c r="B2766" s="1542"/>
      <c r="C2766" s="1542"/>
      <c r="D2766" s="1542"/>
      <c r="E2766" s="1542"/>
    </row>
    <row r="2767" spans="1:5">
      <c r="A2767" s="1541">
        <v>41250</v>
      </c>
      <c r="B2767" s="1542">
        <v>10967.98</v>
      </c>
      <c r="C2767" s="1542">
        <v>124.82</v>
      </c>
      <c r="D2767" s="1542">
        <v>4679.4799999999996</v>
      </c>
      <c r="E2767" s="1542">
        <v>1940.57</v>
      </c>
    </row>
    <row r="2768" spans="1:5">
      <c r="A2768" s="1541">
        <v>41249</v>
      </c>
      <c r="B2768" s="1542">
        <v>10940.71</v>
      </c>
      <c r="C2768" s="1542">
        <v>125.13</v>
      </c>
      <c r="D2768" s="1542">
        <v>4673.49</v>
      </c>
      <c r="E2768" s="1542">
        <v>1935.26</v>
      </c>
    </row>
    <row r="2769" spans="1:5">
      <c r="A2769" s="1541">
        <v>41248</v>
      </c>
      <c r="B2769" s="1542">
        <v>10977.72</v>
      </c>
      <c r="C2769" s="1542">
        <v>125.26</v>
      </c>
      <c r="D2769" s="1542">
        <v>4659.5200000000004</v>
      </c>
      <c r="E2769" s="1542">
        <v>1927.83</v>
      </c>
    </row>
    <row r="2770" spans="1:5">
      <c r="A2770" s="1541">
        <v>41247</v>
      </c>
      <c r="B2770" s="1542">
        <v>10908.74</v>
      </c>
      <c r="C2770" s="1542">
        <v>124.38</v>
      </c>
      <c r="D2770" s="1542">
        <v>4653.67</v>
      </c>
      <c r="E2770" s="1542">
        <v>1908.69</v>
      </c>
    </row>
    <row r="2771" spans="1:5">
      <c r="A2771" s="1541">
        <v>41246</v>
      </c>
      <c r="B2771" s="1542">
        <v>10907.2</v>
      </c>
      <c r="C2771" s="1542">
        <v>123.15</v>
      </c>
      <c r="D2771" s="1542">
        <v>4654.41</v>
      </c>
      <c r="E2771" s="1542">
        <v>1909.42</v>
      </c>
    </row>
    <row r="2772" spans="1:5">
      <c r="A2772" s="1541">
        <v>41245</v>
      </c>
      <c r="B2772" s="1542"/>
      <c r="C2772" s="1542"/>
      <c r="D2772" s="1542"/>
      <c r="E2772" s="1542"/>
    </row>
    <row r="2773" spans="1:5">
      <c r="A2773" s="1541">
        <v>41244</v>
      </c>
      <c r="B2773" s="1542"/>
      <c r="C2773" s="1542"/>
      <c r="D2773" s="1542"/>
      <c r="E2773" s="1542"/>
    </row>
    <row r="2774" spans="1:5">
      <c r="A2774" s="1541">
        <v>41243</v>
      </c>
      <c r="B2774" s="1542">
        <v>10878.87</v>
      </c>
      <c r="C2774" s="1542">
        <v>122.73</v>
      </c>
      <c r="D2774" s="1542">
        <v>4658.58</v>
      </c>
      <c r="E2774" s="1542">
        <v>1908.07</v>
      </c>
    </row>
    <row r="2775" spans="1:5">
      <c r="A2775" s="1541">
        <v>41242</v>
      </c>
      <c r="B2775" s="1542">
        <v>10768.91</v>
      </c>
      <c r="C2775" s="1542">
        <v>121.71</v>
      </c>
      <c r="D2775" s="1542">
        <v>4655.6499999999996</v>
      </c>
      <c r="E2775" s="1542">
        <v>1901.95</v>
      </c>
    </row>
    <row r="2776" spans="1:5">
      <c r="A2776" s="1541">
        <v>41241</v>
      </c>
      <c r="B2776" s="1542">
        <v>10670.42</v>
      </c>
      <c r="C2776" s="1542">
        <v>120.79</v>
      </c>
      <c r="D2776" s="1542">
        <v>4616.78</v>
      </c>
      <c r="E2776" s="1542">
        <v>1878.2</v>
      </c>
    </row>
    <row r="2777" spans="1:5">
      <c r="A2777" s="1541">
        <v>41240</v>
      </c>
      <c r="B2777" s="1542">
        <v>10663.63</v>
      </c>
      <c r="C2777" s="1542">
        <v>120.62</v>
      </c>
      <c r="D2777" s="1542">
        <v>4599.8900000000003</v>
      </c>
      <c r="E2777" s="1542">
        <v>1887.88</v>
      </c>
    </row>
    <row r="2778" spans="1:5">
      <c r="A2778" s="1541">
        <v>41239</v>
      </c>
      <c r="B2778" s="1542">
        <v>10630.87</v>
      </c>
      <c r="C2778" s="1542">
        <v>119.88</v>
      </c>
      <c r="D2778" s="1542">
        <v>4611.24</v>
      </c>
      <c r="E2778" s="1542">
        <v>1885.32</v>
      </c>
    </row>
    <row r="2779" spans="1:5">
      <c r="A2779" s="1541">
        <v>41238</v>
      </c>
      <c r="B2779" s="1542"/>
      <c r="C2779" s="1542"/>
      <c r="D2779" s="1542"/>
      <c r="E2779" s="1542"/>
    </row>
    <row r="2780" spans="1:5">
      <c r="A2780" s="1541">
        <v>41237</v>
      </c>
      <c r="B2780" s="1542"/>
      <c r="C2780" s="1542"/>
      <c r="D2780" s="1542"/>
      <c r="E2780" s="1542"/>
    </row>
    <row r="2781" spans="1:5">
      <c r="A2781" s="1541">
        <v>41236</v>
      </c>
      <c r="B2781" s="1542">
        <v>10514.1</v>
      </c>
      <c r="C2781" s="1542">
        <v>118.5</v>
      </c>
      <c r="D2781" s="1542">
        <v>4618.97</v>
      </c>
      <c r="E2781" s="1542">
        <v>1886.74</v>
      </c>
    </row>
    <row r="2782" spans="1:5">
      <c r="A2782" s="1541">
        <v>41235</v>
      </c>
      <c r="B2782" s="1542">
        <v>10198</v>
      </c>
      <c r="C2782" s="1542">
        <v>115.87</v>
      </c>
      <c r="D2782" s="1542">
        <v>4567.8100000000004</v>
      </c>
      <c r="E2782" s="1542">
        <v>1867.36</v>
      </c>
    </row>
    <row r="2783" spans="1:5">
      <c r="A2783" s="1541">
        <v>41234</v>
      </c>
      <c r="B2783" s="1542">
        <v>10173.219999999999</v>
      </c>
      <c r="C2783" s="1542">
        <v>115.62</v>
      </c>
      <c r="D2783" s="1542">
        <v>4545.8999999999996</v>
      </c>
      <c r="E2783" s="1542">
        <v>1858.05</v>
      </c>
    </row>
    <row r="2784" spans="1:5">
      <c r="A2784" s="1541">
        <v>41233</v>
      </c>
      <c r="B2784" s="1542">
        <v>10255.43</v>
      </c>
      <c r="C2784" s="1542">
        <v>116.63</v>
      </c>
      <c r="D2784" s="1542">
        <v>4534.58</v>
      </c>
      <c r="E2784" s="1542">
        <v>1855.47</v>
      </c>
    </row>
    <row r="2785" spans="1:5">
      <c r="A2785" s="1541">
        <v>41232</v>
      </c>
      <c r="B2785" s="1542">
        <v>10231.42</v>
      </c>
      <c r="C2785" s="1542">
        <v>116.76</v>
      </c>
      <c r="D2785" s="1542">
        <v>4532.79</v>
      </c>
      <c r="E2785" s="1542">
        <v>1852.62</v>
      </c>
    </row>
    <row r="2786" spans="1:5">
      <c r="A2786" s="1541">
        <v>41231</v>
      </c>
      <c r="B2786" s="1542"/>
      <c r="C2786" s="1542"/>
      <c r="D2786" s="1542"/>
      <c r="E2786" s="1542"/>
    </row>
    <row r="2787" spans="1:5">
      <c r="A2787" s="1541">
        <v>41230</v>
      </c>
      <c r="B2787" s="1542"/>
      <c r="C2787" s="1542"/>
      <c r="D2787" s="1542"/>
      <c r="E2787" s="1542"/>
    </row>
    <row r="2788" spans="1:5">
      <c r="A2788" s="1541">
        <v>41229</v>
      </c>
      <c r="B2788" s="1542">
        <v>10232.89</v>
      </c>
      <c r="C2788" s="1542">
        <v>118.89</v>
      </c>
      <c r="D2788" s="1542">
        <v>4434.78</v>
      </c>
      <c r="E2788" s="1542">
        <v>1837.1</v>
      </c>
    </row>
    <row r="2789" spans="1:5">
      <c r="A2789" s="1541">
        <v>41228</v>
      </c>
      <c r="B2789" s="1542">
        <v>10252.65</v>
      </c>
      <c r="C2789" s="1542">
        <v>119.05</v>
      </c>
      <c r="D2789" s="1542">
        <v>4436.3999999999996</v>
      </c>
      <c r="E2789" s="1542">
        <v>1845.64</v>
      </c>
    </row>
    <row r="2790" spans="1:5">
      <c r="A2790" s="1541">
        <v>41227</v>
      </c>
      <c r="B2790" s="1542">
        <v>10275.5</v>
      </c>
      <c r="C2790" s="1542">
        <v>119.27</v>
      </c>
      <c r="D2790" s="1542">
        <v>4447.7</v>
      </c>
      <c r="E2790" s="1542">
        <v>1857.54</v>
      </c>
    </row>
    <row r="2791" spans="1:5">
      <c r="A2791" s="1541">
        <v>41226</v>
      </c>
      <c r="B2791" s="1542">
        <v>10241.469999999999</v>
      </c>
      <c r="C2791" s="1542">
        <v>118.73</v>
      </c>
      <c r="D2791" s="1542">
        <v>4498.05</v>
      </c>
      <c r="E2791" s="1542">
        <v>1860.45</v>
      </c>
    </row>
    <row r="2792" spans="1:5">
      <c r="A2792" s="1541">
        <v>41225</v>
      </c>
      <c r="B2792" s="1542">
        <v>10430.49</v>
      </c>
      <c r="C2792" s="1542">
        <v>121.15</v>
      </c>
      <c r="D2792" s="1542">
        <v>4505.97</v>
      </c>
      <c r="E2792" s="1542">
        <v>1873.35</v>
      </c>
    </row>
    <row r="2793" spans="1:5">
      <c r="A2793" s="1541">
        <v>41224</v>
      </c>
      <c r="B2793" s="1542"/>
      <c r="C2793" s="1542"/>
      <c r="D2793" s="1542"/>
      <c r="E2793" s="1542"/>
    </row>
    <row r="2794" spans="1:5">
      <c r="A2794" s="1541">
        <v>41223</v>
      </c>
      <c r="B2794" s="1542"/>
      <c r="C2794" s="1542"/>
      <c r="D2794" s="1542"/>
      <c r="E2794" s="1542"/>
    </row>
    <row r="2795" spans="1:5">
      <c r="A2795" s="1541">
        <v>41222</v>
      </c>
      <c r="B2795" s="1542">
        <v>10467.049999999999</v>
      </c>
      <c r="C2795" s="1542">
        <v>121.62</v>
      </c>
      <c r="D2795" s="1542">
        <v>4511.88</v>
      </c>
      <c r="E2795" s="1542">
        <v>1876.5</v>
      </c>
    </row>
    <row r="2796" spans="1:5">
      <c r="A2796" s="1541">
        <v>41221</v>
      </c>
      <c r="B2796" s="1542">
        <v>10394.44</v>
      </c>
      <c r="C2796" s="1542">
        <v>120.17</v>
      </c>
      <c r="D2796" s="1542">
        <v>4513.3500000000004</v>
      </c>
      <c r="E2796" s="1542">
        <v>1884.64</v>
      </c>
    </row>
    <row r="2797" spans="1:5">
      <c r="A2797" s="1541">
        <v>41220</v>
      </c>
      <c r="B2797" s="1542">
        <v>10458.370000000001</v>
      </c>
      <c r="C2797" s="1542">
        <v>120.73</v>
      </c>
      <c r="D2797" s="1542">
        <v>4556.66</v>
      </c>
      <c r="E2797" s="1542">
        <v>1907.55</v>
      </c>
    </row>
    <row r="2798" spans="1:5">
      <c r="A2798" s="1541">
        <v>41219</v>
      </c>
      <c r="B2798" s="1542">
        <v>10385.89</v>
      </c>
      <c r="C2798" s="1542">
        <v>119</v>
      </c>
      <c r="D2798" s="1542">
        <v>4632.8500000000004</v>
      </c>
      <c r="E2798" s="1542">
        <v>1905.2</v>
      </c>
    </row>
    <row r="2799" spans="1:5">
      <c r="A2799" s="1541">
        <v>41218</v>
      </c>
      <c r="B2799" s="1542">
        <v>10312.24</v>
      </c>
      <c r="C2799" s="1542">
        <v>117.91</v>
      </c>
      <c r="D2799" s="1542">
        <v>4604.38</v>
      </c>
      <c r="E2799" s="1542">
        <v>1894.58</v>
      </c>
    </row>
    <row r="2800" spans="1:5">
      <c r="A2800" s="1541">
        <v>41217</v>
      </c>
      <c r="B2800" s="1542"/>
      <c r="C2800" s="1542"/>
      <c r="D2800" s="1542"/>
      <c r="E2800" s="1542"/>
    </row>
    <row r="2801" spans="1:5">
      <c r="A2801" s="1541">
        <v>41216</v>
      </c>
      <c r="B2801" s="1542"/>
      <c r="C2801" s="1542"/>
      <c r="D2801" s="1542"/>
      <c r="E2801" s="1542"/>
    </row>
    <row r="2802" spans="1:5">
      <c r="A2802" s="1541">
        <v>41215</v>
      </c>
      <c r="B2802" s="1542">
        <v>10348.280000000001</v>
      </c>
      <c r="C2802" s="1542">
        <v>119.29</v>
      </c>
      <c r="D2802" s="1542">
        <v>4612.5600000000004</v>
      </c>
      <c r="E2802" s="1542">
        <v>1901.92</v>
      </c>
    </row>
    <row r="2803" spans="1:5">
      <c r="A2803" s="1541">
        <v>41214</v>
      </c>
      <c r="B2803" s="1542">
        <v>10304.030000000001</v>
      </c>
      <c r="C2803" s="1542">
        <v>118.84</v>
      </c>
      <c r="D2803" s="1542">
        <v>4638.63</v>
      </c>
      <c r="E2803" s="1542">
        <v>1892.35</v>
      </c>
    </row>
    <row r="2804" spans="1:5">
      <c r="A2804" s="1541">
        <v>41213</v>
      </c>
      <c r="B2804" s="1542">
        <v>10284.530000000001</v>
      </c>
      <c r="C2804" s="1542">
        <v>117.69</v>
      </c>
      <c r="D2804" s="1542">
        <v>4597.2299999999996</v>
      </c>
      <c r="E2804" s="1542">
        <v>1884.01</v>
      </c>
    </row>
    <row r="2805" spans="1:5">
      <c r="A2805" s="1541">
        <v>41212</v>
      </c>
      <c r="B2805" s="1542">
        <v>10308.280000000001</v>
      </c>
      <c r="C2805" s="1542">
        <v>118.28</v>
      </c>
      <c r="D2805" s="1542">
        <v>4599.24</v>
      </c>
      <c r="E2805" s="1542">
        <v>1879.76</v>
      </c>
    </row>
    <row r="2806" spans="1:5">
      <c r="A2806" s="1541">
        <v>41211</v>
      </c>
      <c r="B2806" s="1542">
        <v>10177.719999999999</v>
      </c>
      <c r="C2806" s="1542">
        <v>117.34</v>
      </c>
      <c r="D2806" s="1542">
        <v>4580.6899999999996</v>
      </c>
      <c r="E2806" s="1542">
        <v>1874.2</v>
      </c>
    </row>
    <row r="2807" spans="1:5">
      <c r="A2807" s="1541">
        <v>41210</v>
      </c>
      <c r="B2807" s="1542"/>
      <c r="C2807" s="1542"/>
      <c r="D2807" s="1542"/>
      <c r="E2807" s="1542"/>
    </row>
    <row r="2808" spans="1:5">
      <c r="A2808" s="1541">
        <v>41209</v>
      </c>
      <c r="B2808" s="1542"/>
      <c r="C2808" s="1542"/>
      <c r="D2808" s="1542"/>
      <c r="E2808" s="1542"/>
    </row>
    <row r="2809" spans="1:5">
      <c r="A2809" s="1541">
        <v>41208</v>
      </c>
      <c r="B2809" s="1542">
        <v>10238.549999999999</v>
      </c>
      <c r="C2809" s="1542">
        <v>120.49</v>
      </c>
      <c r="D2809" s="1542">
        <v>4592.18</v>
      </c>
      <c r="E2809" s="1542">
        <v>1875.05</v>
      </c>
    </row>
    <row r="2810" spans="1:5">
      <c r="A2810" s="1541">
        <v>41207</v>
      </c>
      <c r="B2810" s="1542">
        <v>10422.290000000001</v>
      </c>
      <c r="C2810" s="1542">
        <v>124.46</v>
      </c>
      <c r="D2810" s="1542">
        <v>4601.1400000000003</v>
      </c>
      <c r="E2810" s="1542">
        <v>1890.98</v>
      </c>
    </row>
    <row r="2811" spans="1:5">
      <c r="A2811" s="1541">
        <v>41206</v>
      </c>
      <c r="B2811" s="1542">
        <v>10497.71</v>
      </c>
      <c r="C2811" s="1542">
        <v>126.37</v>
      </c>
      <c r="D2811" s="1542">
        <v>4586.8900000000003</v>
      </c>
      <c r="E2811" s="1542">
        <v>1882.32</v>
      </c>
    </row>
    <row r="2812" spans="1:5">
      <c r="A2812" s="1541">
        <v>41205</v>
      </c>
      <c r="B2812" s="1542">
        <v>10530.14</v>
      </c>
      <c r="C2812" s="1542">
        <v>126.8</v>
      </c>
      <c r="D2812" s="1542">
        <v>4590.74</v>
      </c>
      <c r="E2812" s="1542">
        <v>1886.62</v>
      </c>
    </row>
    <row r="2813" spans="1:5">
      <c r="A2813" s="1541">
        <v>41204</v>
      </c>
      <c r="B2813" s="1542">
        <v>10581.16</v>
      </c>
      <c r="C2813" s="1542">
        <v>126.98</v>
      </c>
      <c r="D2813" s="1542">
        <v>4664.28</v>
      </c>
      <c r="E2813" s="1542">
        <v>1906.45</v>
      </c>
    </row>
    <row r="2814" spans="1:5">
      <c r="A2814" s="1541">
        <v>41203</v>
      </c>
      <c r="B2814" s="1542"/>
      <c r="C2814" s="1542"/>
      <c r="D2814" s="1542"/>
      <c r="E2814" s="1542"/>
    </row>
    <row r="2815" spans="1:5">
      <c r="A2815" s="1541">
        <v>41202</v>
      </c>
      <c r="B2815" s="1542"/>
      <c r="C2815" s="1542"/>
      <c r="D2815" s="1542"/>
      <c r="E2815" s="1542"/>
    </row>
    <row r="2816" spans="1:5">
      <c r="A2816" s="1541">
        <v>41201</v>
      </c>
      <c r="B2816" s="1542">
        <v>10632.42</v>
      </c>
      <c r="C2816" s="1542">
        <v>127.48</v>
      </c>
      <c r="D2816" s="1542">
        <v>4669.17</v>
      </c>
      <c r="E2816" s="1542">
        <v>1904.08</v>
      </c>
    </row>
    <row r="2817" spans="1:5">
      <c r="A2817" s="1541">
        <v>41200</v>
      </c>
      <c r="B2817" s="1542">
        <v>10713.72</v>
      </c>
      <c r="C2817" s="1542">
        <v>128.12</v>
      </c>
      <c r="D2817" s="1542">
        <v>4730.07</v>
      </c>
      <c r="E2817" s="1542">
        <v>1917.8</v>
      </c>
    </row>
    <row r="2818" spans="1:5">
      <c r="A2818" s="1541">
        <v>41199</v>
      </c>
      <c r="B2818" s="1542">
        <v>10712.28</v>
      </c>
      <c r="C2818" s="1542">
        <v>128.38999999999999</v>
      </c>
      <c r="D2818" s="1542">
        <v>4730.3</v>
      </c>
      <c r="E2818" s="1542">
        <v>1912.95</v>
      </c>
    </row>
    <row r="2819" spans="1:5">
      <c r="A2819" s="1541">
        <v>41198</v>
      </c>
      <c r="B2819" s="1542">
        <v>10721.77</v>
      </c>
      <c r="C2819" s="1542">
        <v>127.79</v>
      </c>
      <c r="D2819" s="1542">
        <v>4693.5</v>
      </c>
      <c r="E2819" s="1542">
        <v>1897.73</v>
      </c>
    </row>
    <row r="2820" spans="1:5">
      <c r="A2820" s="1541">
        <v>41197</v>
      </c>
      <c r="B2820" s="1542">
        <v>10646.98</v>
      </c>
      <c r="C2820" s="1542">
        <v>126.98</v>
      </c>
      <c r="D2820" s="1542">
        <v>4634.71</v>
      </c>
      <c r="E2820" s="1542">
        <v>1882.35</v>
      </c>
    </row>
    <row r="2821" spans="1:5">
      <c r="A2821" s="1541">
        <v>41196</v>
      </c>
      <c r="B2821" s="1542"/>
      <c r="C2821" s="1542"/>
      <c r="D2821" s="1542"/>
      <c r="E2821" s="1542"/>
    </row>
    <row r="2822" spans="1:5">
      <c r="A2822" s="1541">
        <v>41195</v>
      </c>
      <c r="B2822" s="1542"/>
      <c r="C2822" s="1542"/>
      <c r="D2822" s="1542"/>
      <c r="E2822" s="1542"/>
    </row>
    <row r="2823" spans="1:5">
      <c r="A2823" s="1541">
        <v>41194</v>
      </c>
      <c r="B2823" s="1542">
        <v>10673.01</v>
      </c>
      <c r="C2823" s="1542">
        <v>128</v>
      </c>
      <c r="D2823" s="1542">
        <v>4610.84</v>
      </c>
      <c r="E2823" s="1542">
        <v>1885.12</v>
      </c>
    </row>
    <row r="2824" spans="1:5">
      <c r="A2824" s="1541">
        <v>41193</v>
      </c>
      <c r="B2824" s="1542">
        <v>10694.08</v>
      </c>
      <c r="C2824" s="1542">
        <v>128.41</v>
      </c>
      <c r="D2824" s="1542">
        <v>4620.6899999999996</v>
      </c>
      <c r="E2824" s="1542">
        <v>1883.72</v>
      </c>
    </row>
    <row r="2825" spans="1:5">
      <c r="A2825" s="1541">
        <v>41192</v>
      </c>
      <c r="B2825" s="1542"/>
      <c r="C2825" s="1542"/>
      <c r="D2825" s="1542">
        <v>4607.22</v>
      </c>
      <c r="E2825" s="1542">
        <v>1876.36</v>
      </c>
    </row>
    <row r="2826" spans="1:5">
      <c r="A2826" s="1541">
        <v>41191</v>
      </c>
      <c r="B2826" s="1542">
        <v>10895.41</v>
      </c>
      <c r="C2826" s="1542">
        <v>129.61000000000001</v>
      </c>
      <c r="D2826" s="1542">
        <v>4636.1499999999996</v>
      </c>
      <c r="E2826" s="1542">
        <v>1884.87</v>
      </c>
    </row>
    <row r="2827" spans="1:5">
      <c r="A2827" s="1541">
        <v>41190</v>
      </c>
      <c r="B2827" s="1542">
        <v>10929.68</v>
      </c>
      <c r="C2827" s="1542">
        <v>131.18</v>
      </c>
      <c r="D2827" s="1542">
        <v>4681.6400000000003</v>
      </c>
      <c r="E2827" s="1542">
        <v>1887.42</v>
      </c>
    </row>
    <row r="2828" spans="1:5">
      <c r="A2828" s="1541">
        <v>41189</v>
      </c>
      <c r="B2828" s="1542"/>
      <c r="C2828" s="1542"/>
      <c r="D2828" s="1542"/>
      <c r="E2828" s="1542"/>
    </row>
    <row r="2829" spans="1:5">
      <c r="A2829" s="1541">
        <v>41188</v>
      </c>
      <c r="B2829" s="1542"/>
      <c r="C2829" s="1542"/>
      <c r="D2829" s="1542"/>
      <c r="E2829" s="1542"/>
    </row>
    <row r="2830" spans="1:5">
      <c r="A2830" s="1541">
        <v>41187</v>
      </c>
      <c r="B2830" s="1542">
        <v>11036.98</v>
      </c>
      <c r="C2830" s="1542">
        <v>132.68</v>
      </c>
      <c r="D2830" s="1542">
        <v>4710.7700000000004</v>
      </c>
      <c r="E2830" s="1542">
        <v>1908.03</v>
      </c>
    </row>
    <row r="2831" spans="1:5">
      <c r="A2831" s="1541">
        <v>41186</v>
      </c>
      <c r="B2831" s="1542">
        <v>11025.05</v>
      </c>
      <c r="C2831" s="1542">
        <v>132.5</v>
      </c>
      <c r="D2831" s="1542">
        <v>4690.09</v>
      </c>
      <c r="E2831" s="1542">
        <v>1901.13</v>
      </c>
    </row>
    <row r="2832" spans="1:5">
      <c r="A2832" s="1541">
        <v>41185</v>
      </c>
      <c r="B2832" s="1542">
        <v>11028.31</v>
      </c>
      <c r="C2832" s="1542">
        <v>132.76</v>
      </c>
      <c r="D2832" s="1542">
        <v>4654.4399999999996</v>
      </c>
      <c r="E2832" s="1542">
        <v>1895.41</v>
      </c>
    </row>
    <row r="2833" spans="1:5">
      <c r="A2833" s="1541">
        <v>41184</v>
      </c>
      <c r="B2833" s="1542">
        <v>11077.18</v>
      </c>
      <c r="C2833" s="1542">
        <v>132.97</v>
      </c>
      <c r="D2833" s="1542">
        <v>4655.99</v>
      </c>
      <c r="E2833" s="1542">
        <v>1902.44</v>
      </c>
    </row>
    <row r="2834" spans="1:5">
      <c r="A2834" s="1541">
        <v>41183</v>
      </c>
      <c r="B2834" s="1542">
        <v>11015.53</v>
      </c>
      <c r="C2834" s="1542">
        <v>132.29</v>
      </c>
      <c r="D2834" s="1542">
        <v>4653.3999999999996</v>
      </c>
      <c r="E2834" s="1542">
        <v>1900.26</v>
      </c>
    </row>
    <row r="2835" spans="1:5">
      <c r="A2835" s="1541">
        <v>41182</v>
      </c>
      <c r="B2835" s="1542"/>
      <c r="C2835" s="1542"/>
      <c r="D2835" s="1542"/>
      <c r="E2835" s="1542"/>
    </row>
    <row r="2836" spans="1:5">
      <c r="A2836" s="1541">
        <v>41181</v>
      </c>
      <c r="B2836" s="1542"/>
      <c r="C2836" s="1542"/>
      <c r="D2836" s="1542"/>
      <c r="E2836" s="1542"/>
    </row>
    <row r="2837" spans="1:5">
      <c r="A2837" s="1541">
        <v>41180</v>
      </c>
      <c r="B2837" s="1542">
        <v>11072.13</v>
      </c>
      <c r="C2837" s="1542">
        <v>132.19</v>
      </c>
      <c r="D2837" s="1542">
        <v>4627.18</v>
      </c>
      <c r="E2837" s="1542">
        <v>1895.32</v>
      </c>
    </row>
    <row r="2838" spans="1:5">
      <c r="A2838" s="1541">
        <v>41179</v>
      </c>
      <c r="B2838" s="1542">
        <v>11026.9</v>
      </c>
      <c r="C2838" s="1542">
        <v>131.88999999999999</v>
      </c>
      <c r="D2838" s="1542">
        <v>4657.62</v>
      </c>
      <c r="E2838" s="1542">
        <v>1887.19</v>
      </c>
    </row>
    <row r="2839" spans="1:5">
      <c r="A2839" s="1541">
        <v>41178</v>
      </c>
      <c r="B2839" s="1542">
        <v>11006.52</v>
      </c>
      <c r="C2839" s="1542">
        <v>131.53</v>
      </c>
      <c r="D2839" s="1542">
        <v>4619.3599999999997</v>
      </c>
      <c r="E2839" s="1542">
        <v>1872.05</v>
      </c>
    </row>
    <row r="2840" spans="1:5">
      <c r="A2840" s="1541">
        <v>41177</v>
      </c>
      <c r="B2840" s="1542">
        <v>11099.07</v>
      </c>
      <c r="C2840" s="1542">
        <v>132.87</v>
      </c>
      <c r="D2840" s="1542">
        <v>4677.3100000000004</v>
      </c>
      <c r="E2840" s="1542">
        <v>1893.73</v>
      </c>
    </row>
    <row r="2841" spans="1:5">
      <c r="A2841" s="1541">
        <v>41176</v>
      </c>
      <c r="B2841" s="1542">
        <v>11148.02</v>
      </c>
      <c r="C2841" s="1542">
        <v>133.15</v>
      </c>
      <c r="D2841" s="1542">
        <v>4692.83</v>
      </c>
      <c r="E2841" s="1542">
        <v>1898.36</v>
      </c>
    </row>
    <row r="2842" spans="1:5">
      <c r="A2842" s="1541">
        <v>41175</v>
      </c>
      <c r="B2842" s="1542"/>
      <c r="C2842" s="1542"/>
      <c r="D2842" s="1542"/>
      <c r="E2842" s="1542"/>
    </row>
    <row r="2843" spans="1:5">
      <c r="A2843" s="1541">
        <v>41174</v>
      </c>
      <c r="B2843" s="1542"/>
      <c r="C2843" s="1542"/>
      <c r="D2843" s="1542"/>
      <c r="E2843" s="1542"/>
    </row>
    <row r="2844" spans="1:5">
      <c r="A2844" s="1541">
        <v>41173</v>
      </c>
      <c r="B2844" s="1542">
        <v>11128.32</v>
      </c>
      <c r="C2844" s="1542">
        <v>133.02000000000001</v>
      </c>
      <c r="D2844" s="1542">
        <v>4714.1099999999997</v>
      </c>
      <c r="E2844" s="1542">
        <v>1902.39</v>
      </c>
    </row>
    <row r="2845" spans="1:5">
      <c r="A2845" s="1541">
        <v>41172</v>
      </c>
      <c r="B2845" s="1542">
        <v>11089.47</v>
      </c>
      <c r="C2845" s="1542">
        <v>132.21</v>
      </c>
      <c r="D2845" s="1542">
        <v>4701.51</v>
      </c>
      <c r="E2845" s="1542">
        <v>1886.5</v>
      </c>
    </row>
    <row r="2846" spans="1:5">
      <c r="A2846" s="1541">
        <v>41171</v>
      </c>
      <c r="B2846" s="1542">
        <v>11167.47</v>
      </c>
      <c r="C2846" s="1542">
        <v>132.74</v>
      </c>
      <c r="D2846" s="1542">
        <v>4725.8599999999997</v>
      </c>
      <c r="E2846" s="1542">
        <v>1907.43</v>
      </c>
    </row>
    <row r="2847" spans="1:5">
      <c r="A2847" s="1541">
        <v>41170</v>
      </c>
      <c r="B2847" s="1542">
        <v>11098.77</v>
      </c>
      <c r="C2847" s="1542">
        <v>132.1</v>
      </c>
      <c r="D2847" s="1542">
        <v>4710.29</v>
      </c>
      <c r="E2847" s="1542">
        <v>1902.53</v>
      </c>
    </row>
    <row r="2848" spans="1:5">
      <c r="A2848" s="1541">
        <v>41169</v>
      </c>
      <c r="B2848" s="1542">
        <v>11138.6</v>
      </c>
      <c r="C2848" s="1542">
        <v>132</v>
      </c>
      <c r="D2848" s="1542">
        <v>4728.33</v>
      </c>
      <c r="E2848" s="1542">
        <v>1913.45</v>
      </c>
    </row>
    <row r="2849" spans="1:5">
      <c r="A2849" s="1541">
        <v>41168</v>
      </c>
      <c r="B2849" s="1542"/>
      <c r="C2849" s="1542"/>
      <c r="D2849" s="1542"/>
      <c r="E2849" s="1542"/>
    </row>
    <row r="2850" spans="1:5">
      <c r="A2850" s="1541">
        <v>41167</v>
      </c>
      <c r="B2850" s="1542"/>
      <c r="C2850" s="1542"/>
      <c r="D2850" s="1542"/>
      <c r="E2850" s="1542"/>
    </row>
    <row r="2851" spans="1:5">
      <c r="A2851" s="1541">
        <v>41166</v>
      </c>
      <c r="B2851" s="1542">
        <v>11103.7</v>
      </c>
      <c r="C2851" s="1542">
        <v>131.72999999999999</v>
      </c>
      <c r="D2851" s="1542">
        <v>4746.79</v>
      </c>
      <c r="E2851" s="1542">
        <v>1915.9</v>
      </c>
    </row>
    <row r="2852" spans="1:5">
      <c r="A2852" s="1541">
        <v>41165</v>
      </c>
      <c r="B2852" s="1542">
        <v>10875.06</v>
      </c>
      <c r="C2852" s="1542">
        <v>130.96</v>
      </c>
      <c r="D2852" s="1542">
        <v>4682.91</v>
      </c>
      <c r="E2852" s="1542">
        <v>1855.21</v>
      </c>
    </row>
    <row r="2853" spans="1:5">
      <c r="A2853" s="1541">
        <v>41164</v>
      </c>
      <c r="B2853" s="1542">
        <v>10862.38</v>
      </c>
      <c r="C2853" s="1542">
        <v>131.03</v>
      </c>
      <c r="D2853" s="1542">
        <v>4637.57</v>
      </c>
      <c r="E2853" s="1542">
        <v>1848.52</v>
      </c>
    </row>
    <row r="2854" spans="1:5">
      <c r="A2854" s="1541">
        <v>41163</v>
      </c>
      <c r="B2854" s="1542">
        <v>10739.09</v>
      </c>
      <c r="C2854" s="1542">
        <v>129.88</v>
      </c>
      <c r="D2854" s="1542">
        <v>4619.0600000000004</v>
      </c>
      <c r="E2854" s="1542">
        <v>1838.19</v>
      </c>
    </row>
    <row r="2855" spans="1:5">
      <c r="A2855" s="1541">
        <v>41162</v>
      </c>
      <c r="B2855" s="1542">
        <v>10735.56</v>
      </c>
      <c r="C2855" s="1542">
        <v>130.11000000000001</v>
      </c>
      <c r="D2855" s="1542">
        <v>4599.93</v>
      </c>
      <c r="E2855" s="1542">
        <v>1832.24</v>
      </c>
    </row>
    <row r="2856" spans="1:5">
      <c r="A2856" s="1541">
        <v>41161</v>
      </c>
      <c r="B2856" s="1542"/>
      <c r="C2856" s="1542"/>
      <c r="D2856" s="1542"/>
      <c r="E2856" s="1542"/>
    </row>
    <row r="2857" spans="1:5">
      <c r="A2857" s="1541">
        <v>41160</v>
      </c>
      <c r="B2857" s="1542"/>
      <c r="C2857" s="1542"/>
      <c r="D2857" s="1542"/>
      <c r="E2857" s="1542"/>
    </row>
    <row r="2858" spans="1:5">
      <c r="A2858" s="1541">
        <v>41159</v>
      </c>
      <c r="B2858" s="1542">
        <v>10651.93</v>
      </c>
      <c r="C2858" s="1542">
        <v>129.86000000000001</v>
      </c>
      <c r="D2858" s="1542">
        <v>4619.8900000000003</v>
      </c>
      <c r="E2858" s="1542">
        <v>1829.55</v>
      </c>
    </row>
    <row r="2859" spans="1:5">
      <c r="A2859" s="1541">
        <v>41158</v>
      </c>
      <c r="B2859" s="1542">
        <v>10511.03</v>
      </c>
      <c r="C2859" s="1542">
        <v>129.11000000000001</v>
      </c>
      <c r="D2859" s="1542">
        <v>4568.5200000000004</v>
      </c>
      <c r="E2859" s="1542">
        <v>1794.82</v>
      </c>
    </row>
    <row r="2860" spans="1:5">
      <c r="A2860" s="1541">
        <v>41157</v>
      </c>
      <c r="B2860" s="1542">
        <v>10569.05</v>
      </c>
      <c r="C2860" s="1542">
        <v>129.37</v>
      </c>
      <c r="D2860" s="1542">
        <v>4482.26</v>
      </c>
      <c r="E2860" s="1542">
        <v>1773.15</v>
      </c>
    </row>
    <row r="2861" spans="1:5">
      <c r="A2861" s="1541">
        <v>41156</v>
      </c>
      <c r="B2861" s="1542">
        <v>10689.18</v>
      </c>
      <c r="C2861" s="1542">
        <v>129.79</v>
      </c>
      <c r="D2861" s="1542">
        <v>4486.1499999999996</v>
      </c>
      <c r="E2861" s="1542">
        <v>1787.53</v>
      </c>
    </row>
    <row r="2862" spans="1:5">
      <c r="A2862" s="1541">
        <v>41155</v>
      </c>
      <c r="B2862" s="1542">
        <v>10687.97</v>
      </c>
      <c r="C2862" s="1542">
        <v>129.47</v>
      </c>
      <c r="D2862" s="1542">
        <v>4507.4799999999996</v>
      </c>
      <c r="E2862" s="1542">
        <v>1797.77</v>
      </c>
    </row>
    <row r="2863" spans="1:5">
      <c r="A2863" s="1541">
        <v>41154</v>
      </c>
      <c r="B2863" s="1542"/>
      <c r="C2863" s="1542"/>
      <c r="D2863" s="1542"/>
      <c r="E2863" s="1542"/>
    </row>
    <row r="2864" spans="1:5">
      <c r="A2864" s="1541">
        <v>41153</v>
      </c>
      <c r="B2864" s="1542"/>
      <c r="C2864" s="1542"/>
      <c r="D2864" s="1542"/>
      <c r="E2864" s="1542"/>
    </row>
    <row r="2865" spans="1:5">
      <c r="A2865" s="1541">
        <v>41152</v>
      </c>
      <c r="B2865" s="1542">
        <v>10610.76</v>
      </c>
      <c r="C2865" s="1542">
        <v>128.32</v>
      </c>
      <c r="D2865" s="1542">
        <v>4501.5</v>
      </c>
      <c r="E2865" s="1542">
        <v>1787.12</v>
      </c>
    </row>
    <row r="2866" spans="1:5">
      <c r="A2866" s="1541">
        <v>41151</v>
      </c>
      <c r="B2866" s="1542">
        <v>10573.97</v>
      </c>
      <c r="C2866" s="1542">
        <v>128.22999999999999</v>
      </c>
      <c r="D2866" s="1542">
        <v>4476.1499999999996</v>
      </c>
      <c r="E2866" s="1542">
        <v>1781.56</v>
      </c>
    </row>
    <row r="2867" spans="1:5">
      <c r="A2867" s="1541">
        <v>41150</v>
      </c>
      <c r="B2867" s="1542">
        <v>10599.82</v>
      </c>
      <c r="C2867" s="1542">
        <v>128.19</v>
      </c>
      <c r="D2867" s="1542">
        <v>4515.04</v>
      </c>
      <c r="E2867" s="1542">
        <v>1797.5</v>
      </c>
    </row>
    <row r="2868" spans="1:5">
      <c r="A2868" s="1541">
        <v>41149</v>
      </c>
      <c r="B2868" s="1542">
        <v>10557.4</v>
      </c>
      <c r="C2868" s="1542">
        <v>127.43</v>
      </c>
      <c r="D2868" s="1542">
        <v>4517.7</v>
      </c>
      <c r="E2868" s="1542">
        <v>1804.67</v>
      </c>
    </row>
    <row r="2869" spans="1:5">
      <c r="A2869" s="1541">
        <v>41148</v>
      </c>
      <c r="B2869" s="1542">
        <v>10709.69</v>
      </c>
      <c r="C2869" s="1542">
        <v>129.63</v>
      </c>
      <c r="D2869" s="1542">
        <v>4525.49</v>
      </c>
      <c r="E2869" s="1542">
        <v>1812.14</v>
      </c>
    </row>
    <row r="2870" spans="1:5">
      <c r="A2870" s="1541">
        <v>41147</v>
      </c>
      <c r="B2870" s="1542"/>
      <c r="C2870" s="1542"/>
      <c r="D2870" s="1542"/>
      <c r="E2870" s="1542"/>
    </row>
    <row r="2871" spans="1:5">
      <c r="A2871" s="1541">
        <v>41146</v>
      </c>
      <c r="B2871" s="1542"/>
      <c r="C2871" s="1542"/>
      <c r="D2871" s="1542"/>
      <c r="E2871" s="1542"/>
    </row>
    <row r="2872" spans="1:5">
      <c r="A2872" s="1541">
        <v>41145</v>
      </c>
      <c r="B2872" s="1542">
        <v>10723.04</v>
      </c>
      <c r="C2872" s="1542">
        <v>130.03</v>
      </c>
      <c r="D2872" s="1542">
        <v>4522.68</v>
      </c>
      <c r="E2872" s="1542">
        <v>1820.45</v>
      </c>
    </row>
    <row r="2873" spans="1:5">
      <c r="A2873" s="1541">
        <v>41144</v>
      </c>
      <c r="B2873" s="1542">
        <v>10762.54</v>
      </c>
      <c r="C2873" s="1542">
        <v>129.74</v>
      </c>
      <c r="D2873" s="1542">
        <v>4520.2299999999996</v>
      </c>
      <c r="E2873" s="1542">
        <v>1836.69</v>
      </c>
    </row>
    <row r="2874" spans="1:5">
      <c r="A2874" s="1541">
        <v>41143</v>
      </c>
      <c r="B2874" s="1542">
        <v>10748.86</v>
      </c>
      <c r="C2874" s="1542">
        <v>129.62</v>
      </c>
      <c r="D2874" s="1542">
        <v>4529.12</v>
      </c>
      <c r="E2874" s="1542">
        <v>1827.87</v>
      </c>
    </row>
    <row r="2875" spans="1:5">
      <c r="A2875" s="1541">
        <v>41142</v>
      </c>
      <c r="B2875" s="1542">
        <v>10757.33</v>
      </c>
      <c r="C2875" s="1542">
        <v>129.24</v>
      </c>
      <c r="D2875" s="1542">
        <v>4548.42</v>
      </c>
      <c r="E2875" s="1542">
        <v>1837.87</v>
      </c>
    </row>
    <row r="2876" spans="1:5">
      <c r="A2876" s="1541">
        <v>41141</v>
      </c>
      <c r="B2876" s="1542">
        <v>10645.59</v>
      </c>
      <c r="C2876" s="1542">
        <v>128.22</v>
      </c>
      <c r="D2876" s="1542">
        <v>4535.1400000000003</v>
      </c>
      <c r="E2876" s="1542">
        <v>1827.03</v>
      </c>
    </row>
    <row r="2877" spans="1:5">
      <c r="A2877" s="1541">
        <v>41140</v>
      </c>
      <c r="B2877" s="1542"/>
      <c r="C2877" s="1542"/>
      <c r="D2877" s="1542"/>
      <c r="E2877" s="1542"/>
    </row>
    <row r="2878" spans="1:5">
      <c r="A2878" s="1541">
        <v>41139</v>
      </c>
      <c r="B2878" s="1542"/>
      <c r="C2878" s="1542"/>
      <c r="D2878" s="1542"/>
      <c r="E2878" s="1542"/>
    </row>
    <row r="2879" spans="1:5">
      <c r="A2879" s="1541">
        <v>41138</v>
      </c>
      <c r="B2879" s="1542">
        <v>10694.42</v>
      </c>
      <c r="C2879" s="1542">
        <v>129.12</v>
      </c>
      <c r="D2879" s="1542">
        <v>4535.9799999999996</v>
      </c>
      <c r="E2879" s="1542">
        <v>1830.01</v>
      </c>
    </row>
    <row r="2880" spans="1:5">
      <c r="A2880" s="1541">
        <v>41137</v>
      </c>
      <c r="B2880" s="1542">
        <v>10726.08</v>
      </c>
      <c r="C2880" s="1542">
        <v>128.69</v>
      </c>
      <c r="D2880" s="1542">
        <v>4526.68</v>
      </c>
      <c r="E2880" s="1542">
        <v>1838.95</v>
      </c>
    </row>
    <row r="2881" spans="1:5">
      <c r="A2881" s="1541">
        <v>41136</v>
      </c>
      <c r="B2881" s="1542">
        <v>10688.72</v>
      </c>
      <c r="C2881" s="1542">
        <v>127.47</v>
      </c>
      <c r="D2881" s="1542">
        <v>4488.47</v>
      </c>
      <c r="E2881" s="1542">
        <v>1835.79</v>
      </c>
    </row>
    <row r="2882" spans="1:5">
      <c r="A2882" s="1541">
        <v>41135</v>
      </c>
      <c r="B2882" s="1542">
        <v>10699.41</v>
      </c>
      <c r="C2882" s="1542">
        <v>127.56</v>
      </c>
      <c r="D2882" s="1542">
        <v>4488.93</v>
      </c>
      <c r="E2882" s="1542">
        <v>1841.43</v>
      </c>
    </row>
    <row r="2883" spans="1:5">
      <c r="A2883" s="1541">
        <v>41134</v>
      </c>
      <c r="B2883" s="1542">
        <v>10636.28</v>
      </c>
      <c r="C2883" s="1542">
        <v>127.28</v>
      </c>
      <c r="D2883" s="1542">
        <v>4484.1099999999997</v>
      </c>
      <c r="E2883" s="1542">
        <v>1832.45</v>
      </c>
    </row>
    <row r="2884" spans="1:5">
      <c r="A2884" s="1541">
        <v>41133</v>
      </c>
      <c r="B2884" s="1542"/>
      <c r="C2884" s="1542"/>
      <c r="D2884" s="1542"/>
      <c r="E2884" s="1542"/>
    </row>
    <row r="2885" spans="1:5">
      <c r="A2885" s="1541">
        <v>41132</v>
      </c>
      <c r="B2885" s="1542"/>
      <c r="C2885" s="1542"/>
      <c r="D2885" s="1542"/>
      <c r="E2885" s="1542"/>
    </row>
    <row r="2886" spans="1:5">
      <c r="A2886" s="1541">
        <v>41131</v>
      </c>
      <c r="B2886" s="1542">
        <v>10642.7</v>
      </c>
      <c r="C2886" s="1542">
        <v>127.08</v>
      </c>
      <c r="D2886" s="1542">
        <v>4490.8100000000004</v>
      </c>
      <c r="E2886" s="1542">
        <v>1844.84</v>
      </c>
    </row>
    <row r="2887" spans="1:5">
      <c r="A2887" s="1541">
        <v>41130</v>
      </c>
      <c r="B2887" s="1542">
        <v>10621.32</v>
      </c>
      <c r="C2887" s="1542">
        <v>126.12</v>
      </c>
      <c r="D2887" s="1542">
        <v>4488.75</v>
      </c>
      <c r="E2887" s="1542">
        <v>1844.52</v>
      </c>
    </row>
    <row r="2888" spans="1:5">
      <c r="A2888" s="1541">
        <v>41129</v>
      </c>
      <c r="B2888" s="1542">
        <v>10440.469999999999</v>
      </c>
      <c r="C2888" s="1542">
        <v>124.08</v>
      </c>
      <c r="D2888" s="1542">
        <v>4481.6899999999996</v>
      </c>
      <c r="E2888" s="1542">
        <v>1827.76</v>
      </c>
    </row>
    <row r="2889" spans="1:5">
      <c r="A2889" s="1541">
        <v>41128</v>
      </c>
      <c r="B2889" s="1542">
        <v>10391.98</v>
      </c>
      <c r="C2889" s="1542">
        <v>123.37</v>
      </c>
      <c r="D2889" s="1542">
        <v>4480</v>
      </c>
      <c r="E2889" s="1542">
        <v>1822.27</v>
      </c>
    </row>
    <row r="2890" spans="1:5">
      <c r="A2890" s="1541">
        <v>41127</v>
      </c>
      <c r="B2890" s="1542">
        <v>10371.209999999999</v>
      </c>
      <c r="C2890" s="1542">
        <v>124.02</v>
      </c>
      <c r="D2890" s="1542">
        <v>4449.93</v>
      </c>
      <c r="E2890" s="1542">
        <v>1821.32</v>
      </c>
    </row>
    <row r="2891" spans="1:5">
      <c r="A2891" s="1541">
        <v>41126</v>
      </c>
      <c r="B2891" s="1542"/>
      <c r="C2891" s="1542"/>
      <c r="D2891" s="1542"/>
      <c r="E2891" s="1542"/>
    </row>
    <row r="2892" spans="1:5">
      <c r="A2892" s="1541">
        <v>41125</v>
      </c>
      <c r="B2892" s="1542"/>
      <c r="C2892" s="1542"/>
      <c r="D2892" s="1542"/>
      <c r="E2892" s="1542"/>
    </row>
    <row r="2893" spans="1:5">
      <c r="A2893" s="1541">
        <v>41124</v>
      </c>
      <c r="B2893" s="1542">
        <v>10269.69</v>
      </c>
      <c r="C2893" s="1542">
        <v>124.07</v>
      </c>
      <c r="D2893" s="1542">
        <v>4420.93</v>
      </c>
      <c r="E2893" s="1542">
        <v>1793.6</v>
      </c>
    </row>
    <row r="2894" spans="1:5">
      <c r="A2894" s="1541">
        <v>41123</v>
      </c>
      <c r="B2894" s="1542"/>
      <c r="C2894" s="1542"/>
      <c r="D2894" s="1542">
        <v>4333.99</v>
      </c>
      <c r="E2894" s="1542">
        <v>1778.67</v>
      </c>
    </row>
    <row r="2895" spans="1:5">
      <c r="A2895" s="1541">
        <v>41122</v>
      </c>
      <c r="B2895" s="1542">
        <v>10334.540000000001</v>
      </c>
      <c r="C2895" s="1542">
        <v>124.44</v>
      </c>
      <c r="D2895" s="1542">
        <v>4379.8999999999996</v>
      </c>
      <c r="E2895" s="1542">
        <v>1795.95</v>
      </c>
    </row>
    <row r="2896" spans="1:5">
      <c r="A2896" s="1541">
        <v>41121</v>
      </c>
      <c r="B2896" s="1542">
        <v>10325.98</v>
      </c>
      <c r="C2896" s="1542">
        <v>122.93</v>
      </c>
      <c r="D2896" s="1542">
        <v>4388.04</v>
      </c>
      <c r="E2896" s="1542">
        <v>1792.3</v>
      </c>
    </row>
    <row r="2897" spans="1:5">
      <c r="A2897" s="1541">
        <v>41120</v>
      </c>
      <c r="B2897" s="1542">
        <v>10163.39</v>
      </c>
      <c r="C2897" s="1542">
        <v>122.28</v>
      </c>
      <c r="D2897" s="1542">
        <v>4399.7</v>
      </c>
      <c r="E2897" s="1542">
        <v>1785.37</v>
      </c>
    </row>
    <row r="2898" spans="1:5">
      <c r="A2898" s="1541">
        <v>41119</v>
      </c>
      <c r="B2898" s="1542"/>
      <c r="C2898" s="1542"/>
      <c r="D2898" s="1542"/>
      <c r="E2898" s="1542"/>
    </row>
    <row r="2899" spans="1:5">
      <c r="A2899" s="1541">
        <v>41118</v>
      </c>
      <c r="B2899" s="1542"/>
      <c r="C2899" s="1542"/>
      <c r="D2899" s="1542"/>
      <c r="E2899" s="1542"/>
    </row>
    <row r="2900" spans="1:5">
      <c r="A2900" s="1541">
        <v>41117</v>
      </c>
      <c r="B2900" s="1542">
        <v>10113.39</v>
      </c>
      <c r="C2900" s="1542">
        <v>122.07</v>
      </c>
      <c r="D2900" s="1542">
        <v>4385.8999999999996</v>
      </c>
      <c r="E2900" s="1542">
        <v>1771.79</v>
      </c>
    </row>
    <row r="2901" spans="1:5">
      <c r="A2901" s="1541">
        <v>41116</v>
      </c>
      <c r="B2901" s="1542">
        <v>9891.39</v>
      </c>
      <c r="C2901" s="1542">
        <v>120.52</v>
      </c>
      <c r="D2901" s="1542">
        <v>4307.8100000000004</v>
      </c>
      <c r="E2901" s="1542">
        <v>1724.05</v>
      </c>
    </row>
    <row r="2902" spans="1:5">
      <c r="A2902" s="1541">
        <v>41115</v>
      </c>
      <c r="B2902" s="1542">
        <v>9889.5</v>
      </c>
      <c r="C2902" s="1542">
        <v>120.47</v>
      </c>
      <c r="D2902" s="1542">
        <v>4216.2299999999996</v>
      </c>
      <c r="E2902" s="1542">
        <v>1703.43</v>
      </c>
    </row>
    <row r="2903" spans="1:5">
      <c r="A2903" s="1541">
        <v>41114</v>
      </c>
      <c r="B2903" s="1542">
        <v>9920.6200000000008</v>
      </c>
      <c r="C2903" s="1542">
        <v>120.45</v>
      </c>
      <c r="D2903" s="1542">
        <v>4219.96</v>
      </c>
      <c r="E2903" s="1542">
        <v>1710.34</v>
      </c>
    </row>
    <row r="2904" spans="1:5">
      <c r="A2904" s="1541">
        <v>41113</v>
      </c>
      <c r="B2904" s="1542">
        <v>9943.69</v>
      </c>
      <c r="C2904" s="1542">
        <v>120.97</v>
      </c>
      <c r="D2904" s="1542">
        <v>4251.9399999999996</v>
      </c>
      <c r="E2904" s="1542">
        <v>1715.96</v>
      </c>
    </row>
    <row r="2905" spans="1:5">
      <c r="A2905" s="1541">
        <v>41112</v>
      </c>
      <c r="B2905" s="1542"/>
      <c r="C2905" s="1542"/>
      <c r="D2905" s="1542"/>
      <c r="E2905" s="1542"/>
    </row>
    <row r="2906" spans="1:5">
      <c r="A2906" s="1541">
        <v>41111</v>
      </c>
      <c r="B2906" s="1542"/>
      <c r="C2906" s="1542"/>
      <c r="D2906" s="1542"/>
      <c r="E2906" s="1542"/>
    </row>
    <row r="2907" spans="1:5">
      <c r="A2907" s="1541">
        <v>41110</v>
      </c>
      <c r="B2907" s="1542">
        <v>10134.82</v>
      </c>
      <c r="C2907" s="1542">
        <v>122.78</v>
      </c>
      <c r="D2907" s="1542">
        <v>4319.6099999999997</v>
      </c>
      <c r="E2907" s="1542">
        <v>1761.77</v>
      </c>
    </row>
    <row r="2908" spans="1:5">
      <c r="A2908" s="1541">
        <v>41109</v>
      </c>
      <c r="B2908" s="1542">
        <v>10107.93</v>
      </c>
      <c r="C2908" s="1542">
        <v>122.33</v>
      </c>
      <c r="D2908" s="1542">
        <v>4377.3100000000004</v>
      </c>
      <c r="E2908" s="1542">
        <v>1769.7</v>
      </c>
    </row>
    <row r="2909" spans="1:5">
      <c r="A2909" s="1541">
        <v>41108</v>
      </c>
      <c r="B2909" s="1542">
        <v>9957.7099999999991</v>
      </c>
      <c r="C2909" s="1542">
        <v>120.82</v>
      </c>
      <c r="D2909" s="1542">
        <v>4346.38</v>
      </c>
      <c r="E2909" s="1542">
        <v>1750.27</v>
      </c>
    </row>
    <row r="2910" spans="1:5">
      <c r="A2910" s="1541">
        <v>41107</v>
      </c>
      <c r="B2910" s="1542">
        <v>10063.85</v>
      </c>
      <c r="C2910" s="1542">
        <v>121.48</v>
      </c>
      <c r="D2910" s="1542">
        <v>4311.04</v>
      </c>
      <c r="E2910" s="1542">
        <v>1754.31</v>
      </c>
    </row>
    <row r="2911" spans="1:5">
      <c r="A2911" s="1541">
        <v>41106</v>
      </c>
      <c r="B2911" s="1542">
        <v>9979.59</v>
      </c>
      <c r="C2911" s="1542">
        <v>120.54</v>
      </c>
      <c r="D2911" s="1542">
        <v>4297.82</v>
      </c>
      <c r="E2911" s="1542">
        <v>1741.59</v>
      </c>
    </row>
    <row r="2912" spans="1:5">
      <c r="A2912" s="1541">
        <v>41105</v>
      </c>
      <c r="B2912" s="1542"/>
      <c r="C2912" s="1542"/>
      <c r="D2912" s="1542"/>
      <c r="E2912" s="1542"/>
    </row>
    <row r="2913" spans="1:5">
      <c r="A2913" s="1541">
        <v>41104</v>
      </c>
      <c r="B2913" s="1542"/>
      <c r="C2913" s="1542"/>
      <c r="D2913" s="1542"/>
      <c r="E2913" s="1542"/>
    </row>
    <row r="2914" spans="1:5">
      <c r="A2914" s="1541">
        <v>41103</v>
      </c>
      <c r="B2914" s="1542">
        <v>9987.44</v>
      </c>
      <c r="C2914" s="1542">
        <v>121.98</v>
      </c>
      <c r="D2914" s="1542">
        <v>4298.49</v>
      </c>
      <c r="E2914" s="1542">
        <v>1740.16</v>
      </c>
    </row>
    <row r="2915" spans="1:5">
      <c r="A2915" s="1541">
        <v>41102</v>
      </c>
      <c r="B2915" s="1542">
        <v>10021.66</v>
      </c>
      <c r="C2915" s="1542">
        <v>123.35</v>
      </c>
      <c r="D2915" s="1542">
        <v>4234.7299999999996</v>
      </c>
      <c r="E2915" s="1542">
        <v>1717.44</v>
      </c>
    </row>
    <row r="2916" spans="1:5">
      <c r="A2916" s="1541">
        <v>41101</v>
      </c>
      <c r="B2916" s="1542">
        <v>10190.23</v>
      </c>
      <c r="C2916" s="1542">
        <v>124.94</v>
      </c>
      <c r="D2916" s="1542">
        <v>4274.45</v>
      </c>
      <c r="E2916" s="1542">
        <v>1751.05</v>
      </c>
    </row>
    <row r="2917" spans="1:5">
      <c r="A2917" s="1541">
        <v>41100</v>
      </c>
      <c r="B2917" s="1542">
        <v>10167.780000000001</v>
      </c>
      <c r="C2917" s="1542">
        <v>124.35</v>
      </c>
      <c r="D2917" s="1542">
        <v>4274.0600000000004</v>
      </c>
      <c r="E2917" s="1542">
        <v>1754.28</v>
      </c>
    </row>
    <row r="2918" spans="1:5">
      <c r="A2918" s="1541">
        <v>41099</v>
      </c>
      <c r="B2918" s="1542">
        <v>10247.64</v>
      </c>
      <c r="C2918" s="1542">
        <v>125.98</v>
      </c>
      <c r="D2918" s="1542">
        <v>4292.6499999999996</v>
      </c>
      <c r="E2918" s="1542">
        <v>1756.92</v>
      </c>
    </row>
    <row r="2919" spans="1:5">
      <c r="A2919" s="1541">
        <v>41098</v>
      </c>
      <c r="B2919" s="1542"/>
      <c r="C2919" s="1542"/>
      <c r="D2919" s="1542"/>
      <c r="E2919" s="1542"/>
    </row>
    <row r="2920" spans="1:5">
      <c r="A2920" s="1541">
        <v>41097</v>
      </c>
      <c r="B2920" s="1542"/>
      <c r="C2920" s="1542"/>
      <c r="D2920" s="1542"/>
      <c r="E2920" s="1542"/>
    </row>
    <row r="2921" spans="1:5">
      <c r="A2921" s="1541">
        <v>41096</v>
      </c>
      <c r="B2921" s="1542">
        <v>10300.17</v>
      </c>
      <c r="C2921" s="1542">
        <v>126.82</v>
      </c>
      <c r="D2921" s="1542">
        <v>4310.95</v>
      </c>
      <c r="E2921" s="1542">
        <v>1775.61</v>
      </c>
    </row>
    <row r="2922" spans="1:5">
      <c r="A2922" s="1541">
        <v>41095</v>
      </c>
      <c r="B2922" s="1542">
        <v>10325.780000000001</v>
      </c>
      <c r="C2922" s="1542">
        <v>127.75</v>
      </c>
      <c r="D2922" s="1542">
        <v>4355.82</v>
      </c>
      <c r="E2922" s="1542">
        <v>1792.81</v>
      </c>
    </row>
    <row r="2923" spans="1:5">
      <c r="A2923" s="1541">
        <v>41094</v>
      </c>
      <c r="B2923" s="1542">
        <v>10351.39</v>
      </c>
      <c r="C2923" s="1542">
        <v>127.93</v>
      </c>
      <c r="D2923" s="1542">
        <v>4383.04</v>
      </c>
      <c r="E2923" s="1542">
        <v>1794.21</v>
      </c>
    </row>
    <row r="2924" spans="1:5">
      <c r="A2924" s="1541">
        <v>41093</v>
      </c>
      <c r="B2924" s="1542">
        <v>10281.59</v>
      </c>
      <c r="C2924" s="1542">
        <v>127.02</v>
      </c>
      <c r="D2924" s="1542">
        <v>4387.0600000000004</v>
      </c>
      <c r="E2924" s="1542">
        <v>1793.36</v>
      </c>
    </row>
    <row r="2925" spans="1:5">
      <c r="A2925" s="1541">
        <v>41092</v>
      </c>
      <c r="B2925" s="1542">
        <v>10175.26</v>
      </c>
      <c r="C2925" s="1542">
        <v>126.26</v>
      </c>
      <c r="D2925" s="1542">
        <v>4348.12</v>
      </c>
      <c r="E2925" s="1542">
        <v>1764.45</v>
      </c>
    </row>
    <row r="2926" spans="1:5">
      <c r="A2926" s="1541">
        <v>41091</v>
      </c>
      <c r="B2926" s="1542"/>
      <c r="C2926" s="1542"/>
      <c r="D2926" s="1542"/>
      <c r="E2926" s="1542"/>
    </row>
    <row r="2927" spans="1:5">
      <c r="A2927" s="1541">
        <v>41090</v>
      </c>
      <c r="B2927" s="1542"/>
      <c r="C2927" s="1542"/>
      <c r="D2927" s="1542"/>
      <c r="E2927" s="1542"/>
    </row>
    <row r="2928" spans="1:5">
      <c r="A2928" s="1541">
        <v>41089</v>
      </c>
      <c r="B2928" s="1542">
        <v>10106.39</v>
      </c>
      <c r="C2928" s="1542">
        <v>124.92</v>
      </c>
      <c r="D2928" s="1542">
        <v>4331.1499999999996</v>
      </c>
      <c r="E2928" s="1542">
        <v>1756.77</v>
      </c>
    </row>
    <row r="2929" spans="1:5">
      <c r="A2929" s="1541">
        <v>41088</v>
      </c>
      <c r="B2929" s="1542">
        <v>9930.23</v>
      </c>
      <c r="C2929" s="1542">
        <v>123.86</v>
      </c>
      <c r="D2929" s="1542">
        <v>4205.63</v>
      </c>
      <c r="E2929" s="1542">
        <v>1699.23</v>
      </c>
    </row>
    <row r="2930" spans="1:5">
      <c r="A2930" s="1541">
        <v>41087</v>
      </c>
      <c r="B2930" s="1542">
        <v>9942.81</v>
      </c>
      <c r="C2930" s="1542">
        <v>124.16</v>
      </c>
      <c r="D2930" s="1542">
        <v>4211.57</v>
      </c>
      <c r="E2930" s="1542">
        <v>1710.74</v>
      </c>
    </row>
    <row r="2931" spans="1:5">
      <c r="A2931" s="1541">
        <v>41086</v>
      </c>
      <c r="B2931" s="1542">
        <v>9879.48</v>
      </c>
      <c r="C2931" s="1542">
        <v>123.65</v>
      </c>
      <c r="D2931" s="1542">
        <v>4170.7</v>
      </c>
      <c r="E2931" s="1542">
        <v>1698.85</v>
      </c>
    </row>
    <row r="2932" spans="1:5">
      <c r="A2932" s="1541">
        <v>41085</v>
      </c>
      <c r="B2932" s="1542">
        <v>9918.82</v>
      </c>
      <c r="C2932" s="1542">
        <v>125.31</v>
      </c>
      <c r="D2932" s="1542">
        <v>4162.9799999999996</v>
      </c>
      <c r="E2932" s="1542">
        <v>1693.72</v>
      </c>
    </row>
    <row r="2933" spans="1:5">
      <c r="A2933" s="1541">
        <v>41084</v>
      </c>
      <c r="B2933" s="1542"/>
      <c r="C2933" s="1542"/>
      <c r="D2933" s="1542"/>
      <c r="E2933" s="1542"/>
    </row>
    <row r="2934" spans="1:5">
      <c r="A2934" s="1541">
        <v>41083</v>
      </c>
      <c r="B2934" s="1542"/>
      <c r="C2934" s="1542"/>
      <c r="D2934" s="1542"/>
      <c r="E2934" s="1542"/>
    </row>
    <row r="2935" spans="1:5">
      <c r="A2935" s="1541">
        <v>41082</v>
      </c>
      <c r="B2935" s="1542">
        <v>9995.5499999999993</v>
      </c>
      <c r="C2935" s="1542">
        <v>125.44</v>
      </c>
      <c r="D2935" s="1542">
        <v>4223.3999999999996</v>
      </c>
      <c r="E2935" s="1542">
        <v>1718</v>
      </c>
    </row>
    <row r="2936" spans="1:5">
      <c r="A2936" s="1541">
        <v>41081</v>
      </c>
      <c r="B2936" s="1542">
        <v>10074.23</v>
      </c>
      <c r="C2936" s="1542">
        <v>125.34</v>
      </c>
      <c r="D2936" s="1542">
        <v>4227.5600000000004</v>
      </c>
      <c r="E2936" s="1542">
        <v>1746.19</v>
      </c>
    </row>
    <row r="2937" spans="1:5">
      <c r="A2937" s="1541">
        <v>41080</v>
      </c>
      <c r="B2937" s="1542">
        <v>10150.52</v>
      </c>
      <c r="C2937" s="1542">
        <v>125.44</v>
      </c>
      <c r="D2937" s="1542">
        <v>4306.38</v>
      </c>
      <c r="E2937" s="1542">
        <v>1775.81</v>
      </c>
    </row>
    <row r="2938" spans="1:5">
      <c r="A2938" s="1541">
        <v>41079</v>
      </c>
      <c r="B2938" s="1542">
        <v>10065.31</v>
      </c>
      <c r="C2938" s="1542">
        <v>124.49</v>
      </c>
      <c r="D2938" s="1542">
        <v>4297.08</v>
      </c>
      <c r="E2938" s="1542">
        <v>1766.72</v>
      </c>
    </row>
    <row r="2939" spans="1:5">
      <c r="A2939" s="1541">
        <v>41078</v>
      </c>
      <c r="B2939" s="1542">
        <v>10076.870000000001</v>
      </c>
      <c r="C2939" s="1542">
        <v>125.15</v>
      </c>
      <c r="D2939" s="1542">
        <v>4243.6099999999997</v>
      </c>
      <c r="E2939" s="1542">
        <v>1748.79</v>
      </c>
    </row>
    <row r="2940" spans="1:5">
      <c r="A2940" s="1541">
        <v>41077</v>
      </c>
      <c r="B2940" s="1542"/>
      <c r="C2940" s="1542"/>
      <c r="D2940" s="1542"/>
      <c r="E2940" s="1542"/>
    </row>
    <row r="2941" spans="1:5">
      <c r="A2941" s="1541">
        <v>41076</v>
      </c>
      <c r="B2941" s="1542"/>
      <c r="C2941" s="1542"/>
      <c r="D2941" s="1542"/>
      <c r="E2941" s="1542"/>
    </row>
    <row r="2942" spans="1:5">
      <c r="A2942" s="1541">
        <v>41075</v>
      </c>
      <c r="B2942" s="1542">
        <v>9902.9500000000007</v>
      </c>
      <c r="C2942" s="1542">
        <v>122.87</v>
      </c>
      <c r="D2942" s="1542">
        <v>4231.71</v>
      </c>
      <c r="E2942" s="1542">
        <v>1732.06</v>
      </c>
    </row>
    <row r="2943" spans="1:5">
      <c r="A2943" s="1541">
        <v>41074</v>
      </c>
      <c r="B2943" s="1542">
        <v>9791.23</v>
      </c>
      <c r="C2943" s="1542">
        <v>121.4</v>
      </c>
      <c r="D2943" s="1542">
        <v>4187.84</v>
      </c>
      <c r="E2943" s="1542">
        <v>1710.08</v>
      </c>
    </row>
    <row r="2944" spans="1:5">
      <c r="A2944" s="1541">
        <v>41073</v>
      </c>
      <c r="B2944" s="1542">
        <v>9810.23</v>
      </c>
      <c r="C2944" s="1542">
        <v>121.54</v>
      </c>
      <c r="D2944" s="1542">
        <v>4167.38</v>
      </c>
      <c r="E2944" s="1542">
        <v>1719.68</v>
      </c>
    </row>
    <row r="2945" spans="1:5">
      <c r="A2945" s="1541">
        <v>41072</v>
      </c>
      <c r="B2945" s="1542">
        <v>9786.85</v>
      </c>
      <c r="C2945" s="1542">
        <v>120.76</v>
      </c>
      <c r="D2945" s="1542">
        <v>4172.41</v>
      </c>
      <c r="E2945" s="1542">
        <v>1707.39</v>
      </c>
    </row>
    <row r="2946" spans="1:5">
      <c r="A2946" s="1541">
        <v>41071</v>
      </c>
      <c r="B2946" s="1542">
        <v>9853.39</v>
      </c>
      <c r="C2946" s="1542">
        <v>121.2</v>
      </c>
      <c r="D2946" s="1542">
        <v>4144.9799999999996</v>
      </c>
      <c r="E2946" s="1542">
        <v>1710.49</v>
      </c>
    </row>
    <row r="2947" spans="1:5">
      <c r="A2947" s="1541">
        <v>41070</v>
      </c>
      <c r="B2947" s="1542"/>
      <c r="C2947" s="1542"/>
      <c r="D2947" s="1542"/>
      <c r="E2947" s="1542"/>
    </row>
    <row r="2948" spans="1:5">
      <c r="A2948" s="1541">
        <v>41069</v>
      </c>
      <c r="B2948" s="1542"/>
      <c r="C2948" s="1542"/>
      <c r="D2948" s="1542"/>
      <c r="E2948" s="1542"/>
    </row>
    <row r="2949" spans="1:5">
      <c r="A2949" s="1541">
        <v>41068</v>
      </c>
      <c r="B2949" s="1542">
        <v>9686.52</v>
      </c>
      <c r="C2949" s="1542">
        <v>120.16</v>
      </c>
      <c r="D2949" s="1542">
        <v>4161.37</v>
      </c>
      <c r="E2949" s="1542">
        <v>1692.11</v>
      </c>
    </row>
    <row r="2950" spans="1:5">
      <c r="A2950" s="1541">
        <v>41067</v>
      </c>
      <c r="B2950" s="1542">
        <v>9798.14</v>
      </c>
      <c r="C2950" s="1542">
        <v>120.74</v>
      </c>
      <c r="D2950" s="1542">
        <v>4167.5200000000004</v>
      </c>
      <c r="E2950" s="1542">
        <v>1706.83</v>
      </c>
    </row>
    <row r="2951" spans="1:5">
      <c r="A2951" s="1541">
        <v>41066</v>
      </c>
      <c r="B2951" s="1542">
        <v>9764.7099999999991</v>
      </c>
      <c r="C2951" s="1542">
        <v>120.83</v>
      </c>
      <c r="D2951" s="1542">
        <v>4142.37</v>
      </c>
      <c r="E2951" s="1542">
        <v>1686.78</v>
      </c>
    </row>
    <row r="2952" spans="1:5">
      <c r="A2952" s="1541">
        <v>41065</v>
      </c>
      <c r="B2952" s="1542">
        <v>9687.6200000000008</v>
      </c>
      <c r="C2952" s="1542">
        <v>119.06</v>
      </c>
      <c r="D2952" s="1542">
        <v>4052.17</v>
      </c>
      <c r="E2952" s="1542">
        <v>1654.32</v>
      </c>
    </row>
    <row r="2953" spans="1:5">
      <c r="A2953" s="1541">
        <v>41064</v>
      </c>
      <c r="B2953" s="1542">
        <v>9541.15</v>
      </c>
      <c r="C2953" s="1542">
        <v>116.97</v>
      </c>
      <c r="D2953" s="1542">
        <v>4027.22</v>
      </c>
      <c r="E2953" s="1542">
        <v>1646.71</v>
      </c>
    </row>
    <row r="2954" spans="1:5">
      <c r="A2954" s="1541">
        <v>41063</v>
      </c>
      <c r="B2954" s="1542"/>
      <c r="C2954" s="1542"/>
      <c r="D2954" s="1542"/>
      <c r="E2954" s="1542"/>
    </row>
    <row r="2955" spans="1:5">
      <c r="A2955" s="1541">
        <v>41062</v>
      </c>
      <c r="B2955" s="1542"/>
      <c r="C2955" s="1542"/>
      <c r="D2955" s="1542"/>
      <c r="E2955" s="1542"/>
    </row>
    <row r="2956" spans="1:5">
      <c r="A2956" s="1541">
        <v>41061</v>
      </c>
      <c r="B2956" s="1542">
        <v>9833.16</v>
      </c>
      <c r="C2956" s="1542">
        <v>122.28</v>
      </c>
      <c r="D2956" s="1542">
        <v>4033.21</v>
      </c>
      <c r="E2956" s="1542">
        <v>1667.79</v>
      </c>
    </row>
    <row r="2957" spans="1:5">
      <c r="A2957" s="1541">
        <v>41060</v>
      </c>
      <c r="B2957" s="1542">
        <v>10103.56</v>
      </c>
      <c r="C2957" s="1542">
        <v>125.97</v>
      </c>
      <c r="D2957" s="1542">
        <v>4119.21</v>
      </c>
      <c r="E2957" s="1542">
        <v>1690.72</v>
      </c>
    </row>
    <row r="2958" spans="1:5">
      <c r="A2958" s="1541">
        <v>41059</v>
      </c>
      <c r="B2958" s="1542">
        <v>10048.629999999999</v>
      </c>
      <c r="C2958" s="1542">
        <v>124.72</v>
      </c>
      <c r="D2958" s="1542">
        <v>4131.4799999999996</v>
      </c>
      <c r="E2958" s="1542">
        <v>1693.06</v>
      </c>
    </row>
    <row r="2959" spans="1:5">
      <c r="A2959" s="1541">
        <v>41058</v>
      </c>
      <c r="B2959" s="1542">
        <v>10160</v>
      </c>
      <c r="C2959" s="1542">
        <v>125.35</v>
      </c>
      <c r="D2959" s="1542">
        <v>4200.3100000000004</v>
      </c>
      <c r="E2959" s="1542">
        <v>1718.05</v>
      </c>
    </row>
    <row r="2960" spans="1:5">
      <c r="A2960" s="1541">
        <v>41057</v>
      </c>
      <c r="B2960" s="1542">
        <v>9873.6299999999992</v>
      </c>
      <c r="C2960" s="1542">
        <v>120.54</v>
      </c>
      <c r="D2960" s="1542">
        <v>4160</v>
      </c>
      <c r="E2960" s="1542">
        <v>1694.84</v>
      </c>
    </row>
    <row r="2961" spans="1:5">
      <c r="A2961" s="1541">
        <v>41056</v>
      </c>
      <c r="B2961" s="1542"/>
      <c r="C2961" s="1542"/>
      <c r="D2961" s="1542"/>
      <c r="E2961" s="1542"/>
    </row>
    <row r="2962" spans="1:5">
      <c r="A2962" s="1541">
        <v>41055</v>
      </c>
      <c r="B2962" s="1542"/>
      <c r="C2962" s="1542"/>
      <c r="D2962" s="1542"/>
      <c r="E2962" s="1542"/>
    </row>
    <row r="2963" spans="1:5">
      <c r="A2963" s="1541">
        <v>41054</v>
      </c>
      <c r="B2963" s="1542">
        <v>9784.57</v>
      </c>
      <c r="C2963" s="1542">
        <v>119.66</v>
      </c>
      <c r="D2963" s="1542">
        <v>4154.3999999999996</v>
      </c>
      <c r="E2963" s="1542">
        <v>1681.05</v>
      </c>
    </row>
    <row r="2964" spans="1:5">
      <c r="A2964" s="1541">
        <v>41053</v>
      </c>
      <c r="B2964" s="1542">
        <v>9858.26</v>
      </c>
      <c r="C2964" s="1542">
        <v>121.4</v>
      </c>
      <c r="D2964" s="1542">
        <v>4163.9799999999996</v>
      </c>
      <c r="E2964" s="1542">
        <v>1680.63</v>
      </c>
    </row>
    <row r="2965" spans="1:5">
      <c r="A2965" s="1541">
        <v>41052</v>
      </c>
      <c r="B2965" s="1542">
        <v>9889.64</v>
      </c>
      <c r="C2965" s="1542">
        <v>122.95</v>
      </c>
      <c r="D2965" s="1542">
        <v>4148.8999999999996</v>
      </c>
      <c r="E2965" s="1542">
        <v>1670.72</v>
      </c>
    </row>
    <row r="2966" spans="1:5">
      <c r="A2966" s="1541">
        <v>41051</v>
      </c>
      <c r="B2966" s="1542">
        <v>10065.549999999999</v>
      </c>
      <c r="C2966" s="1542">
        <v>124.48</v>
      </c>
      <c r="D2966" s="1542">
        <v>4192.43</v>
      </c>
      <c r="E2966" s="1542">
        <v>1711.86</v>
      </c>
    </row>
    <row r="2967" spans="1:5">
      <c r="A2967" s="1541">
        <v>41050</v>
      </c>
      <c r="B2967" s="1542">
        <v>9951.18</v>
      </c>
      <c r="C2967" s="1542">
        <v>122.1</v>
      </c>
      <c r="D2967" s="1542">
        <v>4162.6899999999996</v>
      </c>
      <c r="E2967" s="1542">
        <v>1700.48</v>
      </c>
    </row>
    <row r="2968" spans="1:5">
      <c r="A2968" s="1541">
        <v>41049</v>
      </c>
      <c r="B2968" s="1542"/>
      <c r="C2968" s="1542"/>
      <c r="D2968" s="1542"/>
      <c r="E2968" s="1542"/>
    </row>
    <row r="2969" spans="1:5">
      <c r="A2969" s="1541">
        <v>41048</v>
      </c>
      <c r="B2969" s="1542"/>
      <c r="C2969" s="1542"/>
      <c r="D2969" s="1542"/>
      <c r="E2969" s="1542"/>
    </row>
    <row r="2970" spans="1:5">
      <c r="A2970" s="1541">
        <v>41047</v>
      </c>
      <c r="B2970" s="1542">
        <v>9894.4</v>
      </c>
      <c r="C2970" s="1542">
        <v>121.63</v>
      </c>
      <c r="D2970" s="1542">
        <v>4116.1099999999997</v>
      </c>
      <c r="E2970" s="1542">
        <v>1686.69</v>
      </c>
    </row>
    <row r="2971" spans="1:5">
      <c r="A2971" s="1541">
        <v>41046</v>
      </c>
      <c r="B2971" s="1542">
        <v>10178.84</v>
      </c>
      <c r="C2971" s="1542">
        <v>125.58</v>
      </c>
      <c r="D2971" s="1542">
        <v>4160.63</v>
      </c>
      <c r="E2971" s="1542">
        <v>1712.8</v>
      </c>
    </row>
    <row r="2972" spans="1:5">
      <c r="A2972" s="1541">
        <v>41045</v>
      </c>
      <c r="B2972" s="1542">
        <v>10009.69</v>
      </c>
      <c r="C2972" s="1542">
        <v>124.26</v>
      </c>
      <c r="D2972" s="1542">
        <v>4205.8500000000004</v>
      </c>
      <c r="E2972" s="1542">
        <v>1718.99</v>
      </c>
    </row>
    <row r="2973" spans="1:5">
      <c r="A2973" s="1541">
        <v>41044</v>
      </c>
      <c r="B2973" s="1542">
        <v>10232.540000000001</v>
      </c>
      <c r="C2973" s="1542">
        <v>126.45</v>
      </c>
      <c r="D2973" s="1542">
        <v>4236.99</v>
      </c>
      <c r="E2973" s="1542">
        <v>1759.46</v>
      </c>
    </row>
    <row r="2974" spans="1:5">
      <c r="A2974" s="1541">
        <v>41043</v>
      </c>
      <c r="B2974" s="1542">
        <v>10206.99</v>
      </c>
      <c r="C2974" s="1542">
        <v>125.91</v>
      </c>
      <c r="D2974" s="1542">
        <v>4272.5200000000004</v>
      </c>
      <c r="E2974" s="1542">
        <v>1768.44</v>
      </c>
    </row>
    <row r="2975" spans="1:5">
      <c r="A2975" s="1541">
        <v>41042</v>
      </c>
      <c r="B2975" s="1542"/>
      <c r="C2975" s="1542"/>
      <c r="D2975" s="1542"/>
      <c r="E2975" s="1542"/>
    </row>
    <row r="2976" spans="1:5">
      <c r="A2976" s="1541">
        <v>41041</v>
      </c>
      <c r="B2976" s="1542"/>
      <c r="C2976" s="1542"/>
      <c r="D2976" s="1542"/>
      <c r="E2976" s="1542"/>
    </row>
    <row r="2977" spans="1:5">
      <c r="A2977" s="1541">
        <v>41040</v>
      </c>
      <c r="B2977" s="1542">
        <v>10240.469999999999</v>
      </c>
      <c r="C2977" s="1542">
        <v>126.82</v>
      </c>
      <c r="D2977" s="1542">
        <v>4334.76</v>
      </c>
      <c r="E2977" s="1542">
        <v>1802.48</v>
      </c>
    </row>
    <row r="2978" spans="1:5">
      <c r="A2978" s="1541">
        <v>41039</v>
      </c>
      <c r="B2978" s="1542">
        <v>10354.81</v>
      </c>
      <c r="C2978" s="1542">
        <v>128.75</v>
      </c>
      <c r="D2978" s="1542">
        <v>4343.03</v>
      </c>
      <c r="E2978" s="1542">
        <v>1820.39</v>
      </c>
    </row>
    <row r="2979" spans="1:5">
      <c r="A2979" s="1541">
        <v>41038</v>
      </c>
      <c r="B2979" s="1542">
        <v>10342.94</v>
      </c>
      <c r="C2979" s="1542">
        <v>129.49</v>
      </c>
      <c r="D2979" s="1542">
        <v>4325.83</v>
      </c>
      <c r="E2979" s="1542">
        <v>1815.11</v>
      </c>
    </row>
    <row r="2980" spans="1:5">
      <c r="A2980" s="1541">
        <v>41037</v>
      </c>
      <c r="B2980" s="1542">
        <v>10439.790000000001</v>
      </c>
      <c r="C2980" s="1542">
        <v>130.47999999999999</v>
      </c>
      <c r="D2980" s="1542">
        <v>4357.42</v>
      </c>
      <c r="E2980" s="1542">
        <v>1842.06</v>
      </c>
    </row>
    <row r="2981" spans="1:5">
      <c r="A2981" s="1541">
        <v>41036</v>
      </c>
      <c r="B2981" s="1542">
        <v>10429.23</v>
      </c>
      <c r="C2981" s="1542">
        <v>130.09</v>
      </c>
      <c r="D2981" s="1542">
        <v>4392.7299999999996</v>
      </c>
      <c r="E2981" s="1542">
        <v>1859.29</v>
      </c>
    </row>
    <row r="2982" spans="1:5">
      <c r="A2982" s="1541">
        <v>41035</v>
      </c>
      <c r="B2982" s="1542"/>
      <c r="C2982" s="1542"/>
      <c r="D2982" s="1542"/>
      <c r="E2982" s="1542"/>
    </row>
    <row r="2983" spans="1:5">
      <c r="A2983" s="1541">
        <v>41034</v>
      </c>
      <c r="B2983" s="1542"/>
      <c r="C2983" s="1542"/>
      <c r="D2983" s="1542"/>
      <c r="E2983" s="1542"/>
    </row>
    <row r="2984" spans="1:5">
      <c r="A2984" s="1541">
        <v>41033</v>
      </c>
      <c r="B2984" s="1542">
        <v>10653.97</v>
      </c>
      <c r="C2984" s="1542">
        <v>131.81</v>
      </c>
      <c r="D2984" s="1542">
        <v>4406.12</v>
      </c>
      <c r="E2984" s="1542">
        <v>1879.75</v>
      </c>
    </row>
    <row r="2985" spans="1:5">
      <c r="A2985" s="1541">
        <v>41032</v>
      </c>
      <c r="B2985" s="1542">
        <v>10596.66</v>
      </c>
      <c r="C2985" s="1542">
        <v>130.1</v>
      </c>
      <c r="D2985" s="1542">
        <v>4472.05</v>
      </c>
      <c r="E2985" s="1542">
        <v>1900.64</v>
      </c>
    </row>
    <row r="2986" spans="1:5">
      <c r="A2986" s="1541">
        <v>41031</v>
      </c>
      <c r="B2986" s="1542">
        <v>10620.57</v>
      </c>
      <c r="C2986" s="1542">
        <v>130.30000000000001</v>
      </c>
      <c r="D2986" s="1542">
        <v>4496</v>
      </c>
      <c r="E2986" s="1542">
        <v>1910.74</v>
      </c>
    </row>
    <row r="2987" spans="1:5">
      <c r="A2987" s="1541">
        <v>41030</v>
      </c>
      <c r="B2987" s="1542"/>
      <c r="C2987" s="1542"/>
      <c r="D2987" s="1542">
        <v>4514.21</v>
      </c>
      <c r="E2987" s="1542">
        <v>1902.31</v>
      </c>
    </row>
    <row r="2988" spans="1:5">
      <c r="A2988" s="1541">
        <v>41029</v>
      </c>
      <c r="B2988" s="1542">
        <v>10378.34</v>
      </c>
      <c r="C2988" s="1542">
        <v>126.05</v>
      </c>
      <c r="D2988" s="1542">
        <v>4503.68</v>
      </c>
      <c r="E2988" s="1542">
        <v>1903.16</v>
      </c>
    </row>
    <row r="2989" spans="1:5">
      <c r="A2989" s="1541">
        <v>41028</v>
      </c>
      <c r="B2989" s="1542"/>
      <c r="C2989" s="1542"/>
      <c r="D2989" s="1542"/>
      <c r="E2989" s="1542"/>
    </row>
    <row r="2990" spans="1:5">
      <c r="A2990" s="1541">
        <v>41027</v>
      </c>
      <c r="B2990" s="1542"/>
      <c r="C2990" s="1542"/>
      <c r="D2990" s="1542"/>
      <c r="E2990" s="1542"/>
    </row>
    <row r="2991" spans="1:5">
      <c r="A2991" s="1541">
        <v>41026</v>
      </c>
      <c r="B2991" s="1542">
        <v>10348.98</v>
      </c>
      <c r="C2991" s="1542">
        <v>125.74</v>
      </c>
      <c r="D2991" s="1542">
        <v>4518.5200000000004</v>
      </c>
      <c r="E2991" s="1542">
        <v>1890.43</v>
      </c>
    </row>
    <row r="2992" spans="1:5">
      <c r="A2992" s="1541">
        <v>41025</v>
      </c>
      <c r="B2992" s="1542">
        <v>10405.5</v>
      </c>
      <c r="C2992" s="1542">
        <v>127.54</v>
      </c>
      <c r="D2992" s="1542">
        <v>4499.13</v>
      </c>
      <c r="E2992" s="1542">
        <v>1883.33</v>
      </c>
    </row>
    <row r="2993" spans="1:5">
      <c r="A2993" s="1541">
        <v>41024</v>
      </c>
      <c r="B2993" s="1542">
        <v>10463.36</v>
      </c>
      <c r="C2993" s="1542">
        <v>128.41999999999999</v>
      </c>
      <c r="D2993" s="1542">
        <v>4470.96</v>
      </c>
      <c r="E2993" s="1542">
        <v>1875.11</v>
      </c>
    </row>
    <row r="2994" spans="1:5">
      <c r="A2994" s="1541">
        <v>41023</v>
      </c>
      <c r="B2994" s="1542">
        <v>10374.36</v>
      </c>
      <c r="C2994" s="1542">
        <v>125.96</v>
      </c>
      <c r="D2994" s="1542">
        <v>4421.8500000000004</v>
      </c>
      <c r="E2994" s="1542">
        <v>1873.96</v>
      </c>
    </row>
    <row r="2995" spans="1:5">
      <c r="A2995" s="1541">
        <v>41022</v>
      </c>
      <c r="B2995" s="1542">
        <v>10349.799999999999</v>
      </c>
      <c r="C2995" s="1542">
        <v>125.75</v>
      </c>
      <c r="D2995" s="1542">
        <v>4395.3100000000004</v>
      </c>
      <c r="E2995" s="1542">
        <v>1868.08</v>
      </c>
    </row>
    <row r="2996" spans="1:5">
      <c r="A2996" s="1541">
        <v>41021</v>
      </c>
      <c r="B2996" s="1542"/>
      <c r="C2996" s="1542"/>
      <c r="D2996" s="1542"/>
      <c r="E2996" s="1542"/>
    </row>
    <row r="2997" spans="1:5">
      <c r="A2997" s="1541">
        <v>41020</v>
      </c>
      <c r="B2997" s="1542"/>
      <c r="C2997" s="1542"/>
      <c r="D2997" s="1542"/>
      <c r="E2997" s="1542"/>
    </row>
    <row r="2998" spans="1:5">
      <c r="A2998" s="1541">
        <v>41019</v>
      </c>
      <c r="B2998" s="1542">
        <v>10385.85</v>
      </c>
      <c r="C2998" s="1542">
        <v>127.9</v>
      </c>
      <c r="D2998" s="1542">
        <v>4454.3999999999996</v>
      </c>
      <c r="E2998" s="1542">
        <v>1893.08</v>
      </c>
    </row>
    <row r="2999" spans="1:5">
      <c r="A2999" s="1541">
        <v>41018</v>
      </c>
      <c r="B2999" s="1542">
        <v>10545.7</v>
      </c>
      <c r="C2999" s="1542">
        <v>129.84</v>
      </c>
      <c r="D2999" s="1542">
        <v>4439.71</v>
      </c>
      <c r="E2999" s="1542">
        <v>1896.31</v>
      </c>
    </row>
    <row r="3000" spans="1:5">
      <c r="A3000" s="1541">
        <v>41017</v>
      </c>
      <c r="B3000" s="1542">
        <v>10521.22</v>
      </c>
      <c r="C3000" s="1542">
        <v>130.74</v>
      </c>
      <c r="D3000" s="1542">
        <v>4460.7299999999996</v>
      </c>
      <c r="E3000" s="1542">
        <v>1896.25</v>
      </c>
    </row>
    <row r="3001" spans="1:5">
      <c r="A3001" s="1541">
        <v>41016</v>
      </c>
      <c r="B3001" s="1542">
        <v>10494.76</v>
      </c>
      <c r="C3001" s="1542">
        <v>131.32</v>
      </c>
      <c r="D3001" s="1542">
        <v>4471.43</v>
      </c>
      <c r="E3001" s="1542">
        <v>1889.42</v>
      </c>
    </row>
    <row r="3002" spans="1:5">
      <c r="A3002" s="1541">
        <v>41015</v>
      </c>
      <c r="B3002" s="1542">
        <v>10693.96</v>
      </c>
      <c r="C3002" s="1542">
        <v>134.77000000000001</v>
      </c>
      <c r="D3002" s="1542">
        <v>4401.1400000000003</v>
      </c>
      <c r="E3002" s="1542">
        <v>1889.02</v>
      </c>
    </row>
    <row r="3003" spans="1:5">
      <c r="A3003" s="1541">
        <v>41014</v>
      </c>
      <c r="B3003" s="1542"/>
      <c r="C3003" s="1542"/>
      <c r="D3003" s="1542"/>
      <c r="E3003" s="1542"/>
    </row>
    <row r="3004" spans="1:5">
      <c r="A3004" s="1541">
        <v>41013</v>
      </c>
      <c r="B3004" s="1542"/>
      <c r="C3004" s="1542"/>
      <c r="D3004" s="1542"/>
      <c r="E3004" s="1542"/>
    </row>
    <row r="3005" spans="1:5">
      <c r="A3005" s="1541">
        <v>41012</v>
      </c>
      <c r="B3005" s="1542">
        <v>10774.78</v>
      </c>
      <c r="C3005" s="1542">
        <v>135.84</v>
      </c>
      <c r="D3005" s="1542">
        <v>4405.58</v>
      </c>
      <c r="E3005" s="1542">
        <v>1901.32</v>
      </c>
    </row>
    <row r="3006" spans="1:5">
      <c r="A3006" s="1541">
        <v>41011</v>
      </c>
      <c r="B3006" s="1542">
        <v>10601.36</v>
      </c>
      <c r="C3006" s="1542">
        <v>133.28</v>
      </c>
      <c r="D3006" s="1542">
        <v>4460.0600000000004</v>
      </c>
      <c r="E3006" s="1542">
        <v>1896.36</v>
      </c>
    </row>
    <row r="3007" spans="1:5">
      <c r="A3007" s="1541">
        <v>41010</v>
      </c>
      <c r="B3007" s="1542">
        <v>10592.7</v>
      </c>
      <c r="C3007" s="1542">
        <v>132.47</v>
      </c>
      <c r="D3007" s="1542">
        <v>4398.5600000000004</v>
      </c>
      <c r="E3007" s="1542">
        <v>1880.01</v>
      </c>
    </row>
    <row r="3008" spans="1:5">
      <c r="A3008" s="1541">
        <v>41009</v>
      </c>
      <c r="B3008" s="1542">
        <v>10570.58</v>
      </c>
      <c r="C3008" s="1542">
        <v>131.86000000000001</v>
      </c>
      <c r="D3008" s="1542">
        <v>4372.87</v>
      </c>
      <c r="E3008" s="1542">
        <v>1879.86</v>
      </c>
    </row>
    <row r="3009" spans="1:5">
      <c r="A3009" s="1541">
        <v>41008</v>
      </c>
      <c r="B3009" s="1542">
        <v>10515.51</v>
      </c>
      <c r="C3009" s="1542">
        <v>130.65</v>
      </c>
      <c r="D3009" s="1542">
        <v>4444.8999999999996</v>
      </c>
      <c r="E3009" s="1542">
        <v>1898.45</v>
      </c>
    </row>
    <row r="3010" spans="1:5">
      <c r="A3010" s="1541">
        <v>41007</v>
      </c>
      <c r="B3010" s="1542"/>
      <c r="C3010" s="1542"/>
      <c r="D3010" s="1542"/>
      <c r="E3010" s="1542"/>
    </row>
    <row r="3011" spans="1:5">
      <c r="A3011" s="1541">
        <v>41006</v>
      </c>
      <c r="B3011" s="1542"/>
      <c r="C3011" s="1542"/>
      <c r="D3011" s="1542"/>
      <c r="E3011" s="1542"/>
    </row>
    <row r="3012" spans="1:5">
      <c r="A3012" s="1541">
        <v>41005</v>
      </c>
      <c r="B3012" s="1542">
        <v>10661.32</v>
      </c>
      <c r="C3012" s="1542">
        <v>131.47</v>
      </c>
      <c r="D3012" s="1542">
        <v>4475.6899999999996</v>
      </c>
      <c r="E3012" s="1542">
        <v>1917.66</v>
      </c>
    </row>
    <row r="3013" spans="1:5">
      <c r="A3013" s="1541">
        <v>41004</v>
      </c>
      <c r="B3013" s="1542">
        <v>10569.4</v>
      </c>
      <c r="C3013" s="1542">
        <v>127.3</v>
      </c>
      <c r="D3013" s="1542">
        <v>4479.38</v>
      </c>
      <c r="E3013" s="1542">
        <v>1918.55</v>
      </c>
    </row>
    <row r="3014" spans="1:5">
      <c r="A3014" s="1541">
        <v>41003</v>
      </c>
      <c r="B3014" s="1542"/>
      <c r="C3014" s="1542"/>
      <c r="D3014" s="1542">
        <v>4483.87</v>
      </c>
      <c r="E3014" s="1542">
        <v>1918.37</v>
      </c>
    </row>
    <row r="3015" spans="1:5">
      <c r="A3015" s="1541">
        <v>41002</v>
      </c>
      <c r="B3015" s="1542">
        <v>10736.83</v>
      </c>
      <c r="C3015" s="1542">
        <v>129.54</v>
      </c>
      <c r="D3015" s="1542">
        <v>4570.57</v>
      </c>
      <c r="E3015" s="1542">
        <v>1952.17</v>
      </c>
    </row>
    <row r="3016" spans="1:5">
      <c r="A3016" s="1541">
        <v>41001</v>
      </c>
      <c r="B3016" s="1542">
        <v>10878.02</v>
      </c>
      <c r="C3016" s="1542">
        <v>133.99</v>
      </c>
      <c r="D3016" s="1542">
        <v>4595.59</v>
      </c>
      <c r="E3016" s="1542">
        <v>1937.47</v>
      </c>
    </row>
    <row r="3017" spans="1:5">
      <c r="A3017" s="1541">
        <v>41000</v>
      </c>
      <c r="B3017" s="1542"/>
      <c r="C3017" s="1542"/>
      <c r="D3017" s="1542"/>
      <c r="E3017" s="1542"/>
    </row>
    <row r="3018" spans="1:5">
      <c r="A3018" s="1541">
        <v>40999</v>
      </c>
      <c r="B3018" s="1542"/>
      <c r="C3018" s="1542"/>
      <c r="D3018" s="1542"/>
      <c r="E3018" s="1542"/>
    </row>
    <row r="3019" spans="1:5">
      <c r="A3019" s="1541">
        <v>40998</v>
      </c>
      <c r="B3019" s="1542">
        <v>10975</v>
      </c>
      <c r="C3019" s="1542">
        <v>135.21</v>
      </c>
      <c r="D3019" s="1542">
        <v>4552.2</v>
      </c>
      <c r="E3019" s="1542">
        <v>1925.64</v>
      </c>
    </row>
    <row r="3020" spans="1:5">
      <c r="A3020" s="1541">
        <v>40997</v>
      </c>
      <c r="B3020" s="1542">
        <v>10891.53</v>
      </c>
      <c r="C3020" s="1542">
        <v>133.79</v>
      </c>
      <c r="D3020" s="1542">
        <v>4529.0200000000004</v>
      </c>
      <c r="E3020" s="1542">
        <v>1909.17</v>
      </c>
    </row>
    <row r="3021" spans="1:5">
      <c r="A3021" s="1541">
        <v>40996</v>
      </c>
      <c r="B3021" s="1542">
        <v>11120.36</v>
      </c>
      <c r="C3021" s="1542">
        <v>139.49</v>
      </c>
      <c r="D3021" s="1542">
        <v>4553.1499999999996</v>
      </c>
      <c r="E3021" s="1542">
        <v>1930.02</v>
      </c>
    </row>
    <row r="3022" spans="1:5">
      <c r="A3022" s="1541">
        <v>40995</v>
      </c>
      <c r="B3022" s="1542">
        <v>11108.44</v>
      </c>
      <c r="C3022" s="1542">
        <v>139.6</v>
      </c>
      <c r="D3022" s="1542">
        <v>4581.67</v>
      </c>
      <c r="E3022" s="1542">
        <v>1951.25</v>
      </c>
    </row>
    <row r="3023" spans="1:5">
      <c r="A3023" s="1541">
        <v>40994</v>
      </c>
      <c r="B3023" s="1542">
        <v>11022.89</v>
      </c>
      <c r="C3023" s="1542">
        <v>140.69</v>
      </c>
      <c r="D3023" s="1542">
        <v>4585.05</v>
      </c>
      <c r="E3023" s="1542">
        <v>1930.68</v>
      </c>
    </row>
    <row r="3024" spans="1:5">
      <c r="A3024" s="1541">
        <v>40993</v>
      </c>
      <c r="B3024" s="1542"/>
      <c r="C3024" s="1542"/>
      <c r="D3024" s="1542"/>
      <c r="E3024" s="1542"/>
    </row>
    <row r="3025" spans="1:5">
      <c r="A3025" s="1541">
        <v>40992</v>
      </c>
      <c r="B3025" s="1542"/>
      <c r="C3025" s="1542"/>
      <c r="D3025" s="1542"/>
      <c r="E3025" s="1542"/>
    </row>
    <row r="3026" spans="1:5">
      <c r="A3026" s="1541">
        <v>40991</v>
      </c>
      <c r="B3026" s="1542">
        <v>11173.68</v>
      </c>
      <c r="C3026" s="1542">
        <v>140.85</v>
      </c>
      <c r="D3026" s="1542">
        <v>4532.49</v>
      </c>
      <c r="E3026" s="1542">
        <v>1925.33</v>
      </c>
    </row>
    <row r="3027" spans="1:5">
      <c r="A3027" s="1541">
        <v>40990</v>
      </c>
      <c r="B3027" s="1542">
        <v>11150.61</v>
      </c>
      <c r="C3027" s="1542">
        <v>140.31</v>
      </c>
      <c r="D3027" s="1542">
        <v>4518.7299999999996</v>
      </c>
      <c r="E3027" s="1542">
        <v>1922.72</v>
      </c>
    </row>
    <row r="3028" spans="1:5">
      <c r="A3028" s="1541">
        <v>40989</v>
      </c>
      <c r="B3028" s="1542">
        <v>11042.7</v>
      </c>
      <c r="C3028" s="1542">
        <v>139.30000000000001</v>
      </c>
      <c r="D3028" s="1542">
        <v>4546.3599999999997</v>
      </c>
      <c r="E3028" s="1542">
        <v>1935.71</v>
      </c>
    </row>
    <row r="3029" spans="1:5">
      <c r="A3029" s="1541">
        <v>40988</v>
      </c>
      <c r="B3029" s="1542">
        <v>11029.93</v>
      </c>
      <c r="C3029" s="1542">
        <v>140.19999999999999</v>
      </c>
      <c r="D3029" s="1542">
        <v>4560.84</v>
      </c>
      <c r="E3029" s="1542">
        <v>1939.72</v>
      </c>
    </row>
    <row r="3030" spans="1:5">
      <c r="A3030" s="1541">
        <v>40987</v>
      </c>
      <c r="B3030" s="1542">
        <v>11128.45</v>
      </c>
      <c r="C3030" s="1542">
        <v>141.33000000000001</v>
      </c>
      <c r="D3030" s="1542">
        <v>4591.7700000000004</v>
      </c>
      <c r="E3030" s="1542">
        <v>1960.67</v>
      </c>
    </row>
    <row r="3031" spans="1:5">
      <c r="A3031" s="1541">
        <v>40986</v>
      </c>
      <c r="B3031" s="1542"/>
      <c r="C3031" s="1542"/>
      <c r="D3031" s="1542"/>
      <c r="E3031" s="1542"/>
    </row>
    <row r="3032" spans="1:5">
      <c r="A3032" s="1541">
        <v>40985</v>
      </c>
      <c r="B3032" s="1542"/>
      <c r="C3032" s="1542"/>
      <c r="D3032" s="1542"/>
      <c r="E3032" s="1542"/>
    </row>
    <row r="3033" spans="1:5">
      <c r="A3033" s="1541">
        <v>40984</v>
      </c>
      <c r="B3033" s="1542">
        <v>11143.7</v>
      </c>
      <c r="C3033" s="1542">
        <v>142.4</v>
      </c>
      <c r="D3033" s="1542">
        <v>4575.03</v>
      </c>
      <c r="E3033" s="1542">
        <v>1964.34</v>
      </c>
    </row>
    <row r="3034" spans="1:5">
      <c r="A3034" s="1541">
        <v>40983</v>
      </c>
      <c r="B3034" s="1542">
        <v>11235.94</v>
      </c>
      <c r="C3034" s="1542">
        <v>141.79</v>
      </c>
      <c r="D3034" s="1542">
        <v>4552.45</v>
      </c>
      <c r="E3034" s="1542">
        <v>1967.99</v>
      </c>
    </row>
    <row r="3035" spans="1:5">
      <c r="A3035" s="1541">
        <v>40982</v>
      </c>
      <c r="B3035" s="1542">
        <v>11240.98</v>
      </c>
      <c r="C3035" s="1542">
        <v>141.33000000000001</v>
      </c>
      <c r="D3035" s="1542">
        <v>4522.05</v>
      </c>
      <c r="E3035" s="1542">
        <v>1970.42</v>
      </c>
    </row>
    <row r="3036" spans="1:5">
      <c r="A3036" s="1541">
        <v>40981</v>
      </c>
      <c r="B3036" s="1542">
        <v>11111.29</v>
      </c>
      <c r="C3036" s="1542">
        <v>139.66999999999999</v>
      </c>
      <c r="D3036" s="1542">
        <v>4531.33</v>
      </c>
      <c r="E3036" s="1542">
        <v>1969.83</v>
      </c>
    </row>
    <row r="3037" spans="1:5">
      <c r="A3037" s="1541">
        <v>40980</v>
      </c>
      <c r="B3037" s="1542">
        <v>10967.46</v>
      </c>
      <c r="C3037" s="1542">
        <v>139.91</v>
      </c>
      <c r="D3037" s="1542">
        <v>4464.6899999999996</v>
      </c>
      <c r="E3037" s="1542">
        <v>1940.1</v>
      </c>
    </row>
    <row r="3038" spans="1:5">
      <c r="A3038" s="1541">
        <v>40979</v>
      </c>
      <c r="B3038" s="1542"/>
      <c r="C3038" s="1542"/>
      <c r="D3038" s="1542"/>
      <c r="E3038" s="1542"/>
    </row>
    <row r="3039" spans="1:5">
      <c r="A3039" s="1541">
        <v>40978</v>
      </c>
      <c r="B3039" s="1542"/>
      <c r="C3039" s="1542"/>
      <c r="D3039" s="1542"/>
      <c r="E3039" s="1542"/>
    </row>
    <row r="3040" spans="1:5">
      <c r="A3040" s="1541">
        <v>40977</v>
      </c>
      <c r="B3040" s="1542">
        <v>11089.84</v>
      </c>
      <c r="C3040" s="1542">
        <v>141.61000000000001</v>
      </c>
      <c r="D3040" s="1542">
        <v>4472.26</v>
      </c>
      <c r="E3040" s="1542">
        <v>1957.4</v>
      </c>
    </row>
    <row r="3041" spans="1:5">
      <c r="A3041" s="1541">
        <v>40976</v>
      </c>
      <c r="B3041" s="1542">
        <v>11046.33</v>
      </c>
      <c r="C3041" s="1542">
        <v>139.36000000000001</v>
      </c>
      <c r="D3041" s="1542">
        <v>4466.97</v>
      </c>
      <c r="E3041" s="1542">
        <v>1943.75</v>
      </c>
    </row>
    <row r="3042" spans="1:5">
      <c r="A3042" s="1541">
        <v>40975</v>
      </c>
      <c r="B3042" s="1542">
        <v>10933.6</v>
      </c>
      <c r="C3042" s="1542">
        <v>137.79</v>
      </c>
      <c r="D3042" s="1542">
        <v>4397.84</v>
      </c>
      <c r="E3042" s="1542">
        <v>1916.08</v>
      </c>
    </row>
    <row r="3043" spans="1:5">
      <c r="A3043" s="1541">
        <v>40974</v>
      </c>
      <c r="B3043" s="1542">
        <v>10981.87</v>
      </c>
      <c r="C3043" s="1542">
        <v>137.66999999999999</v>
      </c>
      <c r="D3043" s="1542">
        <v>4377.97</v>
      </c>
      <c r="E3043" s="1542">
        <v>1922.4</v>
      </c>
    </row>
    <row r="3044" spans="1:5">
      <c r="A3044" s="1541">
        <v>40973</v>
      </c>
      <c r="B3044" s="1542">
        <v>11074.25</v>
      </c>
      <c r="C3044" s="1542">
        <v>141.05000000000001</v>
      </c>
      <c r="D3044" s="1542">
        <v>4469.7299999999996</v>
      </c>
      <c r="E3044" s="1542">
        <v>1966.87</v>
      </c>
    </row>
    <row r="3045" spans="1:5">
      <c r="A3045" s="1541">
        <v>40972</v>
      </c>
      <c r="B3045" s="1542"/>
      <c r="C3045" s="1542"/>
      <c r="D3045" s="1542"/>
      <c r="E3045" s="1542"/>
    </row>
    <row r="3046" spans="1:5">
      <c r="A3046" s="1541">
        <v>40971</v>
      </c>
      <c r="B3046" s="1542">
        <v>11226.02</v>
      </c>
      <c r="C3046" s="1542">
        <v>143.38</v>
      </c>
      <c r="D3046" s="1542"/>
      <c r="E3046" s="1542"/>
    </row>
    <row r="3047" spans="1:5">
      <c r="A3047" s="1541">
        <v>40970</v>
      </c>
      <c r="B3047" s="1542">
        <v>11266.96</v>
      </c>
      <c r="C3047" s="1542">
        <v>143.1</v>
      </c>
      <c r="D3047" s="1542">
        <v>4491.66</v>
      </c>
      <c r="E3047" s="1542">
        <v>1993.57</v>
      </c>
    </row>
    <row r="3048" spans="1:5">
      <c r="A3048" s="1541">
        <v>40969</v>
      </c>
      <c r="B3048" s="1542">
        <v>11231.4</v>
      </c>
      <c r="C3048" s="1542">
        <v>140.78</v>
      </c>
      <c r="D3048" s="1542">
        <v>4512.22</v>
      </c>
      <c r="E3048" s="1542">
        <v>1986.94</v>
      </c>
    </row>
    <row r="3049" spans="1:5">
      <c r="A3049" s="1541">
        <v>40968</v>
      </c>
      <c r="B3049" s="1542">
        <v>11235.69</v>
      </c>
      <c r="C3049" s="1542">
        <v>139.81</v>
      </c>
      <c r="D3049" s="1542">
        <v>4491.9799999999996</v>
      </c>
      <c r="E3049" s="1542">
        <v>1991.91</v>
      </c>
    </row>
    <row r="3050" spans="1:5">
      <c r="A3050" s="1541">
        <v>40967</v>
      </c>
      <c r="B3050" s="1542"/>
      <c r="C3050" s="1542"/>
      <c r="D3050" s="1542">
        <v>4505.7</v>
      </c>
      <c r="E3050" s="1542">
        <v>1972.24</v>
      </c>
    </row>
    <row r="3051" spans="1:5">
      <c r="A3051" s="1541">
        <v>40966</v>
      </c>
      <c r="B3051" s="1542"/>
      <c r="C3051" s="1542"/>
      <c r="D3051" s="1542">
        <v>4488.22</v>
      </c>
      <c r="E3051" s="1542">
        <v>1949.36</v>
      </c>
    </row>
    <row r="3052" spans="1:5">
      <c r="A3052" s="1541">
        <v>40965</v>
      </c>
      <c r="B3052" s="1542"/>
      <c r="C3052" s="1542"/>
      <c r="D3052" s="1542"/>
      <c r="E3052" s="1542"/>
    </row>
    <row r="3053" spans="1:5">
      <c r="A3053" s="1541">
        <v>40964</v>
      </c>
      <c r="B3053" s="1542"/>
      <c r="C3053" s="1542"/>
      <c r="D3053" s="1542"/>
      <c r="E3053" s="1542"/>
    </row>
    <row r="3054" spans="1:5">
      <c r="A3054" s="1541">
        <v>40963</v>
      </c>
      <c r="B3054" s="1542">
        <v>11011.44</v>
      </c>
      <c r="C3054" s="1542">
        <v>138.63999999999999</v>
      </c>
      <c r="D3054" s="1542">
        <v>4494.6499999999996</v>
      </c>
      <c r="E3054" s="1542">
        <v>1969.67</v>
      </c>
    </row>
    <row r="3055" spans="1:5">
      <c r="A3055" s="1541">
        <v>40962</v>
      </c>
      <c r="B3055" s="1542">
        <v>10980.94</v>
      </c>
      <c r="C3055" s="1542">
        <v>139.58000000000001</v>
      </c>
      <c r="D3055" s="1542">
        <v>4472.8100000000004</v>
      </c>
      <c r="E3055" s="1542">
        <v>1954.34</v>
      </c>
    </row>
    <row r="3056" spans="1:5">
      <c r="A3056" s="1541">
        <v>40961</v>
      </c>
      <c r="B3056" s="1542">
        <v>11070.02</v>
      </c>
      <c r="C3056" s="1542">
        <v>140.35</v>
      </c>
      <c r="D3056" s="1542">
        <v>4453.8500000000004</v>
      </c>
      <c r="E3056" s="1542">
        <v>1963.99</v>
      </c>
    </row>
    <row r="3057" spans="1:5">
      <c r="A3057" s="1541">
        <v>40960</v>
      </c>
      <c r="B3057" s="1542">
        <v>10959.09</v>
      </c>
      <c r="C3057" s="1542">
        <v>138.63</v>
      </c>
      <c r="D3057" s="1542">
        <v>4472.87</v>
      </c>
      <c r="E3057" s="1542">
        <v>1963.69</v>
      </c>
    </row>
    <row r="3058" spans="1:5">
      <c r="A3058" s="1541">
        <v>40959</v>
      </c>
      <c r="B3058" s="1542">
        <v>11005.19</v>
      </c>
      <c r="C3058" s="1542">
        <v>138.25</v>
      </c>
      <c r="D3058" s="1542">
        <v>4478.8999999999996</v>
      </c>
      <c r="E3058" s="1542">
        <v>1967.48</v>
      </c>
    </row>
    <row r="3059" spans="1:5">
      <c r="A3059" s="1541">
        <v>40958</v>
      </c>
      <c r="B3059" s="1542"/>
      <c r="C3059" s="1542"/>
      <c r="D3059" s="1542"/>
      <c r="E3059" s="1542"/>
    </row>
    <row r="3060" spans="1:5">
      <c r="A3060" s="1541">
        <v>40957</v>
      </c>
      <c r="B3060" s="1542"/>
      <c r="C3060" s="1542"/>
      <c r="D3060" s="1542"/>
      <c r="E3060" s="1542"/>
    </row>
    <row r="3061" spans="1:5">
      <c r="A3061" s="1541">
        <v>40956</v>
      </c>
      <c r="B3061" s="1542">
        <v>10921.54</v>
      </c>
      <c r="C3061" s="1542">
        <v>135.77000000000001</v>
      </c>
      <c r="D3061" s="1542">
        <v>4449.3999999999996</v>
      </c>
      <c r="E3061" s="1542">
        <v>1959.96</v>
      </c>
    </row>
    <row r="3062" spans="1:5">
      <c r="A3062" s="1541">
        <v>40955</v>
      </c>
      <c r="B3062" s="1542">
        <v>10887.42</v>
      </c>
      <c r="C3062" s="1542">
        <v>136.13</v>
      </c>
      <c r="D3062" s="1542">
        <v>4421.95</v>
      </c>
      <c r="E3062" s="1542">
        <v>1935.42</v>
      </c>
    </row>
    <row r="3063" spans="1:5">
      <c r="A3063" s="1541">
        <v>40954</v>
      </c>
      <c r="B3063" s="1542">
        <v>11074.94</v>
      </c>
      <c r="C3063" s="1542">
        <v>140</v>
      </c>
      <c r="D3063" s="1542">
        <v>4402.3599999999997</v>
      </c>
      <c r="E3063" s="1542">
        <v>1952.43</v>
      </c>
    </row>
    <row r="3064" spans="1:5">
      <c r="A3064" s="1541">
        <v>40953</v>
      </c>
      <c r="B3064" s="1542">
        <v>10907.32</v>
      </c>
      <c r="C3064" s="1542">
        <v>138.02000000000001</v>
      </c>
      <c r="D3064" s="1542">
        <v>4397.5600000000004</v>
      </c>
      <c r="E3064" s="1542">
        <v>1931.07</v>
      </c>
    </row>
    <row r="3065" spans="1:5">
      <c r="A3065" s="1541">
        <v>40952</v>
      </c>
      <c r="B3065" s="1542">
        <v>10947.2</v>
      </c>
      <c r="C3065" s="1542">
        <v>138.61000000000001</v>
      </c>
      <c r="D3065" s="1542">
        <v>4415.4399999999996</v>
      </c>
      <c r="E3065" s="1542">
        <v>1942.08</v>
      </c>
    </row>
    <row r="3066" spans="1:5">
      <c r="A3066" s="1541">
        <v>40951</v>
      </c>
      <c r="B3066" s="1542"/>
      <c r="C3066" s="1542"/>
      <c r="D3066" s="1542"/>
      <c r="E3066" s="1542"/>
    </row>
    <row r="3067" spans="1:5">
      <c r="A3067" s="1541">
        <v>40950</v>
      </c>
      <c r="B3067" s="1542"/>
      <c r="C3067" s="1542"/>
      <c r="D3067" s="1542"/>
      <c r="E3067" s="1542"/>
    </row>
    <row r="3068" spans="1:5">
      <c r="A3068" s="1541">
        <v>40949</v>
      </c>
      <c r="B3068" s="1542">
        <v>10877.14</v>
      </c>
      <c r="C3068" s="1542">
        <v>137.41</v>
      </c>
      <c r="D3068" s="1542">
        <v>4381.8999999999996</v>
      </c>
      <c r="E3068" s="1542">
        <v>1921.58</v>
      </c>
    </row>
    <row r="3069" spans="1:5">
      <c r="A3069" s="1541">
        <v>40948</v>
      </c>
      <c r="B3069" s="1542">
        <v>10944.26</v>
      </c>
      <c r="C3069" s="1542">
        <v>137.4</v>
      </c>
      <c r="D3069" s="1542">
        <v>4432.17</v>
      </c>
      <c r="E3069" s="1542">
        <v>1957.55</v>
      </c>
    </row>
    <row r="3070" spans="1:5">
      <c r="A3070" s="1541">
        <v>40947</v>
      </c>
      <c r="B3070" s="1542">
        <v>10887.72</v>
      </c>
      <c r="C3070" s="1542">
        <v>135.36000000000001</v>
      </c>
      <c r="D3070" s="1542">
        <v>4421.6000000000004</v>
      </c>
      <c r="E3070" s="1542">
        <v>1955.69</v>
      </c>
    </row>
    <row r="3071" spans="1:5">
      <c r="A3071" s="1541">
        <v>40946</v>
      </c>
      <c r="B3071" s="1542">
        <v>10662.94</v>
      </c>
      <c r="C3071" s="1542">
        <v>131.88999999999999</v>
      </c>
      <c r="D3071" s="1542">
        <v>4410.55</v>
      </c>
      <c r="E3071" s="1542">
        <v>1933.28</v>
      </c>
    </row>
    <row r="3072" spans="1:5">
      <c r="A3072" s="1541">
        <v>40945</v>
      </c>
      <c r="B3072" s="1542">
        <v>10636.02</v>
      </c>
      <c r="C3072" s="1542">
        <v>131.69</v>
      </c>
      <c r="D3072" s="1542">
        <v>4393.88</v>
      </c>
      <c r="E3072" s="1542">
        <v>1930.81</v>
      </c>
    </row>
    <row r="3073" spans="1:5">
      <c r="A3073" s="1541">
        <v>40944</v>
      </c>
      <c r="B3073" s="1542"/>
      <c r="C3073" s="1542"/>
      <c r="D3073" s="1542"/>
      <c r="E3073" s="1542"/>
    </row>
    <row r="3074" spans="1:5">
      <c r="A3074" s="1541">
        <v>40943</v>
      </c>
      <c r="B3074" s="1542">
        <v>10709.71</v>
      </c>
      <c r="C3074" s="1542">
        <v>132.28</v>
      </c>
      <c r="D3074" s="1542"/>
      <c r="E3074" s="1542"/>
    </row>
    <row r="3075" spans="1:5">
      <c r="A3075" s="1541">
        <v>40942</v>
      </c>
      <c r="B3075" s="1542">
        <v>10618.05</v>
      </c>
      <c r="C3075" s="1542">
        <v>130.93</v>
      </c>
      <c r="D3075" s="1542">
        <v>4394.8100000000004</v>
      </c>
      <c r="E3075" s="1542">
        <v>1932.63</v>
      </c>
    </row>
    <row r="3076" spans="1:5">
      <c r="A3076" s="1541">
        <v>40941</v>
      </c>
      <c r="B3076" s="1542">
        <v>10586.89</v>
      </c>
      <c r="C3076" s="1542">
        <v>129.21</v>
      </c>
      <c r="D3076" s="1542">
        <v>4346.8</v>
      </c>
      <c r="E3076" s="1542">
        <v>1924.5</v>
      </c>
    </row>
    <row r="3077" spans="1:5">
      <c r="A3077" s="1541">
        <v>40940</v>
      </c>
      <c r="B3077" s="1542">
        <v>10444.040000000001</v>
      </c>
      <c r="C3077" s="1542">
        <v>126.39</v>
      </c>
      <c r="D3077" s="1542">
        <v>4338.59</v>
      </c>
      <c r="E3077" s="1542">
        <v>1898.36</v>
      </c>
    </row>
    <row r="3078" spans="1:5">
      <c r="A3078" s="1541">
        <v>40939</v>
      </c>
      <c r="B3078" s="1542">
        <v>10399.58</v>
      </c>
      <c r="C3078" s="1542">
        <v>123.34</v>
      </c>
      <c r="D3078" s="1542">
        <v>4280.5200000000004</v>
      </c>
      <c r="E3078" s="1542">
        <v>1879.01</v>
      </c>
    </row>
    <row r="3079" spans="1:5">
      <c r="A3079" s="1541">
        <v>40938</v>
      </c>
      <c r="B3079" s="1542">
        <v>10247.870000000001</v>
      </c>
      <c r="C3079" s="1542">
        <v>120.13</v>
      </c>
      <c r="D3079" s="1542">
        <v>4273.57</v>
      </c>
      <c r="E3079" s="1542">
        <v>1854.21</v>
      </c>
    </row>
    <row r="3080" spans="1:5">
      <c r="A3080" s="1541">
        <v>40937</v>
      </c>
      <c r="B3080" s="1542"/>
      <c r="C3080" s="1542"/>
      <c r="D3080" s="1542"/>
      <c r="E3080" s="1542"/>
    </row>
    <row r="3081" spans="1:5">
      <c r="A3081" s="1541">
        <v>40936</v>
      </c>
      <c r="B3081" s="1542"/>
      <c r="C3081" s="1542"/>
      <c r="D3081" s="1542"/>
      <c r="E3081" s="1542"/>
    </row>
    <row r="3082" spans="1:5">
      <c r="A3082" s="1541">
        <v>40935</v>
      </c>
      <c r="B3082" s="1542"/>
      <c r="C3082" s="1542"/>
      <c r="D3082" s="1542">
        <v>4298.0600000000004</v>
      </c>
      <c r="E3082" s="1542">
        <v>1873.24</v>
      </c>
    </row>
    <row r="3083" spans="1:5">
      <c r="A3083" s="1541">
        <v>40934</v>
      </c>
      <c r="B3083" s="1542"/>
      <c r="C3083" s="1542"/>
      <c r="D3083" s="1542">
        <v>4313.72</v>
      </c>
      <c r="E3083" s="1542">
        <v>1870.23</v>
      </c>
    </row>
    <row r="3084" spans="1:5">
      <c r="A3084" s="1541">
        <v>40933</v>
      </c>
      <c r="B3084" s="1542"/>
      <c r="C3084" s="1542"/>
      <c r="D3084" s="1542">
        <v>4288.5</v>
      </c>
      <c r="E3084" s="1542">
        <v>1841.9</v>
      </c>
    </row>
    <row r="3085" spans="1:5">
      <c r="A3085" s="1541">
        <v>40932</v>
      </c>
      <c r="B3085" s="1542"/>
      <c r="C3085" s="1542"/>
      <c r="D3085" s="1542">
        <v>4266.26</v>
      </c>
      <c r="E3085" s="1542">
        <v>1837.95</v>
      </c>
    </row>
    <row r="3086" spans="1:5">
      <c r="A3086" s="1541">
        <v>40931</v>
      </c>
      <c r="B3086" s="1542"/>
      <c r="C3086" s="1542"/>
      <c r="D3086" s="1542">
        <v>4285.25</v>
      </c>
      <c r="E3086" s="1542">
        <v>1841.7</v>
      </c>
    </row>
    <row r="3087" spans="1:5">
      <c r="A3087" s="1541">
        <v>40930</v>
      </c>
      <c r="B3087" s="1542"/>
      <c r="C3087" s="1542"/>
      <c r="D3087" s="1542"/>
      <c r="E3087" s="1542"/>
    </row>
    <row r="3088" spans="1:5">
      <c r="A3088" s="1541">
        <v>40929</v>
      </c>
      <c r="B3088" s="1542"/>
      <c r="C3088" s="1542"/>
      <c r="D3088" s="1542"/>
      <c r="E3088" s="1542"/>
    </row>
    <row r="3089" spans="1:5">
      <c r="A3089" s="1541">
        <v>40928</v>
      </c>
      <c r="B3089" s="1542"/>
      <c r="C3089" s="1542"/>
      <c r="D3089" s="1542">
        <v>4260.8599999999997</v>
      </c>
      <c r="E3089" s="1542">
        <v>1833.26</v>
      </c>
    </row>
    <row r="3090" spans="1:5">
      <c r="A3090" s="1541">
        <v>40927</v>
      </c>
      <c r="B3090" s="1542"/>
      <c r="C3090" s="1542"/>
      <c r="D3090" s="1542">
        <v>4251.72</v>
      </c>
      <c r="E3090" s="1542">
        <v>1826.44</v>
      </c>
    </row>
    <row r="3091" spans="1:5">
      <c r="A3091" s="1541">
        <v>40926</v>
      </c>
      <c r="B3091" s="1542">
        <v>10007.530000000001</v>
      </c>
      <c r="C3091" s="1542">
        <v>116.46</v>
      </c>
      <c r="D3091" s="1542">
        <v>4214.3</v>
      </c>
      <c r="E3091" s="1542">
        <v>1806.96</v>
      </c>
    </row>
    <row r="3092" spans="1:5">
      <c r="A3092" s="1541">
        <v>40925</v>
      </c>
      <c r="B3092" s="1542">
        <v>9990.08</v>
      </c>
      <c r="C3092" s="1542">
        <v>115.43</v>
      </c>
      <c r="D3092" s="1542">
        <v>4177.45</v>
      </c>
      <c r="E3092" s="1542">
        <v>1791.15</v>
      </c>
    </row>
    <row r="3093" spans="1:5">
      <c r="A3093" s="1541">
        <v>40924</v>
      </c>
      <c r="B3093" s="1542">
        <v>9827.58</v>
      </c>
      <c r="C3093" s="1542">
        <v>111.88</v>
      </c>
      <c r="D3093" s="1542">
        <v>4145.84</v>
      </c>
      <c r="E3093" s="1542">
        <v>1753.34</v>
      </c>
    </row>
    <row r="3094" spans="1:5">
      <c r="A3094" s="1541">
        <v>40923</v>
      </c>
      <c r="B3094" s="1542"/>
      <c r="C3094" s="1542"/>
      <c r="D3094" s="1542"/>
      <c r="E3094" s="1542"/>
    </row>
    <row r="3095" spans="1:5">
      <c r="A3095" s="1541">
        <v>40922</v>
      </c>
      <c r="B3095" s="1542"/>
      <c r="C3095" s="1542"/>
      <c r="D3095" s="1542"/>
      <c r="E3095" s="1542"/>
    </row>
    <row r="3096" spans="1:5">
      <c r="A3096" s="1541">
        <v>40921</v>
      </c>
      <c r="B3096" s="1542">
        <v>9935.3799999999992</v>
      </c>
      <c r="C3096" s="1542">
        <v>111.16</v>
      </c>
      <c r="D3096" s="1542">
        <v>4140.68</v>
      </c>
      <c r="E3096" s="1542">
        <v>1755.28</v>
      </c>
    </row>
    <row r="3097" spans="1:5">
      <c r="A3097" s="1541">
        <v>40920</v>
      </c>
      <c r="B3097" s="1542">
        <v>9942.35</v>
      </c>
      <c r="C3097" s="1542">
        <v>111.85</v>
      </c>
      <c r="D3097" s="1542">
        <v>4162.43</v>
      </c>
      <c r="E3097" s="1542">
        <v>1756.31</v>
      </c>
    </row>
    <row r="3098" spans="1:5">
      <c r="A3098" s="1541">
        <v>40919</v>
      </c>
      <c r="B3098" s="1542">
        <v>9944.61</v>
      </c>
      <c r="C3098" s="1542">
        <v>112.35</v>
      </c>
      <c r="D3098" s="1542">
        <v>4151.8</v>
      </c>
      <c r="E3098" s="1542">
        <v>1747.39</v>
      </c>
    </row>
    <row r="3099" spans="1:5">
      <c r="A3099" s="1541">
        <v>40918</v>
      </c>
      <c r="B3099" s="1542">
        <v>9931.69</v>
      </c>
      <c r="C3099" s="1542">
        <v>111.53</v>
      </c>
      <c r="D3099" s="1542">
        <v>4162.7700000000004</v>
      </c>
      <c r="E3099" s="1542">
        <v>1747.69</v>
      </c>
    </row>
    <row r="3100" spans="1:5">
      <c r="A3100" s="1541">
        <v>40917</v>
      </c>
      <c r="B3100" s="1542">
        <v>9812.9500000000007</v>
      </c>
      <c r="C3100" s="1542">
        <v>111.28</v>
      </c>
      <c r="D3100" s="1542">
        <v>4110.57</v>
      </c>
      <c r="E3100" s="1542">
        <v>1714.63</v>
      </c>
    </row>
    <row r="3101" spans="1:5">
      <c r="A3101" s="1541">
        <v>40916</v>
      </c>
      <c r="B3101" s="1542"/>
      <c r="C3101" s="1542"/>
      <c r="D3101" s="1542"/>
      <c r="E3101" s="1542"/>
    </row>
    <row r="3102" spans="1:5">
      <c r="A3102" s="1541">
        <v>40915</v>
      </c>
      <c r="B3102" s="1542"/>
      <c r="C3102" s="1542"/>
      <c r="D3102" s="1542"/>
      <c r="E3102" s="1542"/>
    </row>
    <row r="3103" spans="1:5">
      <c r="A3103" s="1541">
        <v>40914</v>
      </c>
      <c r="B3103" s="1542">
        <v>9850.9500000000007</v>
      </c>
      <c r="C3103" s="1542">
        <v>112.48</v>
      </c>
      <c r="D3103" s="1542">
        <v>4107.67</v>
      </c>
      <c r="E3103" s="1542">
        <v>1707.51</v>
      </c>
    </row>
    <row r="3104" spans="1:5">
      <c r="A3104" s="1541">
        <v>40913</v>
      </c>
      <c r="B3104" s="1542">
        <v>9865.26</v>
      </c>
      <c r="C3104" s="1542">
        <v>112.34</v>
      </c>
      <c r="D3104" s="1542">
        <v>4125.3599999999997</v>
      </c>
      <c r="E3104" s="1542">
        <v>1717.37</v>
      </c>
    </row>
    <row r="3105" spans="1:5">
      <c r="A3105" s="1541">
        <v>40912</v>
      </c>
      <c r="B3105" s="1542">
        <v>9799.01</v>
      </c>
      <c r="C3105" s="1542">
        <v>111.65</v>
      </c>
      <c r="D3105" s="1542">
        <v>4148.0600000000004</v>
      </c>
      <c r="E3105" s="1542">
        <v>1726.76</v>
      </c>
    </row>
    <row r="3106" spans="1:5">
      <c r="A3106" s="1541">
        <v>40911</v>
      </c>
      <c r="B3106" s="1542">
        <v>9758.08</v>
      </c>
      <c r="C3106" s="1542">
        <v>110.84</v>
      </c>
      <c r="D3106" s="1542">
        <v>4156.12</v>
      </c>
      <c r="E3106" s="1542">
        <v>1731.1</v>
      </c>
    </row>
    <row r="3107" spans="1:5">
      <c r="A3107" s="1541">
        <v>40910</v>
      </c>
      <c r="B3107" s="1542">
        <v>9618.11</v>
      </c>
      <c r="C3107" s="1542">
        <v>109.56</v>
      </c>
      <c r="D3107" s="1542">
        <v>4086.83</v>
      </c>
      <c r="E3107" s="1542">
        <v>1688.65</v>
      </c>
    </row>
    <row r="3108" spans="1:5">
      <c r="A3108" s="1541">
        <v>40909</v>
      </c>
      <c r="B3108" s="1542"/>
      <c r="C3108" s="1542"/>
      <c r="D3108" s="1542"/>
      <c r="E3108" s="1542"/>
    </row>
    <row r="3109" spans="1:5">
      <c r="A3109" s="1541">
        <v>40908</v>
      </c>
      <c r="B3109" s="1542"/>
      <c r="C3109" s="1542"/>
      <c r="D3109" s="1542"/>
      <c r="E3109" s="1542"/>
    </row>
    <row r="3110" spans="1:5">
      <c r="A3110" s="1541">
        <v>40907</v>
      </c>
      <c r="B3110" s="1542">
        <v>9783.94</v>
      </c>
      <c r="C3110" s="1542">
        <v>111.74</v>
      </c>
      <c r="D3110" s="1542">
        <v>4074.83</v>
      </c>
      <c r="E3110" s="1542">
        <v>1687.3</v>
      </c>
    </row>
    <row r="3111" spans="1:5">
      <c r="A3111" s="1541">
        <v>40906</v>
      </c>
      <c r="B3111" s="1542">
        <v>9787.73</v>
      </c>
      <c r="C3111" s="1542">
        <v>111.81</v>
      </c>
      <c r="D3111" s="1542">
        <v>4057.34</v>
      </c>
      <c r="E3111" s="1542">
        <v>1683.27</v>
      </c>
    </row>
    <row r="3112" spans="1:5">
      <c r="A3112" s="1541">
        <v>40905</v>
      </c>
      <c r="B3112" s="1542">
        <v>9762.6299999999992</v>
      </c>
      <c r="C3112" s="1542">
        <v>111.42</v>
      </c>
      <c r="D3112" s="1542">
        <v>4024.11</v>
      </c>
      <c r="E3112" s="1542">
        <v>1681.16</v>
      </c>
    </row>
    <row r="3113" spans="1:5">
      <c r="A3113" s="1541">
        <v>40904</v>
      </c>
      <c r="B3113" s="1542">
        <v>9801.8700000000008</v>
      </c>
      <c r="C3113" s="1542">
        <v>112.06</v>
      </c>
      <c r="D3113" s="1542">
        <v>4076.75</v>
      </c>
      <c r="E3113" s="1542">
        <v>1701.72</v>
      </c>
    </row>
    <row r="3114" spans="1:5">
      <c r="A3114" s="1541">
        <v>40903</v>
      </c>
      <c r="B3114" s="1542">
        <v>9812.31</v>
      </c>
      <c r="C3114" s="1542">
        <v>112.42</v>
      </c>
      <c r="D3114" s="1542">
        <v>4074.07</v>
      </c>
      <c r="E3114" s="1542">
        <v>1707.62</v>
      </c>
    </row>
    <row r="3115" spans="1:5">
      <c r="A3115" s="1541">
        <v>40902</v>
      </c>
      <c r="B3115" s="1542"/>
      <c r="C3115" s="1542"/>
      <c r="D3115" s="1542"/>
      <c r="E3115" s="1542"/>
    </row>
    <row r="3116" spans="1:5">
      <c r="A3116" s="1541">
        <v>40901</v>
      </c>
      <c r="B3116" s="1542"/>
      <c r="C3116" s="1542"/>
      <c r="D3116" s="1542"/>
      <c r="E3116" s="1542"/>
    </row>
    <row r="3117" spans="1:5">
      <c r="A3117" s="1541">
        <v>40900</v>
      </c>
      <c r="B3117" s="1542">
        <v>9837.42</v>
      </c>
      <c r="C3117" s="1542">
        <v>111.83</v>
      </c>
      <c r="D3117" s="1542">
        <v>4071.96</v>
      </c>
      <c r="E3117" s="1542">
        <v>1707.75</v>
      </c>
    </row>
    <row r="3118" spans="1:5">
      <c r="A3118" s="1541">
        <v>40899</v>
      </c>
      <c r="B3118" s="1542">
        <v>9637.67</v>
      </c>
      <c r="C3118" s="1542">
        <v>108.43</v>
      </c>
      <c r="D3118" s="1542">
        <v>4041.68</v>
      </c>
      <c r="E3118" s="1542">
        <v>1692.71</v>
      </c>
    </row>
    <row r="3119" spans="1:5">
      <c r="A3119" s="1541">
        <v>40898</v>
      </c>
      <c r="B3119" s="1542">
        <v>9637.85</v>
      </c>
      <c r="C3119" s="1542">
        <v>108.19</v>
      </c>
      <c r="D3119" s="1542">
        <v>4008.91</v>
      </c>
      <c r="E3119" s="1542">
        <v>1686.44</v>
      </c>
    </row>
    <row r="3120" spans="1:5">
      <c r="A3120" s="1541">
        <v>40897</v>
      </c>
      <c r="B3120" s="1542">
        <v>9217.51</v>
      </c>
      <c r="C3120" s="1542">
        <v>103.25</v>
      </c>
      <c r="D3120" s="1542">
        <v>4007.93</v>
      </c>
      <c r="E3120" s="1542">
        <v>1658.07</v>
      </c>
    </row>
    <row r="3121" spans="1:5">
      <c r="A3121" s="1541">
        <v>40896</v>
      </c>
      <c r="B3121" s="1542">
        <v>9176.9500000000007</v>
      </c>
      <c r="C3121" s="1542">
        <v>102.61</v>
      </c>
      <c r="D3121" s="1542">
        <v>3909.06</v>
      </c>
      <c r="E3121" s="1542">
        <v>1635.93</v>
      </c>
    </row>
    <row r="3122" spans="1:5">
      <c r="A3122" s="1541">
        <v>40895</v>
      </c>
      <c r="B3122" s="1542"/>
      <c r="C3122" s="1542"/>
      <c r="D3122" s="1542"/>
      <c r="E3122" s="1542"/>
    </row>
    <row r="3123" spans="1:5">
      <c r="A3123" s="1541">
        <v>40894</v>
      </c>
      <c r="B3123" s="1542"/>
      <c r="C3123" s="1542"/>
      <c r="D3123" s="1542"/>
      <c r="E3123" s="1542"/>
    </row>
    <row r="3124" spans="1:5">
      <c r="A3124" s="1541">
        <v>40893</v>
      </c>
      <c r="B3124" s="1542">
        <v>9386.9</v>
      </c>
      <c r="C3124" s="1542">
        <v>106.38</v>
      </c>
      <c r="D3124" s="1542">
        <v>3947.22</v>
      </c>
      <c r="E3124" s="1542">
        <v>1664.08</v>
      </c>
    </row>
    <row r="3125" spans="1:5">
      <c r="A3125" s="1541">
        <v>40892</v>
      </c>
      <c r="B3125" s="1542">
        <v>9358.5499999999993</v>
      </c>
      <c r="C3125" s="1542">
        <v>106.35</v>
      </c>
      <c r="D3125" s="1542">
        <v>3934.68</v>
      </c>
      <c r="E3125" s="1542">
        <v>1650.56</v>
      </c>
    </row>
    <row r="3126" spans="1:5">
      <c r="A3126" s="1541">
        <v>40891</v>
      </c>
      <c r="B3126" s="1542">
        <v>9577.1</v>
      </c>
      <c r="C3126" s="1542">
        <v>108.28</v>
      </c>
      <c r="D3126" s="1542">
        <v>3921.35</v>
      </c>
      <c r="E3126" s="1542">
        <v>1663.92</v>
      </c>
    </row>
    <row r="3127" spans="1:5">
      <c r="A3127" s="1541">
        <v>40890</v>
      </c>
      <c r="B3127" s="1542">
        <v>9540.7800000000007</v>
      </c>
      <c r="C3127" s="1542">
        <v>106.84</v>
      </c>
      <c r="D3127" s="1542">
        <v>3991.09</v>
      </c>
      <c r="E3127" s="1542">
        <v>1687.49</v>
      </c>
    </row>
    <row r="3128" spans="1:5">
      <c r="A3128" s="1541">
        <v>40889</v>
      </c>
      <c r="B3128" s="1542">
        <v>9613.73</v>
      </c>
      <c r="C3128" s="1542">
        <v>107.67</v>
      </c>
      <c r="D3128" s="1542">
        <v>4023.28</v>
      </c>
      <c r="E3128" s="1542">
        <v>1701.91</v>
      </c>
    </row>
    <row r="3129" spans="1:5">
      <c r="A3129" s="1541">
        <v>40888</v>
      </c>
      <c r="B3129" s="1542"/>
      <c r="C3129" s="1542"/>
      <c r="D3129" s="1542"/>
      <c r="E3129" s="1542"/>
    </row>
    <row r="3130" spans="1:5">
      <c r="A3130" s="1541">
        <v>40887</v>
      </c>
      <c r="B3130" s="1542"/>
      <c r="C3130" s="1542"/>
      <c r="D3130" s="1542"/>
      <c r="E3130" s="1542"/>
    </row>
    <row r="3131" spans="1:5">
      <c r="A3131" s="1541">
        <v>40886</v>
      </c>
      <c r="B3131" s="1542">
        <v>9536.6200000000008</v>
      </c>
      <c r="C3131" s="1542">
        <v>107.52</v>
      </c>
      <c r="D3131" s="1542">
        <v>4086.21</v>
      </c>
      <c r="E3131" s="1542">
        <v>1718.77</v>
      </c>
    </row>
    <row r="3132" spans="1:5">
      <c r="A3132" s="1541">
        <v>40885</v>
      </c>
      <c r="B3132" s="1542">
        <v>9660.57</v>
      </c>
      <c r="C3132" s="1542">
        <v>108.42</v>
      </c>
      <c r="D3132" s="1542">
        <v>4042.53</v>
      </c>
      <c r="E3132" s="1542">
        <v>1743.41</v>
      </c>
    </row>
    <row r="3133" spans="1:5">
      <c r="A3133" s="1541">
        <v>40884</v>
      </c>
      <c r="B3133" s="1542">
        <v>9729.89</v>
      </c>
      <c r="C3133" s="1542">
        <v>110.16</v>
      </c>
      <c r="D3133" s="1542">
        <v>4120.41</v>
      </c>
      <c r="E3133" s="1542">
        <v>1764.96</v>
      </c>
    </row>
    <row r="3134" spans="1:5">
      <c r="A3134" s="1541">
        <v>40883</v>
      </c>
      <c r="B3134" s="1542">
        <v>9623.74</v>
      </c>
      <c r="C3134" s="1542">
        <v>110.11</v>
      </c>
      <c r="D3134" s="1542">
        <v>4107.1499999999996</v>
      </c>
      <c r="E3134" s="1542">
        <v>1754.12</v>
      </c>
    </row>
    <row r="3135" spans="1:5">
      <c r="A3135" s="1541">
        <v>40882</v>
      </c>
      <c r="B3135" s="1542">
        <v>9819.92</v>
      </c>
      <c r="C3135" s="1542">
        <v>112.68</v>
      </c>
      <c r="D3135" s="1542">
        <v>4126.55</v>
      </c>
      <c r="E3135" s="1542">
        <v>1777.45</v>
      </c>
    </row>
    <row r="3136" spans="1:5">
      <c r="A3136" s="1541">
        <v>40881</v>
      </c>
      <c r="B3136" s="1542"/>
      <c r="C3136" s="1542"/>
      <c r="D3136" s="1542"/>
      <c r="E3136" s="1542"/>
    </row>
    <row r="3137" spans="1:5">
      <c r="A3137" s="1541">
        <v>40880</v>
      </c>
      <c r="B3137" s="1542"/>
      <c r="C3137" s="1542"/>
      <c r="D3137" s="1542"/>
      <c r="E3137" s="1542"/>
    </row>
    <row r="3138" spans="1:5">
      <c r="A3138" s="1541">
        <v>40879</v>
      </c>
      <c r="B3138" s="1542">
        <v>9878.85</v>
      </c>
      <c r="C3138" s="1542">
        <v>113.54</v>
      </c>
      <c r="D3138" s="1542">
        <v>4086.17</v>
      </c>
      <c r="E3138" s="1542">
        <v>1767.55</v>
      </c>
    </row>
    <row r="3139" spans="1:5">
      <c r="A3139" s="1541">
        <v>40878</v>
      </c>
      <c r="B3139" s="1542">
        <v>9931.44</v>
      </c>
      <c r="C3139" s="1542">
        <v>114.36</v>
      </c>
      <c r="D3139" s="1542">
        <v>4075.13</v>
      </c>
      <c r="E3139" s="1542">
        <v>1764.39</v>
      </c>
    </row>
    <row r="3140" spans="1:5">
      <c r="A3140" s="1541">
        <v>40877</v>
      </c>
      <c r="B3140" s="1542">
        <v>9551.58</v>
      </c>
      <c r="C3140" s="1542">
        <v>110.51</v>
      </c>
      <c r="D3140" s="1542">
        <v>4075.56</v>
      </c>
      <c r="E3140" s="1542">
        <v>1707.72</v>
      </c>
    </row>
    <row r="3141" spans="1:5">
      <c r="A3141" s="1541">
        <v>40876</v>
      </c>
      <c r="B3141" s="1542">
        <v>9668.5300000000007</v>
      </c>
      <c r="C3141" s="1542">
        <v>112.39</v>
      </c>
      <c r="D3141" s="1542">
        <v>3920.5</v>
      </c>
      <c r="E3141" s="1542">
        <v>1673.04</v>
      </c>
    </row>
    <row r="3142" spans="1:5">
      <c r="A3142" s="1541">
        <v>40875</v>
      </c>
      <c r="B3142" s="1542">
        <v>9544.2000000000007</v>
      </c>
      <c r="C3142" s="1542">
        <v>110.13</v>
      </c>
      <c r="D3142" s="1542">
        <v>3894.46</v>
      </c>
      <c r="E3142" s="1542">
        <v>1659.67</v>
      </c>
    </row>
    <row r="3143" spans="1:5">
      <c r="A3143" s="1541">
        <v>40874</v>
      </c>
      <c r="B3143" s="1542"/>
      <c r="C3143" s="1542"/>
      <c r="D3143" s="1542"/>
      <c r="E3143" s="1542"/>
    </row>
    <row r="3144" spans="1:5">
      <c r="A3144" s="1541">
        <v>40873</v>
      </c>
      <c r="B3144" s="1542"/>
      <c r="C3144" s="1542"/>
      <c r="D3144" s="1542"/>
      <c r="E3144" s="1542"/>
    </row>
    <row r="3145" spans="1:5">
      <c r="A3145" s="1541">
        <v>40872</v>
      </c>
      <c r="B3145" s="1542">
        <v>9386.1200000000008</v>
      </c>
      <c r="C3145" s="1542">
        <v>108.05</v>
      </c>
      <c r="D3145" s="1542">
        <v>3775.32</v>
      </c>
      <c r="E3145" s="1542">
        <v>1613.79</v>
      </c>
    </row>
    <row r="3146" spans="1:5">
      <c r="A3146" s="1541">
        <v>40871</v>
      </c>
      <c r="B3146" s="1542">
        <v>9496.6200000000008</v>
      </c>
      <c r="C3146" s="1542">
        <v>108.94</v>
      </c>
      <c r="D3146" s="1542">
        <v>3781.98</v>
      </c>
      <c r="E3146" s="1542">
        <v>1633.58</v>
      </c>
    </row>
    <row r="3147" spans="1:5">
      <c r="A3147" s="1541">
        <v>40870</v>
      </c>
      <c r="B3147" s="1542">
        <v>9416.44</v>
      </c>
      <c r="C3147" s="1542">
        <v>109.02</v>
      </c>
      <c r="D3147" s="1542">
        <v>3792.45</v>
      </c>
      <c r="E3147" s="1542">
        <v>1628.07</v>
      </c>
    </row>
    <row r="3148" spans="1:5">
      <c r="A3148" s="1541">
        <v>40869</v>
      </c>
      <c r="B3148" s="1542">
        <v>9684.27</v>
      </c>
      <c r="C3148" s="1542">
        <v>112.81</v>
      </c>
      <c r="D3148" s="1542">
        <v>3875.73</v>
      </c>
      <c r="E3148" s="1542">
        <v>1672.34</v>
      </c>
    </row>
    <row r="3149" spans="1:5">
      <c r="A3149" s="1541">
        <v>40868</v>
      </c>
      <c r="B3149" s="1542">
        <v>9743.2199999999993</v>
      </c>
      <c r="C3149" s="1542">
        <v>116.24</v>
      </c>
      <c r="D3149" s="1542">
        <v>3888.32</v>
      </c>
      <c r="E3149" s="1542">
        <v>1673.22</v>
      </c>
    </row>
    <row r="3150" spans="1:5">
      <c r="A3150" s="1541">
        <v>40867</v>
      </c>
      <c r="B3150" s="1542"/>
      <c r="C3150" s="1542"/>
      <c r="D3150" s="1542"/>
      <c r="E3150" s="1542"/>
    </row>
    <row r="3151" spans="1:5">
      <c r="A3151" s="1541">
        <v>40866</v>
      </c>
      <c r="B3151" s="1542"/>
      <c r="C3151" s="1542"/>
      <c r="D3151" s="1542"/>
      <c r="E3151" s="1542"/>
    </row>
    <row r="3152" spans="1:5">
      <c r="A3152" s="1541">
        <v>40865</v>
      </c>
      <c r="B3152" s="1542">
        <v>10007.66</v>
      </c>
      <c r="C3152" s="1542">
        <v>120.98</v>
      </c>
      <c r="D3152" s="1542">
        <v>3978.94</v>
      </c>
      <c r="E3152" s="1542">
        <v>1717.73</v>
      </c>
    </row>
    <row r="3153" spans="1:5">
      <c r="A3153" s="1541">
        <v>40864</v>
      </c>
      <c r="B3153" s="1542">
        <v>10220.75</v>
      </c>
      <c r="C3153" s="1542">
        <v>123.09</v>
      </c>
      <c r="D3153" s="1542">
        <v>3996.55</v>
      </c>
      <c r="E3153" s="1542">
        <v>1750.52</v>
      </c>
    </row>
    <row r="3154" spans="1:5">
      <c r="A3154" s="1541">
        <v>40863</v>
      </c>
      <c r="B3154" s="1542">
        <v>10220.35</v>
      </c>
      <c r="C3154" s="1542">
        <v>122.8</v>
      </c>
      <c r="D3154" s="1542">
        <v>4052.36</v>
      </c>
      <c r="E3154" s="1542">
        <v>1765.36</v>
      </c>
    </row>
    <row r="3155" spans="1:5">
      <c r="A3155" s="1541">
        <v>40862</v>
      </c>
      <c r="B3155" s="1542">
        <v>10363.6</v>
      </c>
      <c r="C3155" s="1542">
        <v>124.08</v>
      </c>
      <c r="D3155" s="1542">
        <v>4092.73</v>
      </c>
      <c r="E3155" s="1542">
        <v>1782.16</v>
      </c>
    </row>
    <row r="3156" spans="1:5">
      <c r="A3156" s="1541">
        <v>40861</v>
      </c>
      <c r="B3156" s="1542">
        <v>10411.44</v>
      </c>
      <c r="C3156" s="1542">
        <v>125.12</v>
      </c>
      <c r="D3156" s="1542">
        <v>4103.8</v>
      </c>
      <c r="E3156" s="1542">
        <v>1796.11</v>
      </c>
    </row>
    <row r="3157" spans="1:5">
      <c r="A3157" s="1541">
        <v>40860</v>
      </c>
      <c r="B3157" s="1542"/>
      <c r="C3157" s="1542"/>
      <c r="D3157" s="1542"/>
      <c r="E3157" s="1542"/>
    </row>
    <row r="3158" spans="1:5">
      <c r="A3158" s="1541">
        <v>40859</v>
      </c>
      <c r="B3158" s="1542"/>
      <c r="C3158" s="1542"/>
      <c r="D3158" s="1542"/>
      <c r="E3158" s="1542"/>
    </row>
    <row r="3159" spans="1:5">
      <c r="A3159" s="1541">
        <v>40858</v>
      </c>
      <c r="B3159" s="1542">
        <v>10192.26</v>
      </c>
      <c r="C3159" s="1542">
        <v>122.95</v>
      </c>
      <c r="D3159" s="1542">
        <v>4140.95</v>
      </c>
      <c r="E3159" s="1542">
        <v>1785.06</v>
      </c>
    </row>
    <row r="3160" spans="1:5">
      <c r="A3160" s="1541">
        <v>40857</v>
      </c>
      <c r="B3160" s="1542">
        <v>10111.17</v>
      </c>
      <c r="C3160" s="1542">
        <v>123.05</v>
      </c>
      <c r="D3160" s="1542">
        <v>4049.78</v>
      </c>
      <c r="E3160" s="1542">
        <v>1753.41</v>
      </c>
    </row>
    <row r="3161" spans="1:5">
      <c r="A3161" s="1541">
        <v>40856</v>
      </c>
      <c r="B3161" s="1542">
        <v>10461.44</v>
      </c>
      <c r="C3161" s="1542">
        <v>127.26</v>
      </c>
      <c r="D3161" s="1542">
        <v>4054.09</v>
      </c>
      <c r="E3161" s="1542">
        <v>1801.32</v>
      </c>
    </row>
    <row r="3162" spans="1:5">
      <c r="A3162" s="1541">
        <v>40855</v>
      </c>
      <c r="B3162" s="1542">
        <v>10515.29</v>
      </c>
      <c r="C3162" s="1542">
        <v>128.16</v>
      </c>
      <c r="D3162" s="1542">
        <v>4174.2</v>
      </c>
      <c r="E3162" s="1542">
        <v>1820.61</v>
      </c>
    </row>
    <row r="3163" spans="1:5">
      <c r="A3163" s="1541">
        <v>40854</v>
      </c>
      <c r="B3163" s="1542">
        <v>10544.25</v>
      </c>
      <c r="C3163" s="1542">
        <v>128.38</v>
      </c>
      <c r="D3163" s="1542">
        <v>4136.13</v>
      </c>
      <c r="E3163" s="1542">
        <v>1820.11</v>
      </c>
    </row>
    <row r="3164" spans="1:5">
      <c r="A3164" s="1541">
        <v>40853</v>
      </c>
      <c r="B3164" s="1542"/>
      <c r="C3164" s="1542"/>
      <c r="D3164" s="1542"/>
      <c r="E3164" s="1542"/>
    </row>
    <row r="3165" spans="1:5">
      <c r="A3165" s="1541">
        <v>40852</v>
      </c>
      <c r="B3165" s="1542"/>
      <c r="C3165" s="1542"/>
      <c r="D3165" s="1542"/>
      <c r="E3165" s="1542"/>
    </row>
    <row r="3166" spans="1:5">
      <c r="A3166" s="1541">
        <v>40851</v>
      </c>
      <c r="B3166" s="1542">
        <v>10518.66</v>
      </c>
      <c r="C3166" s="1542">
        <v>127.01</v>
      </c>
      <c r="D3166" s="1542">
        <v>4128.16</v>
      </c>
      <c r="E3166" s="1542">
        <v>1818.8</v>
      </c>
    </row>
    <row r="3167" spans="1:5">
      <c r="A3167" s="1541">
        <v>40850</v>
      </c>
      <c r="B3167" s="1542">
        <v>10320.950000000001</v>
      </c>
      <c r="C3167" s="1542">
        <v>124.39</v>
      </c>
      <c r="D3167" s="1542">
        <v>4140.76</v>
      </c>
      <c r="E3167" s="1542">
        <v>1790.01</v>
      </c>
    </row>
    <row r="3168" spans="1:5">
      <c r="A3168" s="1541">
        <v>40849</v>
      </c>
      <c r="B3168" s="1542">
        <v>10512.05</v>
      </c>
      <c r="C3168" s="1542">
        <v>125.58</v>
      </c>
      <c r="D3168" s="1542">
        <v>4080.4</v>
      </c>
      <c r="E3168" s="1542">
        <v>1795.7</v>
      </c>
    </row>
    <row r="3169" spans="1:5">
      <c r="A3169" s="1541">
        <v>40848</v>
      </c>
      <c r="B3169" s="1542">
        <v>10544.64</v>
      </c>
      <c r="C3169" s="1542">
        <v>125.71</v>
      </c>
      <c r="D3169" s="1542">
        <v>4029.37</v>
      </c>
      <c r="E3169" s="1542">
        <v>1780.23</v>
      </c>
    </row>
    <row r="3170" spans="1:5">
      <c r="A3170" s="1541">
        <v>40847</v>
      </c>
      <c r="B3170" s="1542">
        <v>10497.17</v>
      </c>
      <c r="C3170" s="1542">
        <v>125</v>
      </c>
      <c r="D3170" s="1542">
        <v>4175.1000000000004</v>
      </c>
      <c r="E3170" s="1542">
        <v>1828.51</v>
      </c>
    </row>
    <row r="3171" spans="1:5">
      <c r="A3171" s="1541">
        <v>40846</v>
      </c>
      <c r="B3171" s="1542"/>
      <c r="C3171" s="1542"/>
      <c r="D3171" s="1542"/>
      <c r="E3171" s="1542"/>
    </row>
    <row r="3172" spans="1:5">
      <c r="A3172" s="1541">
        <v>40845</v>
      </c>
      <c r="B3172" s="1542"/>
      <c r="C3172" s="1542"/>
      <c r="D3172" s="1542"/>
      <c r="E3172" s="1542"/>
    </row>
    <row r="3173" spans="1:5">
      <c r="A3173" s="1541">
        <v>40844</v>
      </c>
      <c r="B3173" s="1542">
        <v>10536.03</v>
      </c>
      <c r="C3173" s="1542">
        <v>125.94</v>
      </c>
      <c r="D3173" s="1542">
        <v>4301.63</v>
      </c>
      <c r="E3173" s="1542">
        <v>1856.25</v>
      </c>
    </row>
    <row r="3174" spans="1:5">
      <c r="A3174" s="1541">
        <v>40843</v>
      </c>
      <c r="B3174" s="1542">
        <v>10465.68</v>
      </c>
      <c r="C3174" s="1542">
        <v>126.54</v>
      </c>
      <c r="D3174" s="1542">
        <v>4289.8500000000004</v>
      </c>
      <c r="E3174" s="1542">
        <v>1826.22</v>
      </c>
    </row>
    <row r="3175" spans="1:5">
      <c r="A3175" s="1541">
        <v>40842</v>
      </c>
      <c r="B3175" s="1542">
        <v>10425.01</v>
      </c>
      <c r="C3175" s="1542">
        <v>125.97</v>
      </c>
      <c r="D3175" s="1542">
        <v>4116.8500000000004</v>
      </c>
      <c r="E3175" s="1542">
        <v>1764.71</v>
      </c>
    </row>
    <row r="3176" spans="1:5">
      <c r="A3176" s="1541">
        <v>40841</v>
      </c>
      <c r="B3176" s="1542">
        <v>10363.31</v>
      </c>
      <c r="C3176" s="1542">
        <v>125.75</v>
      </c>
      <c r="D3176" s="1542">
        <v>4100.8999999999996</v>
      </c>
      <c r="E3176" s="1542">
        <v>1755.35</v>
      </c>
    </row>
    <row r="3177" spans="1:5">
      <c r="A3177" s="1541">
        <v>40840</v>
      </c>
      <c r="B3177" s="1542">
        <v>10333.879999999999</v>
      </c>
      <c r="C3177" s="1542">
        <v>125.94</v>
      </c>
      <c r="D3177" s="1542">
        <v>4156.0200000000004</v>
      </c>
      <c r="E3177" s="1542">
        <v>1744.49</v>
      </c>
    </row>
    <row r="3178" spans="1:5">
      <c r="A3178" s="1541">
        <v>40839</v>
      </c>
      <c r="B3178" s="1542"/>
      <c r="C3178" s="1542"/>
      <c r="D3178" s="1542"/>
      <c r="E3178" s="1542"/>
    </row>
    <row r="3179" spans="1:5">
      <c r="A3179" s="1541">
        <v>40838</v>
      </c>
      <c r="B3179" s="1542"/>
      <c r="C3179" s="1542"/>
      <c r="D3179" s="1542"/>
      <c r="E3179" s="1542"/>
    </row>
    <row r="3180" spans="1:5">
      <c r="A3180" s="1541">
        <v>40837</v>
      </c>
      <c r="B3180" s="1542">
        <v>10035.379999999999</v>
      </c>
      <c r="C3180" s="1542">
        <v>123.63</v>
      </c>
      <c r="D3180" s="1542">
        <v>4095.56</v>
      </c>
      <c r="E3180" s="1542">
        <v>1690.56</v>
      </c>
    </row>
    <row r="3181" spans="1:5">
      <c r="A3181" s="1541">
        <v>40836</v>
      </c>
      <c r="B3181" s="1542">
        <v>10021.280000000001</v>
      </c>
      <c r="C3181" s="1542">
        <v>123.67</v>
      </c>
      <c r="D3181" s="1542">
        <v>4001.52</v>
      </c>
      <c r="E3181" s="1542">
        <v>1667.85</v>
      </c>
    </row>
    <row r="3182" spans="1:5">
      <c r="A3182" s="1541">
        <v>40835</v>
      </c>
      <c r="B3182" s="1542">
        <v>10172.129999999999</v>
      </c>
      <c r="C3182" s="1542">
        <v>125.13</v>
      </c>
      <c r="D3182" s="1542">
        <v>4029.01</v>
      </c>
      <c r="E3182" s="1542">
        <v>1714.14</v>
      </c>
    </row>
    <row r="3183" spans="1:5">
      <c r="A3183" s="1541">
        <v>40834</v>
      </c>
      <c r="B3183" s="1542">
        <v>10180.09</v>
      </c>
      <c r="C3183" s="1542">
        <v>125.34</v>
      </c>
      <c r="D3183" s="1542">
        <v>4037.44</v>
      </c>
      <c r="E3183" s="1542">
        <v>1699.76</v>
      </c>
    </row>
    <row r="3184" spans="1:5">
      <c r="A3184" s="1541">
        <v>40833</v>
      </c>
      <c r="B3184" s="1542">
        <v>10320.69</v>
      </c>
      <c r="C3184" s="1542">
        <v>126.6</v>
      </c>
      <c r="D3184" s="1542">
        <v>4017.89</v>
      </c>
      <c r="E3184" s="1542">
        <v>1728.95</v>
      </c>
    </row>
    <row r="3185" spans="1:5">
      <c r="A3185" s="1541">
        <v>40832</v>
      </c>
      <c r="B3185" s="1542"/>
      <c r="C3185" s="1542"/>
      <c r="D3185" s="1542"/>
      <c r="E3185" s="1542"/>
    </row>
    <row r="3186" spans="1:5">
      <c r="A3186" s="1541">
        <v>40831</v>
      </c>
      <c r="B3186" s="1542"/>
      <c r="C3186" s="1542"/>
      <c r="D3186" s="1542"/>
      <c r="E3186" s="1542"/>
    </row>
    <row r="3187" spans="1:5">
      <c r="A3187" s="1541">
        <v>40830</v>
      </c>
      <c r="B3187" s="1542">
        <v>10178.14</v>
      </c>
      <c r="C3187" s="1542">
        <v>124.74</v>
      </c>
      <c r="D3187" s="1542">
        <v>4067.48</v>
      </c>
      <c r="E3187" s="1542">
        <v>1717.79</v>
      </c>
    </row>
    <row r="3188" spans="1:5">
      <c r="A3188" s="1541">
        <v>40829</v>
      </c>
      <c r="B3188" s="1542">
        <v>10275.31</v>
      </c>
      <c r="C3188" s="1542">
        <v>124.86</v>
      </c>
      <c r="D3188" s="1542">
        <v>4008.54</v>
      </c>
      <c r="E3188" s="1542">
        <v>1708.54</v>
      </c>
    </row>
    <row r="3189" spans="1:5">
      <c r="A3189" s="1541">
        <v>40828</v>
      </c>
      <c r="B3189" s="1542">
        <v>10211.709999999999</v>
      </c>
      <c r="C3189" s="1542">
        <v>123.17</v>
      </c>
      <c r="D3189" s="1542">
        <v>4030.64</v>
      </c>
      <c r="E3189" s="1542">
        <v>1695.09</v>
      </c>
    </row>
    <row r="3190" spans="1:5">
      <c r="A3190" s="1541">
        <v>40827</v>
      </c>
      <c r="B3190" s="1542">
        <v>10234.32</v>
      </c>
      <c r="C3190" s="1542">
        <v>122.5</v>
      </c>
      <c r="D3190" s="1542">
        <v>3973.78</v>
      </c>
      <c r="E3190" s="1542">
        <v>1669.88</v>
      </c>
    </row>
    <row r="3191" spans="1:5">
      <c r="A3191" s="1541">
        <v>40826</v>
      </c>
      <c r="B3191" s="1542"/>
      <c r="C3191" s="1542"/>
      <c r="D3191" s="1542">
        <v>3964.32</v>
      </c>
      <c r="E3191" s="1542">
        <v>1649.37</v>
      </c>
    </row>
    <row r="3192" spans="1:5">
      <c r="A3192" s="1541">
        <v>40825</v>
      </c>
      <c r="B3192" s="1542"/>
      <c r="C3192" s="1542"/>
      <c r="D3192" s="1542"/>
      <c r="E3192" s="1542"/>
    </row>
    <row r="3193" spans="1:5">
      <c r="A3193" s="1541">
        <v>40824</v>
      </c>
      <c r="B3193" s="1542"/>
      <c r="C3193" s="1542"/>
      <c r="D3193" s="1542"/>
      <c r="E3193" s="1542"/>
    </row>
    <row r="3194" spans="1:5">
      <c r="A3194" s="1541">
        <v>40823</v>
      </c>
      <c r="B3194" s="1542">
        <v>9975.99</v>
      </c>
      <c r="C3194" s="1542">
        <v>119.69</v>
      </c>
      <c r="D3194" s="1542">
        <v>3860.17</v>
      </c>
      <c r="E3194" s="1542">
        <v>1622.22</v>
      </c>
    </row>
    <row r="3195" spans="1:5">
      <c r="A3195" s="1541">
        <v>40822</v>
      </c>
      <c r="B3195" s="1542">
        <v>9865.2800000000007</v>
      </c>
      <c r="C3195" s="1542">
        <v>118.9</v>
      </c>
      <c r="D3195" s="1542">
        <v>3852.21</v>
      </c>
      <c r="E3195" s="1542">
        <v>1585.83</v>
      </c>
    </row>
    <row r="3196" spans="1:5">
      <c r="A3196" s="1541">
        <v>40821</v>
      </c>
      <c r="B3196" s="1542">
        <v>9667.69</v>
      </c>
      <c r="C3196" s="1542">
        <v>118.39</v>
      </c>
      <c r="D3196" s="1542">
        <v>3757.13</v>
      </c>
      <c r="E3196" s="1542">
        <v>1535.28</v>
      </c>
    </row>
    <row r="3197" spans="1:5">
      <c r="A3197" s="1541">
        <v>40820</v>
      </c>
      <c r="B3197" s="1542">
        <v>9748.86</v>
      </c>
      <c r="C3197" s="1542">
        <v>118.89</v>
      </c>
      <c r="D3197" s="1542">
        <v>3681.89</v>
      </c>
      <c r="E3197" s="1542">
        <v>1525.5</v>
      </c>
    </row>
    <row r="3198" spans="1:5">
      <c r="A3198" s="1541">
        <v>40819</v>
      </c>
      <c r="B3198" s="1542">
        <v>9701.9599999999991</v>
      </c>
      <c r="C3198" s="1542">
        <v>119.23</v>
      </c>
      <c r="D3198" s="1542">
        <v>3682.72</v>
      </c>
      <c r="E3198" s="1542">
        <v>1564.07</v>
      </c>
    </row>
    <row r="3199" spans="1:5">
      <c r="A3199" s="1541">
        <v>40818</v>
      </c>
      <c r="B3199" s="1542"/>
      <c r="C3199" s="1542"/>
      <c r="D3199" s="1542"/>
      <c r="E3199" s="1542"/>
    </row>
    <row r="3200" spans="1:5">
      <c r="A3200" s="1541">
        <v>40817</v>
      </c>
      <c r="B3200" s="1542"/>
      <c r="C3200" s="1542"/>
      <c r="D3200" s="1542"/>
      <c r="E3200" s="1542"/>
    </row>
    <row r="3201" spans="1:5">
      <c r="A3201" s="1541">
        <v>40816</v>
      </c>
      <c r="B3201" s="1542">
        <v>9993.91</v>
      </c>
      <c r="C3201" s="1542">
        <v>121.7</v>
      </c>
      <c r="D3201" s="1542">
        <v>3782.76</v>
      </c>
      <c r="E3201" s="1542">
        <v>1615.42</v>
      </c>
    </row>
    <row r="3202" spans="1:5">
      <c r="A3202" s="1541">
        <v>40815</v>
      </c>
      <c r="B3202" s="1542">
        <v>9934.74</v>
      </c>
      <c r="C3202" s="1542">
        <v>121.03</v>
      </c>
      <c r="D3202" s="1542">
        <v>3870.34</v>
      </c>
      <c r="E3202" s="1542">
        <v>1641.15</v>
      </c>
    </row>
    <row r="3203" spans="1:5">
      <c r="A3203" s="1541">
        <v>40814</v>
      </c>
      <c r="B3203" s="1542">
        <v>9885.4</v>
      </c>
      <c r="C3203" s="1542">
        <v>120.01</v>
      </c>
      <c r="D3203" s="1542">
        <v>3845.4</v>
      </c>
      <c r="E3203" s="1542">
        <v>1634.82</v>
      </c>
    </row>
    <row r="3204" spans="1:5">
      <c r="A3204" s="1541">
        <v>40813</v>
      </c>
      <c r="B3204" s="1542">
        <v>9806.2900000000009</v>
      </c>
      <c r="C3204" s="1542">
        <v>118.97</v>
      </c>
      <c r="D3204" s="1542">
        <v>3901.52</v>
      </c>
      <c r="E3204" s="1542">
        <v>1638.99</v>
      </c>
    </row>
    <row r="3205" spans="1:5">
      <c r="A3205" s="1541">
        <v>40812</v>
      </c>
      <c r="B3205" s="1542">
        <v>9511.64</v>
      </c>
      <c r="C3205" s="1542">
        <v>117.3</v>
      </c>
      <c r="D3205" s="1542">
        <v>3796.34</v>
      </c>
      <c r="E3205" s="1542">
        <v>1561.94</v>
      </c>
    </row>
    <row r="3206" spans="1:5">
      <c r="A3206" s="1541">
        <v>40811</v>
      </c>
      <c r="B3206" s="1542"/>
      <c r="C3206" s="1542"/>
      <c r="D3206" s="1542"/>
      <c r="E3206" s="1542"/>
    </row>
    <row r="3207" spans="1:5">
      <c r="A3207" s="1541">
        <v>40810</v>
      </c>
      <c r="B3207" s="1542"/>
      <c r="C3207" s="1542"/>
      <c r="D3207" s="1542"/>
      <c r="E3207" s="1542"/>
    </row>
    <row r="3208" spans="1:5">
      <c r="A3208" s="1541">
        <v>40809</v>
      </c>
      <c r="B3208" s="1542">
        <v>9745.2000000000007</v>
      </c>
      <c r="C3208" s="1542">
        <v>122.27</v>
      </c>
      <c r="D3208" s="1542">
        <v>3746.59</v>
      </c>
      <c r="E3208" s="1542">
        <v>1580.25</v>
      </c>
    </row>
    <row r="3209" spans="1:5">
      <c r="A3209" s="1541">
        <v>40808</v>
      </c>
      <c r="B3209" s="1542">
        <v>10103.799999999999</v>
      </c>
      <c r="C3209" s="1542">
        <v>127.31</v>
      </c>
      <c r="D3209" s="1542">
        <v>3727.21</v>
      </c>
      <c r="E3209" s="1542">
        <v>1615.24</v>
      </c>
    </row>
    <row r="3210" spans="1:5">
      <c r="A3210" s="1541">
        <v>40807</v>
      </c>
      <c r="B3210" s="1542">
        <v>10420.43</v>
      </c>
      <c r="C3210" s="1542">
        <v>129.82</v>
      </c>
      <c r="D3210" s="1542">
        <v>3890.9</v>
      </c>
      <c r="E3210" s="1542">
        <v>1724.01</v>
      </c>
    </row>
    <row r="3211" spans="1:5">
      <c r="A3211" s="1541">
        <v>40806</v>
      </c>
      <c r="B3211" s="1542">
        <v>10360.48</v>
      </c>
      <c r="C3211" s="1542">
        <v>128.9</v>
      </c>
      <c r="D3211" s="1542">
        <v>3975.43</v>
      </c>
      <c r="E3211" s="1542">
        <v>1744.4</v>
      </c>
    </row>
    <row r="3212" spans="1:5">
      <c r="A3212" s="1541">
        <v>40805</v>
      </c>
      <c r="B3212" s="1542">
        <v>10343.44</v>
      </c>
      <c r="C3212" s="1542">
        <v>128.02000000000001</v>
      </c>
      <c r="D3212" s="1542">
        <v>3956.84</v>
      </c>
      <c r="E3212" s="1542">
        <v>1741.14</v>
      </c>
    </row>
    <row r="3213" spans="1:5">
      <c r="A3213" s="1541">
        <v>40804</v>
      </c>
      <c r="B3213" s="1542"/>
      <c r="C3213" s="1542"/>
      <c r="D3213" s="1542"/>
      <c r="E3213" s="1542"/>
    </row>
    <row r="3214" spans="1:5">
      <c r="A3214" s="1541">
        <v>40803</v>
      </c>
      <c r="B3214" s="1542"/>
      <c r="C3214" s="1542"/>
      <c r="D3214" s="1542"/>
      <c r="E3214" s="1542"/>
    </row>
    <row r="3215" spans="1:5">
      <c r="A3215" s="1541">
        <v>40802</v>
      </c>
      <c r="B3215" s="1542">
        <v>10476.290000000001</v>
      </c>
      <c r="C3215" s="1542">
        <v>129.51</v>
      </c>
      <c r="D3215" s="1542">
        <v>4022.81</v>
      </c>
      <c r="E3215" s="1542">
        <v>1791.17</v>
      </c>
    </row>
    <row r="3216" spans="1:5">
      <c r="A3216" s="1541">
        <v>40801</v>
      </c>
      <c r="B3216" s="1542">
        <v>10210.99</v>
      </c>
      <c r="C3216" s="1542">
        <v>126.48</v>
      </c>
      <c r="D3216" s="1542">
        <v>4000.35</v>
      </c>
      <c r="E3216" s="1542">
        <v>1767.03</v>
      </c>
    </row>
    <row r="3217" spans="1:5">
      <c r="A3217" s="1541">
        <v>40800</v>
      </c>
      <c r="B3217" s="1542">
        <v>9991.89</v>
      </c>
      <c r="C3217" s="1542">
        <v>124.63</v>
      </c>
      <c r="D3217" s="1542">
        <v>3916.49</v>
      </c>
      <c r="E3217" s="1542">
        <v>1746.46</v>
      </c>
    </row>
    <row r="3218" spans="1:5">
      <c r="A3218" s="1541">
        <v>40799</v>
      </c>
      <c r="B3218" s="1542">
        <v>10216.620000000001</v>
      </c>
      <c r="C3218" s="1542">
        <v>127.64</v>
      </c>
      <c r="D3218" s="1542">
        <v>3880.65</v>
      </c>
      <c r="E3218" s="1542">
        <v>1768.19</v>
      </c>
    </row>
    <row r="3219" spans="1:5">
      <c r="A3219" s="1541">
        <v>40798</v>
      </c>
      <c r="B3219" s="1542"/>
      <c r="C3219" s="1542"/>
      <c r="D3219" s="1542">
        <v>3838.93</v>
      </c>
      <c r="E3219" s="1542">
        <v>1778.22</v>
      </c>
    </row>
    <row r="3220" spans="1:5">
      <c r="A3220" s="1541">
        <v>40797</v>
      </c>
      <c r="B3220" s="1542"/>
      <c r="C3220" s="1542"/>
      <c r="D3220" s="1542"/>
      <c r="E3220" s="1542"/>
    </row>
    <row r="3221" spans="1:5">
      <c r="A3221" s="1541">
        <v>40796</v>
      </c>
      <c r="B3221" s="1542"/>
      <c r="C3221" s="1542"/>
      <c r="D3221" s="1542"/>
      <c r="E3221" s="1542"/>
    </row>
    <row r="3222" spans="1:5">
      <c r="A3222" s="1541">
        <v>40795</v>
      </c>
      <c r="B3222" s="1542">
        <v>10518.89</v>
      </c>
      <c r="C3222" s="1542">
        <v>130.69999999999999</v>
      </c>
      <c r="D3222" s="1542">
        <v>3879.54</v>
      </c>
      <c r="E3222" s="1542">
        <v>1818.36</v>
      </c>
    </row>
    <row r="3223" spans="1:5">
      <c r="A3223" s="1541">
        <v>40794</v>
      </c>
      <c r="B3223" s="1542">
        <v>10431</v>
      </c>
      <c r="C3223" s="1542">
        <v>130.25</v>
      </c>
      <c r="D3223" s="1542">
        <v>3998.96</v>
      </c>
      <c r="E3223" s="1542">
        <v>1857.12</v>
      </c>
    </row>
    <row r="3224" spans="1:5">
      <c r="A3224" s="1541">
        <v>40793</v>
      </c>
      <c r="B3224" s="1542">
        <v>10404.129999999999</v>
      </c>
      <c r="C3224" s="1542">
        <v>130.11000000000001</v>
      </c>
      <c r="D3224" s="1542">
        <v>4011.9</v>
      </c>
      <c r="E3224" s="1542">
        <v>1849.23</v>
      </c>
    </row>
    <row r="3225" spans="1:5">
      <c r="A3225" s="1541">
        <v>40792</v>
      </c>
      <c r="B3225" s="1542">
        <v>10180.16</v>
      </c>
      <c r="C3225" s="1542">
        <v>128.29</v>
      </c>
      <c r="D3225" s="1542">
        <v>3903.1</v>
      </c>
      <c r="E3225" s="1542">
        <v>1809.13</v>
      </c>
    </row>
    <row r="3226" spans="1:5">
      <c r="A3226" s="1541">
        <v>40791</v>
      </c>
      <c r="B3226" s="1542">
        <v>10434.69</v>
      </c>
      <c r="C3226" s="1542">
        <v>131.56</v>
      </c>
      <c r="D3226" s="1542">
        <v>3942.82</v>
      </c>
      <c r="E3226" s="1542">
        <v>1811.81</v>
      </c>
    </row>
    <row r="3227" spans="1:5">
      <c r="A3227" s="1541">
        <v>40790</v>
      </c>
      <c r="B3227" s="1542"/>
      <c r="C3227" s="1542"/>
      <c r="D3227" s="1542"/>
      <c r="E3227" s="1542"/>
    </row>
    <row r="3228" spans="1:5">
      <c r="A3228" s="1541">
        <v>40789</v>
      </c>
      <c r="B3228" s="1542"/>
      <c r="C3228" s="1542"/>
      <c r="D3228" s="1542"/>
      <c r="E3228" s="1542"/>
    </row>
    <row r="3229" spans="1:5">
      <c r="A3229" s="1541">
        <v>40788</v>
      </c>
      <c r="B3229" s="1542">
        <v>10718.52</v>
      </c>
      <c r="C3229" s="1542">
        <v>133.94</v>
      </c>
      <c r="D3229" s="1542">
        <v>4016.22</v>
      </c>
      <c r="E3229" s="1542">
        <v>1870.25</v>
      </c>
    </row>
    <row r="3230" spans="1:5">
      <c r="A3230" s="1541">
        <v>40787</v>
      </c>
      <c r="B3230" s="1542">
        <v>10719.39</v>
      </c>
      <c r="C3230" s="1542">
        <v>133.51</v>
      </c>
      <c r="D3230" s="1542">
        <v>4111.41</v>
      </c>
      <c r="E3230" s="1542">
        <v>1899.69</v>
      </c>
    </row>
    <row r="3231" spans="1:5">
      <c r="A3231" s="1541">
        <v>40786</v>
      </c>
      <c r="B3231" s="1542">
        <v>10694.67</v>
      </c>
      <c r="C3231" s="1542">
        <v>132.25</v>
      </c>
      <c r="D3231" s="1542">
        <v>4138.5600000000004</v>
      </c>
      <c r="E3231" s="1542">
        <v>1890.76</v>
      </c>
    </row>
    <row r="3232" spans="1:5">
      <c r="A3232" s="1541">
        <v>40785</v>
      </c>
      <c r="B3232" s="1542">
        <v>10562.33</v>
      </c>
      <c r="C3232" s="1542">
        <v>131.09</v>
      </c>
      <c r="D3232" s="1542">
        <v>4086.83</v>
      </c>
      <c r="E3232" s="1542">
        <v>1855.07</v>
      </c>
    </row>
    <row r="3233" spans="1:5">
      <c r="A3233" s="1541">
        <v>40784</v>
      </c>
      <c r="B3233" s="1542">
        <v>10468.1</v>
      </c>
      <c r="C3233" s="1542">
        <v>128.61000000000001</v>
      </c>
      <c r="D3233" s="1542">
        <v>4068.34</v>
      </c>
      <c r="E3233" s="1542">
        <v>1838.21</v>
      </c>
    </row>
    <row r="3234" spans="1:5">
      <c r="A3234" s="1541">
        <v>40783</v>
      </c>
      <c r="B3234" s="1542"/>
      <c r="C3234" s="1542"/>
      <c r="D3234" s="1542"/>
      <c r="E3234" s="1542"/>
    </row>
    <row r="3235" spans="1:5">
      <c r="A3235" s="1541">
        <v>40782</v>
      </c>
      <c r="B3235" s="1542"/>
      <c r="C3235" s="1542"/>
      <c r="D3235" s="1542"/>
      <c r="E3235" s="1542"/>
    </row>
    <row r="3236" spans="1:5">
      <c r="A3236" s="1541">
        <v>40781</v>
      </c>
      <c r="B3236" s="1542">
        <v>10284.41</v>
      </c>
      <c r="C3236" s="1542">
        <v>126.37</v>
      </c>
      <c r="D3236" s="1542">
        <v>3972.37</v>
      </c>
      <c r="E3236" s="1542">
        <v>1785.39</v>
      </c>
    </row>
    <row r="3237" spans="1:5">
      <c r="A3237" s="1541">
        <v>40780</v>
      </c>
      <c r="B3237" s="1542">
        <v>10236.98</v>
      </c>
      <c r="C3237" s="1542">
        <v>127.46</v>
      </c>
      <c r="D3237" s="1542">
        <v>3943.43</v>
      </c>
      <c r="E3237" s="1542">
        <v>1780.14</v>
      </c>
    </row>
    <row r="3238" spans="1:5">
      <c r="A3238" s="1541">
        <v>40779</v>
      </c>
      <c r="B3238" s="1542">
        <v>10357.02</v>
      </c>
      <c r="C3238" s="1542">
        <v>130.13</v>
      </c>
      <c r="D3238" s="1542">
        <v>3990.85</v>
      </c>
      <c r="E3238" s="1542">
        <v>1789.4</v>
      </c>
    </row>
    <row r="3239" spans="1:5">
      <c r="A3239" s="1541">
        <v>40778</v>
      </c>
      <c r="B3239" s="1542">
        <v>10415.200000000001</v>
      </c>
      <c r="C3239" s="1542">
        <v>130.27000000000001</v>
      </c>
      <c r="D3239" s="1542">
        <v>3953.4</v>
      </c>
      <c r="E3239" s="1542">
        <v>1803.05</v>
      </c>
    </row>
    <row r="3240" spans="1:5">
      <c r="A3240" s="1541">
        <v>40777</v>
      </c>
      <c r="B3240" s="1542">
        <v>10080.219999999999</v>
      </c>
      <c r="C3240" s="1542">
        <v>126.24</v>
      </c>
      <c r="D3240" s="1542">
        <v>3862.95</v>
      </c>
      <c r="E3240" s="1542">
        <v>1766.73</v>
      </c>
    </row>
    <row r="3241" spans="1:5">
      <c r="A3241" s="1541">
        <v>40776</v>
      </c>
      <c r="B3241" s="1542"/>
      <c r="C3241" s="1542"/>
      <c r="D3241" s="1542"/>
      <c r="E3241" s="1542"/>
    </row>
    <row r="3242" spans="1:5">
      <c r="A3242" s="1541">
        <v>40775</v>
      </c>
      <c r="B3242" s="1542"/>
      <c r="C3242" s="1542"/>
      <c r="D3242" s="1542"/>
      <c r="E3242" s="1542"/>
    </row>
    <row r="3243" spans="1:5">
      <c r="A3243" s="1541">
        <v>40774</v>
      </c>
      <c r="B3243" s="1542">
        <v>10121.42</v>
      </c>
      <c r="C3243" s="1542">
        <v>129.55000000000001</v>
      </c>
      <c r="D3243" s="1542">
        <v>3863.93</v>
      </c>
      <c r="E3243" s="1542">
        <v>1774.07</v>
      </c>
    </row>
    <row r="3244" spans="1:5">
      <c r="A3244" s="1541">
        <v>40773</v>
      </c>
      <c r="B3244" s="1542">
        <v>10495.74</v>
      </c>
      <c r="C3244" s="1542">
        <v>136.49</v>
      </c>
      <c r="D3244" s="1542">
        <v>3919.03</v>
      </c>
      <c r="E3244" s="1542">
        <v>1820.22</v>
      </c>
    </row>
    <row r="3245" spans="1:5">
      <c r="A3245" s="1541">
        <v>40772</v>
      </c>
      <c r="B3245" s="1542">
        <v>10668.37</v>
      </c>
      <c r="C3245" s="1542">
        <v>139.27000000000001</v>
      </c>
      <c r="D3245" s="1542">
        <v>4098.09</v>
      </c>
      <c r="E3245" s="1542">
        <v>1873.75</v>
      </c>
    </row>
    <row r="3246" spans="1:5">
      <c r="A3246" s="1541">
        <v>40771</v>
      </c>
      <c r="B3246" s="1542">
        <v>10740.17</v>
      </c>
      <c r="C3246" s="1542">
        <v>140.5</v>
      </c>
      <c r="D3246" s="1542">
        <v>4083.9</v>
      </c>
      <c r="E3246" s="1542">
        <v>1862.92</v>
      </c>
    </row>
    <row r="3247" spans="1:5">
      <c r="A3247" s="1541">
        <v>40770</v>
      </c>
      <c r="B3247" s="1542">
        <v>10767.1</v>
      </c>
      <c r="C3247" s="1542">
        <v>139.24</v>
      </c>
      <c r="D3247" s="1542">
        <v>4111.49</v>
      </c>
      <c r="E3247" s="1542">
        <v>1852.48</v>
      </c>
    </row>
    <row r="3248" spans="1:5">
      <c r="A3248" s="1541">
        <v>40769</v>
      </c>
      <c r="B3248" s="1542"/>
      <c r="C3248" s="1542"/>
      <c r="D3248" s="1542"/>
      <c r="E3248" s="1542"/>
    </row>
    <row r="3249" spans="1:5">
      <c r="A3249" s="1541">
        <v>40768</v>
      </c>
      <c r="B3249" s="1542"/>
      <c r="C3249" s="1542"/>
      <c r="D3249" s="1542"/>
      <c r="E3249" s="1542"/>
    </row>
    <row r="3250" spans="1:5">
      <c r="A3250" s="1541">
        <v>40767</v>
      </c>
      <c r="B3250" s="1542">
        <v>10514.95</v>
      </c>
      <c r="C3250" s="1542">
        <v>136.99</v>
      </c>
      <c r="D3250" s="1542">
        <v>4028.93</v>
      </c>
      <c r="E3250" s="1542">
        <v>1808.96</v>
      </c>
    </row>
    <row r="3251" spans="1:5">
      <c r="A3251" s="1541">
        <v>40766</v>
      </c>
      <c r="B3251" s="1542">
        <v>10624.11</v>
      </c>
      <c r="C3251" s="1542">
        <v>136.27000000000001</v>
      </c>
      <c r="D3251" s="1542">
        <v>3980.14</v>
      </c>
      <c r="E3251" s="1542">
        <v>1808.2</v>
      </c>
    </row>
    <row r="3252" spans="1:5">
      <c r="A3252" s="1541">
        <v>40765</v>
      </c>
      <c r="B3252" s="1542">
        <v>10642.85</v>
      </c>
      <c r="C3252" s="1542">
        <v>137.25</v>
      </c>
      <c r="D3252" s="1542">
        <v>3856.21</v>
      </c>
      <c r="E3252" s="1542">
        <v>1791.22</v>
      </c>
    </row>
    <row r="3253" spans="1:5">
      <c r="A3253" s="1541">
        <v>40764</v>
      </c>
      <c r="B3253" s="1542">
        <v>10301.620000000001</v>
      </c>
      <c r="C3253" s="1542">
        <v>131.80000000000001</v>
      </c>
      <c r="D3253" s="1542">
        <v>3972.54</v>
      </c>
      <c r="E3253" s="1542">
        <v>1768.41</v>
      </c>
    </row>
    <row r="3254" spans="1:5">
      <c r="A3254" s="1541">
        <v>40763</v>
      </c>
      <c r="B3254" s="1542">
        <v>10375.530000000001</v>
      </c>
      <c r="C3254" s="1542">
        <v>134.38</v>
      </c>
      <c r="D3254" s="1542">
        <v>3863.33</v>
      </c>
      <c r="E3254" s="1542">
        <v>1807.8</v>
      </c>
    </row>
    <row r="3255" spans="1:5">
      <c r="A3255" s="1541">
        <v>40762</v>
      </c>
      <c r="B3255" s="1542"/>
      <c r="C3255" s="1542"/>
      <c r="D3255" s="1542"/>
      <c r="E3255" s="1542"/>
    </row>
    <row r="3256" spans="1:5">
      <c r="A3256" s="1541">
        <v>40761</v>
      </c>
      <c r="B3256" s="1542"/>
      <c r="C3256" s="1542"/>
      <c r="D3256" s="1542"/>
      <c r="E3256" s="1542"/>
    </row>
    <row r="3257" spans="1:5">
      <c r="A3257" s="1541">
        <v>40760</v>
      </c>
      <c r="B3257" s="1542">
        <v>10782.61</v>
      </c>
      <c r="C3257" s="1542">
        <v>140.65</v>
      </c>
      <c r="D3257" s="1542">
        <v>4071.43</v>
      </c>
      <c r="E3257" s="1542">
        <v>1900.51</v>
      </c>
    </row>
    <row r="3258" spans="1:5">
      <c r="A3258" s="1541">
        <v>40759</v>
      </c>
      <c r="B3258" s="1542">
        <v>11417.88</v>
      </c>
      <c r="C3258" s="1542">
        <v>149.80000000000001</v>
      </c>
      <c r="D3258" s="1542">
        <v>4120.08</v>
      </c>
      <c r="E3258" s="1542">
        <v>1958.77</v>
      </c>
    </row>
    <row r="3259" spans="1:5">
      <c r="A3259" s="1541">
        <v>40758</v>
      </c>
      <c r="B3259" s="1542">
        <v>11593.85</v>
      </c>
      <c r="C3259" s="1542">
        <v>152</v>
      </c>
      <c r="D3259" s="1542">
        <v>4305.12</v>
      </c>
      <c r="E3259" s="1542">
        <v>2012.31</v>
      </c>
    </row>
    <row r="3260" spans="1:5">
      <c r="A3260" s="1541">
        <v>40757</v>
      </c>
      <c r="B3260" s="1542">
        <v>11767.72</v>
      </c>
      <c r="C3260" s="1542">
        <v>154.29</v>
      </c>
      <c r="D3260" s="1542">
        <v>4325.8</v>
      </c>
      <c r="E3260" s="1542">
        <v>2056.19</v>
      </c>
    </row>
    <row r="3261" spans="1:5">
      <c r="A3261" s="1541">
        <v>40756</v>
      </c>
      <c r="B3261" s="1542">
        <v>11921.36</v>
      </c>
      <c r="C3261" s="1542">
        <v>154.96</v>
      </c>
      <c r="D3261" s="1542">
        <v>4420.45</v>
      </c>
      <c r="E3261" s="1542">
        <v>2093.6999999999998</v>
      </c>
    </row>
    <row r="3262" spans="1:5">
      <c r="A3262" s="1541">
        <v>40755</v>
      </c>
      <c r="B3262" s="1542"/>
      <c r="C3262" s="1542"/>
      <c r="D3262" s="1542"/>
      <c r="E3262" s="1542"/>
    </row>
    <row r="3263" spans="1:5">
      <c r="A3263" s="1541">
        <v>40754</v>
      </c>
      <c r="B3263" s="1542"/>
      <c r="C3263" s="1542"/>
      <c r="D3263" s="1542"/>
      <c r="E3263" s="1542"/>
    </row>
    <row r="3264" spans="1:5">
      <c r="A3264" s="1541">
        <v>40753</v>
      </c>
      <c r="B3264" s="1542">
        <v>11834.17</v>
      </c>
      <c r="C3264" s="1542">
        <v>154.1</v>
      </c>
      <c r="D3264" s="1542">
        <v>4450.25</v>
      </c>
      <c r="E3264" s="1542">
        <v>2075.48</v>
      </c>
    </row>
    <row r="3265" spans="1:5">
      <c r="A3265" s="1541">
        <v>40752</v>
      </c>
      <c r="B3265" s="1542">
        <v>11988.72</v>
      </c>
      <c r="C3265" s="1542">
        <v>155.80000000000001</v>
      </c>
      <c r="D3265" s="1542">
        <v>4472.6400000000003</v>
      </c>
      <c r="E3265" s="1542">
        <v>2089.0500000000002</v>
      </c>
    </row>
    <row r="3266" spans="1:5">
      <c r="A3266" s="1541">
        <v>40751</v>
      </c>
      <c r="B3266" s="1542">
        <v>12047.51</v>
      </c>
      <c r="C3266" s="1542">
        <v>156.31</v>
      </c>
      <c r="D3266" s="1542">
        <v>4493.8100000000004</v>
      </c>
      <c r="E3266" s="1542">
        <v>2095.29</v>
      </c>
    </row>
    <row r="3267" spans="1:5">
      <c r="A3267" s="1541">
        <v>40750</v>
      </c>
      <c r="B3267" s="1542">
        <v>12013.23</v>
      </c>
      <c r="C3267" s="1542">
        <v>154.28</v>
      </c>
      <c r="D3267" s="1542">
        <v>4573.04</v>
      </c>
      <c r="E3267" s="1542">
        <v>2108.96</v>
      </c>
    </row>
    <row r="3268" spans="1:5">
      <c r="A3268" s="1541">
        <v>40749</v>
      </c>
      <c r="B3268" s="1542">
        <v>11844.59</v>
      </c>
      <c r="C3268" s="1542">
        <v>152.59</v>
      </c>
      <c r="D3268" s="1542">
        <v>4568.0600000000004</v>
      </c>
      <c r="E3268" s="1542">
        <v>2093.2399999999998</v>
      </c>
    </row>
    <row r="3269" spans="1:5">
      <c r="A3269" s="1541">
        <v>40748</v>
      </c>
      <c r="B3269" s="1542"/>
      <c r="C3269" s="1542"/>
      <c r="D3269" s="1542"/>
      <c r="E3269" s="1542"/>
    </row>
    <row r="3270" spans="1:5">
      <c r="A3270" s="1541">
        <v>40747</v>
      </c>
      <c r="B3270" s="1542"/>
      <c r="C3270" s="1542"/>
      <c r="D3270" s="1542"/>
      <c r="E3270" s="1542"/>
    </row>
    <row r="3271" spans="1:5">
      <c r="A3271" s="1541">
        <v>40746</v>
      </c>
      <c r="B3271" s="1542">
        <v>11953.92</v>
      </c>
      <c r="C3271" s="1542">
        <v>154.61000000000001</v>
      </c>
      <c r="D3271" s="1542">
        <v>4594.41</v>
      </c>
      <c r="E3271" s="1542">
        <v>2102.3200000000002</v>
      </c>
    </row>
    <row r="3272" spans="1:5">
      <c r="A3272" s="1541">
        <v>40745</v>
      </c>
      <c r="B3272" s="1542">
        <v>11879.28</v>
      </c>
      <c r="C3272" s="1542">
        <v>153.51</v>
      </c>
      <c r="D3272" s="1542">
        <v>4577.25</v>
      </c>
      <c r="E3272" s="1542">
        <v>2084.0100000000002</v>
      </c>
    </row>
    <row r="3273" spans="1:5">
      <c r="A3273" s="1541">
        <v>40744</v>
      </c>
      <c r="B3273" s="1542">
        <v>11834.74</v>
      </c>
      <c r="C3273" s="1542">
        <v>153.19</v>
      </c>
      <c r="D3273" s="1542">
        <v>4510.3</v>
      </c>
      <c r="E3273" s="1542">
        <v>2071.6</v>
      </c>
    </row>
    <row r="3274" spans="1:5">
      <c r="A3274" s="1541">
        <v>40743</v>
      </c>
      <c r="B3274" s="1542">
        <v>11572.02</v>
      </c>
      <c r="C3274" s="1542">
        <v>150.68</v>
      </c>
      <c r="D3274" s="1542">
        <v>4484.09</v>
      </c>
      <c r="E3274" s="1542">
        <v>2056.83</v>
      </c>
    </row>
    <row r="3275" spans="1:5">
      <c r="A3275" s="1541">
        <v>40742</v>
      </c>
      <c r="B3275" s="1542">
        <v>11577.77</v>
      </c>
      <c r="C3275" s="1542">
        <v>149.97999999999999</v>
      </c>
      <c r="D3275" s="1542">
        <v>4417.67</v>
      </c>
      <c r="E3275" s="1542">
        <v>2044.25</v>
      </c>
    </row>
    <row r="3276" spans="1:5">
      <c r="A3276" s="1541">
        <v>40741</v>
      </c>
      <c r="B3276" s="1542"/>
      <c r="C3276" s="1542"/>
      <c r="D3276" s="1542"/>
      <c r="E3276" s="1542"/>
    </row>
    <row r="3277" spans="1:5">
      <c r="A3277" s="1541">
        <v>40740</v>
      </c>
      <c r="B3277" s="1542"/>
      <c r="C3277" s="1542"/>
      <c r="D3277" s="1542"/>
      <c r="E3277" s="1542"/>
    </row>
    <row r="3278" spans="1:5">
      <c r="A3278" s="1541">
        <v>40739</v>
      </c>
      <c r="B3278" s="1542">
        <v>11605.92</v>
      </c>
      <c r="C3278" s="1542">
        <v>150.43</v>
      </c>
      <c r="D3278" s="1542">
        <v>4472.51</v>
      </c>
      <c r="E3278" s="1542">
        <v>2067.71</v>
      </c>
    </row>
    <row r="3279" spans="1:5">
      <c r="A3279" s="1541">
        <v>40738</v>
      </c>
      <c r="B3279" s="1542">
        <v>11474.61</v>
      </c>
      <c r="C3279" s="1542">
        <v>147.63999999999999</v>
      </c>
      <c r="D3279" s="1542">
        <v>4464.55</v>
      </c>
      <c r="E3279" s="1542">
        <v>2067.34</v>
      </c>
    </row>
    <row r="3280" spans="1:5">
      <c r="A3280" s="1541">
        <v>40737</v>
      </c>
      <c r="B3280" s="1542">
        <v>11471.46</v>
      </c>
      <c r="C3280" s="1542">
        <v>149.30000000000001</v>
      </c>
      <c r="D3280" s="1542">
        <v>4496.8999999999996</v>
      </c>
      <c r="E3280" s="1542">
        <v>2071.58</v>
      </c>
    </row>
    <row r="3281" spans="1:5">
      <c r="A3281" s="1541">
        <v>40736</v>
      </c>
      <c r="B3281" s="1542">
        <v>11448.79</v>
      </c>
      <c r="C3281" s="1542">
        <v>150.49</v>
      </c>
      <c r="D3281" s="1542">
        <v>4452</v>
      </c>
      <c r="E3281" s="1542">
        <v>2040.75</v>
      </c>
    </row>
    <row r="3282" spans="1:5">
      <c r="A3282" s="1541">
        <v>40735</v>
      </c>
      <c r="B3282" s="1542">
        <v>11679.79</v>
      </c>
      <c r="C3282" s="1542">
        <v>155.05000000000001</v>
      </c>
      <c r="D3282" s="1542">
        <v>4477.63</v>
      </c>
      <c r="E3282" s="1542">
        <v>2079.98</v>
      </c>
    </row>
    <row r="3283" spans="1:5">
      <c r="A3283" s="1541">
        <v>40734</v>
      </c>
      <c r="B3283" s="1542"/>
      <c r="C3283" s="1542"/>
      <c r="D3283" s="1542"/>
      <c r="E3283" s="1542"/>
    </row>
    <row r="3284" spans="1:5">
      <c r="A3284" s="1541">
        <v>40733</v>
      </c>
      <c r="B3284" s="1542"/>
      <c r="C3284" s="1542"/>
      <c r="D3284" s="1542"/>
      <c r="E3284" s="1542"/>
    </row>
    <row r="3285" spans="1:5">
      <c r="A3285" s="1541">
        <v>40732</v>
      </c>
      <c r="B3285" s="1542">
        <v>11766.38</v>
      </c>
      <c r="C3285" s="1542">
        <v>157.16</v>
      </c>
      <c r="D3285" s="1542">
        <v>4573.97</v>
      </c>
      <c r="E3285" s="1542">
        <v>2117.75</v>
      </c>
    </row>
    <row r="3286" spans="1:5">
      <c r="A3286" s="1541">
        <v>40731</v>
      </c>
      <c r="B3286" s="1542">
        <v>11783.98</v>
      </c>
      <c r="C3286" s="1542">
        <v>157.9</v>
      </c>
      <c r="D3286" s="1542">
        <v>4605.3900000000003</v>
      </c>
      <c r="E3286" s="1542">
        <v>2123.94</v>
      </c>
    </row>
    <row r="3287" spans="1:5">
      <c r="A3287" s="1541">
        <v>40730</v>
      </c>
      <c r="B3287" s="1542">
        <v>11826.05</v>
      </c>
      <c r="C3287" s="1542">
        <v>157.91</v>
      </c>
      <c r="D3287" s="1542">
        <v>4569.7299999999996</v>
      </c>
      <c r="E3287" s="1542">
        <v>2111.35</v>
      </c>
    </row>
    <row r="3288" spans="1:5">
      <c r="A3288" s="1541">
        <v>40729</v>
      </c>
      <c r="B3288" s="1542">
        <v>11747.71</v>
      </c>
      <c r="C3288" s="1542">
        <v>156.69999999999999</v>
      </c>
      <c r="D3288" s="1542">
        <v>4582.3</v>
      </c>
      <c r="E3288" s="1542">
        <v>2120.2199999999998</v>
      </c>
    </row>
    <row r="3289" spans="1:5">
      <c r="A3289" s="1541">
        <v>40728</v>
      </c>
      <c r="B3289" s="1542">
        <v>11731.97</v>
      </c>
      <c r="C3289" s="1542">
        <v>156.86000000000001</v>
      </c>
      <c r="D3289" s="1542">
        <v>4589.62</v>
      </c>
      <c r="E3289" s="1542">
        <v>2125.98</v>
      </c>
    </row>
    <row r="3290" spans="1:5">
      <c r="A3290" s="1541">
        <v>40727</v>
      </c>
      <c r="B3290" s="1542"/>
      <c r="C3290" s="1542"/>
      <c r="D3290" s="1542"/>
      <c r="E3290" s="1542"/>
    </row>
    <row r="3291" spans="1:5">
      <c r="A3291" s="1541">
        <v>40726</v>
      </c>
      <c r="B3291" s="1542"/>
      <c r="C3291" s="1542"/>
      <c r="D3291" s="1542"/>
      <c r="E3291" s="1542"/>
    </row>
    <row r="3292" spans="1:5">
      <c r="A3292" s="1541">
        <v>40725</v>
      </c>
      <c r="B3292" s="1542">
        <v>11683.47</v>
      </c>
      <c r="C3292" s="1542">
        <v>156.51</v>
      </c>
      <c r="D3292" s="1542">
        <v>4574.58</v>
      </c>
      <c r="E3292" s="1542">
        <v>2102.58</v>
      </c>
    </row>
    <row r="3293" spans="1:5">
      <c r="A3293" s="1541">
        <v>40724</v>
      </c>
      <c r="B3293" s="1542">
        <v>11564.95</v>
      </c>
      <c r="C3293" s="1542">
        <v>154.54</v>
      </c>
      <c r="D3293" s="1542">
        <v>4531.21</v>
      </c>
      <c r="E3293" s="1542">
        <v>2083.31</v>
      </c>
    </row>
    <row r="3294" spans="1:5">
      <c r="A3294" s="1541">
        <v>40723</v>
      </c>
      <c r="B3294" s="1542">
        <v>11450.46</v>
      </c>
      <c r="C3294" s="1542">
        <v>153.75</v>
      </c>
      <c r="D3294" s="1542">
        <v>4472.5200000000004</v>
      </c>
      <c r="E3294" s="1542">
        <v>2058.5700000000002</v>
      </c>
    </row>
    <row r="3295" spans="1:5">
      <c r="A3295" s="1541">
        <v>40722</v>
      </c>
      <c r="B3295" s="1542">
        <v>11283.35</v>
      </c>
      <c r="C3295" s="1542">
        <v>152.84</v>
      </c>
      <c r="D3295" s="1542">
        <v>4412.3599999999997</v>
      </c>
      <c r="E3295" s="1542">
        <v>2036.01</v>
      </c>
    </row>
    <row r="3296" spans="1:5">
      <c r="A3296" s="1541">
        <v>40721</v>
      </c>
      <c r="B3296" s="1542">
        <v>11305.47</v>
      </c>
      <c r="C3296" s="1542">
        <v>152.25</v>
      </c>
      <c r="D3296" s="1542">
        <v>4361.4799999999996</v>
      </c>
      <c r="E3296" s="1542">
        <v>2020.04</v>
      </c>
    </row>
    <row r="3297" spans="1:5">
      <c r="A3297" s="1541">
        <v>40720</v>
      </c>
      <c r="B3297" s="1542"/>
      <c r="C3297" s="1542"/>
      <c r="D3297" s="1542"/>
      <c r="E3297" s="1542"/>
    </row>
    <row r="3298" spans="1:5">
      <c r="A3298" s="1541">
        <v>40719</v>
      </c>
      <c r="B3298" s="1542"/>
      <c r="C3298" s="1542"/>
      <c r="D3298" s="1542"/>
      <c r="E3298" s="1542"/>
    </row>
    <row r="3299" spans="1:5">
      <c r="A3299" s="1541">
        <v>40718</v>
      </c>
      <c r="B3299" s="1542">
        <v>11347.93</v>
      </c>
      <c r="C3299" s="1542">
        <v>151.97</v>
      </c>
      <c r="D3299" s="1542">
        <v>4339.95</v>
      </c>
      <c r="E3299" s="1542">
        <v>2025.6</v>
      </c>
    </row>
    <row r="3300" spans="1:5">
      <c r="A3300" s="1541">
        <v>40717</v>
      </c>
      <c r="B3300" s="1542">
        <v>11393.46</v>
      </c>
      <c r="C3300" s="1542">
        <v>152.13999999999999</v>
      </c>
      <c r="D3300" s="1542">
        <v>4360.55</v>
      </c>
      <c r="E3300" s="1542">
        <v>2006.77</v>
      </c>
    </row>
    <row r="3301" spans="1:5">
      <c r="A3301" s="1541">
        <v>40716</v>
      </c>
      <c r="B3301" s="1542">
        <v>11464.55</v>
      </c>
      <c r="C3301" s="1542">
        <v>152.33000000000001</v>
      </c>
      <c r="D3301" s="1542">
        <v>4421.62</v>
      </c>
      <c r="E3301" s="1542">
        <v>2026.62</v>
      </c>
    </row>
    <row r="3302" spans="1:5">
      <c r="A3302" s="1541">
        <v>40715</v>
      </c>
      <c r="B3302" s="1542">
        <v>11433.4</v>
      </c>
      <c r="C3302" s="1542">
        <v>150.22</v>
      </c>
      <c r="D3302" s="1542">
        <v>4429.0200000000004</v>
      </c>
      <c r="E3302" s="1542">
        <v>2020.5</v>
      </c>
    </row>
    <row r="3303" spans="1:5">
      <c r="A3303" s="1541">
        <v>40714</v>
      </c>
      <c r="B3303" s="1542">
        <v>11343.58</v>
      </c>
      <c r="C3303" s="1542">
        <v>150.24</v>
      </c>
      <c r="D3303" s="1542">
        <v>4359.9399999999996</v>
      </c>
      <c r="E3303" s="1542">
        <v>1993.78</v>
      </c>
    </row>
    <row r="3304" spans="1:5">
      <c r="A3304" s="1541">
        <v>40713</v>
      </c>
      <c r="B3304" s="1542"/>
      <c r="C3304" s="1542"/>
      <c r="D3304" s="1542"/>
      <c r="E3304" s="1542"/>
    </row>
    <row r="3305" spans="1:5">
      <c r="A3305" s="1541">
        <v>40712</v>
      </c>
      <c r="B3305" s="1542"/>
      <c r="C3305" s="1542"/>
      <c r="D3305" s="1542"/>
      <c r="E3305" s="1542"/>
    </row>
    <row r="3306" spans="1:5">
      <c r="A3306" s="1541">
        <v>40711</v>
      </c>
      <c r="B3306" s="1542">
        <v>11483.76</v>
      </c>
      <c r="C3306" s="1542">
        <v>154.34</v>
      </c>
      <c r="D3306" s="1542">
        <v>4356.21</v>
      </c>
      <c r="E3306" s="1542">
        <v>2003.32</v>
      </c>
    </row>
    <row r="3307" spans="1:5">
      <c r="A3307" s="1541">
        <v>40710</v>
      </c>
      <c r="B3307" s="1542">
        <v>11508.13</v>
      </c>
      <c r="C3307" s="1542">
        <v>155.71</v>
      </c>
      <c r="D3307" s="1542">
        <v>4332.33</v>
      </c>
      <c r="E3307" s="1542">
        <v>2009.77</v>
      </c>
    </row>
    <row r="3308" spans="1:5">
      <c r="A3308" s="1541">
        <v>40709</v>
      </c>
      <c r="B3308" s="1542">
        <v>11743.52</v>
      </c>
      <c r="C3308" s="1542">
        <v>158.57</v>
      </c>
      <c r="D3308" s="1542">
        <v>4367.32</v>
      </c>
      <c r="E3308" s="1542">
        <v>2045.79</v>
      </c>
    </row>
    <row r="3309" spans="1:5">
      <c r="A3309" s="1541">
        <v>40708</v>
      </c>
      <c r="B3309" s="1542">
        <v>11740.34</v>
      </c>
      <c r="C3309" s="1542">
        <v>158.99</v>
      </c>
      <c r="D3309" s="1542">
        <v>4441.54</v>
      </c>
      <c r="E3309" s="1542">
        <v>2057.7199999999998</v>
      </c>
    </row>
    <row r="3310" spans="1:5">
      <c r="A3310" s="1541">
        <v>40707</v>
      </c>
      <c r="B3310" s="1542">
        <v>11585.68</v>
      </c>
      <c r="C3310" s="1542">
        <v>157.22</v>
      </c>
      <c r="D3310" s="1542">
        <v>4382.3900000000003</v>
      </c>
      <c r="E3310" s="1542">
        <v>2039.86</v>
      </c>
    </row>
    <row r="3311" spans="1:5">
      <c r="A3311" s="1541">
        <v>40706</v>
      </c>
      <c r="B3311" s="1542"/>
      <c r="C3311" s="1542"/>
      <c r="D3311" s="1542"/>
      <c r="E3311" s="1542"/>
    </row>
    <row r="3312" spans="1:5">
      <c r="A3312" s="1541">
        <v>40705</v>
      </c>
      <c r="B3312" s="1542"/>
      <c r="C3312" s="1542"/>
      <c r="D3312" s="1542"/>
      <c r="E3312" s="1542"/>
    </row>
    <row r="3313" spans="1:5">
      <c r="A3313" s="1541">
        <v>40704</v>
      </c>
      <c r="B3313" s="1542">
        <v>11751.72</v>
      </c>
      <c r="C3313" s="1542">
        <v>159.19</v>
      </c>
      <c r="D3313" s="1542">
        <v>4381.41</v>
      </c>
      <c r="E3313" s="1542">
        <v>2047.37</v>
      </c>
    </row>
    <row r="3314" spans="1:5">
      <c r="A3314" s="1541">
        <v>40703</v>
      </c>
      <c r="B3314" s="1542">
        <v>11968.42</v>
      </c>
      <c r="C3314" s="1542">
        <v>161.31</v>
      </c>
      <c r="D3314" s="1542">
        <v>4447.03</v>
      </c>
      <c r="E3314" s="1542">
        <v>2071.48</v>
      </c>
    </row>
    <row r="3315" spans="1:5">
      <c r="A3315" s="1541">
        <v>40702</v>
      </c>
      <c r="B3315" s="1542">
        <v>11977.18</v>
      </c>
      <c r="C3315" s="1542">
        <v>161.47</v>
      </c>
      <c r="D3315" s="1542">
        <v>4426.3100000000004</v>
      </c>
      <c r="E3315" s="1542">
        <v>2077.0700000000002</v>
      </c>
    </row>
    <row r="3316" spans="1:5">
      <c r="A3316" s="1541">
        <v>40701</v>
      </c>
      <c r="B3316" s="1542">
        <v>12043.09</v>
      </c>
      <c r="C3316" s="1542">
        <v>161.71</v>
      </c>
      <c r="D3316" s="1542">
        <v>4459.9799999999996</v>
      </c>
      <c r="E3316" s="1542">
        <v>2089.84</v>
      </c>
    </row>
    <row r="3317" spans="1:5">
      <c r="A3317" s="1541">
        <v>40700</v>
      </c>
      <c r="B3317" s="1542"/>
      <c r="C3317" s="1542"/>
      <c r="D3317" s="1542">
        <v>4452.6099999999997</v>
      </c>
      <c r="E3317" s="1542">
        <v>2082.44</v>
      </c>
    </row>
    <row r="3318" spans="1:5">
      <c r="A3318" s="1541">
        <v>40699</v>
      </c>
      <c r="B3318" s="1542"/>
      <c r="C3318" s="1542"/>
      <c r="D3318" s="1542"/>
      <c r="E3318" s="1542"/>
    </row>
    <row r="3319" spans="1:5">
      <c r="A3319" s="1541">
        <v>40698</v>
      </c>
      <c r="B3319" s="1542"/>
      <c r="C3319" s="1542"/>
      <c r="D3319" s="1542"/>
      <c r="E3319" s="1542"/>
    </row>
    <row r="3320" spans="1:5">
      <c r="A3320" s="1541">
        <v>40697</v>
      </c>
      <c r="B3320" s="1542">
        <v>12028.58</v>
      </c>
      <c r="C3320" s="1542">
        <v>161.21</v>
      </c>
      <c r="D3320" s="1542">
        <v>4487.47</v>
      </c>
      <c r="E3320" s="1542">
        <v>2094.09</v>
      </c>
    </row>
    <row r="3321" spans="1:5">
      <c r="A3321" s="1541">
        <v>40696</v>
      </c>
      <c r="B3321" s="1542">
        <v>11955.27</v>
      </c>
      <c r="C3321" s="1542">
        <v>160.53</v>
      </c>
      <c r="D3321" s="1542">
        <v>4505.17</v>
      </c>
      <c r="E3321" s="1542">
        <v>2099.9699999999998</v>
      </c>
    </row>
    <row r="3322" spans="1:5">
      <c r="A3322" s="1541">
        <v>40695</v>
      </c>
      <c r="B3322" s="1542">
        <v>12049.66</v>
      </c>
      <c r="C3322" s="1542">
        <v>161.72999999999999</v>
      </c>
      <c r="D3322" s="1542">
        <v>4539.34</v>
      </c>
      <c r="E3322" s="1542">
        <v>2112.9</v>
      </c>
    </row>
    <row r="3323" spans="1:5">
      <c r="A3323" s="1541">
        <v>40694</v>
      </c>
      <c r="B3323" s="1542">
        <v>11951.92</v>
      </c>
      <c r="C3323" s="1542">
        <v>160.84</v>
      </c>
      <c r="D3323" s="1542">
        <v>4602.24</v>
      </c>
      <c r="E3323" s="1542">
        <v>2114.96</v>
      </c>
    </row>
    <row r="3324" spans="1:5">
      <c r="A3324" s="1541">
        <v>40693</v>
      </c>
      <c r="B3324" s="1542">
        <v>11732.31</v>
      </c>
      <c r="C3324" s="1542">
        <v>158.46</v>
      </c>
      <c r="D3324" s="1542">
        <v>4546.29</v>
      </c>
      <c r="E3324" s="1542">
        <v>2079.0100000000002</v>
      </c>
    </row>
    <row r="3325" spans="1:5">
      <c r="A3325" s="1541">
        <v>40692</v>
      </c>
      <c r="B3325" s="1542"/>
      <c r="C3325" s="1542"/>
      <c r="D3325" s="1542"/>
      <c r="E3325" s="1542"/>
    </row>
    <row r="3326" spans="1:5">
      <c r="A3326" s="1541">
        <v>40691</v>
      </c>
      <c r="B3326" s="1542"/>
      <c r="C3326" s="1542"/>
      <c r="D3326" s="1542"/>
      <c r="E3326" s="1542"/>
    </row>
    <row r="3327" spans="1:5">
      <c r="A3327" s="1541">
        <v>40690</v>
      </c>
      <c r="B3327" s="1542">
        <v>11714.12</v>
      </c>
      <c r="C3327" s="1542">
        <v>158.18</v>
      </c>
      <c r="D3327" s="1542">
        <v>4546.8500000000004</v>
      </c>
      <c r="E3327" s="1542">
        <v>2078.02</v>
      </c>
    </row>
    <row r="3328" spans="1:5">
      <c r="A3328" s="1541">
        <v>40689</v>
      </c>
      <c r="B3328" s="1542">
        <v>11685.4</v>
      </c>
      <c r="C3328" s="1542">
        <v>157.38999999999999</v>
      </c>
      <c r="D3328" s="1542">
        <v>4507.04</v>
      </c>
      <c r="E3328" s="1542">
        <v>2051.7800000000002</v>
      </c>
    </row>
    <row r="3329" spans="1:5">
      <c r="A3329" s="1541">
        <v>40688</v>
      </c>
      <c r="B3329" s="1542">
        <v>11603.89</v>
      </c>
      <c r="C3329" s="1542">
        <v>155.5</v>
      </c>
      <c r="D3329" s="1542">
        <v>4483.32</v>
      </c>
      <c r="E3329" s="1542">
        <v>2023.82</v>
      </c>
    </row>
    <row r="3330" spans="1:5">
      <c r="A3330" s="1541">
        <v>40687</v>
      </c>
      <c r="B3330" s="1542">
        <v>11643.03</v>
      </c>
      <c r="C3330" s="1542">
        <v>155.44</v>
      </c>
      <c r="D3330" s="1542">
        <v>4467.74</v>
      </c>
      <c r="E3330" s="1542">
        <v>2035.67</v>
      </c>
    </row>
    <row r="3331" spans="1:5">
      <c r="A3331" s="1541">
        <v>40686</v>
      </c>
      <c r="B3331" s="1542">
        <v>11630.94</v>
      </c>
      <c r="C3331" s="1542">
        <v>155.94</v>
      </c>
      <c r="D3331" s="1542">
        <v>4460.6099999999997</v>
      </c>
      <c r="E3331" s="1542">
        <v>2015.56</v>
      </c>
    </row>
    <row r="3332" spans="1:5">
      <c r="A3332" s="1541">
        <v>40685</v>
      </c>
      <c r="B3332" s="1542"/>
      <c r="C3332" s="1542"/>
      <c r="D3332" s="1542"/>
      <c r="E3332" s="1542"/>
    </row>
    <row r="3333" spans="1:5">
      <c r="A3333" s="1541">
        <v>40684</v>
      </c>
      <c r="B3333" s="1542"/>
      <c r="C3333" s="1542"/>
      <c r="D3333" s="1542"/>
      <c r="E3333" s="1542"/>
    </row>
    <row r="3334" spans="1:5">
      <c r="A3334" s="1541">
        <v>40683</v>
      </c>
      <c r="B3334" s="1542">
        <v>11749.96</v>
      </c>
      <c r="C3334" s="1542">
        <v>157.29</v>
      </c>
      <c r="D3334" s="1542">
        <v>4536.49</v>
      </c>
      <c r="E3334" s="1542">
        <v>2063.9</v>
      </c>
    </row>
    <row r="3335" spans="1:5">
      <c r="A3335" s="1541">
        <v>40682</v>
      </c>
      <c r="B3335" s="1542">
        <v>11824.22</v>
      </c>
      <c r="C3335" s="1542">
        <v>159.08000000000001</v>
      </c>
      <c r="D3335" s="1542">
        <v>4566.2</v>
      </c>
      <c r="E3335" s="1542">
        <v>2063.1799999999998</v>
      </c>
    </row>
    <row r="3336" spans="1:5">
      <c r="A3336" s="1541">
        <v>40681</v>
      </c>
      <c r="B3336" s="1542">
        <v>11892.58</v>
      </c>
      <c r="C3336" s="1542">
        <v>159.11000000000001</v>
      </c>
      <c r="D3336" s="1542">
        <v>4553.2299999999996</v>
      </c>
      <c r="E3336" s="1542">
        <v>2066.5300000000002</v>
      </c>
    </row>
    <row r="3337" spans="1:5">
      <c r="A3337" s="1541">
        <v>40680</v>
      </c>
      <c r="B3337" s="1542">
        <v>11811.82</v>
      </c>
      <c r="C3337" s="1542">
        <v>157.62</v>
      </c>
      <c r="D3337" s="1542">
        <v>4509.33</v>
      </c>
      <c r="E3337" s="1542">
        <v>2049.6999999999998</v>
      </c>
    </row>
    <row r="3338" spans="1:5">
      <c r="A3338" s="1541">
        <v>40679</v>
      </c>
      <c r="B3338" s="1542">
        <v>11848.53</v>
      </c>
      <c r="C3338" s="1542">
        <v>158.46</v>
      </c>
      <c r="D3338" s="1542">
        <v>4533.3999999999996</v>
      </c>
      <c r="E3338" s="1542">
        <v>2055.33</v>
      </c>
    </row>
    <row r="3339" spans="1:5">
      <c r="A3339" s="1541">
        <v>40678</v>
      </c>
      <c r="B3339" s="1542"/>
      <c r="C3339" s="1542"/>
      <c r="D3339" s="1542"/>
      <c r="E3339" s="1542"/>
    </row>
    <row r="3340" spans="1:5">
      <c r="A3340" s="1541">
        <v>40677</v>
      </c>
      <c r="B3340" s="1542"/>
      <c r="C3340" s="1542"/>
      <c r="D3340" s="1542"/>
      <c r="E3340" s="1542"/>
    </row>
    <row r="3341" spans="1:5">
      <c r="A3341" s="1541">
        <v>40676</v>
      </c>
      <c r="B3341" s="1542">
        <v>11974.71</v>
      </c>
      <c r="C3341" s="1542">
        <v>159.82</v>
      </c>
      <c r="D3341" s="1542">
        <v>4554.07</v>
      </c>
      <c r="E3341" s="1542">
        <v>2069.54</v>
      </c>
    </row>
    <row r="3342" spans="1:5">
      <c r="A3342" s="1541">
        <v>40675</v>
      </c>
      <c r="B3342" s="1542">
        <v>12010.7</v>
      </c>
      <c r="C3342" s="1542">
        <v>159.09</v>
      </c>
      <c r="D3342" s="1542">
        <v>4579.97</v>
      </c>
      <c r="E3342" s="1542">
        <v>2073.38</v>
      </c>
    </row>
    <row r="3343" spans="1:5">
      <c r="A3343" s="1541">
        <v>40674</v>
      </c>
      <c r="B3343" s="1542">
        <v>11993.05</v>
      </c>
      <c r="C3343" s="1542">
        <v>158.94</v>
      </c>
      <c r="D3343" s="1542">
        <v>4600.2299999999996</v>
      </c>
      <c r="E3343" s="1542">
        <v>2105.89</v>
      </c>
    </row>
    <row r="3344" spans="1:5">
      <c r="A3344" s="1541">
        <v>40673</v>
      </c>
      <c r="B3344" s="1542">
        <v>11996.87</v>
      </c>
      <c r="C3344" s="1542">
        <v>159.88</v>
      </c>
      <c r="D3344" s="1542">
        <v>4627.97</v>
      </c>
      <c r="E3344" s="1542">
        <v>2107.14</v>
      </c>
    </row>
    <row r="3345" spans="1:5">
      <c r="A3345" s="1541">
        <v>40672</v>
      </c>
      <c r="B3345" s="1542">
        <v>12012.59</v>
      </c>
      <c r="C3345" s="1542">
        <v>160.12</v>
      </c>
      <c r="D3345" s="1542">
        <v>4584.9399999999996</v>
      </c>
      <c r="E3345" s="1542">
        <v>2097.9899999999998</v>
      </c>
    </row>
    <row r="3346" spans="1:5">
      <c r="A3346" s="1541">
        <v>40671</v>
      </c>
      <c r="B3346" s="1542"/>
      <c r="C3346" s="1542"/>
      <c r="D3346" s="1542"/>
      <c r="E3346" s="1542"/>
    </row>
    <row r="3347" spans="1:5">
      <c r="A3347" s="1541">
        <v>40670</v>
      </c>
      <c r="B3347" s="1542"/>
      <c r="C3347" s="1542"/>
      <c r="D3347" s="1542"/>
      <c r="E3347" s="1542"/>
    </row>
    <row r="3348" spans="1:5">
      <c r="A3348" s="1541">
        <v>40669</v>
      </c>
      <c r="B3348" s="1542">
        <v>11935.14</v>
      </c>
      <c r="C3348" s="1542">
        <v>159.84</v>
      </c>
      <c r="D3348" s="1542">
        <v>4602.76</v>
      </c>
      <c r="E3348" s="1542">
        <v>2100.2600000000002</v>
      </c>
    </row>
    <row r="3349" spans="1:5">
      <c r="A3349" s="1541">
        <v>40668</v>
      </c>
      <c r="B3349" s="1542">
        <v>11990.15</v>
      </c>
      <c r="C3349" s="1542">
        <v>159.78</v>
      </c>
      <c r="D3349" s="1542">
        <v>4587.78</v>
      </c>
      <c r="E3349" s="1542">
        <v>2096.7600000000002</v>
      </c>
    </row>
    <row r="3350" spans="1:5">
      <c r="A3350" s="1541">
        <v>40667</v>
      </c>
      <c r="B3350" s="1542">
        <v>11895.41</v>
      </c>
      <c r="C3350" s="1542">
        <v>158.86000000000001</v>
      </c>
      <c r="D3350" s="1542">
        <v>4640.1499999999996</v>
      </c>
      <c r="E3350" s="1542">
        <v>2113.1999999999998</v>
      </c>
    </row>
    <row r="3351" spans="1:5">
      <c r="A3351" s="1541">
        <v>40666</v>
      </c>
      <c r="B3351" s="1542">
        <v>11893.73</v>
      </c>
      <c r="C3351" s="1542">
        <v>156.6</v>
      </c>
      <c r="D3351" s="1542">
        <v>4677.67</v>
      </c>
      <c r="E3351" s="1542">
        <v>2139.9</v>
      </c>
    </row>
    <row r="3352" spans="1:5">
      <c r="A3352" s="1541">
        <v>40665</v>
      </c>
      <c r="B3352" s="1542"/>
      <c r="C3352" s="1542"/>
      <c r="D3352" s="1542">
        <v>4706.93</v>
      </c>
      <c r="E3352" s="1542">
        <v>2176.58</v>
      </c>
    </row>
    <row r="3353" spans="1:5">
      <c r="A3353" s="1541">
        <v>40664</v>
      </c>
      <c r="B3353" s="1542"/>
      <c r="C3353" s="1542"/>
      <c r="D3353" s="1542"/>
      <c r="E3353" s="1542"/>
    </row>
    <row r="3354" spans="1:5">
      <c r="A3354" s="1541">
        <v>40663</v>
      </c>
      <c r="B3354" s="1542"/>
      <c r="C3354" s="1542"/>
      <c r="D3354" s="1542"/>
      <c r="E3354" s="1542"/>
    </row>
    <row r="3355" spans="1:5">
      <c r="A3355" s="1541">
        <v>40662</v>
      </c>
      <c r="B3355" s="1542">
        <v>11975.59</v>
      </c>
      <c r="C3355" s="1542">
        <v>159.5</v>
      </c>
      <c r="D3355" s="1542">
        <v>4694.88</v>
      </c>
      <c r="E3355" s="1542">
        <v>2171.04</v>
      </c>
    </row>
    <row r="3356" spans="1:5">
      <c r="A3356" s="1541">
        <v>40661</v>
      </c>
      <c r="B3356" s="1542">
        <v>12019.33</v>
      </c>
      <c r="C3356" s="1542">
        <v>161.63999999999999</v>
      </c>
      <c r="D3356" s="1542">
        <v>4681.07</v>
      </c>
      <c r="E3356" s="1542">
        <v>2164.67</v>
      </c>
    </row>
    <row r="3357" spans="1:5">
      <c r="A3357" s="1541">
        <v>40660</v>
      </c>
      <c r="B3357" s="1542">
        <v>12030.6</v>
      </c>
      <c r="C3357" s="1542">
        <v>162.69</v>
      </c>
      <c r="D3357" s="1542">
        <v>4634.8500000000004</v>
      </c>
      <c r="E3357" s="1542">
        <v>2167.15</v>
      </c>
    </row>
    <row r="3358" spans="1:5">
      <c r="A3358" s="1541">
        <v>40659</v>
      </c>
      <c r="B3358" s="1542">
        <v>11896.18</v>
      </c>
      <c r="C3358" s="1542">
        <v>162.12</v>
      </c>
      <c r="D3358" s="1542">
        <v>4617.8900000000003</v>
      </c>
      <c r="E3358" s="1542">
        <v>2168.63</v>
      </c>
    </row>
    <row r="3359" spans="1:5">
      <c r="A3359" s="1541">
        <v>40658</v>
      </c>
      <c r="B3359" s="1542">
        <v>11899.65</v>
      </c>
      <c r="C3359" s="1542">
        <v>162</v>
      </c>
      <c r="D3359" s="1542">
        <v>4586.34</v>
      </c>
      <c r="E3359" s="1542">
        <v>2169.12</v>
      </c>
    </row>
    <row r="3360" spans="1:5">
      <c r="A3360" s="1541">
        <v>40657</v>
      </c>
      <c r="B3360" s="1542"/>
      <c r="C3360" s="1542"/>
      <c r="D3360" s="1542"/>
      <c r="E3360" s="1542"/>
    </row>
    <row r="3361" spans="1:5">
      <c r="A3361" s="1541">
        <v>40656</v>
      </c>
      <c r="B3361" s="1542"/>
      <c r="C3361" s="1542"/>
      <c r="D3361" s="1542"/>
      <c r="E3361" s="1542"/>
    </row>
    <row r="3362" spans="1:5">
      <c r="A3362" s="1541">
        <v>40655</v>
      </c>
      <c r="B3362" s="1542">
        <v>11924.48</v>
      </c>
      <c r="C3362" s="1542">
        <v>162.24</v>
      </c>
      <c r="D3362" s="1542">
        <v>4598.22</v>
      </c>
      <c r="E3362" s="1542">
        <v>2173.0300000000002</v>
      </c>
    </row>
    <row r="3363" spans="1:5">
      <c r="A3363" s="1541">
        <v>40654</v>
      </c>
      <c r="B3363" s="1542">
        <v>11908.82</v>
      </c>
      <c r="C3363" s="1542">
        <v>161.05000000000001</v>
      </c>
      <c r="D3363" s="1542">
        <v>4597.97</v>
      </c>
      <c r="E3363" s="1542">
        <v>2172.91</v>
      </c>
    </row>
    <row r="3364" spans="1:5">
      <c r="A3364" s="1541">
        <v>40653</v>
      </c>
      <c r="B3364" s="1542">
        <v>11716.88</v>
      </c>
      <c r="C3364" s="1542">
        <v>159.85</v>
      </c>
      <c r="D3364" s="1542">
        <v>4560.3599999999997</v>
      </c>
      <c r="E3364" s="1542">
        <v>2152.87</v>
      </c>
    </row>
    <row r="3365" spans="1:5">
      <c r="A3365" s="1541">
        <v>40652</v>
      </c>
      <c r="B3365" s="1542">
        <v>11484.59</v>
      </c>
      <c r="C3365" s="1542">
        <v>158.22999999999999</v>
      </c>
      <c r="D3365" s="1542">
        <v>4472.78</v>
      </c>
      <c r="E3365" s="1542">
        <v>2100.89</v>
      </c>
    </row>
    <row r="3366" spans="1:5">
      <c r="A3366" s="1541">
        <v>40651</v>
      </c>
      <c r="B3366" s="1542">
        <v>11585.53</v>
      </c>
      <c r="C3366" s="1542">
        <v>159.09</v>
      </c>
      <c r="D3366" s="1542">
        <v>4446.97</v>
      </c>
      <c r="E3366" s="1542">
        <v>2092.9699999999998</v>
      </c>
    </row>
    <row r="3367" spans="1:5">
      <c r="A3367" s="1541">
        <v>40650</v>
      </c>
      <c r="B3367" s="1542"/>
      <c r="C3367" s="1542"/>
      <c r="D3367" s="1542"/>
      <c r="E3367" s="1542"/>
    </row>
    <row r="3368" spans="1:5">
      <c r="A3368" s="1541">
        <v>40649</v>
      </c>
      <c r="B3368" s="1542"/>
      <c r="C3368" s="1542"/>
      <c r="D3368" s="1542"/>
      <c r="E3368" s="1542"/>
    </row>
    <row r="3369" spans="1:5">
      <c r="A3369" s="1541">
        <v>40648</v>
      </c>
      <c r="B3369" s="1542">
        <v>11590.38</v>
      </c>
      <c r="C3369" s="1542">
        <v>160.66</v>
      </c>
      <c r="D3369" s="1542">
        <v>4516.66</v>
      </c>
      <c r="E3369" s="1542">
        <v>2127.5500000000002</v>
      </c>
    </row>
    <row r="3370" spans="1:5">
      <c r="A3370" s="1541">
        <v>40647</v>
      </c>
      <c r="B3370" s="1542">
        <v>11702.86</v>
      </c>
      <c r="C3370" s="1542">
        <v>162.25</v>
      </c>
      <c r="D3370" s="1542">
        <v>4511.38</v>
      </c>
      <c r="E3370" s="1542">
        <v>2128.56</v>
      </c>
    </row>
    <row r="3371" spans="1:5">
      <c r="A3371" s="1541">
        <v>40646</v>
      </c>
      <c r="B3371" s="1542">
        <v>11672.9</v>
      </c>
      <c r="C3371" s="1542">
        <v>160.61000000000001</v>
      </c>
      <c r="D3371" s="1542">
        <v>4518.08</v>
      </c>
      <c r="E3371" s="1542">
        <v>2133.37</v>
      </c>
    </row>
    <row r="3372" spans="1:5">
      <c r="A3372" s="1541">
        <v>40645</v>
      </c>
      <c r="B3372" s="1542">
        <v>11609.61</v>
      </c>
      <c r="C3372" s="1542">
        <v>160.33000000000001</v>
      </c>
      <c r="D3372" s="1542">
        <v>4500.95</v>
      </c>
      <c r="E3372" s="1542">
        <v>2118.94</v>
      </c>
    </row>
    <row r="3373" spans="1:5">
      <c r="A3373" s="1541">
        <v>40644</v>
      </c>
      <c r="B3373" s="1542">
        <v>11805.94</v>
      </c>
      <c r="C3373" s="1542">
        <v>162.82</v>
      </c>
      <c r="D3373" s="1542">
        <v>4550.76</v>
      </c>
      <c r="E3373" s="1542">
        <v>2159.83</v>
      </c>
    </row>
    <row r="3374" spans="1:5">
      <c r="A3374" s="1541">
        <v>40643</v>
      </c>
      <c r="B3374" s="1542"/>
      <c r="C3374" s="1542"/>
      <c r="D3374" s="1542"/>
      <c r="E3374" s="1542"/>
    </row>
    <row r="3375" spans="1:5">
      <c r="A3375" s="1541">
        <v>40642</v>
      </c>
      <c r="B3375" s="1542"/>
      <c r="C3375" s="1542"/>
      <c r="D3375" s="1542"/>
      <c r="E3375" s="1542"/>
    </row>
    <row r="3376" spans="1:5">
      <c r="A3376" s="1541">
        <v>40641</v>
      </c>
      <c r="B3376" s="1542">
        <v>11824.92</v>
      </c>
      <c r="C3376" s="1542">
        <v>163.43</v>
      </c>
      <c r="D3376" s="1542">
        <v>4560.0200000000004</v>
      </c>
      <c r="E3376" s="1542">
        <v>2170.1</v>
      </c>
    </row>
    <row r="3377" spans="1:5">
      <c r="A3377" s="1541">
        <v>40640</v>
      </c>
      <c r="B3377" s="1542">
        <v>11834.47</v>
      </c>
      <c r="C3377" s="1542">
        <v>163.72</v>
      </c>
      <c r="D3377" s="1542">
        <v>4538.6099999999997</v>
      </c>
      <c r="E3377" s="1542">
        <v>2163.21</v>
      </c>
    </row>
    <row r="3378" spans="1:5">
      <c r="A3378" s="1541">
        <v>40639</v>
      </c>
      <c r="B3378" s="1542">
        <v>11768.34</v>
      </c>
      <c r="C3378" s="1542">
        <v>162.36000000000001</v>
      </c>
      <c r="D3378" s="1542">
        <v>4550.59</v>
      </c>
      <c r="E3378" s="1542">
        <v>2165.19</v>
      </c>
    </row>
    <row r="3379" spans="1:5">
      <c r="A3379" s="1541">
        <v>40638</v>
      </c>
      <c r="B3379" s="1542"/>
      <c r="C3379" s="1542"/>
      <c r="D3379" s="1542">
        <v>4531.84</v>
      </c>
      <c r="E3379" s="1542">
        <v>2149.63</v>
      </c>
    </row>
    <row r="3380" spans="1:5">
      <c r="A3380" s="1541">
        <v>40637</v>
      </c>
      <c r="B3380" s="1542"/>
      <c r="C3380" s="1542"/>
      <c r="D3380" s="1542">
        <v>4538.43</v>
      </c>
      <c r="E3380" s="1542">
        <v>2146.44</v>
      </c>
    </row>
    <row r="3381" spans="1:5">
      <c r="A3381" s="1541">
        <v>40636</v>
      </c>
      <c r="B3381" s="1542"/>
      <c r="C3381" s="1542"/>
      <c r="D3381" s="1542"/>
      <c r="E3381" s="1542"/>
    </row>
    <row r="3382" spans="1:5">
      <c r="A3382" s="1541">
        <v>40635</v>
      </c>
      <c r="B3382" s="1542"/>
      <c r="C3382" s="1542"/>
      <c r="D3382" s="1542"/>
      <c r="E3382" s="1542"/>
    </row>
    <row r="3383" spans="1:5">
      <c r="A3383" s="1541">
        <v>40634</v>
      </c>
      <c r="B3383" s="1542">
        <v>11573.11</v>
      </c>
      <c r="C3383" s="1542">
        <v>160.9</v>
      </c>
      <c r="D3383" s="1542">
        <v>4523.38</v>
      </c>
      <c r="E3383" s="1542">
        <v>2131.3200000000002</v>
      </c>
    </row>
    <row r="3384" spans="1:5">
      <c r="A3384" s="1541">
        <v>40633</v>
      </c>
      <c r="B3384" s="1542">
        <v>11544.08</v>
      </c>
      <c r="C3384" s="1542">
        <v>159.81</v>
      </c>
      <c r="D3384" s="1542">
        <v>4500.82</v>
      </c>
      <c r="E3384" s="1542">
        <v>2105.27</v>
      </c>
    </row>
    <row r="3385" spans="1:5">
      <c r="A3385" s="1541">
        <v>40632</v>
      </c>
      <c r="B3385" s="1542">
        <v>11494.91</v>
      </c>
      <c r="C3385" s="1542">
        <v>159.30000000000001</v>
      </c>
      <c r="D3385" s="1542">
        <v>4504.3100000000004</v>
      </c>
      <c r="E3385" s="1542">
        <v>2084.86</v>
      </c>
    </row>
    <row r="3386" spans="1:5">
      <c r="A3386" s="1541">
        <v>40631</v>
      </c>
      <c r="B3386" s="1542">
        <v>11428.78</v>
      </c>
      <c r="C3386" s="1542">
        <v>158.55000000000001</v>
      </c>
      <c r="D3386" s="1542">
        <v>4462.7299999999996</v>
      </c>
      <c r="E3386" s="1542">
        <v>2054.2800000000002</v>
      </c>
    </row>
    <row r="3387" spans="1:5">
      <c r="A3387" s="1541">
        <v>40630</v>
      </c>
      <c r="B3387" s="1542">
        <v>11370.94</v>
      </c>
      <c r="C3387" s="1542">
        <v>158.41999999999999</v>
      </c>
      <c r="D3387" s="1542">
        <v>4450.37</v>
      </c>
      <c r="E3387" s="1542">
        <v>2046.7</v>
      </c>
    </row>
    <row r="3388" spans="1:5">
      <c r="A3388" s="1541">
        <v>40629</v>
      </c>
      <c r="B3388" s="1542"/>
      <c r="C3388" s="1542"/>
      <c r="D3388" s="1542"/>
      <c r="E3388" s="1542"/>
    </row>
    <row r="3389" spans="1:5">
      <c r="A3389" s="1541">
        <v>40628</v>
      </c>
      <c r="B3389" s="1542"/>
      <c r="C3389" s="1542"/>
      <c r="D3389" s="1542"/>
      <c r="E3389" s="1542"/>
    </row>
    <row r="3390" spans="1:5">
      <c r="A3390" s="1541">
        <v>40627</v>
      </c>
      <c r="B3390" s="1542">
        <v>11447.16</v>
      </c>
      <c r="C3390" s="1542">
        <v>159.93</v>
      </c>
      <c r="D3390" s="1542">
        <v>4464.59</v>
      </c>
      <c r="E3390" s="1542">
        <v>2056</v>
      </c>
    </row>
    <row r="3391" spans="1:5">
      <c r="A3391" s="1541">
        <v>40626</v>
      </c>
      <c r="B3391" s="1542">
        <v>11401.96</v>
      </c>
      <c r="C3391" s="1542">
        <v>160.85</v>
      </c>
      <c r="D3391" s="1542">
        <v>4458.18</v>
      </c>
      <c r="E3391" s="1542">
        <v>2039.37</v>
      </c>
    </row>
    <row r="3392" spans="1:5">
      <c r="A3392" s="1541">
        <v>40625</v>
      </c>
      <c r="B3392" s="1542">
        <v>11360.33</v>
      </c>
      <c r="C3392" s="1542">
        <v>159.88</v>
      </c>
      <c r="D3392" s="1542">
        <v>4415.9399999999996</v>
      </c>
      <c r="E3392" s="1542">
        <v>2019.42</v>
      </c>
    </row>
    <row r="3393" spans="1:5">
      <c r="A3393" s="1541">
        <v>40624</v>
      </c>
      <c r="B3393" s="1542">
        <v>11311.09</v>
      </c>
      <c r="C3393" s="1542">
        <v>158.96</v>
      </c>
      <c r="D3393" s="1542">
        <v>4413.7</v>
      </c>
      <c r="E3393" s="1542">
        <v>2012.95</v>
      </c>
    </row>
    <row r="3394" spans="1:5">
      <c r="A3394" s="1541">
        <v>40623</v>
      </c>
      <c r="B3394" s="1542">
        <v>11257.46</v>
      </c>
      <c r="C3394" s="1542">
        <v>156.91</v>
      </c>
      <c r="D3394" s="1542">
        <v>4401.33</v>
      </c>
      <c r="E3394" s="1542">
        <v>1994.61</v>
      </c>
    </row>
    <row r="3395" spans="1:5">
      <c r="A3395" s="1541">
        <v>40622</v>
      </c>
      <c r="B3395" s="1542"/>
      <c r="C3395" s="1542"/>
      <c r="D3395" s="1542"/>
      <c r="E3395" s="1542"/>
    </row>
    <row r="3396" spans="1:5">
      <c r="A3396" s="1541">
        <v>40621</v>
      </c>
      <c r="B3396" s="1542"/>
      <c r="C3396" s="1542"/>
      <c r="D3396" s="1542"/>
      <c r="E3396" s="1542"/>
    </row>
    <row r="3397" spans="1:5">
      <c r="A3397" s="1541">
        <v>40620</v>
      </c>
      <c r="B3397" s="1542">
        <v>11160.47</v>
      </c>
      <c r="C3397" s="1542">
        <v>155.37</v>
      </c>
      <c r="D3397" s="1542">
        <v>4332.84</v>
      </c>
      <c r="E3397" s="1542">
        <v>1973.79</v>
      </c>
    </row>
    <row r="3398" spans="1:5">
      <c r="A3398" s="1541">
        <v>40619</v>
      </c>
      <c r="B3398" s="1542">
        <v>11011.49</v>
      </c>
      <c r="C3398" s="1542">
        <v>152.19999999999999</v>
      </c>
      <c r="D3398" s="1542">
        <v>4307.7700000000004</v>
      </c>
      <c r="E3398" s="1542">
        <v>1960.87</v>
      </c>
    </row>
    <row r="3399" spans="1:5">
      <c r="A3399" s="1541">
        <v>40618</v>
      </c>
      <c r="B3399" s="1542">
        <v>11067.18</v>
      </c>
      <c r="C3399" s="1542">
        <v>154.13</v>
      </c>
      <c r="D3399" s="1542">
        <v>4241.8</v>
      </c>
      <c r="E3399" s="1542">
        <v>1969.61</v>
      </c>
    </row>
    <row r="3400" spans="1:5">
      <c r="A3400" s="1541">
        <v>40617</v>
      </c>
      <c r="B3400" s="1542">
        <v>10947.79</v>
      </c>
      <c r="C3400" s="1542">
        <v>152.27000000000001</v>
      </c>
      <c r="D3400" s="1542">
        <v>4280.63</v>
      </c>
      <c r="E3400" s="1542">
        <v>1962.94</v>
      </c>
    </row>
    <row r="3401" spans="1:5">
      <c r="A3401" s="1541">
        <v>40616</v>
      </c>
      <c r="B3401" s="1542">
        <v>11327.01</v>
      </c>
      <c r="C3401" s="1542">
        <v>159.88999999999999</v>
      </c>
      <c r="D3401" s="1542">
        <v>4379.66</v>
      </c>
      <c r="E3401" s="1542">
        <v>2006.25</v>
      </c>
    </row>
    <row r="3402" spans="1:5">
      <c r="A3402" s="1541">
        <v>40615</v>
      </c>
      <c r="B3402" s="1542"/>
      <c r="C3402" s="1542"/>
      <c r="D3402" s="1542"/>
      <c r="E3402" s="1542"/>
    </row>
    <row r="3403" spans="1:5">
      <c r="A3403" s="1541">
        <v>40614</v>
      </c>
      <c r="B3403" s="1542"/>
      <c r="C3403" s="1542"/>
      <c r="D3403" s="1542"/>
      <c r="E3403" s="1542"/>
    </row>
    <row r="3404" spans="1:5">
      <c r="A3404" s="1541">
        <v>40613</v>
      </c>
      <c r="B3404" s="1542">
        <v>11390.55</v>
      </c>
      <c r="C3404" s="1542">
        <v>163.91</v>
      </c>
      <c r="D3404" s="1542">
        <v>4425.87</v>
      </c>
      <c r="E3404" s="1542">
        <v>1990.74</v>
      </c>
    </row>
    <row r="3405" spans="1:5">
      <c r="A3405" s="1541">
        <v>40612</v>
      </c>
      <c r="B3405" s="1542">
        <v>11490.37</v>
      </c>
      <c r="C3405" s="1542">
        <v>164.83</v>
      </c>
      <c r="D3405" s="1542">
        <v>4419.93</v>
      </c>
      <c r="E3405" s="1542">
        <v>2003.36</v>
      </c>
    </row>
    <row r="3406" spans="1:5">
      <c r="A3406" s="1541">
        <v>40611</v>
      </c>
      <c r="B3406" s="1542">
        <v>11632.78</v>
      </c>
      <c r="C3406" s="1542">
        <v>166.65</v>
      </c>
      <c r="D3406" s="1542">
        <v>4507.5</v>
      </c>
      <c r="E3406" s="1542">
        <v>2039.2</v>
      </c>
    </row>
    <row r="3407" spans="1:5">
      <c r="A3407" s="1541">
        <v>40610</v>
      </c>
      <c r="B3407" s="1542">
        <v>11629.77</v>
      </c>
      <c r="C3407" s="1542">
        <v>166.59</v>
      </c>
      <c r="D3407" s="1542">
        <v>4511.13</v>
      </c>
      <c r="E3407" s="1542">
        <v>2039.07</v>
      </c>
    </row>
    <row r="3408" spans="1:5">
      <c r="A3408" s="1541">
        <v>40609</v>
      </c>
      <c r="B3408" s="1542">
        <v>11584.61</v>
      </c>
      <c r="C3408" s="1542">
        <v>165.85</v>
      </c>
      <c r="D3408" s="1542">
        <v>4503.3100000000004</v>
      </c>
      <c r="E3408" s="1542">
        <v>2032.29</v>
      </c>
    </row>
    <row r="3409" spans="1:5">
      <c r="A3409" s="1541">
        <v>40608</v>
      </c>
      <c r="B3409" s="1542"/>
      <c r="C3409" s="1542"/>
      <c r="D3409" s="1542"/>
      <c r="E3409" s="1542"/>
    </row>
    <row r="3410" spans="1:5">
      <c r="A3410" s="1541">
        <v>40607</v>
      </c>
      <c r="B3410" s="1542"/>
      <c r="C3410" s="1542"/>
      <c r="D3410" s="1542"/>
      <c r="E3410" s="1542"/>
    </row>
    <row r="3411" spans="1:5">
      <c r="A3411" s="1541">
        <v>40606</v>
      </c>
      <c r="B3411" s="1542">
        <v>11678.49</v>
      </c>
      <c r="C3411" s="1542">
        <v>166.03</v>
      </c>
      <c r="D3411" s="1542">
        <v>4535.09</v>
      </c>
      <c r="E3411" s="1542">
        <v>2043.59</v>
      </c>
    </row>
    <row r="3412" spans="1:5">
      <c r="A3412" s="1541">
        <v>40605</v>
      </c>
      <c r="B3412" s="1542">
        <v>11617.29</v>
      </c>
      <c r="C3412" s="1542">
        <v>166.97</v>
      </c>
      <c r="D3412" s="1542">
        <v>4547.01</v>
      </c>
      <c r="E3412" s="1542">
        <v>2023.56</v>
      </c>
    </row>
    <row r="3413" spans="1:5">
      <c r="A3413" s="1541">
        <v>40604</v>
      </c>
      <c r="B3413" s="1542">
        <v>11459.79</v>
      </c>
      <c r="C3413" s="1542">
        <v>164.84</v>
      </c>
      <c r="D3413" s="1542">
        <v>4498.49</v>
      </c>
      <c r="E3413" s="1542">
        <v>1998.11</v>
      </c>
    </row>
    <row r="3414" spans="1:5">
      <c r="A3414" s="1541">
        <v>40603</v>
      </c>
      <c r="B3414" s="1542">
        <v>11602.92</v>
      </c>
      <c r="C3414" s="1542">
        <v>164.96</v>
      </c>
      <c r="D3414" s="1542">
        <v>4507.5200000000004</v>
      </c>
      <c r="E3414" s="1542">
        <v>1995.96</v>
      </c>
    </row>
    <row r="3415" spans="1:5">
      <c r="A3415" s="1541">
        <v>40602</v>
      </c>
      <c r="B3415" s="1542"/>
      <c r="C3415" s="1542"/>
      <c r="D3415" s="1542">
        <v>4543.55</v>
      </c>
      <c r="E3415" s="1542">
        <v>1988.07</v>
      </c>
    </row>
    <row r="3416" spans="1:5">
      <c r="A3416" s="1541">
        <v>40601</v>
      </c>
      <c r="B3416" s="1542"/>
      <c r="C3416" s="1542"/>
      <c r="D3416" s="1542"/>
      <c r="E3416" s="1542"/>
    </row>
    <row r="3417" spans="1:5">
      <c r="A3417" s="1541">
        <v>40600</v>
      </c>
      <c r="B3417" s="1542"/>
      <c r="C3417" s="1542"/>
      <c r="D3417" s="1542"/>
      <c r="E3417" s="1542"/>
    </row>
    <row r="3418" spans="1:5">
      <c r="A3418" s="1541">
        <v>40599</v>
      </c>
      <c r="B3418" s="1542">
        <v>11432.87</v>
      </c>
      <c r="C3418" s="1542">
        <v>162.51</v>
      </c>
      <c r="D3418" s="1542">
        <v>4508.3599999999997</v>
      </c>
      <c r="E3418" s="1542">
        <v>1973.15</v>
      </c>
    </row>
    <row r="3419" spans="1:5">
      <c r="A3419" s="1541">
        <v>40598</v>
      </c>
      <c r="B3419" s="1542">
        <v>11355.76</v>
      </c>
      <c r="C3419" s="1542">
        <v>160.97999999999999</v>
      </c>
      <c r="D3419" s="1542">
        <v>4459.88</v>
      </c>
      <c r="E3419" s="1542">
        <v>1950.98</v>
      </c>
    </row>
    <row r="3420" spans="1:5">
      <c r="A3420" s="1541">
        <v>40597</v>
      </c>
      <c r="B3420" s="1542">
        <v>11338.87</v>
      </c>
      <c r="C3420" s="1542">
        <v>160.36000000000001</v>
      </c>
      <c r="D3420" s="1542">
        <v>4467.8</v>
      </c>
      <c r="E3420" s="1542">
        <v>1966.88</v>
      </c>
    </row>
    <row r="3421" spans="1:5">
      <c r="A3421" s="1541">
        <v>40596</v>
      </c>
      <c r="B3421" s="1542">
        <v>11531.28</v>
      </c>
      <c r="C3421" s="1542">
        <v>164.45</v>
      </c>
      <c r="D3421" s="1542">
        <v>4495.07</v>
      </c>
      <c r="E3421" s="1542">
        <v>1977.02</v>
      </c>
    </row>
    <row r="3422" spans="1:5">
      <c r="A3422" s="1541">
        <v>40595</v>
      </c>
      <c r="B3422" s="1542">
        <v>11751.37</v>
      </c>
      <c r="C3422" s="1542">
        <v>167.26</v>
      </c>
      <c r="D3422" s="1542">
        <v>4561.95</v>
      </c>
      <c r="E3422" s="1542">
        <v>2010.63</v>
      </c>
    </row>
    <row r="3423" spans="1:5">
      <c r="A3423" s="1541">
        <v>40594</v>
      </c>
      <c r="B3423" s="1542"/>
      <c r="C3423" s="1542"/>
      <c r="D3423" s="1542"/>
      <c r="E3423" s="1542"/>
    </row>
    <row r="3424" spans="1:5">
      <c r="A3424" s="1541">
        <v>40593</v>
      </c>
      <c r="B3424" s="1542"/>
      <c r="C3424" s="1542"/>
      <c r="D3424" s="1542"/>
      <c r="E3424" s="1542"/>
    </row>
    <row r="3425" spans="1:5">
      <c r="A3425" s="1541">
        <v>40592</v>
      </c>
      <c r="B3425" s="1542">
        <v>11757.51</v>
      </c>
      <c r="C3425" s="1542">
        <v>166.05</v>
      </c>
      <c r="D3425" s="1542">
        <v>4577.03</v>
      </c>
      <c r="E3425" s="1542">
        <v>2013.3</v>
      </c>
    </row>
    <row r="3426" spans="1:5">
      <c r="A3426" s="1541">
        <v>40591</v>
      </c>
      <c r="B3426" s="1542">
        <v>11544.86</v>
      </c>
      <c r="C3426" s="1542">
        <v>164.37</v>
      </c>
      <c r="D3426" s="1542">
        <v>4567.04</v>
      </c>
      <c r="E3426" s="1542">
        <v>1995.17</v>
      </c>
    </row>
    <row r="3427" spans="1:5">
      <c r="A3427" s="1541">
        <v>40590</v>
      </c>
      <c r="B3427" s="1542">
        <v>11583.51</v>
      </c>
      <c r="C3427" s="1542">
        <v>164.84</v>
      </c>
      <c r="D3427" s="1542">
        <v>4541.07</v>
      </c>
      <c r="E3427" s="1542">
        <v>1989.16</v>
      </c>
    </row>
    <row r="3428" spans="1:5">
      <c r="A3428" s="1541">
        <v>40589</v>
      </c>
      <c r="B3428" s="1542">
        <v>11595.44</v>
      </c>
      <c r="C3428" s="1542">
        <v>164.2</v>
      </c>
      <c r="D3428" s="1542">
        <v>4514.63</v>
      </c>
      <c r="E3428" s="1542">
        <v>1981.1</v>
      </c>
    </row>
    <row r="3429" spans="1:5">
      <c r="A3429" s="1541">
        <v>40588</v>
      </c>
      <c r="B3429" s="1542">
        <v>11546.97</v>
      </c>
      <c r="C3429" s="1542">
        <v>162.4</v>
      </c>
      <c r="D3429" s="1542">
        <v>4516.16</v>
      </c>
      <c r="E3429" s="1542">
        <v>1983.66</v>
      </c>
    </row>
    <row r="3430" spans="1:5">
      <c r="A3430" s="1541">
        <v>40587</v>
      </c>
      <c r="B3430" s="1542"/>
      <c r="C3430" s="1542"/>
      <c r="D3430" s="1542"/>
      <c r="E3430" s="1542"/>
    </row>
    <row r="3431" spans="1:5">
      <c r="A3431" s="1541">
        <v>40586</v>
      </c>
      <c r="B3431" s="1542"/>
      <c r="C3431" s="1542"/>
      <c r="D3431" s="1542"/>
      <c r="E3431" s="1542"/>
    </row>
    <row r="3432" spans="1:5">
      <c r="A3432" s="1541">
        <v>40585</v>
      </c>
      <c r="B3432" s="1542">
        <v>11446.44</v>
      </c>
      <c r="C3432" s="1542">
        <v>160.56</v>
      </c>
      <c r="D3432" s="1542">
        <v>4502.47</v>
      </c>
      <c r="E3432" s="1542">
        <v>1957.63</v>
      </c>
    </row>
    <row r="3433" spans="1:5">
      <c r="A3433" s="1541">
        <v>40584</v>
      </c>
      <c r="B3433" s="1542">
        <v>11747.84</v>
      </c>
      <c r="C3433" s="1542">
        <v>164.51</v>
      </c>
      <c r="D3433" s="1542">
        <v>4491.58</v>
      </c>
      <c r="E3433" s="1542">
        <v>1954.12</v>
      </c>
    </row>
    <row r="3434" spans="1:5">
      <c r="A3434" s="1541">
        <v>40583</v>
      </c>
      <c r="B3434" s="1542">
        <v>11974.19</v>
      </c>
      <c r="C3434" s="1542">
        <v>165.94</v>
      </c>
      <c r="D3434" s="1542">
        <v>4506.46</v>
      </c>
      <c r="E3434" s="1542">
        <v>1991.61</v>
      </c>
    </row>
    <row r="3435" spans="1:5">
      <c r="A3435" s="1541">
        <v>40582</v>
      </c>
      <c r="B3435" s="1542">
        <v>12113.31</v>
      </c>
      <c r="C3435" s="1542">
        <v>167.31</v>
      </c>
      <c r="D3435" s="1542">
        <v>4521.8900000000003</v>
      </c>
      <c r="E3435" s="1542">
        <v>2021.42</v>
      </c>
    </row>
    <row r="3436" spans="1:5">
      <c r="A3436" s="1541">
        <v>40581</v>
      </c>
      <c r="B3436" s="1542"/>
      <c r="C3436" s="1542"/>
      <c r="D3436" s="1542">
        <v>4494.4799999999996</v>
      </c>
      <c r="E3436" s="1542">
        <v>2023.81</v>
      </c>
    </row>
    <row r="3437" spans="1:5">
      <c r="A3437" s="1541">
        <v>40580</v>
      </c>
      <c r="B3437" s="1542"/>
      <c r="C3437" s="1542"/>
      <c r="D3437" s="1542"/>
      <c r="E3437" s="1542"/>
    </row>
    <row r="3438" spans="1:5">
      <c r="A3438" s="1541">
        <v>40579</v>
      </c>
      <c r="B3438" s="1542"/>
      <c r="C3438" s="1542"/>
      <c r="D3438" s="1542"/>
      <c r="E3438" s="1542"/>
    </row>
    <row r="3439" spans="1:5">
      <c r="A3439" s="1541">
        <v>40578</v>
      </c>
      <c r="B3439" s="1542"/>
      <c r="C3439" s="1542"/>
      <c r="D3439" s="1542">
        <v>4468.33</v>
      </c>
      <c r="E3439" s="1542">
        <v>2026.27</v>
      </c>
    </row>
    <row r="3440" spans="1:5">
      <c r="A3440" s="1541">
        <v>40577</v>
      </c>
      <c r="B3440" s="1542"/>
      <c r="C3440" s="1542"/>
      <c r="D3440" s="1542">
        <v>4462.53</v>
      </c>
      <c r="E3440" s="1542">
        <v>2032.4</v>
      </c>
    </row>
    <row r="3441" spans="1:5">
      <c r="A3441" s="1541">
        <v>40576</v>
      </c>
      <c r="B3441" s="1542"/>
      <c r="C3441" s="1542"/>
      <c r="D3441" s="1542">
        <v>4471.72</v>
      </c>
      <c r="E3441" s="1542">
        <v>2036.34</v>
      </c>
    </row>
    <row r="3442" spans="1:5">
      <c r="A3442" s="1541">
        <v>40575</v>
      </c>
      <c r="B3442" s="1542"/>
      <c r="C3442" s="1542"/>
      <c r="D3442" s="1542">
        <v>4462.43</v>
      </c>
      <c r="E3442" s="1542">
        <v>2028.11</v>
      </c>
    </row>
    <row r="3443" spans="1:5">
      <c r="A3443" s="1541">
        <v>40574</v>
      </c>
      <c r="B3443" s="1542"/>
      <c r="C3443" s="1542"/>
      <c r="D3443" s="1542">
        <v>4387.97</v>
      </c>
      <c r="E3443" s="1542">
        <v>2006.49</v>
      </c>
    </row>
    <row r="3444" spans="1:5">
      <c r="A3444" s="1541">
        <v>40573</v>
      </c>
      <c r="B3444" s="1542"/>
      <c r="C3444" s="1542"/>
      <c r="D3444" s="1542"/>
      <c r="E3444" s="1542"/>
    </row>
    <row r="3445" spans="1:5">
      <c r="A3445" s="1541">
        <v>40572</v>
      </c>
      <c r="B3445" s="1542"/>
      <c r="C3445" s="1542"/>
      <c r="D3445" s="1542"/>
      <c r="E3445" s="1542"/>
    </row>
    <row r="3446" spans="1:5">
      <c r="A3446" s="1541">
        <v>40571</v>
      </c>
      <c r="B3446" s="1542">
        <v>12158.36</v>
      </c>
      <c r="C3446" s="1542">
        <v>168.15</v>
      </c>
      <c r="D3446" s="1542">
        <v>4367.99</v>
      </c>
      <c r="E3446" s="1542">
        <v>2019.03</v>
      </c>
    </row>
    <row r="3447" spans="1:5">
      <c r="A3447" s="1541">
        <v>40570</v>
      </c>
      <c r="B3447" s="1542">
        <v>12101.17</v>
      </c>
      <c r="C3447" s="1542">
        <v>167.8</v>
      </c>
      <c r="D3447" s="1542">
        <v>4431.63</v>
      </c>
      <c r="E3447" s="1542">
        <v>2046.85</v>
      </c>
    </row>
    <row r="3448" spans="1:5">
      <c r="A3448" s="1541">
        <v>40569</v>
      </c>
      <c r="B3448" s="1542">
        <v>12039.03</v>
      </c>
      <c r="C3448" s="1542">
        <v>167.4</v>
      </c>
      <c r="D3448" s="1542">
        <v>4421.99</v>
      </c>
      <c r="E3448" s="1542">
        <v>2047.96</v>
      </c>
    </row>
    <row r="3449" spans="1:5">
      <c r="A3449" s="1541">
        <v>40568</v>
      </c>
      <c r="B3449" s="1542">
        <v>11953.67</v>
      </c>
      <c r="C3449" s="1542">
        <v>166.42</v>
      </c>
      <c r="D3449" s="1542">
        <v>4396.47</v>
      </c>
      <c r="E3449" s="1542">
        <v>2035.99</v>
      </c>
    </row>
    <row r="3450" spans="1:5">
      <c r="A3450" s="1541">
        <v>40567</v>
      </c>
      <c r="B3450" s="1542">
        <v>11895.72</v>
      </c>
      <c r="C3450" s="1542">
        <v>166.85</v>
      </c>
      <c r="D3450" s="1542">
        <v>4400.62</v>
      </c>
      <c r="E3450" s="1542">
        <v>2037.25</v>
      </c>
    </row>
    <row r="3451" spans="1:5">
      <c r="A3451" s="1541">
        <v>40566</v>
      </c>
      <c r="B3451" s="1542"/>
      <c r="C3451" s="1542"/>
      <c r="D3451" s="1542"/>
      <c r="E3451" s="1542"/>
    </row>
    <row r="3452" spans="1:5">
      <c r="A3452" s="1541">
        <v>40565</v>
      </c>
      <c r="B3452" s="1542"/>
      <c r="C3452" s="1542"/>
      <c r="D3452" s="1542"/>
      <c r="E3452" s="1542"/>
    </row>
    <row r="3453" spans="1:5">
      <c r="A3453" s="1541">
        <v>40564</v>
      </c>
      <c r="B3453" s="1542">
        <v>11904.48</v>
      </c>
      <c r="C3453" s="1542">
        <v>168.06</v>
      </c>
      <c r="D3453" s="1542">
        <v>4368.13</v>
      </c>
      <c r="E3453" s="1542">
        <v>2037.03</v>
      </c>
    </row>
    <row r="3454" spans="1:5">
      <c r="A3454" s="1541">
        <v>40563</v>
      </c>
      <c r="B3454" s="1542">
        <v>11994.6</v>
      </c>
      <c r="C3454" s="1542">
        <v>168.19</v>
      </c>
      <c r="D3454" s="1542">
        <v>4343.08</v>
      </c>
      <c r="E3454" s="1542">
        <v>2048.52</v>
      </c>
    </row>
    <row r="3455" spans="1:5">
      <c r="A3455" s="1541">
        <v>40562</v>
      </c>
      <c r="B3455" s="1542">
        <v>12079.49</v>
      </c>
      <c r="C3455" s="1542">
        <v>167.78</v>
      </c>
      <c r="D3455" s="1542">
        <v>4389.08</v>
      </c>
      <c r="E3455" s="1542">
        <v>2080.81</v>
      </c>
    </row>
    <row r="3456" spans="1:5">
      <c r="A3456" s="1541">
        <v>40561</v>
      </c>
      <c r="B3456" s="1542">
        <v>11949.17</v>
      </c>
      <c r="C3456" s="1542">
        <v>166.32</v>
      </c>
      <c r="D3456" s="1542">
        <v>4413.32</v>
      </c>
      <c r="E3456" s="1542">
        <v>2076.87</v>
      </c>
    </row>
    <row r="3457" spans="1:5">
      <c r="A3457" s="1541">
        <v>40560</v>
      </c>
      <c r="B3457" s="1542">
        <v>11865.54</v>
      </c>
      <c r="C3457" s="1542">
        <v>165.89</v>
      </c>
      <c r="D3457" s="1542">
        <v>4383.91</v>
      </c>
      <c r="E3457" s="1542">
        <v>2068.87</v>
      </c>
    </row>
    <row r="3458" spans="1:5">
      <c r="A3458" s="1541">
        <v>40559</v>
      </c>
      <c r="B3458" s="1542"/>
      <c r="C3458" s="1542"/>
      <c r="D3458" s="1542"/>
      <c r="E3458" s="1542"/>
    </row>
    <row r="3459" spans="1:5">
      <c r="A3459" s="1541">
        <v>40558</v>
      </c>
      <c r="B3459" s="1542"/>
      <c r="C3459" s="1542"/>
      <c r="D3459" s="1542"/>
      <c r="E3459" s="1542"/>
    </row>
    <row r="3460" spans="1:5">
      <c r="A3460" s="1541">
        <v>40557</v>
      </c>
      <c r="B3460" s="1542">
        <v>11928.57</v>
      </c>
      <c r="C3460" s="1542">
        <v>166.23</v>
      </c>
      <c r="D3460" s="1542">
        <v>4388.93</v>
      </c>
      <c r="E3460" s="1542">
        <v>2078.0500000000002</v>
      </c>
    </row>
    <row r="3461" spans="1:5">
      <c r="A3461" s="1541">
        <v>40556</v>
      </c>
      <c r="B3461" s="1542">
        <v>11932.66</v>
      </c>
      <c r="C3461" s="1542">
        <v>166.28</v>
      </c>
      <c r="D3461" s="1542">
        <v>4376.6000000000004</v>
      </c>
      <c r="E3461" s="1542">
        <v>2083.41</v>
      </c>
    </row>
    <row r="3462" spans="1:5">
      <c r="A3462" s="1541">
        <v>40555</v>
      </c>
      <c r="B3462" s="1542">
        <v>11918.59</v>
      </c>
      <c r="C3462" s="1542">
        <v>166.66</v>
      </c>
      <c r="D3462" s="1542">
        <v>4353.46</v>
      </c>
      <c r="E3462" s="1542">
        <v>2083.4499999999998</v>
      </c>
    </row>
    <row r="3463" spans="1:5">
      <c r="A3463" s="1541">
        <v>40554</v>
      </c>
      <c r="B3463" s="1542">
        <v>11873.88</v>
      </c>
      <c r="C3463" s="1542">
        <v>165.5</v>
      </c>
      <c r="D3463" s="1542">
        <v>4298.78</v>
      </c>
      <c r="E3463" s="1542">
        <v>2047.76</v>
      </c>
    </row>
    <row r="3464" spans="1:5">
      <c r="A3464" s="1541">
        <v>40553</v>
      </c>
      <c r="B3464" s="1542">
        <v>11723</v>
      </c>
      <c r="C3464" s="1542">
        <v>163.62</v>
      </c>
      <c r="D3464" s="1542">
        <v>4276.54</v>
      </c>
      <c r="E3464" s="1542">
        <v>2035.33</v>
      </c>
    </row>
    <row r="3465" spans="1:5">
      <c r="A3465" s="1541">
        <v>40552</v>
      </c>
      <c r="B3465" s="1542"/>
      <c r="C3465" s="1542"/>
      <c r="D3465" s="1542"/>
      <c r="E3465" s="1542"/>
    </row>
    <row r="3466" spans="1:5">
      <c r="A3466" s="1541">
        <v>40551</v>
      </c>
      <c r="B3466" s="1542"/>
      <c r="C3466" s="1542"/>
      <c r="D3466" s="1542"/>
      <c r="E3466" s="1542"/>
    </row>
    <row r="3467" spans="1:5">
      <c r="A3467" s="1541">
        <v>40550</v>
      </c>
      <c r="B3467" s="1542">
        <v>11676.27</v>
      </c>
      <c r="C3467" s="1542">
        <v>163.41</v>
      </c>
      <c r="D3467" s="1542">
        <v>4295.8599999999997</v>
      </c>
      <c r="E3467" s="1542">
        <v>2054.7800000000002</v>
      </c>
    </row>
    <row r="3468" spans="1:5">
      <c r="A3468" s="1541">
        <v>40549</v>
      </c>
      <c r="B3468" s="1542">
        <v>11809.86</v>
      </c>
      <c r="C3468" s="1542">
        <v>164.4</v>
      </c>
      <c r="D3468" s="1542">
        <v>4303.38</v>
      </c>
      <c r="E3468" s="1542">
        <v>2068.84</v>
      </c>
    </row>
    <row r="3469" spans="1:5">
      <c r="A3469" s="1541">
        <v>40548</v>
      </c>
      <c r="B3469" s="1542">
        <v>11760.8</v>
      </c>
      <c r="C3469" s="1542">
        <v>163.72999999999999</v>
      </c>
      <c r="D3469" s="1542">
        <v>4307.5600000000004</v>
      </c>
      <c r="E3469" s="1542">
        <v>2079.5700000000002</v>
      </c>
    </row>
    <row r="3470" spans="1:5">
      <c r="A3470" s="1541">
        <v>40547</v>
      </c>
      <c r="B3470" s="1542">
        <v>11961.39</v>
      </c>
      <c r="C3470" s="1542">
        <v>165.81</v>
      </c>
      <c r="D3470" s="1542">
        <v>4321.1000000000004</v>
      </c>
      <c r="E3470" s="1542">
        <v>2086.85</v>
      </c>
    </row>
    <row r="3471" spans="1:5">
      <c r="A3471" s="1541">
        <v>40546</v>
      </c>
      <c r="B3471" s="1542">
        <v>11998.76</v>
      </c>
      <c r="C3471" s="1542">
        <v>165.23</v>
      </c>
      <c r="D3471" s="1542">
        <v>4316.5200000000004</v>
      </c>
      <c r="E3471" s="1542">
        <v>2084.04</v>
      </c>
    </row>
    <row r="3472" spans="1:5">
      <c r="A3472" s="1541">
        <v>40545</v>
      </c>
      <c r="B3472" s="1542"/>
      <c r="C3472" s="1542"/>
      <c r="D3472" s="1542"/>
      <c r="E3472" s="1542"/>
    </row>
    <row r="3473" spans="1:5">
      <c r="A3473" s="1541">
        <v>40544</v>
      </c>
      <c r="B3473" s="1542"/>
      <c r="C3473" s="1542"/>
      <c r="D3473" s="1542"/>
      <c r="E3473" s="1542"/>
    </row>
    <row r="3474" spans="1:5">
      <c r="A3474" s="1541">
        <v>40543</v>
      </c>
      <c r="B3474" s="1542">
        <v>11928.56</v>
      </c>
      <c r="C3474" s="1542">
        <v>165.59</v>
      </c>
      <c r="D3474" s="1542">
        <v>4290.05</v>
      </c>
      <c r="E3474" s="1542">
        <v>2062.04</v>
      </c>
    </row>
    <row r="3475" spans="1:5">
      <c r="A3475" s="1541">
        <v>40542</v>
      </c>
      <c r="B3475" s="1542">
        <v>11842.7</v>
      </c>
      <c r="C3475" s="1542">
        <v>164.33</v>
      </c>
      <c r="D3475" s="1542">
        <v>4278.72</v>
      </c>
      <c r="E3475" s="1542">
        <v>2052.02</v>
      </c>
    </row>
    <row r="3476" spans="1:5">
      <c r="A3476" s="1541">
        <v>40541</v>
      </c>
      <c r="B3476" s="1542">
        <v>11787.44</v>
      </c>
      <c r="C3476" s="1542">
        <v>163.92</v>
      </c>
      <c r="D3476" s="1542">
        <v>4286.58</v>
      </c>
      <c r="E3476" s="1542">
        <v>2035.99</v>
      </c>
    </row>
    <row r="3477" spans="1:5">
      <c r="A3477" s="1541">
        <v>40540</v>
      </c>
      <c r="B3477" s="1542">
        <v>11793.31</v>
      </c>
      <c r="C3477" s="1542">
        <v>166.15</v>
      </c>
      <c r="D3477" s="1542">
        <v>4274.1000000000004</v>
      </c>
      <c r="E3477" s="1542">
        <v>2016.25</v>
      </c>
    </row>
    <row r="3478" spans="1:5">
      <c r="A3478" s="1541">
        <v>40539</v>
      </c>
      <c r="B3478" s="1542">
        <v>11821.96</v>
      </c>
      <c r="C3478" s="1542">
        <v>167.5</v>
      </c>
      <c r="D3478" s="1542">
        <v>4264.97</v>
      </c>
      <c r="E3478" s="1542">
        <v>2014.48</v>
      </c>
    </row>
    <row r="3479" spans="1:5">
      <c r="A3479" s="1541">
        <v>40538</v>
      </c>
      <c r="B3479" s="1542"/>
      <c r="C3479" s="1542"/>
      <c r="D3479" s="1542"/>
      <c r="E3479" s="1542"/>
    </row>
    <row r="3480" spans="1:5">
      <c r="A3480" s="1541">
        <v>40537</v>
      </c>
      <c r="B3480" s="1542"/>
      <c r="C3480" s="1542"/>
      <c r="D3480" s="1542"/>
      <c r="E3480" s="1542"/>
    </row>
    <row r="3481" spans="1:5">
      <c r="A3481" s="1541">
        <v>40536</v>
      </c>
      <c r="B3481" s="1542">
        <v>11780.46</v>
      </c>
      <c r="C3481" s="1542">
        <v>168</v>
      </c>
      <c r="D3481" s="1542">
        <v>4269.91</v>
      </c>
      <c r="E3481" s="1542">
        <v>2017.81</v>
      </c>
    </row>
    <row r="3482" spans="1:5">
      <c r="A3482" s="1541">
        <v>40535</v>
      </c>
      <c r="B3482" s="1542">
        <v>11830.68</v>
      </c>
      <c r="C3482" s="1542">
        <v>168.72</v>
      </c>
      <c r="D3482" s="1542">
        <v>4266.76</v>
      </c>
      <c r="E3482" s="1542">
        <v>2019.51</v>
      </c>
    </row>
    <row r="3483" spans="1:5">
      <c r="A3483" s="1541">
        <v>40534</v>
      </c>
      <c r="B3483" s="1542">
        <v>11779.65</v>
      </c>
      <c r="C3483" s="1542">
        <v>167.98</v>
      </c>
      <c r="D3483" s="1542">
        <v>4267.17</v>
      </c>
      <c r="E3483" s="1542">
        <v>2017.03</v>
      </c>
    </row>
    <row r="3484" spans="1:5">
      <c r="A3484" s="1541">
        <v>40533</v>
      </c>
      <c r="B3484" s="1542">
        <v>11736.18</v>
      </c>
      <c r="C3484" s="1542">
        <v>166.46</v>
      </c>
      <c r="D3484" s="1542">
        <v>4258.6499999999996</v>
      </c>
      <c r="E3484" s="1542">
        <v>2012.65</v>
      </c>
    </row>
    <row r="3485" spans="1:5">
      <c r="A3485" s="1541">
        <v>40532</v>
      </c>
      <c r="B3485" s="1542">
        <v>11657.65</v>
      </c>
      <c r="C3485" s="1542">
        <v>165.45</v>
      </c>
      <c r="D3485" s="1542">
        <v>4219.8599999999997</v>
      </c>
      <c r="E3485" s="1542">
        <v>1988.74</v>
      </c>
    </row>
    <row r="3486" spans="1:5">
      <c r="A3486" s="1541">
        <v>40531</v>
      </c>
      <c r="B3486" s="1542"/>
      <c r="C3486" s="1542"/>
      <c r="D3486" s="1542"/>
      <c r="E3486" s="1542"/>
    </row>
    <row r="3487" spans="1:5">
      <c r="A3487" s="1541">
        <v>40530</v>
      </c>
      <c r="B3487" s="1542"/>
      <c r="C3487" s="1542"/>
      <c r="D3487" s="1542"/>
      <c r="E3487" s="1542"/>
    </row>
    <row r="3488" spans="1:5">
      <c r="A3488" s="1541">
        <v>40529</v>
      </c>
      <c r="B3488" s="1542">
        <v>11723.03</v>
      </c>
      <c r="C3488" s="1542">
        <v>166.17</v>
      </c>
      <c r="D3488" s="1542">
        <v>4213.18</v>
      </c>
      <c r="E3488" s="1542">
        <v>1996.47</v>
      </c>
    </row>
    <row r="3489" spans="1:5">
      <c r="A3489" s="1541">
        <v>40528</v>
      </c>
      <c r="B3489" s="1542">
        <v>11675.57</v>
      </c>
      <c r="C3489" s="1542">
        <v>165.54</v>
      </c>
      <c r="D3489" s="1542">
        <v>4220.5200000000004</v>
      </c>
      <c r="E3489" s="1542">
        <v>1989.89</v>
      </c>
    </row>
    <row r="3490" spans="1:5">
      <c r="A3490" s="1541">
        <v>40527</v>
      </c>
      <c r="B3490" s="1542">
        <v>11641.68</v>
      </c>
      <c r="C3490" s="1542">
        <v>165.18</v>
      </c>
      <c r="D3490" s="1542">
        <v>4219.01</v>
      </c>
      <c r="E3490" s="1542">
        <v>2004.99</v>
      </c>
    </row>
    <row r="3491" spans="1:5">
      <c r="A3491" s="1541">
        <v>40526</v>
      </c>
      <c r="B3491" s="1542">
        <v>11620.04</v>
      </c>
      <c r="C3491" s="1542">
        <v>166.37</v>
      </c>
      <c r="D3491" s="1542">
        <v>4245.7700000000004</v>
      </c>
      <c r="E3491" s="1542">
        <v>2020.38</v>
      </c>
    </row>
    <row r="3492" spans="1:5">
      <c r="A3492" s="1541">
        <v>40525</v>
      </c>
      <c r="B3492" s="1542">
        <v>11614.93</v>
      </c>
      <c r="C3492" s="1542">
        <v>166.83</v>
      </c>
      <c r="D3492" s="1542">
        <v>4237.7299999999996</v>
      </c>
      <c r="E3492" s="1542">
        <v>2009.48</v>
      </c>
    </row>
    <row r="3493" spans="1:5">
      <c r="A3493" s="1541">
        <v>40524</v>
      </c>
      <c r="B3493" s="1542"/>
      <c r="C3493" s="1542"/>
      <c r="D3493" s="1542"/>
      <c r="E3493" s="1542"/>
    </row>
    <row r="3494" spans="1:5">
      <c r="A3494" s="1541">
        <v>40523</v>
      </c>
      <c r="B3494" s="1542"/>
      <c r="C3494" s="1542"/>
      <c r="D3494" s="1542"/>
      <c r="E3494" s="1542"/>
    </row>
    <row r="3495" spans="1:5">
      <c r="A3495" s="1541">
        <v>40522</v>
      </c>
      <c r="B3495" s="1542">
        <v>11591.33</v>
      </c>
      <c r="C3495" s="1542">
        <v>165.16</v>
      </c>
      <c r="D3495" s="1542">
        <v>4207.75</v>
      </c>
      <c r="E3495" s="1542">
        <v>1994.99</v>
      </c>
    </row>
    <row r="3496" spans="1:5">
      <c r="A3496" s="1541">
        <v>40521</v>
      </c>
      <c r="B3496" s="1542">
        <v>11637.87</v>
      </c>
      <c r="C3496" s="1542">
        <v>164.81</v>
      </c>
      <c r="D3496" s="1542">
        <v>4189.97</v>
      </c>
      <c r="E3496" s="1542">
        <v>1998.07</v>
      </c>
    </row>
    <row r="3497" spans="1:5">
      <c r="A3497" s="1541">
        <v>40520</v>
      </c>
      <c r="B3497" s="1542">
        <v>11571.33</v>
      </c>
      <c r="C3497" s="1542">
        <v>163.49</v>
      </c>
      <c r="D3497" s="1542">
        <v>4174.1099999999997</v>
      </c>
      <c r="E3497" s="1542">
        <v>1995.69</v>
      </c>
    </row>
    <row r="3498" spans="1:5">
      <c r="A3498" s="1541">
        <v>40519</v>
      </c>
      <c r="B3498" s="1542">
        <v>11572.12</v>
      </c>
      <c r="C3498" s="1542">
        <v>163.58000000000001</v>
      </c>
      <c r="D3498" s="1542">
        <v>4182.84</v>
      </c>
      <c r="E3498" s="1542">
        <v>2022.92</v>
      </c>
    </row>
    <row r="3499" spans="1:5">
      <c r="A3499" s="1541">
        <v>40518</v>
      </c>
      <c r="B3499" s="1542">
        <v>11569.08</v>
      </c>
      <c r="C3499" s="1542">
        <v>162.94</v>
      </c>
      <c r="D3499" s="1542">
        <v>4167.3500000000004</v>
      </c>
      <c r="E3499" s="1542">
        <v>2015.35</v>
      </c>
    </row>
    <row r="3500" spans="1:5">
      <c r="A3500" s="1541">
        <v>40517</v>
      </c>
      <c r="B3500" s="1542"/>
      <c r="C3500" s="1542"/>
      <c r="D3500" s="1542"/>
      <c r="E3500" s="1542"/>
    </row>
    <row r="3501" spans="1:5">
      <c r="A3501" s="1541">
        <v>40516</v>
      </c>
      <c r="B3501" s="1542"/>
      <c r="C3501" s="1542"/>
      <c r="D3501" s="1542"/>
      <c r="E3501" s="1542"/>
    </row>
    <row r="3502" spans="1:5">
      <c r="A3502" s="1541">
        <v>40515</v>
      </c>
      <c r="B3502" s="1542">
        <v>11465.1</v>
      </c>
      <c r="C3502" s="1542">
        <v>162.04</v>
      </c>
      <c r="D3502" s="1542">
        <v>4175.3100000000004</v>
      </c>
      <c r="E3502" s="1542">
        <v>2006.97</v>
      </c>
    </row>
    <row r="3503" spans="1:5">
      <c r="A3503" s="1541">
        <v>40514</v>
      </c>
      <c r="B3503" s="1542">
        <v>11414.25</v>
      </c>
      <c r="C3503" s="1542">
        <v>160.46</v>
      </c>
      <c r="D3503" s="1542">
        <v>4142.47</v>
      </c>
      <c r="E3503" s="1542">
        <v>1992.99</v>
      </c>
    </row>
    <row r="3504" spans="1:5">
      <c r="A3504" s="1541">
        <v>40513</v>
      </c>
      <c r="B3504" s="1542">
        <v>11326.96</v>
      </c>
      <c r="C3504" s="1542">
        <v>159.44</v>
      </c>
      <c r="D3504" s="1542">
        <v>4072.98</v>
      </c>
      <c r="E3504" s="1542">
        <v>1963.4</v>
      </c>
    </row>
    <row r="3505" spans="1:5">
      <c r="A3505" s="1541">
        <v>40512</v>
      </c>
      <c r="B3505" s="1542">
        <v>11130.71</v>
      </c>
      <c r="C3505" s="1542">
        <v>157.38999999999999</v>
      </c>
      <c r="D3505" s="1542">
        <v>3994.99</v>
      </c>
      <c r="E3505" s="1542">
        <v>1924.49</v>
      </c>
    </row>
    <row r="3506" spans="1:5">
      <c r="A3506" s="1541">
        <v>40511</v>
      </c>
      <c r="B3506" s="1542">
        <v>11123.65</v>
      </c>
      <c r="C3506" s="1542">
        <v>156.84</v>
      </c>
      <c r="D3506" s="1542">
        <v>4019.34</v>
      </c>
      <c r="E3506" s="1542">
        <v>1933.11</v>
      </c>
    </row>
    <row r="3507" spans="1:5">
      <c r="A3507" s="1541">
        <v>40510</v>
      </c>
      <c r="B3507" s="1542"/>
      <c r="C3507" s="1542"/>
      <c r="D3507" s="1542"/>
      <c r="E3507" s="1542"/>
    </row>
    <row r="3508" spans="1:5">
      <c r="A3508" s="1541">
        <v>40509</v>
      </c>
      <c r="B3508" s="1542"/>
      <c r="C3508" s="1542"/>
      <c r="D3508" s="1542"/>
      <c r="E3508" s="1542"/>
    </row>
    <row r="3509" spans="1:5">
      <c r="A3509" s="1541">
        <v>40508</v>
      </c>
      <c r="B3509" s="1542">
        <v>11050.5</v>
      </c>
      <c r="C3509" s="1542">
        <v>155.03</v>
      </c>
      <c r="D3509" s="1542">
        <v>4050.5</v>
      </c>
      <c r="E3509" s="1542">
        <v>1933.67</v>
      </c>
    </row>
    <row r="3510" spans="1:5">
      <c r="A3510" s="1541">
        <v>40507</v>
      </c>
      <c r="B3510" s="1542">
        <v>11100.8</v>
      </c>
      <c r="C3510" s="1542">
        <v>155.32</v>
      </c>
      <c r="D3510" s="1542">
        <v>4094.7</v>
      </c>
      <c r="E3510" s="1542">
        <v>1965.84</v>
      </c>
    </row>
    <row r="3511" spans="1:5">
      <c r="A3511" s="1541">
        <v>40506</v>
      </c>
      <c r="B3511" s="1542">
        <v>11030.41</v>
      </c>
      <c r="C3511" s="1542">
        <v>153.94</v>
      </c>
      <c r="D3511" s="1542">
        <v>4088.59</v>
      </c>
      <c r="E3511" s="1542">
        <v>1961.65</v>
      </c>
    </row>
    <row r="3512" spans="1:5">
      <c r="A3512" s="1541">
        <v>40505</v>
      </c>
      <c r="B3512" s="1542">
        <v>11072.4</v>
      </c>
      <c r="C3512" s="1542">
        <v>154.74</v>
      </c>
      <c r="D3512" s="1542">
        <v>4050.76</v>
      </c>
      <c r="E3512" s="1542">
        <v>1949.63</v>
      </c>
    </row>
    <row r="3513" spans="1:5">
      <c r="A3513" s="1541">
        <v>40504</v>
      </c>
      <c r="B3513" s="1542">
        <v>11133.92</v>
      </c>
      <c r="C3513" s="1542">
        <v>154.72999999999999</v>
      </c>
      <c r="D3513" s="1542">
        <v>4120.12</v>
      </c>
      <c r="E3513" s="1542">
        <v>1991.89</v>
      </c>
    </row>
    <row r="3514" spans="1:5">
      <c r="A3514" s="1541">
        <v>40503</v>
      </c>
      <c r="B3514" s="1542"/>
      <c r="C3514" s="1542"/>
      <c r="D3514" s="1542"/>
      <c r="E3514" s="1542"/>
    </row>
    <row r="3515" spans="1:5">
      <c r="A3515" s="1541">
        <v>40502</v>
      </c>
      <c r="B3515" s="1542"/>
      <c r="C3515" s="1542"/>
      <c r="D3515" s="1542"/>
      <c r="E3515" s="1542"/>
    </row>
    <row r="3516" spans="1:5">
      <c r="A3516" s="1541">
        <v>40501</v>
      </c>
      <c r="B3516" s="1542">
        <v>11042.47</v>
      </c>
      <c r="C3516" s="1542">
        <v>154.26</v>
      </c>
      <c r="D3516" s="1542">
        <v>4132.8100000000004</v>
      </c>
      <c r="E3516" s="1542">
        <v>1988.87</v>
      </c>
    </row>
    <row r="3517" spans="1:5">
      <c r="A3517" s="1541">
        <v>40500</v>
      </c>
      <c r="B3517" s="1542">
        <v>11012.32</v>
      </c>
      <c r="C3517" s="1542">
        <v>154.13</v>
      </c>
      <c r="D3517" s="1542">
        <v>4128.63</v>
      </c>
      <c r="E3517" s="1542">
        <v>1987.02</v>
      </c>
    </row>
    <row r="3518" spans="1:5">
      <c r="A3518" s="1541">
        <v>40499</v>
      </c>
      <c r="B3518" s="1542">
        <v>10975.22</v>
      </c>
      <c r="C3518" s="1542">
        <v>154.34</v>
      </c>
      <c r="D3518" s="1542">
        <v>4063.19</v>
      </c>
      <c r="E3518" s="1542">
        <v>1956.14</v>
      </c>
    </row>
    <row r="3519" spans="1:5">
      <c r="A3519" s="1541">
        <v>40498</v>
      </c>
      <c r="B3519" s="1542">
        <v>11050.56</v>
      </c>
      <c r="C3519" s="1542">
        <v>153.97</v>
      </c>
      <c r="D3519" s="1542">
        <v>4055.31</v>
      </c>
      <c r="E3519" s="1542">
        <v>1968.15</v>
      </c>
    </row>
    <row r="3520" spans="1:5">
      <c r="A3520" s="1541">
        <v>40497</v>
      </c>
      <c r="B3520" s="1542">
        <v>10955.42</v>
      </c>
      <c r="C3520" s="1542">
        <v>153.69</v>
      </c>
      <c r="D3520" s="1542">
        <v>4130.95</v>
      </c>
      <c r="E3520" s="1542">
        <v>1993.89</v>
      </c>
    </row>
    <row r="3521" spans="1:5">
      <c r="A3521" s="1541">
        <v>40496</v>
      </c>
      <c r="B3521" s="1542"/>
      <c r="C3521" s="1542"/>
      <c r="D3521" s="1542"/>
      <c r="E3521" s="1542"/>
    </row>
    <row r="3522" spans="1:5">
      <c r="A3522" s="1541">
        <v>40495</v>
      </c>
      <c r="B3522" s="1542"/>
      <c r="C3522" s="1542"/>
      <c r="D3522" s="1542"/>
      <c r="E3522" s="1542"/>
    </row>
    <row r="3523" spans="1:5">
      <c r="A3523" s="1541">
        <v>40494</v>
      </c>
      <c r="B3523" s="1542">
        <v>11055.66</v>
      </c>
      <c r="C3523" s="1542">
        <v>154.44</v>
      </c>
      <c r="D3523" s="1542">
        <v>4134.1000000000004</v>
      </c>
      <c r="E3523" s="1542">
        <v>2004.82</v>
      </c>
    </row>
    <row r="3524" spans="1:5">
      <c r="A3524" s="1541">
        <v>40493</v>
      </c>
      <c r="B3524" s="1542">
        <v>11216.4</v>
      </c>
      <c r="C3524" s="1542">
        <v>155.47</v>
      </c>
      <c r="D3524" s="1542">
        <v>4172.41</v>
      </c>
      <c r="E3524" s="1542">
        <v>2036.29</v>
      </c>
    </row>
    <row r="3525" spans="1:5">
      <c r="A3525" s="1541">
        <v>40492</v>
      </c>
      <c r="B3525" s="1542">
        <v>11234.58</v>
      </c>
      <c r="C3525" s="1542">
        <v>153.59</v>
      </c>
      <c r="D3525" s="1542">
        <v>4179.9399999999996</v>
      </c>
      <c r="E3525" s="1542">
        <v>2052.52</v>
      </c>
    </row>
    <row r="3526" spans="1:5">
      <c r="A3526" s="1541">
        <v>40491</v>
      </c>
      <c r="B3526" s="1542">
        <v>11227.94</v>
      </c>
      <c r="C3526" s="1542">
        <v>153.68</v>
      </c>
      <c r="D3526" s="1542">
        <v>4207.03</v>
      </c>
      <c r="E3526" s="1542">
        <v>2064.4499999999998</v>
      </c>
    </row>
    <row r="3527" spans="1:5">
      <c r="A3527" s="1541">
        <v>40490</v>
      </c>
      <c r="B3527" s="1542">
        <v>11207.93</v>
      </c>
      <c r="C3527" s="1542">
        <v>153.02000000000001</v>
      </c>
      <c r="D3527" s="1542">
        <v>4215.0200000000004</v>
      </c>
      <c r="E3527" s="1542">
        <v>2063.62</v>
      </c>
    </row>
    <row r="3528" spans="1:5">
      <c r="A3528" s="1541">
        <v>40489</v>
      </c>
      <c r="B3528" s="1542"/>
      <c r="C3528" s="1542"/>
      <c r="D3528" s="1542"/>
      <c r="E3528" s="1542"/>
    </row>
    <row r="3529" spans="1:5">
      <c r="A3529" s="1541">
        <v>40488</v>
      </c>
      <c r="B3529" s="1542"/>
      <c r="C3529" s="1542"/>
      <c r="D3529" s="1542"/>
      <c r="E3529" s="1542"/>
    </row>
    <row r="3530" spans="1:5">
      <c r="A3530" s="1541">
        <v>40487</v>
      </c>
      <c r="B3530" s="1542">
        <v>11232.86</v>
      </c>
      <c r="C3530" s="1542">
        <v>155.43</v>
      </c>
      <c r="D3530" s="1542">
        <v>4224.87</v>
      </c>
      <c r="E3530" s="1542">
        <v>2066.73</v>
      </c>
    </row>
    <row r="3531" spans="1:5">
      <c r="A3531" s="1541">
        <v>40486</v>
      </c>
      <c r="B3531" s="1542">
        <v>11111.24</v>
      </c>
      <c r="C3531" s="1542">
        <v>153.84</v>
      </c>
      <c r="D3531" s="1542">
        <v>4220.34</v>
      </c>
      <c r="E3531" s="1542">
        <v>2058.04</v>
      </c>
    </row>
    <row r="3532" spans="1:5">
      <c r="A3532" s="1541">
        <v>40485</v>
      </c>
      <c r="B3532" s="1542">
        <v>11026.22</v>
      </c>
      <c r="C3532" s="1542">
        <v>152.43</v>
      </c>
      <c r="D3532" s="1542">
        <v>4121.21</v>
      </c>
      <c r="E3532" s="1542">
        <v>2024.71</v>
      </c>
    </row>
    <row r="3533" spans="1:5">
      <c r="A3533" s="1541">
        <v>40484</v>
      </c>
      <c r="B3533" s="1542">
        <v>11093.83</v>
      </c>
      <c r="C3533" s="1542">
        <v>156.38</v>
      </c>
      <c r="D3533" s="1542">
        <v>4120.53</v>
      </c>
      <c r="E3533" s="1542">
        <v>2009.64</v>
      </c>
    </row>
    <row r="3534" spans="1:5">
      <c r="A3534" s="1541">
        <v>40483</v>
      </c>
      <c r="B3534" s="1542">
        <v>11140.36</v>
      </c>
      <c r="C3534" s="1542">
        <v>159.15</v>
      </c>
      <c r="D3534" s="1542">
        <v>4084.82</v>
      </c>
      <c r="E3534" s="1542">
        <v>2003.67</v>
      </c>
    </row>
    <row r="3535" spans="1:5">
      <c r="A3535" s="1541">
        <v>40482</v>
      </c>
      <c r="B3535" s="1542"/>
      <c r="C3535" s="1542"/>
      <c r="D3535" s="1542"/>
      <c r="E3535" s="1542"/>
    </row>
    <row r="3536" spans="1:5">
      <c r="A3536" s="1541">
        <v>40481</v>
      </c>
      <c r="B3536" s="1542"/>
      <c r="C3536" s="1542"/>
      <c r="D3536" s="1542"/>
      <c r="E3536" s="1542"/>
    </row>
    <row r="3537" spans="1:5">
      <c r="A3537" s="1541">
        <v>40480</v>
      </c>
      <c r="B3537" s="1542">
        <v>11017.16</v>
      </c>
      <c r="C3537" s="1542">
        <v>160.32</v>
      </c>
      <c r="D3537" s="1542">
        <v>4081.19</v>
      </c>
      <c r="E3537" s="1542">
        <v>1976.58</v>
      </c>
    </row>
    <row r="3538" spans="1:5">
      <c r="A3538" s="1541">
        <v>40479</v>
      </c>
      <c r="B3538" s="1542">
        <v>11106.11</v>
      </c>
      <c r="C3538" s="1542">
        <v>161.22</v>
      </c>
      <c r="D3538" s="1542">
        <v>4078.18</v>
      </c>
      <c r="E3538" s="1542">
        <v>1971.35</v>
      </c>
    </row>
    <row r="3539" spans="1:5">
      <c r="A3539" s="1541">
        <v>40478</v>
      </c>
      <c r="B3539" s="1542">
        <v>11022.34</v>
      </c>
      <c r="C3539" s="1542">
        <v>160.44999999999999</v>
      </c>
      <c r="D3539" s="1542">
        <v>4053.02</v>
      </c>
      <c r="E3539" s="1542">
        <v>1964.27</v>
      </c>
    </row>
    <row r="3540" spans="1:5">
      <c r="A3540" s="1541">
        <v>40477</v>
      </c>
      <c r="B3540" s="1542">
        <v>11091.72</v>
      </c>
      <c r="C3540" s="1542">
        <v>160.97</v>
      </c>
      <c r="D3540" s="1542">
        <v>4085.57</v>
      </c>
      <c r="E3540" s="1542">
        <v>1995.87</v>
      </c>
    </row>
    <row r="3541" spans="1:5">
      <c r="A3541" s="1541">
        <v>40476</v>
      </c>
      <c r="B3541" s="1542">
        <v>11043.53</v>
      </c>
      <c r="C3541" s="1542">
        <v>160.19</v>
      </c>
      <c r="D3541" s="1542">
        <v>4105.1899999999996</v>
      </c>
      <c r="E3541" s="1542">
        <v>1993.53</v>
      </c>
    </row>
    <row r="3542" spans="1:5">
      <c r="A3542" s="1541">
        <v>40475</v>
      </c>
      <c r="B3542" s="1542"/>
      <c r="C3542" s="1542"/>
      <c r="D3542" s="1542"/>
      <c r="E3542" s="1542"/>
    </row>
    <row r="3543" spans="1:5">
      <c r="A3543" s="1541">
        <v>40474</v>
      </c>
      <c r="B3543" s="1542"/>
      <c r="C3543" s="1542"/>
      <c r="D3543" s="1542"/>
      <c r="E3543" s="1542"/>
    </row>
    <row r="3544" spans="1:5">
      <c r="A3544" s="1541">
        <v>40473</v>
      </c>
      <c r="B3544" s="1542">
        <v>10858.85</v>
      </c>
      <c r="C3544" s="1542">
        <v>158.76</v>
      </c>
      <c r="D3544" s="1542">
        <v>4082.67</v>
      </c>
      <c r="E3544" s="1542">
        <v>1975.45</v>
      </c>
    </row>
    <row r="3545" spans="1:5">
      <c r="A3545" s="1541">
        <v>40472</v>
      </c>
      <c r="B3545" s="1542">
        <v>10809.89</v>
      </c>
      <c r="C3545" s="1542">
        <v>157.97</v>
      </c>
      <c r="D3545" s="1542">
        <v>4089.1</v>
      </c>
      <c r="E3545" s="1542">
        <v>1977.3</v>
      </c>
    </row>
    <row r="3546" spans="1:5">
      <c r="A3546" s="1541">
        <v>40471</v>
      </c>
      <c r="B3546" s="1542">
        <v>10801.1</v>
      </c>
      <c r="C3546" s="1542">
        <v>158.52000000000001</v>
      </c>
      <c r="D3546" s="1542">
        <v>4078.74</v>
      </c>
      <c r="E3546" s="1542">
        <v>1968.23</v>
      </c>
    </row>
    <row r="3547" spans="1:5">
      <c r="A3547" s="1541">
        <v>40470</v>
      </c>
      <c r="B3547" s="1542">
        <v>10696.89</v>
      </c>
      <c r="C3547" s="1542">
        <v>155.86000000000001</v>
      </c>
      <c r="D3547" s="1542">
        <v>4034.91</v>
      </c>
      <c r="E3547" s="1542">
        <v>1961.52</v>
      </c>
    </row>
    <row r="3548" spans="1:5">
      <c r="A3548" s="1541">
        <v>40469</v>
      </c>
      <c r="B3548" s="1542">
        <v>10715.9</v>
      </c>
      <c r="C3548" s="1542">
        <v>155.69</v>
      </c>
      <c r="D3548" s="1542">
        <v>4098.3500000000004</v>
      </c>
      <c r="E3548" s="1542">
        <v>1987.91</v>
      </c>
    </row>
    <row r="3549" spans="1:5">
      <c r="A3549" s="1541">
        <v>40468</v>
      </c>
      <c r="B3549" s="1542"/>
      <c r="C3549" s="1542"/>
      <c r="D3549" s="1542"/>
      <c r="E3549" s="1542"/>
    </row>
    <row r="3550" spans="1:5">
      <c r="A3550" s="1541">
        <v>40467</v>
      </c>
      <c r="B3550" s="1542"/>
      <c r="C3550" s="1542"/>
      <c r="D3550" s="1542"/>
      <c r="E3550" s="1542"/>
    </row>
    <row r="3551" spans="1:5">
      <c r="A3551" s="1541">
        <v>40466</v>
      </c>
      <c r="B3551" s="1542">
        <v>10908.25</v>
      </c>
      <c r="C3551" s="1542">
        <v>159.31</v>
      </c>
      <c r="D3551" s="1542">
        <v>4083.52</v>
      </c>
      <c r="E3551" s="1542">
        <v>2004.01</v>
      </c>
    </row>
    <row r="3552" spans="1:5">
      <c r="A3552" s="1541">
        <v>40465</v>
      </c>
      <c r="B3552" s="1542">
        <v>10921.74</v>
      </c>
      <c r="C3552" s="1542">
        <v>161.4</v>
      </c>
      <c r="D3552" s="1542">
        <v>4092.07</v>
      </c>
      <c r="E3552" s="1542">
        <v>2013.71</v>
      </c>
    </row>
    <row r="3553" spans="1:5">
      <c r="A3553" s="1541">
        <v>40464</v>
      </c>
      <c r="B3553" s="1542">
        <v>10777.12</v>
      </c>
      <c r="C3553" s="1542">
        <v>160.38999999999999</v>
      </c>
      <c r="D3553" s="1542">
        <v>4078.65</v>
      </c>
      <c r="E3553" s="1542">
        <v>1996.72</v>
      </c>
    </row>
    <row r="3554" spans="1:5">
      <c r="A3554" s="1541">
        <v>40463</v>
      </c>
      <c r="B3554" s="1542">
        <v>10755.26</v>
      </c>
      <c r="C3554" s="1542">
        <v>159.66999999999999</v>
      </c>
      <c r="D3554" s="1542">
        <v>4030.74</v>
      </c>
      <c r="E3554" s="1542">
        <v>1963.24</v>
      </c>
    </row>
    <row r="3555" spans="1:5">
      <c r="A3555" s="1541">
        <v>40462</v>
      </c>
      <c r="B3555" s="1542">
        <v>10870.3</v>
      </c>
      <c r="C3555" s="1542">
        <v>160.36000000000001</v>
      </c>
      <c r="D3555" s="1542">
        <v>4039.46</v>
      </c>
      <c r="E3555" s="1542">
        <v>1978.77</v>
      </c>
    </row>
    <row r="3556" spans="1:5">
      <c r="A3556" s="1541">
        <v>40461</v>
      </c>
      <c r="B3556" s="1542"/>
      <c r="C3556" s="1542"/>
      <c r="D3556" s="1542"/>
      <c r="E3556" s="1542"/>
    </row>
    <row r="3557" spans="1:5">
      <c r="A3557" s="1541">
        <v>40460</v>
      </c>
      <c r="B3557" s="1542"/>
      <c r="C3557" s="1542"/>
      <c r="D3557" s="1542"/>
      <c r="E3557" s="1542"/>
    </row>
    <row r="3558" spans="1:5">
      <c r="A3558" s="1541">
        <v>40459</v>
      </c>
      <c r="B3558" s="1542">
        <v>10959.95</v>
      </c>
      <c r="C3558" s="1542">
        <v>161.99</v>
      </c>
      <c r="D3558" s="1542">
        <v>4037.12</v>
      </c>
      <c r="E3558" s="1542">
        <v>1966.8</v>
      </c>
    </row>
    <row r="3559" spans="1:5">
      <c r="A3559" s="1541">
        <v>40458</v>
      </c>
      <c r="B3559" s="1542">
        <v>11012.76</v>
      </c>
      <c r="C3559" s="1542">
        <v>163.22999999999999</v>
      </c>
      <c r="D3559" s="1542">
        <v>4025.71</v>
      </c>
      <c r="E3559" s="1542">
        <v>1969.52</v>
      </c>
    </row>
    <row r="3560" spans="1:5">
      <c r="A3560" s="1541">
        <v>40457</v>
      </c>
      <c r="B3560" s="1542">
        <v>11012.88</v>
      </c>
      <c r="C3560" s="1542">
        <v>162.84</v>
      </c>
      <c r="D3560" s="1542">
        <v>4022.24</v>
      </c>
      <c r="E3560" s="1542">
        <v>1976.5</v>
      </c>
    </row>
    <row r="3561" spans="1:5">
      <c r="A3561" s="1541">
        <v>40456</v>
      </c>
      <c r="B3561" s="1542">
        <v>10901.75</v>
      </c>
      <c r="C3561" s="1542">
        <v>162.09</v>
      </c>
      <c r="D3561" s="1542">
        <v>4000.09</v>
      </c>
      <c r="E3561" s="1542">
        <v>1958.8</v>
      </c>
    </row>
    <row r="3562" spans="1:5">
      <c r="A3562" s="1541">
        <v>40455</v>
      </c>
      <c r="B3562" s="1542">
        <v>10962.45</v>
      </c>
      <c r="C3562" s="1542">
        <v>162.81</v>
      </c>
      <c r="D3562" s="1542">
        <v>3921.16</v>
      </c>
      <c r="E3562" s="1542">
        <v>1947.92</v>
      </c>
    </row>
    <row r="3563" spans="1:5">
      <c r="A3563" s="1541">
        <v>40454</v>
      </c>
      <c r="B3563" s="1542"/>
      <c r="C3563" s="1542"/>
      <c r="D3563" s="1542"/>
      <c r="E3563" s="1542"/>
    </row>
    <row r="3564" spans="1:5">
      <c r="A3564" s="1541">
        <v>40453</v>
      </c>
      <c r="B3564" s="1542"/>
      <c r="C3564" s="1542"/>
      <c r="D3564" s="1542"/>
      <c r="E3564" s="1542"/>
    </row>
    <row r="3565" spans="1:5">
      <c r="A3565" s="1541">
        <v>40452</v>
      </c>
      <c r="B3565" s="1542">
        <v>10959.91</v>
      </c>
      <c r="C3565" s="1542">
        <v>165.34</v>
      </c>
      <c r="D3565" s="1542">
        <v>3950.56</v>
      </c>
      <c r="E3565" s="1542">
        <v>1939.53</v>
      </c>
    </row>
    <row r="3566" spans="1:5">
      <c r="A3566" s="1541">
        <v>40451</v>
      </c>
      <c r="B3566" s="1542">
        <v>10951.4</v>
      </c>
      <c r="C3566" s="1542">
        <v>165.06</v>
      </c>
      <c r="D3566" s="1542">
        <v>3933.68</v>
      </c>
      <c r="E3566" s="1542">
        <v>1920.65</v>
      </c>
    </row>
    <row r="3567" spans="1:5">
      <c r="A3567" s="1541">
        <v>40450</v>
      </c>
      <c r="B3567" s="1542">
        <v>10955.28</v>
      </c>
      <c r="C3567" s="1542">
        <v>164.76</v>
      </c>
      <c r="D3567" s="1542">
        <v>3949.48</v>
      </c>
      <c r="E3567" s="1542">
        <v>1911.28</v>
      </c>
    </row>
    <row r="3568" spans="1:5">
      <c r="A3568" s="1541">
        <v>40449</v>
      </c>
      <c r="B3568" s="1542">
        <v>10886.89</v>
      </c>
      <c r="C3568" s="1542">
        <v>163.96</v>
      </c>
      <c r="D3568" s="1542">
        <v>3949.72</v>
      </c>
      <c r="E3568" s="1542">
        <v>1895.05</v>
      </c>
    </row>
    <row r="3569" spans="1:5">
      <c r="A3569" s="1541">
        <v>40448</v>
      </c>
      <c r="B3569" s="1542">
        <v>10889.46</v>
      </c>
      <c r="C3569" s="1542">
        <v>164.03</v>
      </c>
      <c r="D3569" s="1542">
        <v>3934.27</v>
      </c>
      <c r="E3569" s="1542">
        <v>1895.46</v>
      </c>
    </row>
    <row r="3570" spans="1:5">
      <c r="A3570" s="1541">
        <v>40447</v>
      </c>
      <c r="B3570" s="1542"/>
      <c r="C3570" s="1542"/>
      <c r="D3570" s="1542"/>
      <c r="E3570" s="1542"/>
    </row>
    <row r="3571" spans="1:5">
      <c r="A3571" s="1541">
        <v>40446</v>
      </c>
      <c r="B3571" s="1542"/>
      <c r="C3571" s="1542"/>
      <c r="D3571" s="1542"/>
      <c r="E3571" s="1542"/>
    </row>
    <row r="3572" spans="1:5">
      <c r="A3572" s="1541">
        <v>40445</v>
      </c>
      <c r="B3572" s="1542">
        <v>10856.19</v>
      </c>
      <c r="C3572" s="1542">
        <v>165.86</v>
      </c>
      <c r="D3572" s="1542">
        <v>3942.31</v>
      </c>
      <c r="E3572" s="1542">
        <v>1880.56</v>
      </c>
    </row>
    <row r="3573" spans="1:5">
      <c r="A3573" s="1541">
        <v>40444</v>
      </c>
      <c r="B3573" s="1542">
        <v>10903.94</v>
      </c>
      <c r="C3573" s="1542">
        <v>166.22</v>
      </c>
      <c r="D3573" s="1542">
        <v>3876.58</v>
      </c>
      <c r="E3573" s="1542">
        <v>1869.64</v>
      </c>
    </row>
    <row r="3574" spans="1:5">
      <c r="A3574" s="1541">
        <v>40443</v>
      </c>
      <c r="B3574" s="1542"/>
      <c r="C3574" s="1542"/>
      <c r="D3574" s="1542">
        <v>3900.63</v>
      </c>
      <c r="E3574" s="1542">
        <v>1870.93</v>
      </c>
    </row>
    <row r="3575" spans="1:5">
      <c r="A3575" s="1541">
        <v>40442</v>
      </c>
      <c r="B3575" s="1542">
        <v>10895.23</v>
      </c>
      <c r="C3575" s="1542">
        <v>165.17</v>
      </c>
      <c r="D3575" s="1542">
        <v>3896.71</v>
      </c>
      <c r="E3575" s="1542">
        <v>1863.77</v>
      </c>
    </row>
    <row r="3576" spans="1:5">
      <c r="A3576" s="1541">
        <v>40441</v>
      </c>
      <c r="B3576" s="1542">
        <v>10882.68</v>
      </c>
      <c r="C3576" s="1542">
        <v>164.17</v>
      </c>
      <c r="D3576" s="1542">
        <v>3903.56</v>
      </c>
      <c r="E3576" s="1542">
        <v>1864.06</v>
      </c>
    </row>
    <row r="3577" spans="1:5">
      <c r="A3577" s="1541">
        <v>40440</v>
      </c>
      <c r="B3577" s="1542"/>
      <c r="C3577" s="1542"/>
      <c r="D3577" s="1542"/>
      <c r="E3577" s="1542"/>
    </row>
    <row r="3578" spans="1:5">
      <c r="A3578" s="1541">
        <v>40439</v>
      </c>
      <c r="B3578" s="1542"/>
      <c r="C3578" s="1542"/>
      <c r="D3578" s="1542"/>
      <c r="E3578" s="1542"/>
    </row>
    <row r="3579" spans="1:5">
      <c r="A3579" s="1541">
        <v>40438</v>
      </c>
      <c r="B3579" s="1542">
        <v>10844.54</v>
      </c>
      <c r="C3579" s="1542">
        <v>164.04</v>
      </c>
      <c r="D3579" s="1542">
        <v>3851.67</v>
      </c>
      <c r="E3579" s="1542">
        <v>1849.28</v>
      </c>
    </row>
    <row r="3580" spans="1:5">
      <c r="A3580" s="1541">
        <v>40437</v>
      </c>
      <c r="B3580" s="1542">
        <v>10766.63</v>
      </c>
      <c r="C3580" s="1542">
        <v>162.79</v>
      </c>
      <c r="D3580" s="1542">
        <v>3854.91</v>
      </c>
      <c r="E3580" s="1542">
        <v>1840.36</v>
      </c>
    </row>
    <row r="3581" spans="1:5">
      <c r="A3581" s="1541">
        <v>40436</v>
      </c>
      <c r="B3581" s="1542">
        <v>10851.23</v>
      </c>
      <c r="C3581" s="1542">
        <v>164.04</v>
      </c>
      <c r="D3581" s="1542">
        <v>3861.7</v>
      </c>
      <c r="E3581" s="1542">
        <v>1852.87</v>
      </c>
    </row>
    <row r="3582" spans="1:5">
      <c r="A3582" s="1541">
        <v>40435</v>
      </c>
      <c r="B3582" s="1542">
        <v>10808.45</v>
      </c>
      <c r="C3582" s="1542">
        <v>163</v>
      </c>
      <c r="D3582" s="1542">
        <v>3858.1</v>
      </c>
      <c r="E3582" s="1542">
        <v>1848.07</v>
      </c>
    </row>
    <row r="3583" spans="1:5">
      <c r="A3583" s="1541">
        <v>40434</v>
      </c>
      <c r="B3583" s="1542">
        <v>10752.83</v>
      </c>
      <c r="C3583" s="1542">
        <v>161.76</v>
      </c>
      <c r="D3583" s="1542">
        <v>3845.8</v>
      </c>
      <c r="E3583" s="1542">
        <v>1844.6</v>
      </c>
    </row>
    <row r="3584" spans="1:5">
      <c r="A3584" s="1541">
        <v>40433</v>
      </c>
      <c r="B3584" s="1542"/>
      <c r="C3584" s="1542"/>
      <c r="D3584" s="1542"/>
      <c r="E3584" s="1542"/>
    </row>
    <row r="3585" spans="1:5">
      <c r="A3585" s="1541">
        <v>40432</v>
      </c>
      <c r="B3585" s="1542"/>
      <c r="C3585" s="1542"/>
      <c r="D3585" s="1542"/>
      <c r="E3585" s="1542"/>
    </row>
    <row r="3586" spans="1:5">
      <c r="A3586" s="1541">
        <v>40431</v>
      </c>
      <c r="B3586" s="1542">
        <v>10484.469999999999</v>
      </c>
      <c r="C3586" s="1542">
        <v>159.85</v>
      </c>
      <c r="D3586" s="1542">
        <v>3793.41</v>
      </c>
      <c r="E3586" s="1542">
        <v>1807.19</v>
      </c>
    </row>
    <row r="3587" spans="1:5">
      <c r="A3587" s="1541">
        <v>40430</v>
      </c>
      <c r="B3587" s="1542">
        <v>10411.700000000001</v>
      </c>
      <c r="C3587" s="1542">
        <v>159.88</v>
      </c>
      <c r="D3587" s="1542">
        <v>3785.64</v>
      </c>
      <c r="E3587" s="1542">
        <v>1800.24</v>
      </c>
    </row>
    <row r="3588" spans="1:5">
      <c r="A3588" s="1541">
        <v>40429</v>
      </c>
      <c r="B3588" s="1542">
        <v>10432.23</v>
      </c>
      <c r="C3588" s="1542">
        <v>160.87</v>
      </c>
      <c r="D3588" s="1542">
        <v>3758.55</v>
      </c>
      <c r="E3588" s="1542">
        <v>1791.42</v>
      </c>
    </row>
    <row r="3589" spans="1:5">
      <c r="A3589" s="1541">
        <v>40428</v>
      </c>
      <c r="B3589" s="1542">
        <v>10474.89</v>
      </c>
      <c r="C3589" s="1542">
        <v>161.49</v>
      </c>
      <c r="D3589" s="1542">
        <v>3741.26</v>
      </c>
      <c r="E3589" s="1542">
        <v>1793.89</v>
      </c>
    </row>
    <row r="3590" spans="1:5">
      <c r="A3590" s="1541">
        <v>40427</v>
      </c>
      <c r="B3590" s="1542">
        <v>10483.58</v>
      </c>
      <c r="C3590" s="1542">
        <v>162.04</v>
      </c>
      <c r="D3590" s="1542">
        <v>3782.82</v>
      </c>
      <c r="E3590" s="1542">
        <v>1803.58</v>
      </c>
    </row>
    <row r="3591" spans="1:5">
      <c r="A3591" s="1541">
        <v>40426</v>
      </c>
      <c r="B3591" s="1542"/>
      <c r="C3591" s="1542"/>
      <c r="D3591" s="1542"/>
      <c r="E3591" s="1542"/>
    </row>
    <row r="3592" spans="1:5">
      <c r="A3592" s="1541">
        <v>40425</v>
      </c>
      <c r="B3592" s="1542"/>
      <c r="C3592" s="1542"/>
      <c r="D3592" s="1542"/>
      <c r="E3592" s="1542"/>
    </row>
    <row r="3593" spans="1:5">
      <c r="A3593" s="1541">
        <v>40424</v>
      </c>
      <c r="B3593" s="1542">
        <v>10402.700000000001</v>
      </c>
      <c r="C3593" s="1542">
        <v>159.47</v>
      </c>
      <c r="D3593" s="1542">
        <v>3766.65</v>
      </c>
      <c r="E3593" s="1542">
        <v>1789.02</v>
      </c>
    </row>
    <row r="3594" spans="1:5">
      <c r="A3594" s="1541">
        <v>40423</v>
      </c>
      <c r="B3594" s="1542">
        <v>10257.18</v>
      </c>
      <c r="C3594" s="1542">
        <v>155.47999999999999</v>
      </c>
      <c r="D3594" s="1542">
        <v>3725.48</v>
      </c>
      <c r="E3594" s="1542">
        <v>1773.88</v>
      </c>
    </row>
    <row r="3595" spans="1:5">
      <c r="A3595" s="1541">
        <v>40422</v>
      </c>
      <c r="B3595" s="1542">
        <v>10186.9</v>
      </c>
      <c r="C3595" s="1542">
        <v>154.87</v>
      </c>
      <c r="D3595" s="1542">
        <v>3699.88</v>
      </c>
      <c r="E3595" s="1542">
        <v>1763.78</v>
      </c>
    </row>
    <row r="3596" spans="1:5">
      <c r="A3596" s="1541">
        <v>40421</v>
      </c>
      <c r="B3596" s="1542">
        <v>10117.870000000001</v>
      </c>
      <c r="C3596" s="1542">
        <v>152.85</v>
      </c>
      <c r="D3596" s="1542">
        <v>3596.9</v>
      </c>
      <c r="E3596" s="1542">
        <v>1728.34</v>
      </c>
    </row>
    <row r="3597" spans="1:5">
      <c r="A3597" s="1541">
        <v>40420</v>
      </c>
      <c r="B3597" s="1542">
        <v>10283.780000000001</v>
      </c>
      <c r="C3597" s="1542">
        <v>158.16999999999999</v>
      </c>
      <c r="D3597" s="1542">
        <v>3606.49</v>
      </c>
      <c r="E3597" s="1542">
        <v>1732.33</v>
      </c>
    </row>
    <row r="3598" spans="1:5">
      <c r="A3598" s="1541">
        <v>40419</v>
      </c>
      <c r="B3598" s="1542"/>
      <c r="C3598" s="1542"/>
      <c r="D3598" s="1542"/>
      <c r="E3598" s="1542"/>
    </row>
    <row r="3599" spans="1:5">
      <c r="A3599" s="1541">
        <v>40418</v>
      </c>
      <c r="B3599" s="1542"/>
      <c r="C3599" s="1542"/>
      <c r="D3599" s="1542"/>
      <c r="E3599" s="1542"/>
    </row>
    <row r="3600" spans="1:5">
      <c r="A3600" s="1541">
        <v>40417</v>
      </c>
      <c r="B3600" s="1542">
        <v>10259.49</v>
      </c>
      <c r="C3600" s="1542">
        <v>159.5</v>
      </c>
      <c r="D3600" s="1542">
        <v>3624.46</v>
      </c>
      <c r="E3600" s="1542">
        <v>1728.26</v>
      </c>
    </row>
    <row r="3601" spans="1:5">
      <c r="A3601" s="1541">
        <v>40416</v>
      </c>
      <c r="B3601" s="1542">
        <v>10215.219999999999</v>
      </c>
      <c r="C3601" s="1542">
        <v>159.16999999999999</v>
      </c>
      <c r="D3601" s="1542">
        <v>3584.21</v>
      </c>
      <c r="E3601" s="1542">
        <v>1721.13</v>
      </c>
    </row>
    <row r="3602" spans="1:5">
      <c r="A3602" s="1541">
        <v>40415</v>
      </c>
      <c r="B3602" s="1542">
        <v>10276.99</v>
      </c>
      <c r="C3602" s="1542">
        <v>161.52000000000001</v>
      </c>
      <c r="D3602" s="1542">
        <v>3572.46</v>
      </c>
      <c r="E3602" s="1542">
        <v>1715.02</v>
      </c>
    </row>
    <row r="3603" spans="1:5">
      <c r="A3603" s="1541">
        <v>40414</v>
      </c>
      <c r="B3603" s="1542">
        <v>10534.41</v>
      </c>
      <c r="C3603" s="1542">
        <v>165.26</v>
      </c>
      <c r="D3603" s="1542">
        <v>3589.47</v>
      </c>
      <c r="E3603" s="1542">
        <v>1734.17</v>
      </c>
    </row>
    <row r="3604" spans="1:5">
      <c r="A3604" s="1541">
        <v>40413</v>
      </c>
      <c r="B3604" s="1542">
        <v>10576.78</v>
      </c>
      <c r="C3604" s="1542">
        <v>165.31</v>
      </c>
      <c r="D3604" s="1542">
        <v>3636.43</v>
      </c>
      <c r="E3604" s="1542">
        <v>1756.62</v>
      </c>
    </row>
    <row r="3605" spans="1:5">
      <c r="A3605" s="1541">
        <v>40412</v>
      </c>
      <c r="B3605" s="1542"/>
      <c r="C3605" s="1542"/>
      <c r="D3605" s="1542"/>
      <c r="E3605" s="1542"/>
    </row>
    <row r="3606" spans="1:5">
      <c r="A3606" s="1541">
        <v>40411</v>
      </c>
      <c r="B3606" s="1542"/>
      <c r="C3606" s="1542"/>
      <c r="D3606" s="1542"/>
      <c r="E3606" s="1542"/>
    </row>
    <row r="3607" spans="1:5">
      <c r="A3607" s="1541">
        <v>40410</v>
      </c>
      <c r="B3607" s="1542">
        <v>10511.27</v>
      </c>
      <c r="C3607" s="1542">
        <v>165.11</v>
      </c>
      <c r="D3607" s="1542">
        <v>3638.01</v>
      </c>
      <c r="E3607" s="1542">
        <v>1759.71</v>
      </c>
    </row>
    <row r="3608" spans="1:5">
      <c r="A3608" s="1541">
        <v>40409</v>
      </c>
      <c r="B3608" s="1542">
        <v>10512.38</v>
      </c>
      <c r="C3608" s="1542">
        <v>165.63</v>
      </c>
      <c r="D3608" s="1542">
        <v>3681.64</v>
      </c>
      <c r="E3608" s="1542">
        <v>1770.54</v>
      </c>
    </row>
    <row r="3609" spans="1:5">
      <c r="A3609" s="1541">
        <v>40408</v>
      </c>
      <c r="B3609" s="1542">
        <v>10503.26</v>
      </c>
      <c r="C3609" s="1542">
        <v>165.57</v>
      </c>
      <c r="D3609" s="1542">
        <v>3723.97</v>
      </c>
      <c r="E3609" s="1542">
        <v>1770.15</v>
      </c>
    </row>
    <row r="3610" spans="1:5">
      <c r="A3610" s="1541">
        <v>40407</v>
      </c>
      <c r="B3610" s="1542">
        <v>10512.11</v>
      </c>
      <c r="C3610" s="1542">
        <v>164.93</v>
      </c>
      <c r="D3610" s="1542">
        <v>3720.51</v>
      </c>
      <c r="E3610" s="1542">
        <v>1769.58</v>
      </c>
    </row>
    <row r="3611" spans="1:5">
      <c r="A3611" s="1541">
        <v>40406</v>
      </c>
      <c r="B3611" s="1542">
        <v>10525.19</v>
      </c>
      <c r="C3611" s="1542">
        <v>164.22</v>
      </c>
      <c r="D3611" s="1542">
        <v>3677.79</v>
      </c>
      <c r="E3611" s="1542">
        <v>1754.24</v>
      </c>
    </row>
    <row r="3612" spans="1:5">
      <c r="A3612" s="1541">
        <v>40405</v>
      </c>
      <c r="B3612" s="1542"/>
      <c r="C3612" s="1542"/>
      <c r="D3612" s="1542"/>
      <c r="E3612" s="1542"/>
    </row>
    <row r="3613" spans="1:5">
      <c r="A3613" s="1541">
        <v>40404</v>
      </c>
      <c r="B3613" s="1542"/>
      <c r="C3613" s="1542"/>
      <c r="D3613" s="1542"/>
      <c r="E3613" s="1542"/>
    </row>
    <row r="3614" spans="1:5">
      <c r="A3614" s="1541">
        <v>40403</v>
      </c>
      <c r="B3614" s="1542">
        <v>10459.25</v>
      </c>
      <c r="C3614" s="1542">
        <v>162.91</v>
      </c>
      <c r="D3614" s="1542">
        <v>3668.44</v>
      </c>
      <c r="E3614" s="1542">
        <v>1745.54</v>
      </c>
    </row>
    <row r="3615" spans="1:5">
      <c r="A3615" s="1541">
        <v>40402</v>
      </c>
      <c r="B3615" s="1542">
        <v>10371.68</v>
      </c>
      <c r="C3615" s="1542">
        <v>159.69999999999999</v>
      </c>
      <c r="D3615" s="1542">
        <v>3676.63</v>
      </c>
      <c r="E3615" s="1542">
        <v>1737.75</v>
      </c>
    </row>
    <row r="3616" spans="1:5">
      <c r="A3616" s="1541">
        <v>40401</v>
      </c>
      <c r="B3616" s="1542">
        <v>10425.290000000001</v>
      </c>
      <c r="C3616" s="1542">
        <v>159.33000000000001</v>
      </c>
      <c r="D3616" s="1542">
        <v>3698.88</v>
      </c>
      <c r="E3616" s="1542">
        <v>1747.9</v>
      </c>
    </row>
    <row r="3617" spans="1:5">
      <c r="A3617" s="1541">
        <v>40400</v>
      </c>
      <c r="B3617" s="1542">
        <v>10511.27</v>
      </c>
      <c r="C3617" s="1542">
        <v>159.96</v>
      </c>
      <c r="D3617" s="1542">
        <v>3805.53</v>
      </c>
      <c r="E3617" s="1542">
        <v>1781.82</v>
      </c>
    </row>
    <row r="3618" spans="1:5">
      <c r="A3618" s="1541">
        <v>40399</v>
      </c>
      <c r="B3618" s="1542">
        <v>10579.15</v>
      </c>
      <c r="C3618" s="1542">
        <v>160.79</v>
      </c>
      <c r="D3618" s="1542">
        <v>3847.94</v>
      </c>
      <c r="E3618" s="1542">
        <v>1806.94</v>
      </c>
    </row>
    <row r="3619" spans="1:5">
      <c r="A3619" s="1541">
        <v>40398</v>
      </c>
      <c r="B3619" s="1542"/>
      <c r="C3619" s="1542"/>
      <c r="D3619" s="1542"/>
      <c r="E3619" s="1542"/>
    </row>
    <row r="3620" spans="1:5">
      <c r="A3620" s="1541">
        <v>40397</v>
      </c>
      <c r="B3620" s="1542"/>
      <c r="C3620" s="1542"/>
      <c r="D3620" s="1542"/>
      <c r="E3620" s="1542"/>
    </row>
    <row r="3621" spans="1:5">
      <c r="A3621" s="1541">
        <v>40396</v>
      </c>
      <c r="B3621" s="1542">
        <v>10484.02</v>
      </c>
      <c r="C3621" s="1542">
        <v>160.13</v>
      </c>
      <c r="D3621" s="1542">
        <v>3828.17</v>
      </c>
      <c r="E3621" s="1542">
        <v>1797.93</v>
      </c>
    </row>
    <row r="3622" spans="1:5">
      <c r="A3622" s="1541">
        <v>40395</v>
      </c>
      <c r="B3622" s="1542">
        <v>10447.09</v>
      </c>
      <c r="C3622" s="1542">
        <v>159.37</v>
      </c>
      <c r="D3622" s="1542">
        <v>3830.42</v>
      </c>
      <c r="E3622" s="1542">
        <v>1798.97</v>
      </c>
    </row>
    <row r="3623" spans="1:5">
      <c r="A3623" s="1541">
        <v>40394</v>
      </c>
      <c r="B3623" s="1542">
        <v>10491.17</v>
      </c>
      <c r="C3623" s="1542">
        <v>161.27000000000001</v>
      </c>
      <c r="D3623" s="1542">
        <v>3828.61</v>
      </c>
      <c r="E3623" s="1542">
        <v>1798.53</v>
      </c>
    </row>
    <row r="3624" spans="1:5">
      <c r="A3624" s="1541">
        <v>40393</v>
      </c>
      <c r="B3624" s="1542">
        <v>10466.030000000001</v>
      </c>
      <c r="C3624" s="1542">
        <v>160.97</v>
      </c>
      <c r="D3624" s="1542">
        <v>3828.66</v>
      </c>
      <c r="E3624" s="1542">
        <v>1795.19</v>
      </c>
    </row>
    <row r="3625" spans="1:5">
      <c r="A3625" s="1541">
        <v>40392</v>
      </c>
      <c r="B3625" s="1542">
        <v>10403.74</v>
      </c>
      <c r="C3625" s="1542">
        <v>160.57</v>
      </c>
      <c r="D3625" s="1542">
        <v>3825.88</v>
      </c>
      <c r="E3625" s="1542">
        <v>1800.61</v>
      </c>
    </row>
    <row r="3626" spans="1:5">
      <c r="A3626" s="1541">
        <v>40391</v>
      </c>
      <c r="B3626" s="1542"/>
      <c r="C3626" s="1542"/>
      <c r="D3626" s="1542"/>
      <c r="E3626" s="1542"/>
    </row>
    <row r="3627" spans="1:5">
      <c r="A3627" s="1541">
        <v>40390</v>
      </c>
      <c r="B3627" s="1542"/>
      <c r="C3627" s="1542"/>
      <c r="D3627" s="1542"/>
      <c r="E3627" s="1542"/>
    </row>
    <row r="3628" spans="1:5">
      <c r="A3628" s="1541">
        <v>40389</v>
      </c>
      <c r="B3628" s="1542">
        <v>10204.08</v>
      </c>
      <c r="C3628" s="1542">
        <v>158.56</v>
      </c>
      <c r="D3628" s="1542">
        <v>3734.82</v>
      </c>
      <c r="E3628" s="1542">
        <v>1761.97</v>
      </c>
    </row>
    <row r="3629" spans="1:5">
      <c r="A3629" s="1541">
        <v>40388</v>
      </c>
      <c r="B3629" s="1542">
        <v>10253.48</v>
      </c>
      <c r="C3629" s="1542">
        <v>158.69</v>
      </c>
      <c r="D3629" s="1542">
        <v>3746.11</v>
      </c>
      <c r="E3629" s="1542">
        <v>1766.25</v>
      </c>
    </row>
    <row r="3630" spans="1:5">
      <c r="A3630" s="1541">
        <v>40387</v>
      </c>
      <c r="B3630" s="1542">
        <v>10225.4</v>
      </c>
      <c r="C3630" s="1542">
        <v>159.35</v>
      </c>
      <c r="D3630" s="1542">
        <v>3749.16</v>
      </c>
      <c r="E3630" s="1542">
        <v>1761.47</v>
      </c>
    </row>
    <row r="3631" spans="1:5">
      <c r="A3631" s="1541">
        <v>40386</v>
      </c>
      <c r="B3631" s="1542">
        <v>10145.86</v>
      </c>
      <c r="C3631" s="1542">
        <v>158.11000000000001</v>
      </c>
      <c r="D3631" s="1542">
        <v>3753.92</v>
      </c>
      <c r="E3631" s="1542">
        <v>1760.17</v>
      </c>
    </row>
    <row r="3632" spans="1:5">
      <c r="A3632" s="1541">
        <v>40385</v>
      </c>
      <c r="B3632" s="1542">
        <v>10194.85</v>
      </c>
      <c r="C3632" s="1542">
        <v>158.38999999999999</v>
      </c>
      <c r="D3632" s="1542">
        <v>3750.02</v>
      </c>
      <c r="E3632" s="1542">
        <v>1750.26</v>
      </c>
    </row>
    <row r="3633" spans="1:5">
      <c r="A3633" s="1541">
        <v>40384</v>
      </c>
      <c r="B3633" s="1542"/>
      <c r="C3633" s="1542"/>
      <c r="D3633" s="1542"/>
      <c r="E3633" s="1542"/>
    </row>
    <row r="3634" spans="1:5">
      <c r="A3634" s="1541">
        <v>40383</v>
      </c>
      <c r="B3634" s="1542"/>
      <c r="C3634" s="1542"/>
      <c r="D3634" s="1542"/>
      <c r="E3634" s="1542"/>
    </row>
    <row r="3635" spans="1:5">
      <c r="A3635" s="1541">
        <v>40382</v>
      </c>
      <c r="B3635" s="1542">
        <v>10149.24</v>
      </c>
      <c r="C3635" s="1542">
        <v>158.82</v>
      </c>
      <c r="D3635" s="1542">
        <v>3709.2</v>
      </c>
      <c r="E3635" s="1542">
        <v>1742.84</v>
      </c>
    </row>
    <row r="3636" spans="1:5">
      <c r="A3636" s="1541">
        <v>40381</v>
      </c>
      <c r="B3636" s="1542">
        <v>10022.969999999999</v>
      </c>
      <c r="C3636" s="1542">
        <v>157.47</v>
      </c>
      <c r="D3636" s="1542">
        <v>3684.79</v>
      </c>
      <c r="E3636" s="1542">
        <v>1728.54</v>
      </c>
    </row>
    <row r="3637" spans="1:5">
      <c r="A3637" s="1541">
        <v>40380</v>
      </c>
      <c r="B3637" s="1542">
        <v>10056.14</v>
      </c>
      <c r="C3637" s="1542">
        <v>157.09</v>
      </c>
      <c r="D3637" s="1542">
        <v>3612.52</v>
      </c>
      <c r="E3637" s="1542">
        <v>1712.76</v>
      </c>
    </row>
    <row r="3638" spans="1:5">
      <c r="A3638" s="1541">
        <v>40379</v>
      </c>
      <c r="B3638" s="1542">
        <v>10068.56</v>
      </c>
      <c r="C3638" s="1542">
        <v>156.31</v>
      </c>
      <c r="D3638" s="1542">
        <v>3629.2</v>
      </c>
      <c r="E3638" s="1542">
        <v>1693.23</v>
      </c>
    </row>
    <row r="3639" spans="1:5">
      <c r="A3639" s="1541">
        <v>40378</v>
      </c>
      <c r="B3639" s="1542">
        <v>9985.49</v>
      </c>
      <c r="C3639" s="1542">
        <v>155.07</v>
      </c>
      <c r="D3639" s="1542">
        <v>3615.23</v>
      </c>
      <c r="E3639" s="1542">
        <v>1677.63</v>
      </c>
    </row>
    <row r="3640" spans="1:5">
      <c r="A3640" s="1541">
        <v>40377</v>
      </c>
      <c r="B3640" s="1542"/>
      <c r="C3640" s="1542"/>
      <c r="D3640" s="1542"/>
      <c r="E3640" s="1542"/>
    </row>
    <row r="3641" spans="1:5">
      <c r="A3641" s="1541">
        <v>40376</v>
      </c>
      <c r="B3641" s="1542"/>
      <c r="C3641" s="1542"/>
      <c r="D3641" s="1542"/>
      <c r="E3641" s="1542"/>
    </row>
    <row r="3642" spans="1:5">
      <c r="A3642" s="1541">
        <v>40375</v>
      </c>
      <c r="B3642" s="1542">
        <v>9994.6299999999992</v>
      </c>
      <c r="C3642" s="1542">
        <v>156.02000000000001</v>
      </c>
      <c r="D3642" s="1542">
        <v>3617.12</v>
      </c>
      <c r="E3642" s="1542">
        <v>1684.29</v>
      </c>
    </row>
    <row r="3643" spans="1:5">
      <c r="A3643" s="1541">
        <v>40374</v>
      </c>
      <c r="B3643" s="1542">
        <v>10044.24</v>
      </c>
      <c r="C3643" s="1542">
        <v>157.13</v>
      </c>
      <c r="D3643" s="1542">
        <v>3694.14</v>
      </c>
      <c r="E3643" s="1542">
        <v>1698.83</v>
      </c>
    </row>
    <row r="3644" spans="1:5">
      <c r="A3644" s="1541">
        <v>40373</v>
      </c>
      <c r="B3644" s="1542">
        <v>10040</v>
      </c>
      <c r="C3644" s="1542">
        <v>156.47</v>
      </c>
      <c r="D3644" s="1542">
        <v>3693.99</v>
      </c>
      <c r="E3644" s="1542">
        <v>1705.94</v>
      </c>
    </row>
    <row r="3645" spans="1:5">
      <c r="A3645" s="1541">
        <v>40372</v>
      </c>
      <c r="B3645" s="1542">
        <v>9872.73</v>
      </c>
      <c r="C3645" s="1542">
        <v>154.84</v>
      </c>
      <c r="D3645" s="1542">
        <v>3680.45</v>
      </c>
      <c r="E3645" s="1542">
        <v>1698.01</v>
      </c>
    </row>
    <row r="3646" spans="1:5">
      <c r="A3646" s="1541">
        <v>40371</v>
      </c>
      <c r="B3646" s="1542">
        <v>9914.49</v>
      </c>
      <c r="C3646" s="1542">
        <v>155.43</v>
      </c>
      <c r="D3646" s="1542">
        <v>3622.07</v>
      </c>
      <c r="E3646" s="1542">
        <v>1689.46</v>
      </c>
    </row>
    <row r="3647" spans="1:5">
      <c r="A3647" s="1541">
        <v>40370</v>
      </c>
      <c r="B3647" s="1542"/>
      <c r="C3647" s="1542"/>
      <c r="D3647" s="1542"/>
      <c r="E3647" s="1542"/>
    </row>
    <row r="3648" spans="1:5">
      <c r="A3648" s="1541">
        <v>40369</v>
      </c>
      <c r="B3648" s="1542"/>
      <c r="C3648" s="1542"/>
      <c r="D3648" s="1542"/>
      <c r="E3648" s="1542"/>
    </row>
    <row r="3649" spans="1:5">
      <c r="A3649" s="1541">
        <v>40368</v>
      </c>
      <c r="B3649" s="1542">
        <v>9918.32</v>
      </c>
      <c r="C3649" s="1542">
        <v>154.86000000000001</v>
      </c>
      <c r="D3649" s="1542">
        <v>3622.16</v>
      </c>
      <c r="E3649" s="1542">
        <v>1688.1</v>
      </c>
    </row>
    <row r="3650" spans="1:5">
      <c r="A3650" s="1541">
        <v>40367</v>
      </c>
      <c r="B3650" s="1542">
        <v>9867.2000000000007</v>
      </c>
      <c r="C3650" s="1542">
        <v>153.97</v>
      </c>
      <c r="D3650" s="1542">
        <v>3600.05</v>
      </c>
      <c r="E3650" s="1542">
        <v>1668.3</v>
      </c>
    </row>
    <row r="3651" spans="1:5">
      <c r="A3651" s="1541">
        <v>40366</v>
      </c>
      <c r="B3651" s="1542">
        <v>9746.8799999999992</v>
      </c>
      <c r="C3651" s="1542">
        <v>152.37</v>
      </c>
      <c r="D3651" s="1542">
        <v>3556.36</v>
      </c>
      <c r="E3651" s="1542">
        <v>1648.88</v>
      </c>
    </row>
    <row r="3652" spans="1:5">
      <c r="A3652" s="1541">
        <v>40365</v>
      </c>
      <c r="B3652" s="1542">
        <v>9745.07</v>
      </c>
      <c r="C3652" s="1542">
        <v>152.38999999999999</v>
      </c>
      <c r="D3652" s="1542">
        <v>3488.66</v>
      </c>
      <c r="E3652" s="1542">
        <v>1649.23</v>
      </c>
    </row>
    <row r="3653" spans="1:5">
      <c r="A3653" s="1541">
        <v>40364</v>
      </c>
      <c r="B3653" s="1542">
        <v>9562.2800000000007</v>
      </c>
      <c r="C3653" s="1542">
        <v>149.96</v>
      </c>
      <c r="D3653" s="1542">
        <v>3429.42</v>
      </c>
      <c r="E3653" s="1542">
        <v>1617.21</v>
      </c>
    </row>
    <row r="3654" spans="1:5">
      <c r="A3654" s="1541">
        <v>40363</v>
      </c>
      <c r="B3654" s="1542"/>
      <c r="C3654" s="1542"/>
      <c r="D3654" s="1542"/>
      <c r="E3654" s="1542"/>
    </row>
    <row r="3655" spans="1:5">
      <c r="A3655" s="1541">
        <v>40362</v>
      </c>
      <c r="B3655" s="1542"/>
      <c r="C3655" s="1542"/>
      <c r="D3655" s="1542"/>
      <c r="E3655" s="1542"/>
    </row>
    <row r="3656" spans="1:5">
      <c r="A3656" s="1541">
        <v>40361</v>
      </c>
      <c r="B3656" s="1542">
        <v>9412.01</v>
      </c>
      <c r="C3656" s="1542">
        <v>147.69</v>
      </c>
      <c r="D3656" s="1542">
        <v>3438.91</v>
      </c>
      <c r="E3656" s="1542">
        <v>1617.76</v>
      </c>
    </row>
    <row r="3657" spans="1:5">
      <c r="A3657" s="1541">
        <v>40360</v>
      </c>
      <c r="B3657" s="1542">
        <v>9312.52</v>
      </c>
      <c r="C3657" s="1542">
        <v>146.80000000000001</v>
      </c>
      <c r="D3657" s="1542">
        <v>3436.81</v>
      </c>
      <c r="E3657" s="1542">
        <v>1610.19</v>
      </c>
    </row>
    <row r="3658" spans="1:5">
      <c r="A3658" s="1541">
        <v>40359</v>
      </c>
      <c r="B3658" s="1542">
        <v>9407.98</v>
      </c>
      <c r="C3658" s="1542">
        <v>147.35</v>
      </c>
      <c r="D3658" s="1542">
        <v>3453.89</v>
      </c>
      <c r="E3658" s="1542">
        <v>1625.46</v>
      </c>
    </row>
    <row r="3659" spans="1:5">
      <c r="A3659" s="1541">
        <v>40358</v>
      </c>
      <c r="B3659" s="1542">
        <v>9528.6</v>
      </c>
      <c r="C3659" s="1542">
        <v>148.80000000000001</v>
      </c>
      <c r="D3659" s="1542">
        <v>3476.01</v>
      </c>
      <c r="E3659" s="1542">
        <v>1636.75</v>
      </c>
    </row>
    <row r="3660" spans="1:5">
      <c r="A3660" s="1541">
        <v>40357</v>
      </c>
      <c r="B3660" s="1542">
        <v>9625.8799999999992</v>
      </c>
      <c r="C3660" s="1542">
        <v>150.47999999999999</v>
      </c>
      <c r="D3660" s="1542">
        <v>3590.36</v>
      </c>
      <c r="E3660" s="1542">
        <v>1684.23</v>
      </c>
    </row>
    <row r="3661" spans="1:5">
      <c r="A3661" s="1541">
        <v>40356</v>
      </c>
      <c r="B3661" s="1542"/>
      <c r="C3661" s="1542"/>
      <c r="D3661" s="1542"/>
      <c r="E3661" s="1542"/>
    </row>
    <row r="3662" spans="1:5">
      <c r="A3662" s="1541">
        <v>40355</v>
      </c>
      <c r="B3662" s="1542"/>
      <c r="C3662" s="1542"/>
      <c r="D3662" s="1542"/>
      <c r="E3662" s="1542"/>
    </row>
    <row r="3663" spans="1:5">
      <c r="A3663" s="1541">
        <v>40354</v>
      </c>
      <c r="B3663" s="1542">
        <v>9592.15</v>
      </c>
      <c r="C3663" s="1542">
        <v>151.01</v>
      </c>
      <c r="D3663" s="1542">
        <v>3579.58</v>
      </c>
      <c r="E3663" s="1542">
        <v>1676.61</v>
      </c>
    </row>
    <row r="3664" spans="1:5">
      <c r="A3664" s="1541">
        <v>40353</v>
      </c>
      <c r="B3664" s="1542">
        <v>9739.19</v>
      </c>
      <c r="C3664" s="1542">
        <v>153.01</v>
      </c>
      <c r="D3664" s="1542">
        <v>3589.04</v>
      </c>
      <c r="E3664" s="1542">
        <v>1684.67</v>
      </c>
    </row>
    <row r="3665" spans="1:5">
      <c r="A3665" s="1541">
        <v>40352</v>
      </c>
      <c r="B3665" s="1542">
        <v>9728.6200000000008</v>
      </c>
      <c r="C3665" s="1542">
        <v>152.47999999999999</v>
      </c>
      <c r="D3665" s="1542">
        <v>3633.41</v>
      </c>
      <c r="E3665" s="1542">
        <v>1698.8</v>
      </c>
    </row>
    <row r="3666" spans="1:5">
      <c r="A3666" s="1541">
        <v>40351</v>
      </c>
      <c r="B3666" s="1542">
        <v>9767.7800000000007</v>
      </c>
      <c r="C3666" s="1542">
        <v>152.86000000000001</v>
      </c>
      <c r="D3666" s="1542">
        <v>3664.29</v>
      </c>
      <c r="E3666" s="1542">
        <v>1711.65</v>
      </c>
    </row>
    <row r="3667" spans="1:5">
      <c r="A3667" s="1541">
        <v>40350</v>
      </c>
      <c r="B3667" s="1542">
        <v>9797.15</v>
      </c>
      <c r="C3667" s="1542">
        <v>152.30000000000001</v>
      </c>
      <c r="D3667" s="1542">
        <v>3714.9</v>
      </c>
      <c r="E3667" s="1542">
        <v>1731.02</v>
      </c>
    </row>
    <row r="3668" spans="1:5">
      <c r="A3668" s="1541">
        <v>40349</v>
      </c>
      <c r="B3668" s="1542"/>
      <c r="C3668" s="1542"/>
      <c r="D3668" s="1542"/>
      <c r="E3668" s="1542"/>
    </row>
    <row r="3669" spans="1:5">
      <c r="A3669" s="1541">
        <v>40348</v>
      </c>
      <c r="B3669" s="1542"/>
      <c r="C3669" s="1542"/>
      <c r="D3669" s="1542"/>
      <c r="E3669" s="1542"/>
    </row>
    <row r="3670" spans="1:5">
      <c r="A3670" s="1541">
        <v>40347</v>
      </c>
      <c r="B3670" s="1542">
        <v>9614.06</v>
      </c>
      <c r="C3670" s="1542">
        <v>150.44</v>
      </c>
      <c r="D3670" s="1542">
        <v>3697.33</v>
      </c>
      <c r="E3670" s="1542">
        <v>1686.59</v>
      </c>
    </row>
    <row r="3671" spans="1:5">
      <c r="A3671" s="1541">
        <v>40346</v>
      </c>
      <c r="B3671" s="1542">
        <v>9643.02</v>
      </c>
      <c r="C3671" s="1542">
        <v>150.49</v>
      </c>
      <c r="D3671" s="1542">
        <v>3689.2</v>
      </c>
      <c r="E3671" s="1542">
        <v>1675.49</v>
      </c>
    </row>
    <row r="3672" spans="1:5">
      <c r="A3672" s="1541">
        <v>40345</v>
      </c>
      <c r="B3672" s="1542"/>
      <c r="C3672" s="1542"/>
      <c r="D3672" s="1542">
        <v>3683.46</v>
      </c>
      <c r="E3672" s="1542">
        <v>1668.49</v>
      </c>
    </row>
    <row r="3673" spans="1:5">
      <c r="A3673" s="1541">
        <v>40344</v>
      </c>
      <c r="B3673" s="1542">
        <v>9563.84</v>
      </c>
      <c r="C3673" s="1542">
        <v>149.19</v>
      </c>
      <c r="D3673" s="1542">
        <v>3674.1</v>
      </c>
      <c r="E3673" s="1542">
        <v>1658.44</v>
      </c>
    </row>
    <row r="3674" spans="1:5">
      <c r="A3674" s="1541">
        <v>40343</v>
      </c>
      <c r="B3674" s="1542">
        <v>9478.2900000000009</v>
      </c>
      <c r="C3674" s="1542">
        <v>148.37</v>
      </c>
      <c r="D3674" s="1542">
        <v>3617.22</v>
      </c>
      <c r="E3674" s="1542">
        <v>1645.01</v>
      </c>
    </row>
    <row r="3675" spans="1:5">
      <c r="A3675" s="1541">
        <v>40342</v>
      </c>
      <c r="B3675" s="1542"/>
      <c r="C3675" s="1542"/>
      <c r="D3675" s="1542"/>
      <c r="E3675" s="1542"/>
    </row>
    <row r="3676" spans="1:5">
      <c r="A3676" s="1541">
        <v>40341</v>
      </c>
      <c r="B3676" s="1542"/>
      <c r="C3676" s="1542"/>
      <c r="D3676" s="1542"/>
      <c r="E3676" s="1542"/>
    </row>
    <row r="3677" spans="1:5">
      <c r="A3677" s="1541">
        <v>40340</v>
      </c>
      <c r="B3677" s="1542">
        <v>9365.5</v>
      </c>
      <c r="C3677" s="1542">
        <v>147.13</v>
      </c>
      <c r="D3677" s="1542">
        <v>3581.72</v>
      </c>
      <c r="E3677" s="1542">
        <v>1621.75</v>
      </c>
    </row>
    <row r="3678" spans="1:5">
      <c r="A3678" s="1541">
        <v>40339</v>
      </c>
      <c r="B3678" s="1542">
        <v>9214.4599999999991</v>
      </c>
      <c r="C3678" s="1542">
        <v>144.97999999999999</v>
      </c>
      <c r="D3678" s="1542">
        <v>3563.32</v>
      </c>
      <c r="E3678" s="1542">
        <v>1603.64</v>
      </c>
    </row>
    <row r="3679" spans="1:5">
      <c r="A3679" s="1541">
        <v>40338</v>
      </c>
      <c r="B3679" s="1542">
        <v>9072.7099999999991</v>
      </c>
      <c r="C3679" s="1542">
        <v>143.71</v>
      </c>
      <c r="D3679" s="1542">
        <v>3480.49</v>
      </c>
      <c r="E3679" s="1542">
        <v>1582.63</v>
      </c>
    </row>
    <row r="3680" spans="1:5">
      <c r="A3680" s="1541">
        <v>40337</v>
      </c>
      <c r="B3680" s="1542">
        <v>9175.56</v>
      </c>
      <c r="C3680" s="1542">
        <v>147.13</v>
      </c>
      <c r="D3680" s="1542">
        <v>3464</v>
      </c>
      <c r="E3680" s="1542">
        <v>1575.21</v>
      </c>
    </row>
    <row r="3681" spans="1:5">
      <c r="A3681" s="1541">
        <v>40336</v>
      </c>
      <c r="B3681" s="1542">
        <v>9183.0499999999993</v>
      </c>
      <c r="C3681" s="1542">
        <v>146.97</v>
      </c>
      <c r="D3681" s="1542">
        <v>3450.19</v>
      </c>
      <c r="E3681" s="1542">
        <v>1572.61</v>
      </c>
    </row>
    <row r="3682" spans="1:5">
      <c r="A3682" s="1541">
        <v>40335</v>
      </c>
      <c r="B3682" s="1542"/>
      <c r="C3682" s="1542"/>
      <c r="D3682" s="1542"/>
      <c r="E3682" s="1542"/>
    </row>
    <row r="3683" spans="1:5">
      <c r="A3683" s="1541">
        <v>40334</v>
      </c>
      <c r="B3683" s="1542"/>
      <c r="C3683" s="1542"/>
      <c r="D3683" s="1542"/>
      <c r="E3683" s="1542"/>
    </row>
    <row r="3684" spans="1:5">
      <c r="A3684" s="1541">
        <v>40333</v>
      </c>
      <c r="B3684" s="1542">
        <v>9422.0499999999993</v>
      </c>
      <c r="C3684" s="1542">
        <v>150.54</v>
      </c>
      <c r="D3684" s="1542">
        <v>3512.55</v>
      </c>
      <c r="E3684" s="1542">
        <v>1614.71</v>
      </c>
    </row>
    <row r="3685" spans="1:5">
      <c r="A3685" s="1541">
        <v>40332</v>
      </c>
      <c r="B3685" s="1542">
        <v>9442.18</v>
      </c>
      <c r="C3685" s="1542">
        <v>149.97999999999999</v>
      </c>
      <c r="D3685" s="1542">
        <v>3614.01</v>
      </c>
      <c r="E3685" s="1542">
        <v>1634.4</v>
      </c>
    </row>
    <row r="3686" spans="1:5">
      <c r="A3686" s="1541">
        <v>40331</v>
      </c>
      <c r="B3686" s="1542">
        <v>9231.06</v>
      </c>
      <c r="C3686" s="1542">
        <v>146.79</v>
      </c>
      <c r="D3686" s="1542">
        <v>3574.88</v>
      </c>
      <c r="E3686" s="1542">
        <v>1605.75</v>
      </c>
    </row>
    <row r="3687" spans="1:5">
      <c r="A3687" s="1541">
        <v>40330</v>
      </c>
      <c r="B3687" s="1542">
        <v>9351.15</v>
      </c>
      <c r="C3687" s="1542">
        <v>148.56</v>
      </c>
      <c r="D3687" s="1542">
        <v>3541.37</v>
      </c>
      <c r="E3687" s="1542">
        <v>1603.2</v>
      </c>
    </row>
    <row r="3688" spans="1:5">
      <c r="A3688" s="1541">
        <v>40329</v>
      </c>
      <c r="B3688" s="1542">
        <v>9459.76</v>
      </c>
      <c r="C3688" s="1542">
        <v>148.6</v>
      </c>
      <c r="D3688" s="1542">
        <v>3575.14</v>
      </c>
      <c r="E3688" s="1542">
        <v>1637.2</v>
      </c>
    </row>
    <row r="3689" spans="1:5">
      <c r="A3689" s="1541">
        <v>40328</v>
      </c>
      <c r="B3689" s="1542"/>
      <c r="C3689" s="1542"/>
      <c r="D3689" s="1542"/>
      <c r="E3689" s="1542"/>
    </row>
    <row r="3690" spans="1:5">
      <c r="A3690" s="1541">
        <v>40327</v>
      </c>
      <c r="B3690" s="1542"/>
      <c r="C3690" s="1542"/>
      <c r="D3690" s="1542"/>
      <c r="E3690" s="1542"/>
    </row>
    <row r="3691" spans="1:5">
      <c r="A3691" s="1541">
        <v>40326</v>
      </c>
      <c r="B3691" s="1542">
        <v>9358.84</v>
      </c>
      <c r="C3691" s="1542">
        <v>147.28</v>
      </c>
      <c r="D3691" s="1542">
        <v>3576.61</v>
      </c>
      <c r="E3691" s="1542">
        <v>1620.27</v>
      </c>
    </row>
    <row r="3692" spans="1:5">
      <c r="A3692" s="1541">
        <v>40325</v>
      </c>
      <c r="B3692" s="1542">
        <v>9291.93</v>
      </c>
      <c r="C3692" s="1542">
        <v>145.11000000000001</v>
      </c>
      <c r="D3692" s="1542">
        <v>3590.83</v>
      </c>
      <c r="E3692" s="1542">
        <v>1597.48</v>
      </c>
    </row>
    <row r="3693" spans="1:5">
      <c r="A3693" s="1541">
        <v>40324</v>
      </c>
      <c r="B3693" s="1542">
        <v>9194.52</v>
      </c>
      <c r="C3693" s="1542">
        <v>140.80000000000001</v>
      </c>
      <c r="D3693" s="1542">
        <v>3485.52</v>
      </c>
      <c r="E3693" s="1542">
        <v>1559.67</v>
      </c>
    </row>
    <row r="3694" spans="1:5">
      <c r="A3694" s="1541">
        <v>40323</v>
      </c>
      <c r="B3694" s="1542">
        <v>9090.6299999999992</v>
      </c>
      <c r="C3694" s="1542">
        <v>139.43</v>
      </c>
      <c r="D3694" s="1542">
        <v>3469.41</v>
      </c>
      <c r="E3694" s="1542">
        <v>1510.47</v>
      </c>
    </row>
    <row r="3695" spans="1:5">
      <c r="A3695" s="1541">
        <v>40322</v>
      </c>
      <c r="B3695" s="1542">
        <v>9393.84</v>
      </c>
      <c r="C3695" s="1542">
        <v>145.94</v>
      </c>
      <c r="D3695" s="1542">
        <v>3520.6</v>
      </c>
      <c r="E3695" s="1542">
        <v>1573.89</v>
      </c>
    </row>
    <row r="3696" spans="1:5">
      <c r="A3696" s="1541">
        <v>40321</v>
      </c>
      <c r="B3696" s="1542"/>
      <c r="C3696" s="1542"/>
      <c r="D3696" s="1542"/>
      <c r="E3696" s="1542"/>
    </row>
    <row r="3697" spans="1:5">
      <c r="A3697" s="1541">
        <v>40320</v>
      </c>
      <c r="B3697" s="1542"/>
      <c r="C3697" s="1542"/>
      <c r="D3697" s="1542"/>
      <c r="E3697" s="1542"/>
    </row>
    <row r="3698" spans="1:5">
      <c r="A3698" s="1541">
        <v>40319</v>
      </c>
      <c r="B3698" s="1542">
        <v>9284.7800000000007</v>
      </c>
      <c r="C3698" s="1542">
        <v>144.47</v>
      </c>
      <c r="D3698" s="1542">
        <v>3551.16</v>
      </c>
      <c r="E3698" s="1542">
        <v>1564.64</v>
      </c>
    </row>
    <row r="3699" spans="1:5">
      <c r="A3699" s="1541">
        <v>40318</v>
      </c>
      <c r="B3699" s="1542">
        <v>9524.17</v>
      </c>
      <c r="C3699" s="1542">
        <v>150.86000000000001</v>
      </c>
      <c r="D3699" s="1542">
        <v>3517.95</v>
      </c>
      <c r="E3699" s="1542">
        <v>1557.14</v>
      </c>
    </row>
    <row r="3700" spans="1:5">
      <c r="A3700" s="1541">
        <v>40317</v>
      </c>
      <c r="B3700" s="1542">
        <v>9697.01</v>
      </c>
      <c r="C3700" s="1542">
        <v>153.51</v>
      </c>
      <c r="D3700" s="1542">
        <v>3622.94</v>
      </c>
      <c r="E3700" s="1542">
        <v>1606.71</v>
      </c>
    </row>
    <row r="3701" spans="1:5">
      <c r="A3701" s="1541">
        <v>40316</v>
      </c>
      <c r="B3701" s="1542">
        <v>9730.5300000000007</v>
      </c>
      <c r="C3701" s="1542">
        <v>153.86000000000001</v>
      </c>
      <c r="D3701" s="1542">
        <v>3675.67</v>
      </c>
      <c r="E3701" s="1542">
        <v>1657.27</v>
      </c>
    </row>
    <row r="3702" spans="1:5">
      <c r="A3702" s="1541">
        <v>40315</v>
      </c>
      <c r="B3702" s="1542">
        <v>9747.75</v>
      </c>
      <c r="C3702" s="1542">
        <v>155.07</v>
      </c>
      <c r="D3702" s="1542">
        <v>3688.74</v>
      </c>
      <c r="E3702" s="1542">
        <v>1657.07</v>
      </c>
    </row>
    <row r="3703" spans="1:5">
      <c r="A3703" s="1541">
        <v>40314</v>
      </c>
      <c r="B3703" s="1542"/>
      <c r="C3703" s="1542"/>
      <c r="D3703" s="1542"/>
      <c r="E3703" s="1542"/>
    </row>
    <row r="3704" spans="1:5">
      <c r="A3704" s="1541">
        <v>40313</v>
      </c>
      <c r="B3704" s="1542"/>
      <c r="C3704" s="1542"/>
      <c r="D3704" s="1542"/>
      <c r="E3704" s="1542"/>
    </row>
    <row r="3705" spans="1:5">
      <c r="A3705" s="1541">
        <v>40312</v>
      </c>
      <c r="B3705" s="1542">
        <v>9969.5499999999993</v>
      </c>
      <c r="C3705" s="1542">
        <v>159.25</v>
      </c>
      <c r="D3705" s="1542">
        <v>3713.62</v>
      </c>
      <c r="E3705" s="1542">
        <v>1692.07</v>
      </c>
    </row>
    <row r="3706" spans="1:5">
      <c r="A3706" s="1541">
        <v>40311</v>
      </c>
      <c r="B3706" s="1542">
        <v>9967.5400000000009</v>
      </c>
      <c r="C3706" s="1542">
        <v>158.52000000000001</v>
      </c>
      <c r="D3706" s="1542">
        <v>3808.55</v>
      </c>
      <c r="E3706" s="1542">
        <v>1719.77</v>
      </c>
    </row>
    <row r="3707" spans="1:5">
      <c r="A3707" s="1541">
        <v>40310</v>
      </c>
      <c r="B3707" s="1542">
        <v>9752.2099999999991</v>
      </c>
      <c r="C3707" s="1542">
        <v>155.61000000000001</v>
      </c>
      <c r="D3707" s="1542">
        <v>3828.5</v>
      </c>
      <c r="E3707" s="1542">
        <v>1706.13</v>
      </c>
    </row>
    <row r="3708" spans="1:5">
      <c r="A3708" s="1541">
        <v>40309</v>
      </c>
      <c r="B3708" s="1542">
        <v>9759.57</v>
      </c>
      <c r="C3708" s="1542">
        <v>155.43</v>
      </c>
      <c r="D3708" s="1542">
        <v>3781.65</v>
      </c>
      <c r="E3708" s="1542">
        <v>1689.88</v>
      </c>
    </row>
    <row r="3709" spans="1:5">
      <c r="A3709" s="1541">
        <v>40308</v>
      </c>
      <c r="B3709" s="1542">
        <v>9831.7800000000007</v>
      </c>
      <c r="C3709" s="1542">
        <v>155.87</v>
      </c>
      <c r="D3709" s="1542">
        <v>3808.85</v>
      </c>
      <c r="E3709" s="1542">
        <v>1703.4</v>
      </c>
    </row>
    <row r="3710" spans="1:5">
      <c r="A3710" s="1541">
        <v>40307</v>
      </c>
      <c r="B3710" s="1542"/>
      <c r="C3710" s="1542"/>
      <c r="D3710" s="1542"/>
      <c r="E3710" s="1542"/>
    </row>
    <row r="3711" spans="1:5">
      <c r="A3711" s="1541">
        <v>40306</v>
      </c>
      <c r="B3711" s="1542"/>
      <c r="C3711" s="1542"/>
      <c r="D3711" s="1542"/>
      <c r="E3711" s="1542"/>
    </row>
    <row r="3712" spans="1:5">
      <c r="A3712" s="1541">
        <v>40305</v>
      </c>
      <c r="B3712" s="1542">
        <v>9706.5499999999993</v>
      </c>
      <c r="C3712" s="1542">
        <v>152.72999999999999</v>
      </c>
      <c r="D3712" s="1542">
        <v>3630.6</v>
      </c>
      <c r="E3712" s="1542">
        <v>1632.37</v>
      </c>
    </row>
    <row r="3713" spans="1:5">
      <c r="A3713" s="1541">
        <v>40304</v>
      </c>
      <c r="B3713" s="1542">
        <v>9722.42</v>
      </c>
      <c r="C3713" s="1542">
        <v>153.63999999999999</v>
      </c>
      <c r="D3713" s="1542">
        <v>3714.46</v>
      </c>
      <c r="E3713" s="1542">
        <v>1670.17</v>
      </c>
    </row>
    <row r="3714" spans="1:5">
      <c r="A3714" s="1541">
        <v>40303</v>
      </c>
      <c r="B3714" s="1542">
        <v>9873.0499999999993</v>
      </c>
      <c r="C3714" s="1542">
        <v>156.96</v>
      </c>
      <c r="D3714" s="1542">
        <v>3820.26</v>
      </c>
      <c r="E3714" s="1542">
        <v>1707.59</v>
      </c>
    </row>
    <row r="3715" spans="1:5">
      <c r="A3715" s="1541">
        <v>40302</v>
      </c>
      <c r="B3715" s="1542">
        <v>10173.040000000001</v>
      </c>
      <c r="C3715" s="1542">
        <v>163.05000000000001</v>
      </c>
      <c r="D3715" s="1542">
        <v>3862.59</v>
      </c>
      <c r="E3715" s="1542">
        <v>1743.38</v>
      </c>
    </row>
    <row r="3716" spans="1:5">
      <c r="A3716" s="1541">
        <v>40301</v>
      </c>
      <c r="B3716" s="1542">
        <v>10200.290000000001</v>
      </c>
      <c r="C3716" s="1542">
        <v>163.37</v>
      </c>
      <c r="D3716" s="1542">
        <v>3963.15</v>
      </c>
      <c r="E3716" s="1542">
        <v>1774.38</v>
      </c>
    </row>
    <row r="3717" spans="1:5">
      <c r="A3717" s="1541">
        <v>40300</v>
      </c>
      <c r="B3717" s="1542"/>
      <c r="C3717" s="1542"/>
      <c r="D3717" s="1542"/>
      <c r="E3717" s="1542"/>
    </row>
    <row r="3718" spans="1:5">
      <c r="A3718" s="1541">
        <v>40299</v>
      </c>
      <c r="B3718" s="1542"/>
      <c r="C3718" s="1542"/>
      <c r="D3718" s="1542"/>
      <c r="E3718" s="1542"/>
    </row>
    <row r="3719" spans="1:5">
      <c r="A3719" s="1541">
        <v>40298</v>
      </c>
      <c r="B3719" s="1542">
        <v>10267.1</v>
      </c>
      <c r="C3719" s="1542">
        <v>165.35</v>
      </c>
      <c r="D3719" s="1542">
        <v>3949.72</v>
      </c>
      <c r="E3719" s="1542">
        <v>1794.24</v>
      </c>
    </row>
    <row r="3720" spans="1:5">
      <c r="A3720" s="1541">
        <v>40297</v>
      </c>
      <c r="B3720" s="1542">
        <v>10330.969999999999</v>
      </c>
      <c r="C3720" s="1542">
        <v>168.55</v>
      </c>
      <c r="D3720" s="1542">
        <v>3980.77</v>
      </c>
      <c r="E3720" s="1542">
        <v>1782.98</v>
      </c>
    </row>
    <row r="3721" spans="1:5">
      <c r="A3721" s="1541">
        <v>40296</v>
      </c>
      <c r="B3721" s="1542">
        <v>10366.25</v>
      </c>
      <c r="C3721" s="1542">
        <v>167.38</v>
      </c>
      <c r="D3721" s="1542">
        <v>3933.77</v>
      </c>
      <c r="E3721" s="1542">
        <v>1767.32</v>
      </c>
    </row>
    <row r="3722" spans="1:5">
      <c r="A3722" s="1541">
        <v>40295</v>
      </c>
      <c r="B3722" s="1542">
        <v>10449.48</v>
      </c>
      <c r="C3722" s="1542">
        <v>168.35</v>
      </c>
      <c r="D3722" s="1542">
        <v>3959.98</v>
      </c>
      <c r="E3722" s="1542">
        <v>1793.42</v>
      </c>
    </row>
    <row r="3723" spans="1:5">
      <c r="A3723" s="1541">
        <v>40294</v>
      </c>
      <c r="B3723" s="1542">
        <v>10464.5</v>
      </c>
      <c r="C3723" s="1542">
        <v>169.27</v>
      </c>
      <c r="D3723" s="1542">
        <v>4045.64</v>
      </c>
      <c r="E3723" s="1542">
        <v>1819.68</v>
      </c>
    </row>
    <row r="3724" spans="1:5">
      <c r="A3724" s="1541">
        <v>40293</v>
      </c>
      <c r="B3724" s="1542"/>
      <c r="C3724" s="1542"/>
      <c r="D3724" s="1542"/>
      <c r="E3724" s="1542"/>
    </row>
    <row r="3725" spans="1:5">
      <c r="A3725" s="1541">
        <v>40292</v>
      </c>
      <c r="B3725" s="1542"/>
      <c r="C3725" s="1542"/>
      <c r="D3725" s="1542"/>
      <c r="E3725" s="1542"/>
    </row>
    <row r="3726" spans="1:5">
      <c r="A3726" s="1541">
        <v>40291</v>
      </c>
      <c r="B3726" s="1542">
        <v>10267.92</v>
      </c>
      <c r="C3726" s="1542">
        <v>168.45</v>
      </c>
      <c r="D3726" s="1542">
        <v>4034.94</v>
      </c>
      <c r="E3726" s="1542">
        <v>1800.05</v>
      </c>
    </row>
    <row r="3727" spans="1:5">
      <c r="A3727" s="1541">
        <v>40290</v>
      </c>
      <c r="B3727" s="1542">
        <v>10234.32</v>
      </c>
      <c r="C3727" s="1542">
        <v>167.21</v>
      </c>
      <c r="D3727" s="1542">
        <v>4012.41</v>
      </c>
      <c r="E3727" s="1542">
        <v>1793.45</v>
      </c>
    </row>
    <row r="3728" spans="1:5">
      <c r="A3728" s="1541">
        <v>40289</v>
      </c>
      <c r="B3728" s="1542">
        <v>10249.5</v>
      </c>
      <c r="C3728" s="1542">
        <v>166.57</v>
      </c>
      <c r="D3728" s="1542">
        <v>4033.96</v>
      </c>
      <c r="E3728" s="1542">
        <v>1804.12</v>
      </c>
    </row>
    <row r="3729" spans="1:5">
      <c r="A3729" s="1541">
        <v>40288</v>
      </c>
      <c r="B3729" s="1542">
        <v>10133.91</v>
      </c>
      <c r="C3729" s="1542">
        <v>163.86</v>
      </c>
      <c r="D3729" s="1542">
        <v>4042.53</v>
      </c>
      <c r="E3729" s="1542">
        <v>1796.99</v>
      </c>
    </row>
    <row r="3730" spans="1:5">
      <c r="A3730" s="1541">
        <v>40287</v>
      </c>
      <c r="B3730" s="1542">
        <v>10074.66</v>
      </c>
      <c r="C3730" s="1542">
        <v>162.13</v>
      </c>
      <c r="D3730" s="1542">
        <v>4007.61</v>
      </c>
      <c r="E3730" s="1542">
        <v>1776.57</v>
      </c>
    </row>
    <row r="3731" spans="1:5">
      <c r="A3731" s="1541">
        <v>40286</v>
      </c>
      <c r="B3731" s="1542"/>
      <c r="C3731" s="1542"/>
      <c r="D3731" s="1542"/>
      <c r="E3731" s="1542"/>
    </row>
    <row r="3732" spans="1:5">
      <c r="A3732" s="1541">
        <v>40285</v>
      </c>
      <c r="B3732" s="1542"/>
      <c r="C3732" s="1542"/>
      <c r="D3732" s="1542"/>
      <c r="E3732" s="1542"/>
    </row>
    <row r="3733" spans="1:5">
      <c r="A3733" s="1541">
        <v>40284</v>
      </c>
      <c r="B3733" s="1542">
        <v>10404.75</v>
      </c>
      <c r="C3733" s="1542">
        <v>169.49</v>
      </c>
      <c r="D3733" s="1542">
        <v>4022.15</v>
      </c>
      <c r="E3733" s="1542">
        <v>1812.45</v>
      </c>
    </row>
    <row r="3734" spans="1:5">
      <c r="A3734" s="1541">
        <v>40283</v>
      </c>
      <c r="B3734" s="1542">
        <v>10482.19</v>
      </c>
      <c r="C3734" s="1542">
        <v>169.56</v>
      </c>
      <c r="D3734" s="1542">
        <v>4086.03</v>
      </c>
      <c r="E3734" s="1542">
        <v>1839.42</v>
      </c>
    </row>
    <row r="3735" spans="1:5">
      <c r="A3735" s="1541">
        <v>40282</v>
      </c>
      <c r="B3735" s="1542">
        <v>10386.24</v>
      </c>
      <c r="C3735" s="1542">
        <v>167.97</v>
      </c>
      <c r="D3735" s="1542">
        <v>4077.72</v>
      </c>
      <c r="E3735" s="1542">
        <v>1837.07</v>
      </c>
    </row>
    <row r="3736" spans="1:5">
      <c r="A3736" s="1541">
        <v>40281</v>
      </c>
      <c r="B3736" s="1542">
        <v>10299.780000000001</v>
      </c>
      <c r="C3736" s="1542">
        <v>165.77</v>
      </c>
      <c r="D3736" s="1542">
        <v>4033.43</v>
      </c>
      <c r="E3736" s="1542">
        <v>1814.82</v>
      </c>
    </row>
    <row r="3737" spans="1:5">
      <c r="A3737" s="1541">
        <v>40280</v>
      </c>
      <c r="B3737" s="1542">
        <v>10412.68</v>
      </c>
      <c r="C3737" s="1542">
        <v>168.38</v>
      </c>
      <c r="D3737" s="1542">
        <v>4044.17</v>
      </c>
      <c r="E3737" s="1542">
        <v>1827.88</v>
      </c>
    </row>
    <row r="3738" spans="1:5">
      <c r="A3738" s="1541">
        <v>40279</v>
      </c>
      <c r="B3738" s="1542"/>
      <c r="C3738" s="1542"/>
      <c r="D3738" s="1542"/>
      <c r="E3738" s="1542"/>
    </row>
    <row r="3739" spans="1:5">
      <c r="A3739" s="1541">
        <v>40278</v>
      </c>
      <c r="B3739" s="1542"/>
      <c r="C3739" s="1542"/>
      <c r="D3739" s="1542"/>
      <c r="E3739" s="1542"/>
    </row>
    <row r="3740" spans="1:5">
      <c r="A3740" s="1541">
        <v>40277</v>
      </c>
      <c r="B3740" s="1542">
        <v>10379.69</v>
      </c>
      <c r="C3740" s="1542">
        <v>167.07</v>
      </c>
      <c r="D3740" s="1542">
        <v>4024.1</v>
      </c>
      <c r="E3740" s="1542">
        <v>1832.28</v>
      </c>
    </row>
    <row r="3741" spans="1:5">
      <c r="A3741" s="1541">
        <v>40276</v>
      </c>
      <c r="B3741" s="1542">
        <v>10335.530000000001</v>
      </c>
      <c r="C3741" s="1542">
        <v>166.36</v>
      </c>
      <c r="D3741" s="1542">
        <v>3984.36</v>
      </c>
      <c r="E3741" s="1542">
        <v>1818.68</v>
      </c>
    </row>
    <row r="3742" spans="1:5">
      <c r="A3742" s="1541">
        <v>40275</v>
      </c>
      <c r="B3742" s="1542">
        <v>10417.86</v>
      </c>
      <c r="C3742" s="1542">
        <v>167.25</v>
      </c>
      <c r="D3742" s="1542">
        <v>3990.97</v>
      </c>
      <c r="E3742" s="1542">
        <v>1830.32</v>
      </c>
    </row>
    <row r="3743" spans="1:5">
      <c r="A3743" s="1541">
        <v>40274</v>
      </c>
      <c r="B3743" s="1542">
        <v>10376.64</v>
      </c>
      <c r="C3743" s="1542">
        <v>166.25</v>
      </c>
      <c r="D3743" s="1542">
        <v>4005.68</v>
      </c>
      <c r="E3743" s="1542">
        <v>1823.76</v>
      </c>
    </row>
    <row r="3744" spans="1:5">
      <c r="A3744" s="1541">
        <v>40273</v>
      </c>
      <c r="B3744" s="1542"/>
      <c r="C3744" s="1542"/>
      <c r="D3744" s="1542">
        <v>4003.14</v>
      </c>
      <c r="E3744" s="1542">
        <v>1819</v>
      </c>
    </row>
    <row r="3745" spans="1:5">
      <c r="A3745" s="1541">
        <v>40272</v>
      </c>
      <c r="B3745" s="1542"/>
      <c r="C3745" s="1542"/>
      <c r="D3745" s="1542"/>
      <c r="E3745" s="1542"/>
    </row>
    <row r="3746" spans="1:5">
      <c r="A3746" s="1541">
        <v>40271</v>
      </c>
      <c r="B3746" s="1542"/>
      <c r="C3746" s="1542"/>
      <c r="D3746" s="1542"/>
      <c r="E3746" s="1542"/>
    </row>
    <row r="3747" spans="1:5">
      <c r="A3747" s="1541">
        <v>40270</v>
      </c>
      <c r="B3747" s="1542">
        <v>10294.9</v>
      </c>
      <c r="C3747" s="1542">
        <v>165.78</v>
      </c>
      <c r="D3747" s="1542">
        <v>3987.93</v>
      </c>
      <c r="E3747" s="1542">
        <v>1804.78</v>
      </c>
    </row>
    <row r="3748" spans="1:5">
      <c r="A3748" s="1541">
        <v>40269</v>
      </c>
      <c r="B3748" s="1542">
        <v>10278.44</v>
      </c>
      <c r="C3748" s="1542">
        <v>164.16</v>
      </c>
      <c r="D3748" s="1542">
        <v>3985.91</v>
      </c>
      <c r="E3748" s="1542">
        <v>1802.56</v>
      </c>
    </row>
    <row r="3749" spans="1:5">
      <c r="A3749" s="1541">
        <v>40268</v>
      </c>
      <c r="B3749" s="1542">
        <v>10159.11</v>
      </c>
      <c r="C3749" s="1542">
        <v>163.5</v>
      </c>
      <c r="D3749" s="1542">
        <v>3946.96</v>
      </c>
      <c r="E3749" s="1542">
        <v>1772.37</v>
      </c>
    </row>
    <row r="3750" spans="1:5">
      <c r="A3750" s="1541">
        <v>40267</v>
      </c>
      <c r="B3750" s="1542">
        <v>10213.19</v>
      </c>
      <c r="C3750" s="1542">
        <v>163.11000000000001</v>
      </c>
      <c r="D3750" s="1542">
        <v>3948.66</v>
      </c>
      <c r="E3750" s="1542">
        <v>1770.57</v>
      </c>
    </row>
    <row r="3751" spans="1:5">
      <c r="A3751" s="1541">
        <v>40266</v>
      </c>
      <c r="B3751" s="1542">
        <v>10194.23</v>
      </c>
      <c r="C3751" s="1542">
        <v>163.41999999999999</v>
      </c>
      <c r="D3751" s="1542">
        <v>3946.77</v>
      </c>
      <c r="E3751" s="1542">
        <v>1760.45</v>
      </c>
    </row>
    <row r="3752" spans="1:5">
      <c r="A3752" s="1541">
        <v>40265</v>
      </c>
      <c r="B3752" s="1542"/>
      <c r="C3752" s="1542"/>
      <c r="D3752" s="1542"/>
      <c r="E3752" s="1542"/>
    </row>
    <row r="3753" spans="1:5">
      <c r="A3753" s="1541">
        <v>40264</v>
      </c>
      <c r="B3753" s="1542"/>
      <c r="C3753" s="1542"/>
      <c r="D3753" s="1542"/>
      <c r="E3753" s="1542"/>
    </row>
    <row r="3754" spans="1:5">
      <c r="A3754" s="1541">
        <v>40263</v>
      </c>
      <c r="B3754" s="1542">
        <v>10103.69</v>
      </c>
      <c r="C3754" s="1542">
        <v>161.94</v>
      </c>
      <c r="D3754" s="1542">
        <v>3919.12</v>
      </c>
      <c r="E3754" s="1542">
        <v>1741.84</v>
      </c>
    </row>
    <row r="3755" spans="1:5">
      <c r="A3755" s="1541">
        <v>40262</v>
      </c>
      <c r="B3755" s="1542">
        <v>10053.98</v>
      </c>
      <c r="C3755" s="1542">
        <v>161.29</v>
      </c>
      <c r="D3755" s="1542">
        <v>3913.29</v>
      </c>
      <c r="E3755" s="1542">
        <v>1736.24</v>
      </c>
    </row>
    <row r="3756" spans="1:5">
      <c r="A3756" s="1541">
        <v>40261</v>
      </c>
      <c r="B3756" s="1542">
        <v>10034.24</v>
      </c>
      <c r="C3756" s="1542">
        <v>160.93</v>
      </c>
      <c r="D3756" s="1542">
        <v>3908.41</v>
      </c>
      <c r="E3756" s="1542">
        <v>1739.8</v>
      </c>
    </row>
    <row r="3757" spans="1:5">
      <c r="A3757" s="1541">
        <v>40260</v>
      </c>
      <c r="B3757" s="1542">
        <v>10020.33</v>
      </c>
      <c r="C3757" s="1542">
        <v>161.19999999999999</v>
      </c>
      <c r="D3757" s="1542">
        <v>3942.72</v>
      </c>
      <c r="E3757" s="1542">
        <v>1743.5</v>
      </c>
    </row>
    <row r="3758" spans="1:5">
      <c r="A3758" s="1541">
        <v>40259</v>
      </c>
      <c r="B3758" s="1542">
        <v>10051.25</v>
      </c>
      <c r="C3758" s="1542">
        <v>161.35</v>
      </c>
      <c r="D3758" s="1542">
        <v>3918.11</v>
      </c>
      <c r="E3758" s="1542">
        <v>1736.07</v>
      </c>
    </row>
    <row r="3759" spans="1:5">
      <c r="A3759" s="1541">
        <v>40258</v>
      </c>
      <c r="B3759" s="1542"/>
      <c r="C3759" s="1542"/>
      <c r="D3759" s="1542"/>
      <c r="E3759" s="1542"/>
    </row>
    <row r="3760" spans="1:5">
      <c r="A3760" s="1541">
        <v>40257</v>
      </c>
      <c r="B3760" s="1542"/>
      <c r="C3760" s="1542"/>
      <c r="D3760" s="1542"/>
      <c r="E3760" s="1542"/>
    </row>
    <row r="3761" spans="1:5">
      <c r="A3761" s="1541">
        <v>40256</v>
      </c>
      <c r="B3761" s="1542">
        <v>10130.700000000001</v>
      </c>
      <c r="C3761" s="1542">
        <v>160.21</v>
      </c>
      <c r="D3761" s="1542">
        <v>3909.16</v>
      </c>
      <c r="E3761" s="1542">
        <v>1750.07</v>
      </c>
    </row>
    <row r="3762" spans="1:5">
      <c r="A3762" s="1541">
        <v>40255</v>
      </c>
      <c r="B3762" s="1542">
        <v>10115.85</v>
      </c>
      <c r="C3762" s="1542">
        <v>158.88</v>
      </c>
      <c r="D3762" s="1542">
        <v>3928.62</v>
      </c>
      <c r="E3762" s="1542">
        <v>1756.23</v>
      </c>
    </row>
    <row r="3763" spans="1:5">
      <c r="A3763" s="1541">
        <v>40254</v>
      </c>
      <c r="B3763" s="1542">
        <v>10066.459999999999</v>
      </c>
      <c r="C3763" s="1542">
        <v>156.63999999999999</v>
      </c>
      <c r="D3763" s="1542">
        <v>3947.59</v>
      </c>
      <c r="E3763" s="1542">
        <v>1763.66</v>
      </c>
    </row>
    <row r="3764" spans="1:5">
      <c r="A3764" s="1541">
        <v>40253</v>
      </c>
      <c r="B3764" s="1542">
        <v>9871.23</v>
      </c>
      <c r="C3764" s="1542">
        <v>153.87</v>
      </c>
      <c r="D3764" s="1542">
        <v>3918.29</v>
      </c>
      <c r="E3764" s="1542">
        <v>1738.6</v>
      </c>
    </row>
    <row r="3765" spans="1:5">
      <c r="A3765" s="1541">
        <v>40252</v>
      </c>
      <c r="B3765" s="1542">
        <v>9793.35</v>
      </c>
      <c r="C3765" s="1542">
        <v>152.66</v>
      </c>
      <c r="D3765" s="1542">
        <v>3879.74</v>
      </c>
      <c r="E3765" s="1542">
        <v>1723.76</v>
      </c>
    </row>
    <row r="3766" spans="1:5">
      <c r="A3766" s="1541">
        <v>40251</v>
      </c>
      <c r="B3766" s="1542"/>
      <c r="C3766" s="1542"/>
      <c r="D3766" s="1542"/>
      <c r="E3766" s="1542"/>
    </row>
    <row r="3767" spans="1:5">
      <c r="A3767" s="1541">
        <v>40250</v>
      </c>
      <c r="B3767" s="1542"/>
      <c r="C3767" s="1542"/>
      <c r="D3767" s="1542"/>
      <c r="E3767" s="1542"/>
    </row>
    <row r="3768" spans="1:5">
      <c r="A3768" s="1541">
        <v>40249</v>
      </c>
      <c r="B3768" s="1542">
        <v>9938.82</v>
      </c>
      <c r="C3768" s="1542">
        <v>154.44999999999999</v>
      </c>
      <c r="D3768" s="1542">
        <v>3897.31</v>
      </c>
      <c r="E3768" s="1542">
        <v>1740.42</v>
      </c>
    </row>
    <row r="3769" spans="1:5">
      <c r="A3769" s="1541">
        <v>40248</v>
      </c>
      <c r="B3769" s="1542">
        <v>9940.5300000000007</v>
      </c>
      <c r="C3769" s="1542">
        <v>154.15</v>
      </c>
      <c r="D3769" s="1542">
        <v>3881.85</v>
      </c>
      <c r="E3769" s="1542">
        <v>1735.3</v>
      </c>
    </row>
    <row r="3770" spans="1:5">
      <c r="A3770" s="1541">
        <v>40247</v>
      </c>
      <c r="B3770" s="1542">
        <v>9978.27</v>
      </c>
      <c r="C3770" s="1542">
        <v>154.18</v>
      </c>
      <c r="D3770" s="1542">
        <v>3873.37</v>
      </c>
      <c r="E3770" s="1542">
        <v>1741.55</v>
      </c>
    </row>
    <row r="3771" spans="1:5">
      <c r="A3771" s="1541">
        <v>40246</v>
      </c>
      <c r="B3771" s="1542">
        <v>9967.3799999999992</v>
      </c>
      <c r="C3771" s="1542">
        <v>153.69999999999999</v>
      </c>
      <c r="D3771" s="1542">
        <v>3852.09</v>
      </c>
      <c r="E3771" s="1542">
        <v>1728.73</v>
      </c>
    </row>
    <row r="3772" spans="1:5">
      <c r="A3772" s="1541">
        <v>40245</v>
      </c>
      <c r="B3772" s="1542">
        <v>9956.7099999999991</v>
      </c>
      <c r="C3772" s="1542">
        <v>153.22</v>
      </c>
      <c r="D3772" s="1542">
        <v>3853.87</v>
      </c>
      <c r="E3772" s="1542">
        <v>1728.54</v>
      </c>
    </row>
    <row r="3773" spans="1:5">
      <c r="A3773" s="1541">
        <v>40244</v>
      </c>
      <c r="B3773" s="1542"/>
      <c r="C3773" s="1542"/>
      <c r="D3773" s="1542"/>
      <c r="E3773" s="1542"/>
    </row>
    <row r="3774" spans="1:5">
      <c r="A3774" s="1541">
        <v>40243</v>
      </c>
      <c r="B3774" s="1542"/>
      <c r="C3774" s="1542"/>
      <c r="D3774" s="1542"/>
      <c r="E3774" s="1542"/>
    </row>
    <row r="3775" spans="1:5">
      <c r="A3775" s="1541">
        <v>40242</v>
      </c>
      <c r="B3775" s="1542">
        <v>9833.56</v>
      </c>
      <c r="C3775" s="1542">
        <v>150.77000000000001</v>
      </c>
      <c r="D3775" s="1542">
        <v>3839.57</v>
      </c>
      <c r="E3775" s="1542">
        <v>1708.78</v>
      </c>
    </row>
    <row r="3776" spans="1:5">
      <c r="A3776" s="1541">
        <v>40241</v>
      </c>
      <c r="B3776" s="1542">
        <v>9709.83</v>
      </c>
      <c r="C3776" s="1542">
        <v>149</v>
      </c>
      <c r="D3776" s="1542">
        <v>3790.71</v>
      </c>
      <c r="E3776" s="1542">
        <v>1684.94</v>
      </c>
    </row>
    <row r="3777" spans="1:5">
      <c r="A3777" s="1541">
        <v>40240</v>
      </c>
      <c r="B3777" s="1542">
        <v>9786.42</v>
      </c>
      <c r="C3777" s="1542">
        <v>149.46</v>
      </c>
      <c r="D3777" s="1542">
        <v>3795.68</v>
      </c>
      <c r="E3777" s="1542">
        <v>1693.72</v>
      </c>
    </row>
    <row r="3778" spans="1:5">
      <c r="A3778" s="1541">
        <v>40239</v>
      </c>
      <c r="B3778" s="1542">
        <v>9745.51</v>
      </c>
      <c r="C3778" s="1542">
        <v>148.84</v>
      </c>
      <c r="D3778" s="1542">
        <v>3768.74</v>
      </c>
      <c r="E3778" s="1542">
        <v>1681.69</v>
      </c>
    </row>
    <row r="3779" spans="1:5">
      <c r="A3779" s="1541">
        <v>40238</v>
      </c>
      <c r="B3779" s="1542">
        <v>9720.0300000000007</v>
      </c>
      <c r="C3779" s="1542">
        <v>147.82</v>
      </c>
      <c r="D3779" s="1542">
        <v>3738.98</v>
      </c>
      <c r="E3779" s="1542">
        <v>1660.93</v>
      </c>
    </row>
    <row r="3780" spans="1:5">
      <c r="A3780" s="1541">
        <v>40237</v>
      </c>
      <c r="B3780" s="1542"/>
      <c r="C3780" s="1542"/>
      <c r="D3780" s="1542"/>
      <c r="E3780" s="1542"/>
    </row>
    <row r="3781" spans="1:5">
      <c r="A3781" s="1541">
        <v>40236</v>
      </c>
      <c r="B3781" s="1542"/>
      <c r="C3781" s="1542"/>
      <c r="D3781" s="1542"/>
      <c r="E3781" s="1542"/>
    </row>
    <row r="3782" spans="1:5">
      <c r="A3782" s="1541">
        <v>40235</v>
      </c>
      <c r="B3782" s="1542">
        <v>9538.32</v>
      </c>
      <c r="C3782" s="1542">
        <v>145.15</v>
      </c>
      <c r="D3782" s="1542">
        <v>3714.83</v>
      </c>
      <c r="E3782" s="1542">
        <v>1639.85</v>
      </c>
    </row>
    <row r="3783" spans="1:5">
      <c r="A3783" s="1541">
        <v>40234</v>
      </c>
      <c r="B3783" s="1542">
        <v>9526.61</v>
      </c>
      <c r="C3783" s="1542">
        <v>145.34</v>
      </c>
      <c r="D3783" s="1542">
        <v>3684.16</v>
      </c>
      <c r="E3783" s="1542">
        <v>1616.95</v>
      </c>
    </row>
    <row r="3784" spans="1:5">
      <c r="A3784" s="1541">
        <v>40233</v>
      </c>
      <c r="B3784" s="1542">
        <v>9658.35</v>
      </c>
      <c r="C3784" s="1542">
        <v>147.15</v>
      </c>
      <c r="D3784" s="1542">
        <v>3713.77</v>
      </c>
      <c r="E3784" s="1542">
        <v>1634.95</v>
      </c>
    </row>
    <row r="3785" spans="1:5">
      <c r="A3785" s="1541">
        <v>40232</v>
      </c>
      <c r="B3785" s="1542">
        <v>9745.2900000000009</v>
      </c>
      <c r="C3785" s="1542">
        <v>147.61000000000001</v>
      </c>
      <c r="D3785" s="1542">
        <v>3697.59</v>
      </c>
      <c r="E3785" s="1542">
        <v>1647.08</v>
      </c>
    </row>
    <row r="3786" spans="1:5">
      <c r="A3786" s="1541">
        <v>40231</v>
      </c>
      <c r="B3786" s="1542">
        <v>9697.31</v>
      </c>
      <c r="C3786" s="1542">
        <v>146.58000000000001</v>
      </c>
      <c r="D3786" s="1542">
        <v>3734.41</v>
      </c>
      <c r="E3786" s="1542">
        <v>1652.45</v>
      </c>
    </row>
    <row r="3787" spans="1:5">
      <c r="A3787" s="1541">
        <v>40230</v>
      </c>
      <c r="B3787" s="1542"/>
      <c r="C3787" s="1542"/>
      <c r="D3787" s="1542"/>
      <c r="E3787" s="1542"/>
    </row>
    <row r="3788" spans="1:5">
      <c r="A3788" s="1541">
        <v>40229</v>
      </c>
      <c r="B3788" s="1542"/>
      <c r="C3788" s="1542"/>
      <c r="D3788" s="1542"/>
      <c r="E3788" s="1542"/>
    </row>
    <row r="3789" spans="1:5">
      <c r="A3789" s="1541">
        <v>40228</v>
      </c>
      <c r="B3789" s="1542"/>
      <c r="C3789" s="1542"/>
      <c r="D3789" s="1542">
        <v>3716.59</v>
      </c>
      <c r="E3789" s="1542">
        <v>1634.7</v>
      </c>
    </row>
    <row r="3790" spans="1:5">
      <c r="A3790" s="1541">
        <v>40227</v>
      </c>
      <c r="B3790" s="1542"/>
      <c r="C3790" s="1542"/>
      <c r="D3790" s="1542">
        <v>3731</v>
      </c>
      <c r="E3790" s="1542">
        <v>1651.78</v>
      </c>
    </row>
    <row r="3791" spans="1:5">
      <c r="A3791" s="1541">
        <v>40226</v>
      </c>
      <c r="B3791" s="1542"/>
      <c r="C3791" s="1542"/>
      <c r="D3791" s="1542">
        <v>3713.99</v>
      </c>
      <c r="E3791" s="1542">
        <v>1655.22</v>
      </c>
    </row>
    <row r="3792" spans="1:5">
      <c r="A3792" s="1541">
        <v>40225</v>
      </c>
      <c r="B3792" s="1542"/>
      <c r="C3792" s="1542"/>
      <c r="D3792" s="1542">
        <v>3683.89</v>
      </c>
      <c r="E3792" s="1542">
        <v>1633.22</v>
      </c>
    </row>
    <row r="3793" spans="1:5">
      <c r="A3793" s="1541">
        <v>40224</v>
      </c>
      <c r="B3793" s="1542"/>
      <c r="C3793" s="1542"/>
      <c r="D3793" s="1542">
        <v>3626.5</v>
      </c>
      <c r="E3793" s="1542">
        <v>1619.47</v>
      </c>
    </row>
    <row r="3794" spans="1:5">
      <c r="A3794" s="1541">
        <v>40223</v>
      </c>
      <c r="B3794" s="1542"/>
      <c r="C3794" s="1542"/>
      <c r="D3794" s="1542"/>
      <c r="E3794" s="1542"/>
    </row>
    <row r="3795" spans="1:5">
      <c r="A3795" s="1541">
        <v>40222</v>
      </c>
      <c r="B3795" s="1542"/>
      <c r="C3795" s="1542"/>
      <c r="D3795" s="1542"/>
      <c r="E3795" s="1542"/>
    </row>
    <row r="3796" spans="1:5">
      <c r="A3796" s="1541">
        <v>40221</v>
      </c>
      <c r="B3796" s="1542"/>
      <c r="C3796" s="1542"/>
      <c r="D3796" s="1542">
        <v>3625.91</v>
      </c>
      <c r="E3796" s="1542">
        <v>1614.25</v>
      </c>
    </row>
    <row r="3797" spans="1:5">
      <c r="A3797" s="1541">
        <v>40220</v>
      </c>
      <c r="B3797" s="1542"/>
      <c r="C3797" s="1542"/>
      <c r="D3797" s="1542">
        <v>3628.64</v>
      </c>
      <c r="E3797" s="1542">
        <v>1616.08</v>
      </c>
    </row>
    <row r="3798" spans="1:5">
      <c r="A3798" s="1541">
        <v>40219</v>
      </c>
      <c r="B3798" s="1542">
        <v>9545.69</v>
      </c>
      <c r="C3798" s="1542">
        <v>145.38999999999999</v>
      </c>
      <c r="D3798" s="1542">
        <v>3606.04</v>
      </c>
      <c r="E3798" s="1542">
        <v>1597.76</v>
      </c>
    </row>
    <row r="3799" spans="1:5">
      <c r="A3799" s="1541">
        <v>40218</v>
      </c>
      <c r="B3799" s="1542">
        <v>9442.0499999999993</v>
      </c>
      <c r="C3799" s="1542">
        <v>142.79</v>
      </c>
      <c r="D3799" s="1542">
        <v>3603.89</v>
      </c>
      <c r="E3799" s="1542">
        <v>1591.06</v>
      </c>
    </row>
    <row r="3800" spans="1:5">
      <c r="A3800" s="1541">
        <v>40217</v>
      </c>
      <c r="B3800" s="1542">
        <v>9255.85</v>
      </c>
      <c r="C3800" s="1542">
        <v>139.16999999999999</v>
      </c>
      <c r="D3800" s="1542">
        <v>3575.81</v>
      </c>
      <c r="E3800" s="1542">
        <v>1565.47</v>
      </c>
    </row>
    <row r="3801" spans="1:5">
      <c r="A3801" s="1541">
        <v>40216</v>
      </c>
      <c r="B3801" s="1542"/>
      <c r="C3801" s="1542"/>
      <c r="D3801" s="1542"/>
      <c r="E3801" s="1542"/>
    </row>
    <row r="3802" spans="1:5">
      <c r="A3802" s="1541">
        <v>40215</v>
      </c>
      <c r="B3802" s="1542">
        <v>9251.99</v>
      </c>
      <c r="C3802" s="1542">
        <v>138.11000000000001</v>
      </c>
      <c r="D3802" s="1542"/>
      <c r="E3802" s="1542"/>
    </row>
    <row r="3803" spans="1:5">
      <c r="A3803" s="1541">
        <v>40214</v>
      </c>
      <c r="B3803" s="1542">
        <v>9258.35</v>
      </c>
      <c r="C3803" s="1542">
        <v>141.51</v>
      </c>
      <c r="D3803" s="1542">
        <v>3584.58</v>
      </c>
      <c r="E3803" s="1542">
        <v>1571.81</v>
      </c>
    </row>
    <row r="3804" spans="1:5">
      <c r="A3804" s="1541">
        <v>40213</v>
      </c>
      <c r="B3804" s="1542">
        <v>9674.2199999999993</v>
      </c>
      <c r="C3804" s="1542">
        <v>148.81</v>
      </c>
      <c r="D3804" s="1542">
        <v>3620.06</v>
      </c>
      <c r="E3804" s="1542">
        <v>1621.96</v>
      </c>
    </row>
    <row r="3805" spans="1:5">
      <c r="A3805" s="1541">
        <v>40212</v>
      </c>
      <c r="B3805" s="1542">
        <v>9681.84</v>
      </c>
      <c r="C3805" s="1542">
        <v>147.4</v>
      </c>
      <c r="D3805" s="1542">
        <v>3726.46</v>
      </c>
      <c r="E3805" s="1542">
        <v>1667.13</v>
      </c>
    </row>
    <row r="3806" spans="1:5">
      <c r="A3806" s="1541">
        <v>40211</v>
      </c>
      <c r="B3806" s="1542">
        <v>9530</v>
      </c>
      <c r="C3806" s="1542">
        <v>144.62</v>
      </c>
      <c r="D3806" s="1542">
        <v>3745.17</v>
      </c>
      <c r="E3806" s="1542">
        <v>1646.31</v>
      </c>
    </row>
    <row r="3807" spans="1:5">
      <c r="A3807" s="1541">
        <v>40210</v>
      </c>
      <c r="B3807" s="1542">
        <v>9651.94</v>
      </c>
      <c r="C3807" s="1542">
        <v>147.47</v>
      </c>
      <c r="D3807" s="1542">
        <v>3693.91</v>
      </c>
      <c r="E3807" s="1542">
        <v>1634.89</v>
      </c>
    </row>
    <row r="3808" spans="1:5">
      <c r="A3808" s="1541">
        <v>40209</v>
      </c>
      <c r="B3808" s="1542"/>
      <c r="C3808" s="1542"/>
      <c r="D3808" s="1542"/>
      <c r="E3808" s="1542"/>
    </row>
    <row r="3809" spans="1:5">
      <c r="A3809" s="1541">
        <v>40208</v>
      </c>
      <c r="B3809" s="1542"/>
      <c r="C3809" s="1542"/>
      <c r="D3809" s="1542"/>
      <c r="E3809" s="1542"/>
    </row>
    <row r="3810" spans="1:5">
      <c r="A3810" s="1541">
        <v>40207</v>
      </c>
      <c r="B3810" s="1542">
        <v>9800.44</v>
      </c>
      <c r="C3810" s="1542">
        <v>148.78</v>
      </c>
      <c r="D3810" s="1542">
        <v>3661.75</v>
      </c>
      <c r="E3810" s="1542">
        <v>1633.76</v>
      </c>
    </row>
    <row r="3811" spans="1:5">
      <c r="A3811" s="1541">
        <v>40206</v>
      </c>
      <c r="B3811" s="1542">
        <v>9869.89</v>
      </c>
      <c r="C3811" s="1542">
        <v>150.97999999999999</v>
      </c>
      <c r="D3811" s="1542">
        <v>3690.49</v>
      </c>
      <c r="E3811" s="1542">
        <v>1644.7</v>
      </c>
    </row>
    <row r="3812" spans="1:5">
      <c r="A3812" s="1541">
        <v>40205</v>
      </c>
      <c r="B3812" s="1542">
        <v>9697.2999999999993</v>
      </c>
      <c r="C3812" s="1542">
        <v>146.30000000000001</v>
      </c>
      <c r="D3812" s="1542">
        <v>3729.32</v>
      </c>
      <c r="E3812" s="1542">
        <v>1624.75</v>
      </c>
    </row>
    <row r="3813" spans="1:5">
      <c r="A3813" s="1541">
        <v>40204</v>
      </c>
      <c r="B3813" s="1542">
        <v>9747.0300000000007</v>
      </c>
      <c r="C3813" s="1542">
        <v>150.04</v>
      </c>
      <c r="D3813" s="1542">
        <v>3739.18</v>
      </c>
      <c r="E3813" s="1542">
        <v>1640.98</v>
      </c>
    </row>
    <row r="3814" spans="1:5">
      <c r="A3814" s="1541">
        <v>40203</v>
      </c>
      <c r="B3814" s="1542">
        <v>10098.719999999999</v>
      </c>
      <c r="C3814" s="1542">
        <v>158.12</v>
      </c>
      <c r="D3814" s="1542">
        <v>3757.29</v>
      </c>
      <c r="E3814" s="1542">
        <v>1677.7</v>
      </c>
    </row>
    <row r="3815" spans="1:5">
      <c r="A3815" s="1541">
        <v>40202</v>
      </c>
      <c r="B3815" s="1542"/>
      <c r="C3815" s="1542"/>
      <c r="D3815" s="1542"/>
      <c r="E3815" s="1542"/>
    </row>
    <row r="3816" spans="1:5">
      <c r="A3816" s="1541">
        <v>40201</v>
      </c>
      <c r="B3816" s="1542"/>
      <c r="C3816" s="1542"/>
      <c r="D3816" s="1542"/>
      <c r="E3816" s="1542"/>
    </row>
    <row r="3817" spans="1:5">
      <c r="A3817" s="1541">
        <v>40200</v>
      </c>
      <c r="B3817" s="1542">
        <v>10168.41</v>
      </c>
      <c r="C3817" s="1542">
        <v>160.66</v>
      </c>
      <c r="D3817" s="1542">
        <v>3760.23</v>
      </c>
      <c r="E3817" s="1542">
        <v>1686.08</v>
      </c>
    </row>
    <row r="3818" spans="1:5">
      <c r="A3818" s="1541">
        <v>40199</v>
      </c>
      <c r="B3818" s="1542">
        <v>10425.66</v>
      </c>
      <c r="C3818" s="1542">
        <v>164.17</v>
      </c>
      <c r="D3818" s="1542">
        <v>3815.78</v>
      </c>
      <c r="E3818" s="1542">
        <v>1716.26</v>
      </c>
    </row>
    <row r="3819" spans="1:5">
      <c r="A3819" s="1541">
        <v>40198</v>
      </c>
      <c r="B3819" s="1542">
        <v>10545.03</v>
      </c>
      <c r="C3819" s="1542">
        <v>167.14</v>
      </c>
      <c r="D3819" s="1542">
        <v>3873.15</v>
      </c>
      <c r="E3819" s="1542">
        <v>1744.6</v>
      </c>
    </row>
    <row r="3820" spans="1:5">
      <c r="A3820" s="1541">
        <v>40197</v>
      </c>
      <c r="B3820" s="1542">
        <v>10581.04</v>
      </c>
      <c r="C3820" s="1542">
        <v>167.31</v>
      </c>
      <c r="D3820" s="1542">
        <v>3934.34</v>
      </c>
      <c r="E3820" s="1542">
        <v>1772.44</v>
      </c>
    </row>
    <row r="3821" spans="1:5">
      <c r="A3821" s="1541">
        <v>40196</v>
      </c>
      <c r="B3821" s="1542">
        <v>10694.97</v>
      </c>
      <c r="C3821" s="1542">
        <v>169.03</v>
      </c>
      <c r="D3821" s="1542">
        <v>3917.63</v>
      </c>
      <c r="E3821" s="1542">
        <v>1770.92</v>
      </c>
    </row>
    <row r="3822" spans="1:5">
      <c r="A3822" s="1541">
        <v>40195</v>
      </c>
      <c r="B3822" s="1542"/>
      <c r="C3822" s="1542"/>
      <c r="D3822" s="1542"/>
      <c r="E3822" s="1542"/>
    </row>
    <row r="3823" spans="1:5">
      <c r="A3823" s="1541">
        <v>40194</v>
      </c>
      <c r="B3823" s="1542"/>
      <c r="C3823" s="1542"/>
      <c r="D3823" s="1542"/>
      <c r="E3823" s="1542"/>
    </row>
    <row r="3824" spans="1:5">
      <c r="A3824" s="1541">
        <v>40193</v>
      </c>
      <c r="B3824" s="1542">
        <v>10719.43</v>
      </c>
      <c r="C3824" s="1542">
        <v>168.48</v>
      </c>
      <c r="D3824" s="1542">
        <v>3909.24</v>
      </c>
      <c r="E3824" s="1542">
        <v>1767.77</v>
      </c>
    </row>
    <row r="3825" spans="1:5">
      <c r="A3825" s="1541">
        <v>40192</v>
      </c>
      <c r="B3825" s="1542">
        <v>10633.6</v>
      </c>
      <c r="C3825" s="1542">
        <v>167.43</v>
      </c>
      <c r="D3825" s="1542">
        <v>3949.43</v>
      </c>
      <c r="E3825" s="1542">
        <v>1771.93</v>
      </c>
    </row>
    <row r="3826" spans="1:5">
      <c r="A3826" s="1541">
        <v>40191</v>
      </c>
      <c r="B3826" s="1542">
        <v>10513.77</v>
      </c>
      <c r="C3826" s="1542">
        <v>164.69</v>
      </c>
      <c r="D3826" s="1542">
        <v>3928.58</v>
      </c>
      <c r="E3826" s="1542">
        <v>1769.84</v>
      </c>
    </row>
    <row r="3827" spans="1:5">
      <c r="A3827" s="1541">
        <v>40190</v>
      </c>
      <c r="B3827" s="1542">
        <v>10658.48</v>
      </c>
      <c r="C3827" s="1542">
        <v>165.56</v>
      </c>
      <c r="D3827" s="1542">
        <v>3920.95</v>
      </c>
      <c r="E3827" s="1542">
        <v>1785.72</v>
      </c>
    </row>
    <row r="3828" spans="1:5">
      <c r="A3828" s="1541">
        <v>40189</v>
      </c>
      <c r="B3828" s="1542">
        <v>10677.01</v>
      </c>
      <c r="C3828" s="1542">
        <v>164.23</v>
      </c>
      <c r="D3828" s="1542">
        <v>3946.66</v>
      </c>
      <c r="E3828" s="1542">
        <v>1797.76</v>
      </c>
    </row>
    <row r="3829" spans="1:5">
      <c r="A3829" s="1541">
        <v>40188</v>
      </c>
      <c r="B3829" s="1542"/>
      <c r="C3829" s="1542"/>
      <c r="D3829" s="1542"/>
      <c r="E3829" s="1542"/>
    </row>
    <row r="3830" spans="1:5">
      <c r="A3830" s="1541">
        <v>40187</v>
      </c>
      <c r="B3830" s="1542"/>
      <c r="C3830" s="1542"/>
      <c r="D3830" s="1542"/>
      <c r="E3830" s="1542"/>
    </row>
    <row r="3831" spans="1:5">
      <c r="A3831" s="1541">
        <v>40186</v>
      </c>
      <c r="B3831" s="1542">
        <v>10621.96</v>
      </c>
      <c r="C3831" s="1542">
        <v>162.96</v>
      </c>
      <c r="D3831" s="1542">
        <v>3917.34</v>
      </c>
      <c r="E3831" s="1542">
        <v>1777.28</v>
      </c>
    </row>
    <row r="3832" spans="1:5">
      <c r="A3832" s="1541">
        <v>40185</v>
      </c>
      <c r="B3832" s="1542">
        <v>10566.19</v>
      </c>
      <c r="C3832" s="1542">
        <v>162.32</v>
      </c>
      <c r="D3832" s="1542">
        <v>3899.83</v>
      </c>
      <c r="E3832" s="1542">
        <v>1773.8</v>
      </c>
    </row>
    <row r="3833" spans="1:5">
      <c r="A3833" s="1541">
        <v>40184</v>
      </c>
      <c r="B3833" s="1542">
        <v>10681.89</v>
      </c>
      <c r="C3833" s="1542">
        <v>165.47</v>
      </c>
      <c r="D3833" s="1542">
        <v>3901.75</v>
      </c>
      <c r="E3833" s="1542">
        <v>1786.61</v>
      </c>
    </row>
    <row r="3834" spans="1:5">
      <c r="A3834" s="1541">
        <v>40183</v>
      </c>
      <c r="B3834" s="1542">
        <v>10532.82</v>
      </c>
      <c r="C3834" s="1542">
        <v>165.31</v>
      </c>
      <c r="D3834" s="1542">
        <v>3898.87</v>
      </c>
      <c r="E3834" s="1542">
        <v>1775.26</v>
      </c>
    </row>
    <row r="3835" spans="1:5">
      <c r="A3835" s="1541">
        <v>40182</v>
      </c>
      <c r="B3835" s="1542">
        <v>10528.26</v>
      </c>
      <c r="C3835" s="1542">
        <v>168.1</v>
      </c>
      <c r="D3835" s="1542">
        <v>3887.44</v>
      </c>
      <c r="E3835" s="1542">
        <v>1756.45</v>
      </c>
    </row>
    <row r="3836" spans="1:5">
      <c r="A3836" s="1541">
        <v>40181</v>
      </c>
      <c r="B3836" s="1542"/>
      <c r="C3836" s="1542"/>
      <c r="D3836" s="1542"/>
      <c r="E3836" s="1542"/>
    </row>
    <row r="3837" spans="1:5">
      <c r="A3837" s="1541">
        <v>40180</v>
      </c>
      <c r="B3837" s="1542"/>
      <c r="C3837" s="1542"/>
      <c r="D3837" s="1542"/>
      <c r="E3837" s="1542"/>
    </row>
    <row r="3838" spans="1:5">
      <c r="A3838" s="1541">
        <v>40179</v>
      </c>
      <c r="B3838" s="1542"/>
      <c r="C3838" s="1542"/>
      <c r="D3838" s="1542">
        <v>3818.86</v>
      </c>
      <c r="E3838" s="1542">
        <v>1729.96</v>
      </c>
    </row>
    <row r="3839" spans="1:5">
      <c r="A3839" s="1541">
        <v>40178</v>
      </c>
      <c r="B3839" s="1542">
        <v>10502.93</v>
      </c>
      <c r="C3839" s="1542">
        <v>168.77</v>
      </c>
      <c r="D3839" s="1542">
        <v>3818.86</v>
      </c>
      <c r="E3839" s="1542">
        <v>1729.96</v>
      </c>
    </row>
    <row r="3840" spans="1:5">
      <c r="A3840" s="1541">
        <v>40177</v>
      </c>
      <c r="B3840" s="1542">
        <v>10405.67</v>
      </c>
      <c r="C3840" s="1542">
        <v>166.27</v>
      </c>
      <c r="D3840" s="1542">
        <v>3827.98</v>
      </c>
      <c r="E3840" s="1542">
        <v>1714.47</v>
      </c>
    </row>
    <row r="3841" spans="1:5">
      <c r="A3841" s="1541">
        <v>40176</v>
      </c>
      <c r="B3841" s="1542">
        <v>10330.69</v>
      </c>
      <c r="C3841" s="1542">
        <v>163.71</v>
      </c>
      <c r="D3841" s="1542">
        <v>3849.49</v>
      </c>
      <c r="E3841" s="1542">
        <v>1714.29</v>
      </c>
    </row>
    <row r="3842" spans="1:5">
      <c r="A3842" s="1541">
        <v>40175</v>
      </c>
      <c r="B3842" s="1542">
        <v>10335.39</v>
      </c>
      <c r="C3842" s="1542">
        <v>161.97</v>
      </c>
      <c r="D3842" s="1542">
        <v>3843.77</v>
      </c>
      <c r="E3842" s="1542">
        <v>1715.13</v>
      </c>
    </row>
    <row r="3843" spans="1:5">
      <c r="A3843" s="1541">
        <v>40174</v>
      </c>
      <c r="B3843" s="1542"/>
      <c r="C3843" s="1542"/>
      <c r="D3843" s="1542"/>
      <c r="E3843" s="1542"/>
    </row>
    <row r="3844" spans="1:5">
      <c r="A3844" s="1541">
        <v>40173</v>
      </c>
      <c r="B3844" s="1542"/>
      <c r="C3844" s="1542"/>
      <c r="D3844" s="1542"/>
      <c r="E3844" s="1542"/>
    </row>
    <row r="3845" spans="1:5">
      <c r="A3845" s="1541">
        <v>40172</v>
      </c>
      <c r="B3845" s="1542">
        <v>10226.49</v>
      </c>
      <c r="C3845" s="1542">
        <v>160.35</v>
      </c>
      <c r="D3845" s="1542">
        <v>3827.47</v>
      </c>
      <c r="E3845" s="1542">
        <v>1702.98</v>
      </c>
    </row>
    <row r="3846" spans="1:5">
      <c r="A3846" s="1541">
        <v>40171</v>
      </c>
      <c r="B3846" s="1542">
        <v>10214.870000000001</v>
      </c>
      <c r="C3846" s="1542">
        <v>159.58000000000001</v>
      </c>
      <c r="D3846" s="1542">
        <v>3829.46</v>
      </c>
      <c r="E3846" s="1542">
        <v>1702.4</v>
      </c>
    </row>
    <row r="3847" spans="1:5">
      <c r="A3847" s="1541">
        <v>40170</v>
      </c>
      <c r="B3847" s="1542">
        <v>10135.290000000001</v>
      </c>
      <c r="C3847" s="1542">
        <v>159.06</v>
      </c>
      <c r="D3847" s="1542">
        <v>3810.3</v>
      </c>
      <c r="E3847" s="1542">
        <v>1685.86</v>
      </c>
    </row>
    <row r="3848" spans="1:5">
      <c r="A3848" s="1541">
        <v>40169</v>
      </c>
      <c r="B3848" s="1542">
        <v>10076.93</v>
      </c>
      <c r="C3848" s="1542">
        <v>157.28</v>
      </c>
      <c r="D3848" s="1542">
        <v>3786.71</v>
      </c>
      <c r="E3848" s="1542">
        <v>1667.52</v>
      </c>
    </row>
    <row r="3849" spans="1:5">
      <c r="A3849" s="1541">
        <v>40168</v>
      </c>
      <c r="B3849" s="1542">
        <v>9988.7800000000007</v>
      </c>
      <c r="C3849" s="1542">
        <v>155.62</v>
      </c>
      <c r="D3849" s="1542">
        <v>3775</v>
      </c>
      <c r="E3849" s="1542">
        <v>1654.28</v>
      </c>
    </row>
    <row r="3850" spans="1:5">
      <c r="A3850" s="1541">
        <v>40167</v>
      </c>
      <c r="B3850" s="1542"/>
      <c r="C3850" s="1542"/>
      <c r="D3850" s="1542"/>
      <c r="E3850" s="1542"/>
    </row>
    <row r="3851" spans="1:5">
      <c r="A3851" s="1541">
        <v>40166</v>
      </c>
      <c r="B3851" s="1542"/>
      <c r="C3851" s="1542"/>
      <c r="D3851" s="1542"/>
      <c r="E3851" s="1542"/>
    </row>
    <row r="3852" spans="1:5">
      <c r="A3852" s="1541">
        <v>40165</v>
      </c>
      <c r="B3852" s="1542">
        <v>9945.6299999999992</v>
      </c>
      <c r="C3852" s="1542">
        <v>154.83000000000001</v>
      </c>
      <c r="D3852" s="1542">
        <v>3736.85</v>
      </c>
      <c r="E3852" s="1542">
        <v>1660.56</v>
      </c>
    </row>
    <row r="3853" spans="1:5">
      <c r="A3853" s="1541">
        <v>40164</v>
      </c>
      <c r="B3853" s="1542">
        <v>9930.92</v>
      </c>
      <c r="C3853" s="1542">
        <v>155.12</v>
      </c>
      <c r="D3853" s="1542">
        <v>3740.89</v>
      </c>
      <c r="E3853" s="1542">
        <v>1668.76</v>
      </c>
    </row>
    <row r="3854" spans="1:5">
      <c r="A3854" s="1541">
        <v>40163</v>
      </c>
      <c r="B3854" s="1542">
        <v>9943.02</v>
      </c>
      <c r="C3854" s="1542">
        <v>157.27000000000001</v>
      </c>
      <c r="D3854" s="1542">
        <v>3807.15</v>
      </c>
      <c r="E3854" s="1542">
        <v>1700.89</v>
      </c>
    </row>
    <row r="3855" spans="1:5">
      <c r="A3855" s="1541">
        <v>40162</v>
      </c>
      <c r="B3855" s="1542">
        <v>10014.879999999999</v>
      </c>
      <c r="C3855" s="1542">
        <v>156.82</v>
      </c>
      <c r="D3855" s="1542">
        <v>3781.39</v>
      </c>
      <c r="E3855" s="1542">
        <v>1703.67</v>
      </c>
    </row>
    <row r="3856" spans="1:5">
      <c r="A3856" s="1541">
        <v>40161</v>
      </c>
      <c r="B3856" s="1542">
        <v>10029.64</v>
      </c>
      <c r="C3856" s="1542">
        <v>156.30000000000001</v>
      </c>
      <c r="D3856" s="1542">
        <v>3804.06</v>
      </c>
      <c r="E3856" s="1542">
        <v>1711.01</v>
      </c>
    </row>
    <row r="3857" spans="1:5">
      <c r="A3857" s="1541">
        <v>40160</v>
      </c>
      <c r="B3857" s="1542"/>
      <c r="C3857" s="1542"/>
      <c r="D3857" s="1542"/>
      <c r="E3857" s="1542"/>
    </row>
    <row r="3858" spans="1:5">
      <c r="A3858" s="1541">
        <v>40159</v>
      </c>
      <c r="B3858" s="1542"/>
      <c r="C3858" s="1542"/>
      <c r="D3858" s="1542"/>
      <c r="E3858" s="1542"/>
    </row>
    <row r="3859" spans="1:5">
      <c r="A3859" s="1541">
        <v>40158</v>
      </c>
      <c r="B3859" s="1542">
        <v>9998.7800000000007</v>
      </c>
      <c r="C3859" s="1542">
        <v>155.62</v>
      </c>
      <c r="D3859" s="1542">
        <v>3773.49</v>
      </c>
      <c r="E3859" s="1542">
        <v>1699.58</v>
      </c>
    </row>
    <row r="3860" spans="1:5">
      <c r="A3860" s="1541">
        <v>40157</v>
      </c>
      <c r="B3860" s="1542">
        <v>9848.5</v>
      </c>
      <c r="C3860" s="1542">
        <v>152.19</v>
      </c>
      <c r="D3860" s="1542">
        <v>3768.33</v>
      </c>
      <c r="E3860" s="1542">
        <v>1686.32</v>
      </c>
    </row>
    <row r="3861" spans="1:5">
      <c r="A3861" s="1541">
        <v>40156</v>
      </c>
      <c r="B3861" s="1542">
        <v>10001.799999999999</v>
      </c>
      <c r="C3861" s="1542">
        <v>154.94999999999999</v>
      </c>
      <c r="D3861" s="1542">
        <v>3751.37</v>
      </c>
      <c r="E3861" s="1542">
        <v>1681.65</v>
      </c>
    </row>
    <row r="3862" spans="1:5">
      <c r="A3862" s="1541">
        <v>40155</v>
      </c>
      <c r="B3862" s="1542">
        <v>9964.9699999999993</v>
      </c>
      <c r="C3862" s="1542">
        <v>152.80000000000001</v>
      </c>
      <c r="D3862" s="1542">
        <v>3759.04</v>
      </c>
      <c r="E3862" s="1542">
        <v>1693.16</v>
      </c>
    </row>
    <row r="3863" spans="1:5">
      <c r="A3863" s="1541">
        <v>40154</v>
      </c>
      <c r="B3863" s="1542">
        <v>9973.85</v>
      </c>
      <c r="C3863" s="1542">
        <v>152.22</v>
      </c>
      <c r="D3863" s="1542">
        <v>3804.31</v>
      </c>
      <c r="E3863" s="1542">
        <v>1712.58</v>
      </c>
    </row>
    <row r="3864" spans="1:5">
      <c r="A3864" s="1541">
        <v>40153</v>
      </c>
      <c r="B3864" s="1542"/>
      <c r="C3864" s="1542"/>
      <c r="D3864" s="1542"/>
      <c r="E3864" s="1542"/>
    </row>
    <row r="3865" spans="1:5">
      <c r="A3865" s="1541">
        <v>40152</v>
      </c>
      <c r="B3865" s="1542"/>
      <c r="C3865" s="1542"/>
      <c r="D3865" s="1542"/>
      <c r="E3865" s="1542"/>
    </row>
    <row r="3866" spans="1:5">
      <c r="A3866" s="1541">
        <v>40151</v>
      </c>
      <c r="B3866" s="1542">
        <v>9813.86</v>
      </c>
      <c r="C3866" s="1542">
        <v>148.34</v>
      </c>
      <c r="D3866" s="1542">
        <v>3815.91</v>
      </c>
      <c r="E3866" s="1542">
        <v>1717.07</v>
      </c>
    </row>
    <row r="3867" spans="1:5">
      <c r="A3867" s="1541">
        <v>40150</v>
      </c>
      <c r="B3867" s="1542">
        <v>9857.17</v>
      </c>
      <c r="C3867" s="1542">
        <v>148.07</v>
      </c>
      <c r="D3867" s="1542">
        <v>3821.33</v>
      </c>
      <c r="E3867" s="1542">
        <v>1721.83</v>
      </c>
    </row>
    <row r="3868" spans="1:5">
      <c r="A3868" s="1541">
        <v>40149</v>
      </c>
      <c r="B3868" s="1542">
        <v>9848.1200000000008</v>
      </c>
      <c r="C3868" s="1542">
        <v>148.18</v>
      </c>
      <c r="D3868" s="1542">
        <v>3832.07</v>
      </c>
      <c r="E3868" s="1542">
        <v>1713.82</v>
      </c>
    </row>
    <row r="3869" spans="1:5">
      <c r="A3869" s="1541">
        <v>40148</v>
      </c>
      <c r="B3869" s="1542">
        <v>9811.7099999999991</v>
      </c>
      <c r="C3869" s="1542">
        <v>147.06</v>
      </c>
      <c r="D3869" s="1542">
        <v>3825.32</v>
      </c>
      <c r="E3869" s="1542">
        <v>1699.32</v>
      </c>
    </row>
    <row r="3870" spans="1:5">
      <c r="A3870" s="1541">
        <v>40147</v>
      </c>
      <c r="B3870" s="1542">
        <v>9725.74</v>
      </c>
      <c r="C3870" s="1542">
        <v>145.35</v>
      </c>
      <c r="D3870" s="1542">
        <v>3750.31</v>
      </c>
      <c r="E3870" s="1542">
        <v>1664.04</v>
      </c>
    </row>
    <row r="3871" spans="1:5">
      <c r="A3871" s="1541">
        <v>40146</v>
      </c>
      <c r="B3871" s="1542"/>
      <c r="C3871" s="1542"/>
      <c r="D3871" s="1542"/>
      <c r="E3871" s="1542"/>
    </row>
    <row r="3872" spans="1:5">
      <c r="A3872" s="1541">
        <v>40145</v>
      </c>
      <c r="B3872" s="1542"/>
      <c r="C3872" s="1542"/>
      <c r="D3872" s="1542"/>
      <c r="E3872" s="1542"/>
    </row>
    <row r="3873" spans="1:5">
      <c r="A3873" s="1541">
        <v>40144</v>
      </c>
      <c r="B3873" s="1542">
        <v>9608.6299999999992</v>
      </c>
      <c r="C3873" s="1542">
        <v>142.86000000000001</v>
      </c>
      <c r="D3873" s="1542">
        <v>3735.59</v>
      </c>
      <c r="E3873" s="1542">
        <v>1642.74</v>
      </c>
    </row>
    <row r="3874" spans="1:5">
      <c r="A3874" s="1541">
        <v>40143</v>
      </c>
      <c r="B3874" s="1542">
        <v>9927.07</v>
      </c>
      <c r="C3874" s="1542">
        <v>146.91</v>
      </c>
      <c r="D3874" s="1542">
        <v>3768.7</v>
      </c>
      <c r="E3874" s="1542">
        <v>1672.37</v>
      </c>
    </row>
    <row r="3875" spans="1:5">
      <c r="A3875" s="1541">
        <v>40142</v>
      </c>
      <c r="B3875" s="1542">
        <v>9949.06</v>
      </c>
      <c r="C3875" s="1542">
        <v>146.47</v>
      </c>
      <c r="D3875" s="1542">
        <v>3820.27</v>
      </c>
      <c r="E3875" s="1542">
        <v>1708.42</v>
      </c>
    </row>
    <row r="3876" spans="1:5">
      <c r="A3876" s="1541">
        <v>40141</v>
      </c>
      <c r="B3876" s="1542">
        <v>9895.51</v>
      </c>
      <c r="C3876" s="1542">
        <v>146.72999999999999</v>
      </c>
      <c r="D3876" s="1542">
        <v>3785.43</v>
      </c>
      <c r="E3876" s="1542">
        <v>1697.11</v>
      </c>
    </row>
    <row r="3877" spans="1:5">
      <c r="A3877" s="1541">
        <v>40140</v>
      </c>
      <c r="B3877" s="1542">
        <v>9860.35</v>
      </c>
      <c r="C3877" s="1542">
        <v>146.41</v>
      </c>
      <c r="D3877" s="1542">
        <v>3803.85</v>
      </c>
      <c r="E3877" s="1542">
        <v>1705.86</v>
      </c>
    </row>
    <row r="3878" spans="1:5">
      <c r="A3878" s="1541">
        <v>40139</v>
      </c>
      <c r="B3878" s="1542"/>
      <c r="C3878" s="1542"/>
      <c r="D3878" s="1542"/>
      <c r="E3878" s="1542"/>
    </row>
    <row r="3879" spans="1:5">
      <c r="A3879" s="1541">
        <v>40138</v>
      </c>
      <c r="B3879" s="1542"/>
      <c r="C3879" s="1542"/>
      <c r="D3879" s="1542"/>
      <c r="E3879" s="1542"/>
    </row>
    <row r="3880" spans="1:5">
      <c r="A3880" s="1541">
        <v>40137</v>
      </c>
      <c r="B3880" s="1542">
        <v>9854.99</v>
      </c>
      <c r="C3880" s="1542">
        <v>146.22999999999999</v>
      </c>
      <c r="D3880" s="1542">
        <v>3737.84</v>
      </c>
      <c r="E3880" s="1542">
        <v>1684.65</v>
      </c>
    </row>
    <row r="3881" spans="1:5">
      <c r="A3881" s="1541">
        <v>40136</v>
      </c>
      <c r="B3881" s="1542">
        <v>9953.7800000000007</v>
      </c>
      <c r="C3881" s="1542">
        <v>146.15</v>
      </c>
      <c r="D3881" s="1542">
        <v>3757.92</v>
      </c>
      <c r="E3881" s="1542">
        <v>1690.53</v>
      </c>
    </row>
    <row r="3882" spans="1:5">
      <c r="A3882" s="1541">
        <v>40135</v>
      </c>
      <c r="B3882" s="1542">
        <v>9962.3700000000008</v>
      </c>
      <c r="C3882" s="1542">
        <v>144.31</v>
      </c>
      <c r="D3882" s="1542">
        <v>3821.72</v>
      </c>
      <c r="E3882" s="1542">
        <v>1713.79</v>
      </c>
    </row>
    <row r="3883" spans="1:5">
      <c r="A3883" s="1541">
        <v>40134</v>
      </c>
      <c r="B3883" s="1542">
        <v>9919.43</v>
      </c>
      <c r="C3883" s="1542">
        <v>141.83000000000001</v>
      </c>
      <c r="D3883" s="1542">
        <v>3813.95</v>
      </c>
      <c r="E3883" s="1542">
        <v>1711.35</v>
      </c>
    </row>
    <row r="3884" spans="1:5">
      <c r="A3884" s="1541">
        <v>40133</v>
      </c>
      <c r="B3884" s="1542">
        <v>9995.7000000000007</v>
      </c>
      <c r="C3884" s="1542">
        <v>143.72</v>
      </c>
      <c r="D3884" s="1542">
        <v>3832.76</v>
      </c>
      <c r="E3884" s="1542">
        <v>1714.83</v>
      </c>
    </row>
    <row r="3885" spans="1:5">
      <c r="A3885" s="1541">
        <v>40132</v>
      </c>
      <c r="B3885" s="1542"/>
      <c r="C3885" s="1542"/>
      <c r="D3885" s="1542"/>
      <c r="E3885" s="1542"/>
    </row>
    <row r="3886" spans="1:5">
      <c r="A3886" s="1541">
        <v>40131</v>
      </c>
      <c r="B3886" s="1542"/>
      <c r="C3886" s="1542"/>
      <c r="D3886" s="1542"/>
      <c r="E3886" s="1542"/>
    </row>
    <row r="3887" spans="1:5">
      <c r="A3887" s="1541">
        <v>40130</v>
      </c>
      <c r="B3887" s="1542">
        <v>9832.73</v>
      </c>
      <c r="C3887" s="1542">
        <v>141.83000000000001</v>
      </c>
      <c r="D3887" s="1542">
        <v>3776.45</v>
      </c>
      <c r="E3887" s="1542">
        <v>1680.05</v>
      </c>
    </row>
    <row r="3888" spans="1:5">
      <c r="A3888" s="1541">
        <v>40129</v>
      </c>
      <c r="B3888" s="1542">
        <v>9839.5400000000009</v>
      </c>
      <c r="C3888" s="1542">
        <v>141.68</v>
      </c>
      <c r="D3888" s="1542">
        <v>3756.75</v>
      </c>
      <c r="E3888" s="1542">
        <v>1673.59</v>
      </c>
    </row>
    <row r="3889" spans="1:5">
      <c r="A3889" s="1541">
        <v>40128</v>
      </c>
      <c r="B3889" s="1542">
        <v>9835.86</v>
      </c>
      <c r="C3889" s="1542">
        <v>141.26</v>
      </c>
      <c r="D3889" s="1542">
        <v>3788.04</v>
      </c>
      <c r="E3889" s="1542">
        <v>1696.56</v>
      </c>
    </row>
    <row r="3890" spans="1:5">
      <c r="A3890" s="1541">
        <v>40127</v>
      </c>
      <c r="B3890" s="1542">
        <v>9740.2000000000007</v>
      </c>
      <c r="C3890" s="1542">
        <v>140.71</v>
      </c>
      <c r="D3890" s="1542">
        <v>3769.6</v>
      </c>
      <c r="E3890" s="1542">
        <v>1680.85</v>
      </c>
    </row>
    <row r="3891" spans="1:5">
      <c r="A3891" s="1541">
        <v>40126</v>
      </c>
      <c r="B3891" s="1542">
        <v>9667.36</v>
      </c>
      <c r="C3891" s="1542">
        <v>139.91999999999999</v>
      </c>
      <c r="D3891" s="1542">
        <v>3771.97</v>
      </c>
      <c r="E3891" s="1542">
        <v>1674.85</v>
      </c>
    </row>
    <row r="3892" spans="1:5">
      <c r="A3892" s="1541">
        <v>40125</v>
      </c>
      <c r="B3892" s="1542"/>
      <c r="C3892" s="1542"/>
      <c r="D3892" s="1542"/>
      <c r="E3892" s="1542"/>
    </row>
    <row r="3893" spans="1:5">
      <c r="A3893" s="1541">
        <v>40124</v>
      </c>
      <c r="B3893" s="1542"/>
      <c r="C3893" s="1542"/>
      <c r="D3893" s="1542"/>
      <c r="E3893" s="1542"/>
    </row>
    <row r="3894" spans="1:5">
      <c r="A3894" s="1541">
        <v>40123</v>
      </c>
      <c r="B3894" s="1542">
        <v>9572.89</v>
      </c>
      <c r="C3894" s="1542">
        <v>139.72999999999999</v>
      </c>
      <c r="D3894" s="1542">
        <v>3688.05</v>
      </c>
      <c r="E3894" s="1542">
        <v>1634.12</v>
      </c>
    </row>
    <row r="3895" spans="1:5">
      <c r="A3895" s="1541">
        <v>40122</v>
      </c>
      <c r="B3895" s="1542">
        <v>9514.4</v>
      </c>
      <c r="C3895" s="1542">
        <v>139.77000000000001</v>
      </c>
      <c r="D3895" s="1542">
        <v>3675.32</v>
      </c>
      <c r="E3895" s="1542">
        <v>1623.15</v>
      </c>
    </row>
    <row r="3896" spans="1:5">
      <c r="A3896" s="1541">
        <v>40121</v>
      </c>
      <c r="B3896" s="1542">
        <v>9578</v>
      </c>
      <c r="C3896" s="1542">
        <v>140.5</v>
      </c>
      <c r="D3896" s="1542">
        <v>3632.56</v>
      </c>
      <c r="E3896" s="1542">
        <v>1616.25</v>
      </c>
    </row>
    <row r="3897" spans="1:5">
      <c r="A3897" s="1541">
        <v>40120</v>
      </c>
      <c r="B3897" s="1542">
        <v>9393.15</v>
      </c>
      <c r="C3897" s="1542">
        <v>136.77000000000001</v>
      </c>
      <c r="D3897" s="1542">
        <v>3594.61</v>
      </c>
      <c r="E3897" s="1542">
        <v>1576.67</v>
      </c>
    </row>
    <row r="3898" spans="1:5">
      <c r="A3898" s="1541">
        <v>40119</v>
      </c>
      <c r="B3898" s="1542">
        <v>9408.8700000000008</v>
      </c>
      <c r="C3898" s="1542">
        <v>135.37</v>
      </c>
      <c r="D3898" s="1542">
        <v>3611.39</v>
      </c>
      <c r="E3898" s="1542">
        <v>1590.03</v>
      </c>
    </row>
    <row r="3899" spans="1:5">
      <c r="A3899" s="1541">
        <v>40118</v>
      </c>
      <c r="B3899" s="1542"/>
      <c r="C3899" s="1542"/>
      <c r="D3899" s="1542"/>
      <c r="E3899" s="1542"/>
    </row>
    <row r="3900" spans="1:5">
      <c r="A3900" s="1541">
        <v>40117</v>
      </c>
      <c r="B3900" s="1542"/>
      <c r="C3900" s="1542"/>
      <c r="D3900" s="1542"/>
      <c r="E3900" s="1542"/>
    </row>
    <row r="3901" spans="1:5">
      <c r="A3901" s="1541">
        <v>40116</v>
      </c>
      <c r="B3901" s="1542">
        <v>9415.16</v>
      </c>
      <c r="C3901" s="1542">
        <v>135.99</v>
      </c>
      <c r="D3901" s="1542">
        <v>3601.32</v>
      </c>
      <c r="E3901" s="1542">
        <v>1595.43</v>
      </c>
    </row>
    <row r="3902" spans="1:5">
      <c r="A3902" s="1541">
        <v>40115</v>
      </c>
      <c r="B3902" s="1542">
        <v>9435.17</v>
      </c>
      <c r="C3902" s="1542">
        <v>136.56</v>
      </c>
      <c r="D3902" s="1542">
        <v>3671.79</v>
      </c>
      <c r="E3902" s="1542">
        <v>1607.71</v>
      </c>
    </row>
    <row r="3903" spans="1:5">
      <c r="A3903" s="1541">
        <v>40114</v>
      </c>
      <c r="B3903" s="1542">
        <v>9663.83</v>
      </c>
      <c r="C3903" s="1542">
        <v>141.11000000000001</v>
      </c>
      <c r="D3903" s="1542">
        <v>3610.32</v>
      </c>
      <c r="E3903" s="1542">
        <v>1599.5</v>
      </c>
    </row>
    <row r="3904" spans="1:5">
      <c r="A3904" s="1541">
        <v>40113</v>
      </c>
      <c r="B3904" s="1542">
        <v>9822.11</v>
      </c>
      <c r="C3904" s="1542">
        <v>143.49</v>
      </c>
      <c r="D3904" s="1542">
        <v>3683.12</v>
      </c>
      <c r="E3904" s="1542">
        <v>1652.33</v>
      </c>
    </row>
    <row r="3905" spans="1:5">
      <c r="A3905" s="1541">
        <v>40112</v>
      </c>
      <c r="B3905" s="1542">
        <v>9836.2900000000009</v>
      </c>
      <c r="C3905" s="1542">
        <v>143.83000000000001</v>
      </c>
      <c r="D3905" s="1542">
        <v>3710.51</v>
      </c>
      <c r="E3905" s="1542">
        <v>1686.3</v>
      </c>
    </row>
    <row r="3906" spans="1:5">
      <c r="A3906" s="1541">
        <v>40111</v>
      </c>
      <c r="B3906" s="1542"/>
      <c r="C3906" s="1542"/>
      <c r="D3906" s="1542"/>
      <c r="E3906" s="1542"/>
    </row>
    <row r="3907" spans="1:5">
      <c r="A3907" s="1541">
        <v>40110</v>
      </c>
      <c r="B3907" s="1542"/>
      <c r="C3907" s="1542"/>
      <c r="D3907" s="1542"/>
      <c r="E3907" s="1542"/>
    </row>
    <row r="3908" spans="1:5">
      <c r="A3908" s="1541">
        <v>40109</v>
      </c>
      <c r="B3908" s="1542">
        <v>9811.74</v>
      </c>
      <c r="C3908" s="1542">
        <v>144.5</v>
      </c>
      <c r="D3908" s="1542">
        <v>3754.62</v>
      </c>
      <c r="E3908" s="1542">
        <v>1688.97</v>
      </c>
    </row>
    <row r="3909" spans="1:5">
      <c r="A3909" s="1541">
        <v>40108</v>
      </c>
      <c r="B3909" s="1542">
        <v>9758.7000000000007</v>
      </c>
      <c r="C3909" s="1542">
        <v>143.76</v>
      </c>
      <c r="D3909" s="1542">
        <v>3787.43</v>
      </c>
      <c r="E3909" s="1542">
        <v>1677.63</v>
      </c>
    </row>
    <row r="3910" spans="1:5">
      <c r="A3910" s="1541">
        <v>40107</v>
      </c>
      <c r="B3910" s="1542">
        <v>9878.7199999999993</v>
      </c>
      <c r="C3910" s="1542">
        <v>145.85</v>
      </c>
      <c r="D3910" s="1542">
        <v>3787.23</v>
      </c>
      <c r="E3910" s="1542">
        <v>1689.53</v>
      </c>
    </row>
    <row r="3911" spans="1:5">
      <c r="A3911" s="1541">
        <v>40106</v>
      </c>
      <c r="B3911" s="1542">
        <v>9945.44</v>
      </c>
      <c r="C3911" s="1542">
        <v>146.27000000000001</v>
      </c>
      <c r="D3911" s="1542">
        <v>3795.05</v>
      </c>
      <c r="E3911" s="1542">
        <v>1696.36</v>
      </c>
    </row>
    <row r="3912" spans="1:5">
      <c r="A3912" s="1541">
        <v>40105</v>
      </c>
      <c r="B3912" s="1542">
        <v>9942.6299999999992</v>
      </c>
      <c r="C3912" s="1542">
        <v>146.11000000000001</v>
      </c>
      <c r="D3912" s="1542">
        <v>3810</v>
      </c>
      <c r="E3912" s="1542">
        <v>1704.7</v>
      </c>
    </row>
    <row r="3913" spans="1:5">
      <c r="A3913" s="1541">
        <v>40104</v>
      </c>
      <c r="B3913" s="1542"/>
      <c r="C3913" s="1542"/>
      <c r="D3913" s="1542"/>
      <c r="E3913" s="1542"/>
    </row>
    <row r="3914" spans="1:5">
      <c r="A3914" s="1541">
        <v>40103</v>
      </c>
      <c r="B3914" s="1542"/>
      <c r="C3914" s="1542"/>
      <c r="D3914" s="1542"/>
      <c r="E3914" s="1542"/>
    </row>
    <row r="3915" spans="1:5">
      <c r="A3915" s="1541">
        <v>40102</v>
      </c>
      <c r="B3915" s="1542">
        <v>9896.17</v>
      </c>
      <c r="C3915" s="1542">
        <v>144.91999999999999</v>
      </c>
      <c r="D3915" s="1542">
        <v>3762.97</v>
      </c>
      <c r="E3915" s="1542">
        <v>1685.06</v>
      </c>
    </row>
    <row r="3916" spans="1:5">
      <c r="A3916" s="1541">
        <v>40101</v>
      </c>
      <c r="B3916" s="1542">
        <v>9890.1299999999992</v>
      </c>
      <c r="C3916" s="1542">
        <v>143.99</v>
      </c>
      <c r="D3916" s="1542">
        <v>3796.72</v>
      </c>
      <c r="E3916" s="1542">
        <v>1701.97</v>
      </c>
    </row>
    <row r="3917" spans="1:5">
      <c r="A3917" s="1541">
        <v>40100</v>
      </c>
      <c r="B3917" s="1542">
        <v>9871.34</v>
      </c>
      <c r="C3917" s="1542">
        <v>144.9</v>
      </c>
      <c r="D3917" s="1542">
        <v>3783.43</v>
      </c>
      <c r="E3917" s="1542">
        <v>1695.47</v>
      </c>
    </row>
    <row r="3918" spans="1:5">
      <c r="A3918" s="1541">
        <v>40099</v>
      </c>
      <c r="B3918" s="1542">
        <v>9744.17</v>
      </c>
      <c r="C3918" s="1542">
        <v>143.32</v>
      </c>
      <c r="D3918" s="1542">
        <v>3716.69</v>
      </c>
      <c r="E3918" s="1542">
        <v>1658.65</v>
      </c>
    </row>
    <row r="3919" spans="1:5">
      <c r="A3919" s="1541">
        <v>40098</v>
      </c>
      <c r="B3919" s="1542">
        <v>9748.3700000000008</v>
      </c>
      <c r="C3919" s="1542">
        <v>142.94999999999999</v>
      </c>
      <c r="D3919" s="1542">
        <v>3728.83</v>
      </c>
      <c r="E3919" s="1542">
        <v>1657.49</v>
      </c>
    </row>
    <row r="3920" spans="1:5">
      <c r="A3920" s="1541">
        <v>40097</v>
      </c>
      <c r="B3920" s="1542"/>
      <c r="C3920" s="1542"/>
      <c r="D3920" s="1542"/>
      <c r="E3920" s="1542"/>
    </row>
    <row r="3921" spans="1:5">
      <c r="A3921" s="1541">
        <v>40096</v>
      </c>
      <c r="B3921" s="1542"/>
      <c r="C3921" s="1542"/>
      <c r="D3921" s="1542"/>
      <c r="E3921" s="1542"/>
    </row>
    <row r="3922" spans="1:5">
      <c r="A3922" s="1541">
        <v>40095</v>
      </c>
      <c r="B3922" s="1542">
        <v>9712.5499999999993</v>
      </c>
      <c r="C3922" s="1542">
        <v>141.47</v>
      </c>
      <c r="D3922" s="1542">
        <v>3708.95</v>
      </c>
      <c r="E3922" s="1542">
        <v>1650</v>
      </c>
    </row>
    <row r="3923" spans="1:5">
      <c r="A3923" s="1541">
        <v>40094</v>
      </c>
      <c r="B3923" s="1542">
        <v>9624.5</v>
      </c>
      <c r="C3923" s="1542">
        <v>140.44</v>
      </c>
      <c r="D3923" s="1542">
        <v>3701.56</v>
      </c>
      <c r="E3923" s="1542">
        <v>1638.88</v>
      </c>
    </row>
    <row r="3924" spans="1:5">
      <c r="A3924" s="1541">
        <v>40093</v>
      </c>
      <c r="B3924" s="1542">
        <v>9759.64</v>
      </c>
      <c r="C3924" s="1542">
        <v>143.04</v>
      </c>
      <c r="D3924" s="1542">
        <v>3654.01</v>
      </c>
      <c r="E3924" s="1542">
        <v>1619.64</v>
      </c>
    </row>
    <row r="3925" spans="1:5">
      <c r="A3925" s="1541">
        <v>40092</v>
      </c>
      <c r="B3925" s="1542">
        <v>9666.39</v>
      </c>
      <c r="C3925" s="1542">
        <v>142.63</v>
      </c>
      <c r="D3925" s="1542">
        <v>3648.71</v>
      </c>
      <c r="E3925" s="1542">
        <v>1614.51</v>
      </c>
    </row>
    <row r="3926" spans="1:5">
      <c r="A3926" s="1541">
        <v>40091</v>
      </c>
      <c r="B3926" s="1542">
        <v>9540.6</v>
      </c>
      <c r="C3926" s="1542">
        <v>141.38999999999999</v>
      </c>
      <c r="D3926" s="1542">
        <v>3576.5</v>
      </c>
      <c r="E3926" s="1542">
        <v>1581.49</v>
      </c>
    </row>
    <row r="3927" spans="1:5">
      <c r="A3927" s="1541">
        <v>40090</v>
      </c>
      <c r="B3927" s="1542"/>
      <c r="C3927" s="1542"/>
      <c r="D3927" s="1542"/>
      <c r="E3927" s="1542"/>
    </row>
    <row r="3928" spans="1:5">
      <c r="A3928" s="1541">
        <v>40089</v>
      </c>
      <c r="B3928" s="1542"/>
      <c r="C3928" s="1542"/>
      <c r="D3928" s="1542"/>
      <c r="E3928" s="1542"/>
    </row>
    <row r="3929" spans="1:5">
      <c r="A3929" s="1541">
        <v>40088</v>
      </c>
      <c r="B3929" s="1542">
        <v>9507.11</v>
      </c>
      <c r="C3929" s="1542">
        <v>139.63999999999999</v>
      </c>
      <c r="D3929" s="1542">
        <v>3542.17</v>
      </c>
      <c r="E3929" s="1542">
        <v>1571.64</v>
      </c>
    </row>
    <row r="3930" spans="1:5">
      <c r="A3930" s="1541">
        <v>40087</v>
      </c>
      <c r="B3930" s="1542">
        <v>9678.24</v>
      </c>
      <c r="C3930" s="1542">
        <v>140.59</v>
      </c>
      <c r="D3930" s="1542">
        <v>3584.72</v>
      </c>
      <c r="E3930" s="1542">
        <v>1588.82</v>
      </c>
    </row>
    <row r="3931" spans="1:5">
      <c r="A3931" s="1541">
        <v>40086</v>
      </c>
      <c r="B3931" s="1542">
        <v>9631.91</v>
      </c>
      <c r="C3931" s="1542">
        <v>140.49</v>
      </c>
      <c r="D3931" s="1542">
        <v>3665.76</v>
      </c>
      <c r="E3931" s="1542">
        <v>1593.31</v>
      </c>
    </row>
    <row r="3932" spans="1:5">
      <c r="A3932" s="1541">
        <v>40085</v>
      </c>
      <c r="B3932" s="1542">
        <v>9530.34</v>
      </c>
      <c r="C3932" s="1542">
        <v>138.26</v>
      </c>
      <c r="D3932" s="1542">
        <v>3660.96</v>
      </c>
      <c r="E3932" s="1542">
        <v>1591.76</v>
      </c>
    </row>
    <row r="3933" spans="1:5">
      <c r="A3933" s="1541">
        <v>40084</v>
      </c>
      <c r="B3933" s="1542">
        <v>9343.86</v>
      </c>
      <c r="C3933" s="1542">
        <v>137.65</v>
      </c>
      <c r="D3933" s="1542">
        <v>3667.42</v>
      </c>
      <c r="E3933" s="1542">
        <v>1576.67</v>
      </c>
    </row>
    <row r="3934" spans="1:5">
      <c r="A3934" s="1541">
        <v>40083</v>
      </c>
      <c r="B3934" s="1542"/>
      <c r="C3934" s="1542"/>
      <c r="D3934" s="1542"/>
      <c r="E3934" s="1542"/>
    </row>
    <row r="3935" spans="1:5">
      <c r="A3935" s="1541">
        <v>40082</v>
      </c>
      <c r="B3935" s="1542"/>
      <c r="C3935" s="1542"/>
      <c r="D3935" s="1542"/>
      <c r="E3935" s="1542"/>
    </row>
    <row r="3936" spans="1:5">
      <c r="A3936" s="1541">
        <v>40081</v>
      </c>
      <c r="B3936" s="1542">
        <v>9421.6</v>
      </c>
      <c r="C3936" s="1542">
        <v>139.97999999999999</v>
      </c>
      <c r="D3936" s="1542">
        <v>3627.32</v>
      </c>
      <c r="E3936" s="1542">
        <v>1582.71</v>
      </c>
    </row>
    <row r="3937" spans="1:5">
      <c r="A3937" s="1541">
        <v>40080</v>
      </c>
      <c r="B3937" s="1542">
        <v>9394.67</v>
      </c>
      <c r="C3937" s="1542">
        <v>138.76</v>
      </c>
      <c r="D3937" s="1542">
        <v>3649.23</v>
      </c>
      <c r="E3937" s="1542">
        <v>1582.78</v>
      </c>
    </row>
    <row r="3938" spans="1:5">
      <c r="A3938" s="1541">
        <v>40079</v>
      </c>
      <c r="B3938" s="1542">
        <v>9461.8799999999992</v>
      </c>
      <c r="C3938" s="1542">
        <v>138.61000000000001</v>
      </c>
      <c r="D3938" s="1542">
        <v>3697.56</v>
      </c>
      <c r="E3938" s="1542">
        <v>1600.93</v>
      </c>
    </row>
    <row r="3939" spans="1:5">
      <c r="A3939" s="1541">
        <v>40078</v>
      </c>
      <c r="B3939" s="1542">
        <v>9580.23</v>
      </c>
      <c r="C3939" s="1542">
        <v>141.51</v>
      </c>
      <c r="D3939" s="1542">
        <v>3715.25</v>
      </c>
      <c r="E3939" s="1542">
        <v>1607.38</v>
      </c>
    </row>
    <row r="3940" spans="1:5">
      <c r="A3940" s="1541">
        <v>40077</v>
      </c>
      <c r="B3940" s="1542">
        <v>9622.49</v>
      </c>
      <c r="C3940" s="1542">
        <v>141.38999999999999</v>
      </c>
      <c r="D3940" s="1542">
        <v>3674.52</v>
      </c>
      <c r="E3940" s="1542">
        <v>1587.01</v>
      </c>
    </row>
    <row r="3941" spans="1:5">
      <c r="A3941" s="1541">
        <v>40076</v>
      </c>
      <c r="B3941" s="1542"/>
      <c r="C3941" s="1542"/>
      <c r="D3941" s="1542"/>
      <c r="E3941" s="1542"/>
    </row>
    <row r="3942" spans="1:5">
      <c r="A3942" s="1541">
        <v>40075</v>
      </c>
      <c r="B3942" s="1542"/>
      <c r="C3942" s="1542"/>
      <c r="D3942" s="1542"/>
      <c r="E3942" s="1542"/>
    </row>
    <row r="3943" spans="1:5">
      <c r="A3943" s="1541">
        <v>40074</v>
      </c>
      <c r="B3943" s="1542">
        <v>9652.82</v>
      </c>
      <c r="C3943" s="1542">
        <v>138.71</v>
      </c>
      <c r="D3943" s="1542">
        <v>3701.92</v>
      </c>
      <c r="E3943" s="1542">
        <v>1601.26</v>
      </c>
    </row>
    <row r="3944" spans="1:5">
      <c r="A3944" s="1541">
        <v>40073</v>
      </c>
      <c r="B3944" s="1542">
        <v>9589.65</v>
      </c>
      <c r="C3944" s="1542">
        <v>135.5</v>
      </c>
      <c r="D3944" s="1542">
        <v>3711.2</v>
      </c>
      <c r="E3944" s="1542">
        <v>1602.95</v>
      </c>
    </row>
    <row r="3945" spans="1:5">
      <c r="A3945" s="1541">
        <v>40072</v>
      </c>
      <c r="B3945" s="1542">
        <v>9542.1299999999992</v>
      </c>
      <c r="C3945" s="1542">
        <v>135.5</v>
      </c>
      <c r="D3945" s="1542">
        <v>3698.08</v>
      </c>
      <c r="E3945" s="1542">
        <v>1591.8</v>
      </c>
    </row>
    <row r="3946" spans="1:5">
      <c r="A3946" s="1541">
        <v>40071</v>
      </c>
      <c r="B3946" s="1542">
        <v>9421.3799999999992</v>
      </c>
      <c r="C3946" s="1542">
        <v>133.07</v>
      </c>
      <c r="D3946" s="1542">
        <v>3638.13</v>
      </c>
      <c r="E3946" s="1542">
        <v>1557.74</v>
      </c>
    </row>
    <row r="3947" spans="1:5">
      <c r="A3947" s="1541">
        <v>40070</v>
      </c>
      <c r="B3947" s="1542">
        <v>9306.4699999999993</v>
      </c>
      <c r="C3947" s="1542">
        <v>130.97999999999999</v>
      </c>
      <c r="D3947" s="1542">
        <v>3632.9</v>
      </c>
      <c r="E3947" s="1542">
        <v>1541.31</v>
      </c>
    </row>
    <row r="3948" spans="1:5">
      <c r="A3948" s="1541">
        <v>40069</v>
      </c>
      <c r="B3948" s="1542"/>
      <c r="C3948" s="1542"/>
      <c r="D3948" s="1542"/>
      <c r="E3948" s="1542"/>
    </row>
    <row r="3949" spans="1:5">
      <c r="A3949" s="1541">
        <v>40068</v>
      </c>
      <c r="B3949" s="1542"/>
      <c r="C3949" s="1542"/>
      <c r="D3949" s="1542"/>
      <c r="E3949" s="1542"/>
    </row>
    <row r="3950" spans="1:5">
      <c r="A3950" s="1541">
        <v>40067</v>
      </c>
      <c r="B3950" s="1542">
        <v>9408.57</v>
      </c>
      <c r="C3950" s="1542">
        <v>131.44</v>
      </c>
      <c r="D3950" s="1542">
        <v>3635.75</v>
      </c>
      <c r="E3950" s="1542">
        <v>1557.32</v>
      </c>
    </row>
    <row r="3951" spans="1:5">
      <c r="A3951" s="1541">
        <v>40066</v>
      </c>
      <c r="B3951" s="1542">
        <v>9401.77</v>
      </c>
      <c r="C3951" s="1542">
        <v>130.25</v>
      </c>
      <c r="D3951" s="1542">
        <v>3620.93</v>
      </c>
      <c r="E3951" s="1542">
        <v>1544.56</v>
      </c>
    </row>
    <row r="3952" spans="1:5">
      <c r="A3952" s="1541">
        <v>40065</v>
      </c>
      <c r="B3952" s="1542">
        <v>9297.0400000000009</v>
      </c>
      <c r="C3952" s="1542">
        <v>131.79</v>
      </c>
      <c r="D3952" s="1542">
        <v>3593.33</v>
      </c>
      <c r="E3952" s="1542">
        <v>1531.82</v>
      </c>
    </row>
    <row r="3953" spans="1:5">
      <c r="A3953" s="1541">
        <v>40064</v>
      </c>
      <c r="B3953" s="1542">
        <v>9377.61</v>
      </c>
      <c r="C3953" s="1542">
        <v>133.27000000000001</v>
      </c>
      <c r="D3953" s="1542">
        <v>3567.87</v>
      </c>
      <c r="E3953" s="1542">
        <v>1533.04</v>
      </c>
    </row>
    <row r="3954" spans="1:5">
      <c r="A3954" s="1541">
        <v>40063</v>
      </c>
      <c r="B3954" s="1542">
        <v>9262.75</v>
      </c>
      <c r="C3954" s="1542">
        <v>133.43</v>
      </c>
      <c r="D3954" s="1542">
        <v>3524.29</v>
      </c>
      <c r="E3954" s="1542">
        <v>1505.41</v>
      </c>
    </row>
    <row r="3955" spans="1:5">
      <c r="A3955" s="1541">
        <v>40062</v>
      </c>
      <c r="B3955" s="1542"/>
      <c r="C3955" s="1542"/>
      <c r="D3955" s="1542"/>
      <c r="E3955" s="1542"/>
    </row>
    <row r="3956" spans="1:5">
      <c r="A3956" s="1541">
        <v>40061</v>
      </c>
      <c r="B3956" s="1542"/>
      <c r="C3956" s="1542"/>
      <c r="D3956" s="1542"/>
      <c r="E3956" s="1542"/>
    </row>
    <row r="3957" spans="1:5">
      <c r="A3957" s="1541">
        <v>40060</v>
      </c>
      <c r="B3957" s="1542">
        <v>9171.0300000000007</v>
      </c>
      <c r="C3957" s="1542">
        <v>132.02000000000001</v>
      </c>
      <c r="D3957" s="1542">
        <v>3492.16</v>
      </c>
      <c r="E3957" s="1542">
        <v>1484.83</v>
      </c>
    </row>
    <row r="3958" spans="1:5">
      <c r="A3958" s="1541">
        <v>40059</v>
      </c>
      <c r="B3958" s="1542">
        <v>9108.77</v>
      </c>
      <c r="C3958" s="1542">
        <v>131.27000000000001</v>
      </c>
      <c r="D3958" s="1542">
        <v>3455.81</v>
      </c>
      <c r="E3958" s="1542">
        <v>1463.37</v>
      </c>
    </row>
    <row r="3959" spans="1:5">
      <c r="A3959" s="1541">
        <v>40058</v>
      </c>
      <c r="B3959" s="1542">
        <v>9024.34</v>
      </c>
      <c r="C3959" s="1542">
        <v>129.76</v>
      </c>
      <c r="D3959" s="1542">
        <v>3438.39</v>
      </c>
      <c r="E3959" s="1542">
        <v>1446.01</v>
      </c>
    </row>
    <row r="3960" spans="1:5">
      <c r="A3960" s="1541">
        <v>40057</v>
      </c>
      <c r="B3960" s="1542">
        <v>8998.6200000000008</v>
      </c>
      <c r="C3960" s="1542">
        <v>127.87</v>
      </c>
      <c r="D3960" s="1542">
        <v>3462.64</v>
      </c>
      <c r="E3960" s="1542">
        <v>1465.17</v>
      </c>
    </row>
    <row r="3961" spans="1:5">
      <c r="A3961" s="1541">
        <v>40056</v>
      </c>
      <c r="B3961" s="1542">
        <v>8749.83</v>
      </c>
      <c r="C3961" s="1542">
        <v>124.04</v>
      </c>
      <c r="D3961" s="1542">
        <v>3524.07</v>
      </c>
      <c r="E3961" s="1542">
        <v>1460.5</v>
      </c>
    </row>
    <row r="3962" spans="1:5">
      <c r="A3962" s="1541">
        <v>40055</v>
      </c>
      <c r="B3962" s="1542"/>
      <c r="C3962" s="1542"/>
      <c r="D3962" s="1542"/>
      <c r="E3962" s="1542"/>
    </row>
    <row r="3963" spans="1:5">
      <c r="A3963" s="1541">
        <v>40054</v>
      </c>
      <c r="B3963" s="1542"/>
      <c r="C3963" s="1542"/>
      <c r="D3963" s="1542"/>
      <c r="E3963" s="1542"/>
    </row>
    <row r="3964" spans="1:5">
      <c r="A3964" s="1541">
        <v>40053</v>
      </c>
      <c r="B3964" s="1542">
        <v>8728.9500000000007</v>
      </c>
      <c r="C3964" s="1542">
        <v>123.06</v>
      </c>
      <c r="D3964" s="1542">
        <v>3551.26</v>
      </c>
      <c r="E3964" s="1542">
        <v>1481.36</v>
      </c>
    </row>
    <row r="3965" spans="1:5">
      <c r="A3965" s="1541">
        <v>40052</v>
      </c>
      <c r="B3965" s="1542">
        <v>8576.16</v>
      </c>
      <c r="C3965" s="1542">
        <v>121.79</v>
      </c>
      <c r="D3965" s="1542">
        <v>3523.69</v>
      </c>
      <c r="E3965" s="1542">
        <v>1468.33</v>
      </c>
    </row>
    <row r="3966" spans="1:5">
      <c r="A3966" s="1541">
        <v>40051</v>
      </c>
      <c r="B3966" s="1542">
        <v>8612.07</v>
      </c>
      <c r="C3966" s="1542">
        <v>122.6</v>
      </c>
      <c r="D3966" s="1542">
        <v>3526.09</v>
      </c>
      <c r="E3966" s="1542">
        <v>1482.05</v>
      </c>
    </row>
    <row r="3967" spans="1:5">
      <c r="A3967" s="1541">
        <v>40050</v>
      </c>
      <c r="B3967" s="1542">
        <v>8722.7000000000007</v>
      </c>
      <c r="C3967" s="1542">
        <v>124.44</v>
      </c>
      <c r="D3967" s="1542">
        <v>3538.82</v>
      </c>
      <c r="E3967" s="1542">
        <v>1493.04</v>
      </c>
    </row>
    <row r="3968" spans="1:5">
      <c r="A3968" s="1541">
        <v>40049</v>
      </c>
      <c r="B3968" s="1542">
        <v>8756.2900000000009</v>
      </c>
      <c r="C3968" s="1542">
        <v>124.43</v>
      </c>
      <c r="D3968" s="1542">
        <v>3529.31</v>
      </c>
      <c r="E3968" s="1542">
        <v>1498.34</v>
      </c>
    </row>
    <row r="3969" spans="1:5">
      <c r="A3969" s="1541">
        <v>40048</v>
      </c>
      <c r="B3969" s="1542"/>
      <c r="C3969" s="1542"/>
      <c r="D3969" s="1542"/>
      <c r="E3969" s="1542"/>
    </row>
    <row r="3970" spans="1:5">
      <c r="A3970" s="1541">
        <v>40047</v>
      </c>
      <c r="B3970" s="1542"/>
      <c r="C3970" s="1542"/>
      <c r="D3970" s="1542"/>
      <c r="E3970" s="1542"/>
    </row>
    <row r="3971" spans="1:5">
      <c r="A3971" s="1541">
        <v>40046</v>
      </c>
      <c r="B3971" s="1542">
        <v>8517.7199999999993</v>
      </c>
      <c r="C3971" s="1542">
        <v>121.82</v>
      </c>
      <c r="D3971" s="1542">
        <v>3505.74</v>
      </c>
      <c r="E3971" s="1542">
        <v>1470.39</v>
      </c>
    </row>
    <row r="3972" spans="1:5">
      <c r="A3972" s="1541">
        <v>40045</v>
      </c>
      <c r="B3972" s="1542">
        <v>8616.6299999999992</v>
      </c>
      <c r="C3972" s="1542">
        <v>123.11</v>
      </c>
      <c r="D3972" s="1542">
        <v>3448.82</v>
      </c>
      <c r="E3972" s="1542">
        <v>1455.78</v>
      </c>
    </row>
    <row r="3973" spans="1:5">
      <c r="A3973" s="1541">
        <v>40044</v>
      </c>
      <c r="B3973" s="1542">
        <v>8686.4699999999993</v>
      </c>
      <c r="C3973" s="1542">
        <v>125.49</v>
      </c>
      <c r="D3973" s="1542">
        <v>3408.26</v>
      </c>
      <c r="E3973" s="1542">
        <v>1430.95</v>
      </c>
    </row>
    <row r="3974" spans="1:5">
      <c r="A3974" s="1541">
        <v>40043</v>
      </c>
      <c r="B3974" s="1542">
        <v>8687.2199999999993</v>
      </c>
      <c r="C3974" s="1542">
        <v>125.06</v>
      </c>
      <c r="D3974" s="1542">
        <v>3389.35</v>
      </c>
      <c r="E3974" s="1542">
        <v>1434.95</v>
      </c>
    </row>
    <row r="3975" spans="1:5">
      <c r="A3975" s="1541">
        <v>40042</v>
      </c>
      <c r="B3975" s="1542">
        <v>8858.2900000000009</v>
      </c>
      <c r="C3975" s="1542">
        <v>129.19999999999999</v>
      </c>
      <c r="D3975" s="1542">
        <v>3353.89</v>
      </c>
      <c r="E3975" s="1542">
        <v>1425.26</v>
      </c>
    </row>
    <row r="3976" spans="1:5">
      <c r="A3976" s="1541">
        <v>40041</v>
      </c>
      <c r="B3976" s="1542"/>
      <c r="C3976" s="1542"/>
      <c r="D3976" s="1542"/>
      <c r="E3976" s="1542"/>
    </row>
    <row r="3977" spans="1:5">
      <c r="A3977" s="1541">
        <v>40040</v>
      </c>
      <c r="B3977" s="1542"/>
      <c r="C3977" s="1542"/>
      <c r="D3977" s="1542"/>
      <c r="E3977" s="1542"/>
    </row>
    <row r="3978" spans="1:5">
      <c r="A3978" s="1541">
        <v>40039</v>
      </c>
      <c r="B3978" s="1542">
        <v>9030.25</v>
      </c>
      <c r="C3978" s="1542">
        <v>131.30000000000001</v>
      </c>
      <c r="D3978" s="1542">
        <v>3449.57</v>
      </c>
      <c r="E3978" s="1542">
        <v>1482.1</v>
      </c>
    </row>
    <row r="3979" spans="1:5">
      <c r="A3979" s="1541">
        <v>40038</v>
      </c>
      <c r="B3979" s="1542">
        <v>8985.41</v>
      </c>
      <c r="C3979" s="1542">
        <v>131.47999999999999</v>
      </c>
      <c r="D3979" s="1542">
        <v>3472.47</v>
      </c>
      <c r="E3979" s="1542">
        <v>1487.02</v>
      </c>
    </row>
    <row r="3980" spans="1:5">
      <c r="A3980" s="1541">
        <v>40037</v>
      </c>
      <c r="B3980" s="1542">
        <v>8808.84</v>
      </c>
      <c r="C3980" s="1542">
        <v>129.32</v>
      </c>
      <c r="D3980" s="1542">
        <v>3431.86</v>
      </c>
      <c r="E3980" s="1542">
        <v>1460.19</v>
      </c>
    </row>
    <row r="3981" spans="1:5">
      <c r="A3981" s="1541">
        <v>40036</v>
      </c>
      <c r="B3981" s="1542">
        <v>8815.48</v>
      </c>
      <c r="C3981" s="1542">
        <v>128.72999999999999</v>
      </c>
      <c r="D3981" s="1542">
        <v>3400.72</v>
      </c>
      <c r="E3981" s="1542">
        <v>1468.08</v>
      </c>
    </row>
    <row r="3982" spans="1:5">
      <c r="A3982" s="1541">
        <v>40035</v>
      </c>
      <c r="B3982" s="1542">
        <v>8781.89</v>
      </c>
      <c r="C3982" s="1542">
        <v>126.69</v>
      </c>
      <c r="D3982" s="1542">
        <v>3435.09</v>
      </c>
      <c r="E3982" s="1542">
        <v>1485.18</v>
      </c>
    </row>
    <row r="3983" spans="1:5">
      <c r="A3983" s="1541">
        <v>40034</v>
      </c>
      <c r="B3983" s="1542"/>
      <c r="C3983" s="1542"/>
      <c r="D3983" s="1542"/>
      <c r="E3983" s="1542"/>
    </row>
    <row r="3984" spans="1:5">
      <c r="A3984" s="1541">
        <v>40033</v>
      </c>
      <c r="B3984" s="1542"/>
      <c r="C3984" s="1542"/>
      <c r="D3984" s="1542"/>
      <c r="E3984" s="1542"/>
    </row>
    <row r="3985" spans="1:5">
      <c r="A3985" s="1541">
        <v>40032</v>
      </c>
      <c r="B3985" s="1542"/>
      <c r="C3985" s="1542"/>
      <c r="D3985" s="1542">
        <v>3444.95</v>
      </c>
      <c r="E3985" s="1542">
        <v>1481.89</v>
      </c>
    </row>
    <row r="3986" spans="1:5">
      <c r="A3986" s="1541">
        <v>40031</v>
      </c>
      <c r="B3986" s="1542">
        <v>8760.57</v>
      </c>
      <c r="C3986" s="1542">
        <v>126.07</v>
      </c>
      <c r="D3986" s="1542">
        <v>3432.07</v>
      </c>
      <c r="E3986" s="1542">
        <v>1486.35</v>
      </c>
    </row>
    <row r="3987" spans="1:5">
      <c r="A3987" s="1541">
        <v>40030</v>
      </c>
      <c r="B3987" s="1542">
        <v>8730.76</v>
      </c>
      <c r="C3987" s="1542">
        <v>125.17</v>
      </c>
      <c r="D3987" s="1542">
        <v>3439.62</v>
      </c>
      <c r="E3987" s="1542">
        <v>1484.48</v>
      </c>
    </row>
    <row r="3988" spans="1:5">
      <c r="A3988" s="1541">
        <v>40029</v>
      </c>
      <c r="B3988" s="1542">
        <v>8866.14</v>
      </c>
      <c r="C3988" s="1542">
        <v>127.93</v>
      </c>
      <c r="D3988" s="1542">
        <v>3454.81</v>
      </c>
      <c r="E3988" s="1542">
        <v>1494.93</v>
      </c>
    </row>
    <row r="3989" spans="1:5">
      <c r="A3989" s="1541">
        <v>40028</v>
      </c>
      <c r="B3989" s="1542">
        <v>8991.43</v>
      </c>
      <c r="C3989" s="1542">
        <v>130.81</v>
      </c>
      <c r="D3989" s="1542">
        <v>3450.85</v>
      </c>
      <c r="E3989" s="1542">
        <v>1501.96</v>
      </c>
    </row>
    <row r="3990" spans="1:5">
      <c r="A3990" s="1541">
        <v>40027</v>
      </c>
      <c r="B3990" s="1542"/>
      <c r="C3990" s="1542"/>
      <c r="D3990" s="1542"/>
      <c r="E3990" s="1542"/>
    </row>
    <row r="3991" spans="1:5">
      <c r="A3991" s="1541">
        <v>40026</v>
      </c>
      <c r="B3991" s="1542"/>
      <c r="C3991" s="1542"/>
      <c r="D3991" s="1542"/>
      <c r="E3991" s="1542"/>
    </row>
    <row r="3992" spans="1:5">
      <c r="A3992" s="1541">
        <v>40025</v>
      </c>
      <c r="B3992" s="1542">
        <v>8988.4699999999993</v>
      </c>
      <c r="C3992" s="1542">
        <v>131.05000000000001</v>
      </c>
      <c r="D3992" s="1542">
        <v>3383.01</v>
      </c>
      <c r="E3992" s="1542">
        <v>1465.36</v>
      </c>
    </row>
    <row r="3993" spans="1:5">
      <c r="A3993" s="1541">
        <v>40024</v>
      </c>
      <c r="B3993" s="1542">
        <v>8923.2999999999993</v>
      </c>
      <c r="C3993" s="1542">
        <v>129.85</v>
      </c>
      <c r="D3993" s="1542">
        <v>3363.69</v>
      </c>
      <c r="E3993" s="1542">
        <v>1447.06</v>
      </c>
    </row>
    <row r="3994" spans="1:5">
      <c r="A3994" s="1541">
        <v>40023</v>
      </c>
      <c r="B3994" s="1542">
        <v>8985.09</v>
      </c>
      <c r="C3994" s="1542">
        <v>130.47999999999999</v>
      </c>
      <c r="D3994" s="1542">
        <v>3313.74</v>
      </c>
      <c r="E3994" s="1542">
        <v>1427.51</v>
      </c>
    </row>
    <row r="3995" spans="1:5">
      <c r="A3995" s="1541">
        <v>40022</v>
      </c>
      <c r="B3995" s="1542">
        <v>9057.6299999999992</v>
      </c>
      <c r="C3995" s="1542">
        <v>130.99</v>
      </c>
      <c r="D3995" s="1542">
        <v>3328.65</v>
      </c>
      <c r="E3995" s="1542">
        <v>1452.03</v>
      </c>
    </row>
    <row r="3996" spans="1:5">
      <c r="A3996" s="1541">
        <v>40021</v>
      </c>
      <c r="B3996" s="1542">
        <v>8908.67</v>
      </c>
      <c r="C3996" s="1542">
        <v>128.32</v>
      </c>
      <c r="D3996" s="1542">
        <v>3341.74</v>
      </c>
      <c r="E3996" s="1542">
        <v>1446.9</v>
      </c>
    </row>
    <row r="3997" spans="1:5">
      <c r="A3997" s="1541">
        <v>40020</v>
      </c>
      <c r="B3997" s="1542"/>
      <c r="C3997" s="1542"/>
      <c r="D3997" s="1542"/>
      <c r="E3997" s="1542"/>
    </row>
    <row r="3998" spans="1:5">
      <c r="A3998" s="1541">
        <v>40019</v>
      </c>
      <c r="B3998" s="1542"/>
      <c r="C3998" s="1542"/>
      <c r="D3998" s="1542"/>
      <c r="E3998" s="1542"/>
    </row>
    <row r="3999" spans="1:5">
      <c r="A3999" s="1541">
        <v>40018</v>
      </c>
      <c r="B3999" s="1542">
        <v>8836.98</v>
      </c>
      <c r="C3999" s="1542">
        <v>127.6</v>
      </c>
      <c r="D3999" s="1542">
        <v>3326.29</v>
      </c>
      <c r="E3999" s="1542">
        <v>1429.52</v>
      </c>
    </row>
    <row r="4000" spans="1:5">
      <c r="A4000" s="1541">
        <v>40017</v>
      </c>
      <c r="B4000" s="1542">
        <v>8838.14</v>
      </c>
      <c r="C4000" s="1542">
        <v>127.37</v>
      </c>
      <c r="D4000" s="1542">
        <v>3317.27</v>
      </c>
      <c r="E4000" s="1542">
        <v>1426.52</v>
      </c>
    </row>
    <row r="4001" spans="1:5">
      <c r="A4001" s="1541">
        <v>40016</v>
      </c>
      <c r="B4001" s="1542">
        <v>8833.5</v>
      </c>
      <c r="C4001" s="1542">
        <v>127.57</v>
      </c>
      <c r="D4001" s="1542">
        <v>3254.26</v>
      </c>
      <c r="E4001" s="1542">
        <v>1399.34</v>
      </c>
    </row>
    <row r="4002" spans="1:5">
      <c r="A4002" s="1541">
        <v>40015</v>
      </c>
      <c r="B4002" s="1542">
        <v>8792.94</v>
      </c>
      <c r="C4002" s="1542">
        <v>126.26</v>
      </c>
      <c r="D4002" s="1542">
        <v>3252.35</v>
      </c>
      <c r="E4002" s="1542">
        <v>1406.11</v>
      </c>
    </row>
    <row r="4003" spans="1:5">
      <c r="A4003" s="1541">
        <v>40014</v>
      </c>
      <c r="B4003" s="1542">
        <v>8774.34</v>
      </c>
      <c r="C4003" s="1542">
        <v>126.77</v>
      </c>
      <c r="D4003" s="1542">
        <v>3222.82</v>
      </c>
      <c r="E4003" s="1542">
        <v>1399.86</v>
      </c>
    </row>
    <row r="4004" spans="1:5">
      <c r="A4004" s="1541">
        <v>40013</v>
      </c>
      <c r="B4004" s="1542"/>
      <c r="C4004" s="1542"/>
      <c r="D4004" s="1542"/>
      <c r="E4004" s="1542"/>
    </row>
    <row r="4005" spans="1:5">
      <c r="A4005" s="1541">
        <v>40012</v>
      </c>
      <c r="B4005" s="1542"/>
      <c r="C4005" s="1542"/>
      <c r="D4005" s="1542"/>
      <c r="E4005" s="1542"/>
    </row>
    <row r="4006" spans="1:5">
      <c r="A4006" s="1541">
        <v>40011</v>
      </c>
      <c r="B4006" s="1542">
        <v>8655.67</v>
      </c>
      <c r="C4006" s="1542">
        <v>124.14</v>
      </c>
      <c r="D4006" s="1542">
        <v>3180.18</v>
      </c>
      <c r="E4006" s="1542">
        <v>1357.48</v>
      </c>
    </row>
    <row r="4007" spans="1:5">
      <c r="A4007" s="1541">
        <v>40010</v>
      </c>
      <c r="B4007" s="1542">
        <v>8557.91</v>
      </c>
      <c r="C4007" s="1542">
        <v>121.19</v>
      </c>
      <c r="D4007" s="1542">
        <v>3173.97</v>
      </c>
      <c r="E4007" s="1542">
        <v>1341.19</v>
      </c>
    </row>
    <row r="4008" spans="1:5">
      <c r="A4008" s="1541">
        <v>40009</v>
      </c>
      <c r="B4008" s="1542">
        <v>8497.82</v>
      </c>
      <c r="C4008" s="1542">
        <v>120.57</v>
      </c>
      <c r="D4008" s="1542">
        <v>3146.93</v>
      </c>
      <c r="E4008" s="1542">
        <v>1328.27</v>
      </c>
    </row>
    <row r="4009" spans="1:5">
      <c r="A4009" s="1541">
        <v>40008</v>
      </c>
      <c r="B4009" s="1542">
        <v>8329.52</v>
      </c>
      <c r="C4009" s="1542">
        <v>118.19</v>
      </c>
      <c r="D4009" s="1542">
        <v>3060.99</v>
      </c>
      <c r="E4009" s="1542">
        <v>1281.1500000000001</v>
      </c>
    </row>
    <row r="4010" spans="1:5">
      <c r="A4010" s="1541">
        <v>40007</v>
      </c>
      <c r="B4010" s="1542">
        <v>8188.71</v>
      </c>
      <c r="C4010" s="1542">
        <v>115</v>
      </c>
      <c r="D4010" s="1542">
        <v>3025.58</v>
      </c>
      <c r="E4010" s="1542">
        <v>1252.1300000000001</v>
      </c>
    </row>
    <row r="4011" spans="1:5">
      <c r="A4011" s="1541">
        <v>40006</v>
      </c>
      <c r="B4011" s="1542"/>
      <c r="C4011" s="1542"/>
      <c r="D4011" s="1542"/>
      <c r="E4011" s="1542"/>
    </row>
    <row r="4012" spans="1:5">
      <c r="A4012" s="1541">
        <v>40005</v>
      </c>
      <c r="B4012" s="1542"/>
      <c r="C4012" s="1542"/>
      <c r="D4012" s="1542"/>
      <c r="E4012" s="1542"/>
    </row>
    <row r="4013" spans="1:5">
      <c r="A4013" s="1541">
        <v>40004</v>
      </c>
      <c r="B4013" s="1542">
        <v>8485.33</v>
      </c>
      <c r="C4013" s="1542">
        <v>119</v>
      </c>
      <c r="D4013" s="1542">
        <v>2982.11</v>
      </c>
      <c r="E4013" s="1542">
        <v>1274.4000000000001</v>
      </c>
    </row>
    <row r="4014" spans="1:5">
      <c r="A4014" s="1541">
        <v>40003</v>
      </c>
      <c r="B4014" s="1542">
        <v>8457.48</v>
      </c>
      <c r="C4014" s="1542">
        <v>119.2</v>
      </c>
      <c r="D4014" s="1542">
        <v>2998.81</v>
      </c>
      <c r="E4014" s="1542">
        <v>1284.29</v>
      </c>
    </row>
    <row r="4015" spans="1:5">
      <c r="A4015" s="1541">
        <v>40002</v>
      </c>
      <c r="B4015" s="1542">
        <v>8355.19</v>
      </c>
      <c r="C4015" s="1542">
        <v>117.7</v>
      </c>
      <c r="D4015" s="1542">
        <v>2981.05</v>
      </c>
      <c r="E4015" s="1542">
        <v>1279.79</v>
      </c>
    </row>
    <row r="4016" spans="1:5">
      <c r="A4016" s="1541">
        <v>40001</v>
      </c>
      <c r="B4016" s="1542">
        <v>8408.14</v>
      </c>
      <c r="C4016" s="1542">
        <v>117.94</v>
      </c>
      <c r="D4016" s="1542">
        <v>3008.52</v>
      </c>
      <c r="E4016" s="1542">
        <v>1299.3499999999999</v>
      </c>
    </row>
    <row r="4017" spans="1:5">
      <c r="A4017" s="1541">
        <v>40000</v>
      </c>
      <c r="B4017" s="1542">
        <v>8317.2800000000007</v>
      </c>
      <c r="C4017" s="1542">
        <v>116.19</v>
      </c>
      <c r="D4017" s="1542">
        <v>3043.98</v>
      </c>
      <c r="E4017" s="1542">
        <v>1300.33</v>
      </c>
    </row>
    <row r="4018" spans="1:5">
      <c r="A4018" s="1541">
        <v>39999</v>
      </c>
      <c r="B4018" s="1542"/>
      <c r="C4018" s="1542"/>
      <c r="D4018" s="1542"/>
      <c r="E4018" s="1542"/>
    </row>
    <row r="4019" spans="1:5">
      <c r="A4019" s="1541">
        <v>39998</v>
      </c>
      <c r="B4019" s="1542"/>
      <c r="C4019" s="1542"/>
      <c r="D4019" s="1542"/>
      <c r="E4019" s="1542"/>
    </row>
    <row r="4020" spans="1:5">
      <c r="A4020" s="1541">
        <v>39997</v>
      </c>
      <c r="B4020" s="1542">
        <v>8327.4699999999993</v>
      </c>
      <c r="C4020" s="1542">
        <v>115.47</v>
      </c>
      <c r="D4020" s="1542">
        <v>3063.11</v>
      </c>
      <c r="E4020" s="1542">
        <v>1325.39</v>
      </c>
    </row>
    <row r="4021" spans="1:5">
      <c r="A4021" s="1541">
        <v>39996</v>
      </c>
      <c r="B4021" s="1542">
        <v>8329.7999999999993</v>
      </c>
      <c r="C4021" s="1542">
        <v>114.21</v>
      </c>
      <c r="D4021" s="1542">
        <v>3065.9</v>
      </c>
      <c r="E4021" s="1542">
        <v>1325.05</v>
      </c>
    </row>
    <row r="4022" spans="1:5">
      <c r="A4022" s="1541">
        <v>39995</v>
      </c>
      <c r="B4022" s="1542">
        <v>8218.6299999999992</v>
      </c>
      <c r="C4022" s="1542">
        <v>111.95</v>
      </c>
      <c r="D4022" s="1542">
        <v>3147.06</v>
      </c>
      <c r="E4022" s="1542">
        <v>1336.98</v>
      </c>
    </row>
    <row r="4023" spans="1:5">
      <c r="A4023" s="1541">
        <v>39994</v>
      </c>
      <c r="B4023" s="1542">
        <v>8034.47</v>
      </c>
      <c r="C4023" s="1542">
        <v>109.69</v>
      </c>
      <c r="D4023" s="1542">
        <v>3117.98</v>
      </c>
      <c r="E4023" s="1542">
        <v>1316.39</v>
      </c>
    </row>
    <row r="4024" spans="1:5">
      <c r="A4024" s="1541">
        <v>39993</v>
      </c>
      <c r="B4024" s="1542">
        <v>7982.45</v>
      </c>
      <c r="C4024" s="1542">
        <v>110.01</v>
      </c>
      <c r="D4024" s="1542">
        <v>3139.62</v>
      </c>
      <c r="E4024" s="1542">
        <v>1322.21</v>
      </c>
    </row>
    <row r="4025" spans="1:5">
      <c r="A4025" s="1541">
        <v>39992</v>
      </c>
      <c r="B4025" s="1542"/>
      <c r="C4025" s="1542"/>
      <c r="D4025" s="1542"/>
      <c r="E4025" s="1542"/>
    </row>
    <row r="4026" spans="1:5">
      <c r="A4026" s="1541">
        <v>39991</v>
      </c>
      <c r="B4026" s="1542"/>
      <c r="C4026" s="1542"/>
      <c r="D4026" s="1542"/>
      <c r="E4026" s="1542"/>
    </row>
    <row r="4027" spans="1:5">
      <c r="A4027" s="1541">
        <v>39990</v>
      </c>
      <c r="B4027" s="1542">
        <v>8071.86</v>
      </c>
      <c r="C4027" s="1542">
        <v>111.79</v>
      </c>
      <c r="D4027" s="1542">
        <v>3116.86</v>
      </c>
      <c r="E4027" s="1542">
        <v>1317.3</v>
      </c>
    </row>
    <row r="4028" spans="1:5">
      <c r="A4028" s="1541">
        <v>39989</v>
      </c>
      <c r="B4028" s="1542">
        <v>8063.91</v>
      </c>
      <c r="C4028" s="1542">
        <v>110.88</v>
      </c>
      <c r="D4028" s="1542">
        <v>3096.36</v>
      </c>
      <c r="E4028" s="1542">
        <v>1297.05</v>
      </c>
    </row>
    <row r="4029" spans="1:5">
      <c r="A4029" s="1541">
        <v>39988</v>
      </c>
      <c r="B4029" s="1542">
        <v>7966.06</v>
      </c>
      <c r="C4029" s="1542">
        <v>108.17</v>
      </c>
      <c r="D4029" s="1542">
        <v>3075.14</v>
      </c>
      <c r="E4029" s="1542">
        <v>1282.45</v>
      </c>
    </row>
    <row r="4030" spans="1:5">
      <c r="A4030" s="1541">
        <v>39987</v>
      </c>
      <c r="B4030" s="1542">
        <v>7738.05</v>
      </c>
      <c r="C4030" s="1542">
        <v>106.86</v>
      </c>
      <c r="D4030" s="1542">
        <v>3033.59</v>
      </c>
      <c r="E4030" s="1542">
        <v>1251.19</v>
      </c>
    </row>
    <row r="4031" spans="1:5">
      <c r="A4031" s="1541">
        <v>39986</v>
      </c>
      <c r="B4031" s="1542">
        <v>7917.47</v>
      </c>
      <c r="C4031" s="1542">
        <v>107.71</v>
      </c>
      <c r="D4031" s="1542">
        <v>3036.31</v>
      </c>
      <c r="E4031" s="1542">
        <v>1273.24</v>
      </c>
    </row>
    <row r="4032" spans="1:5">
      <c r="A4032" s="1541">
        <v>39985</v>
      </c>
      <c r="B4032" s="1542"/>
      <c r="C4032" s="1542"/>
      <c r="D4032" s="1542"/>
      <c r="E4032" s="1542"/>
    </row>
    <row r="4033" spans="1:5">
      <c r="A4033" s="1541">
        <v>39984</v>
      </c>
      <c r="B4033" s="1542"/>
      <c r="C4033" s="1542"/>
      <c r="D4033" s="1542"/>
      <c r="E4033" s="1542"/>
    </row>
    <row r="4034" spans="1:5">
      <c r="A4034" s="1541">
        <v>39983</v>
      </c>
      <c r="B4034" s="1542">
        <v>7780.05</v>
      </c>
      <c r="C4034" s="1542">
        <v>105.75</v>
      </c>
      <c r="D4034" s="1542">
        <v>3118.37</v>
      </c>
      <c r="E4034" s="1542">
        <v>1297.3800000000001</v>
      </c>
    </row>
    <row r="4035" spans="1:5">
      <c r="A4035" s="1541">
        <v>39982</v>
      </c>
      <c r="B4035" s="1542">
        <v>7671.14</v>
      </c>
      <c r="C4035" s="1542">
        <v>104.2</v>
      </c>
      <c r="D4035" s="1542">
        <v>3097.91</v>
      </c>
      <c r="E4035" s="1542">
        <v>1285.6600000000001</v>
      </c>
    </row>
    <row r="4036" spans="1:5">
      <c r="A4036" s="1541">
        <v>39981</v>
      </c>
      <c r="B4036" s="1542">
        <v>7735.29</v>
      </c>
      <c r="C4036" s="1542">
        <v>104.75</v>
      </c>
      <c r="D4036" s="1542">
        <v>3078.15</v>
      </c>
      <c r="E4036" s="1542">
        <v>1294.1400000000001</v>
      </c>
    </row>
    <row r="4037" spans="1:5">
      <c r="A4037" s="1541">
        <v>39980</v>
      </c>
      <c r="B4037" s="1542">
        <v>7766.32</v>
      </c>
      <c r="C4037" s="1542">
        <v>105.02</v>
      </c>
      <c r="D4037" s="1542">
        <v>3102.45</v>
      </c>
      <c r="E4037" s="1542">
        <v>1320.74</v>
      </c>
    </row>
    <row r="4038" spans="1:5">
      <c r="A4038" s="1541">
        <v>39979</v>
      </c>
      <c r="B4038" s="1542">
        <v>7772.01</v>
      </c>
      <c r="C4038" s="1542">
        <v>105.75</v>
      </c>
      <c r="D4038" s="1542">
        <v>3129.83</v>
      </c>
      <c r="E4038" s="1542">
        <v>1329.72</v>
      </c>
    </row>
    <row r="4039" spans="1:5">
      <c r="A4039" s="1541">
        <v>39978</v>
      </c>
      <c r="B4039" s="1542"/>
      <c r="C4039" s="1542"/>
      <c r="D4039" s="1542"/>
      <c r="E4039" s="1542"/>
    </row>
    <row r="4040" spans="1:5">
      <c r="A4040" s="1541">
        <v>39977</v>
      </c>
      <c r="B4040" s="1542"/>
      <c r="C4040" s="1542"/>
      <c r="D4040" s="1542"/>
      <c r="E4040" s="1542"/>
    </row>
    <row r="4041" spans="1:5">
      <c r="A4041" s="1541">
        <v>39976</v>
      </c>
      <c r="B4041" s="1542">
        <v>8049.99</v>
      </c>
      <c r="C4041" s="1542">
        <v>111.36</v>
      </c>
      <c r="D4041" s="1542">
        <v>3213.5</v>
      </c>
      <c r="E4041" s="1542">
        <v>1364.64</v>
      </c>
    </row>
    <row r="4042" spans="1:5">
      <c r="A4042" s="1541">
        <v>39975</v>
      </c>
      <c r="B4042" s="1542">
        <v>8198.7199999999993</v>
      </c>
      <c r="C4042" s="1542">
        <v>111.93</v>
      </c>
      <c r="D4042" s="1542">
        <v>3221.41</v>
      </c>
      <c r="E4042" s="1542">
        <v>1365.94</v>
      </c>
    </row>
    <row r="4043" spans="1:5">
      <c r="A4043" s="1541">
        <v>39974</v>
      </c>
      <c r="B4043" s="1542">
        <v>8067.52</v>
      </c>
      <c r="C4043" s="1542">
        <v>109.1</v>
      </c>
      <c r="D4043" s="1542">
        <v>3190.73</v>
      </c>
      <c r="E4043" s="1542">
        <v>1362.54</v>
      </c>
    </row>
    <row r="4044" spans="1:5">
      <c r="A4044" s="1541">
        <v>39973</v>
      </c>
      <c r="B4044" s="1542">
        <v>8007.74</v>
      </c>
      <c r="C4044" s="1542">
        <v>111.18</v>
      </c>
      <c r="D4044" s="1542">
        <v>3174.71</v>
      </c>
      <c r="E4044" s="1542">
        <v>1331.48</v>
      </c>
    </row>
    <row r="4045" spans="1:5">
      <c r="A4045" s="1541">
        <v>39972</v>
      </c>
      <c r="B4045" s="1542">
        <v>8274.4500000000007</v>
      </c>
      <c r="C4045" s="1542">
        <v>116.94</v>
      </c>
      <c r="D4045" s="1542">
        <v>3150.53</v>
      </c>
      <c r="E4045" s="1542">
        <v>1333.28</v>
      </c>
    </row>
    <row r="4046" spans="1:5">
      <c r="A4046" s="1541">
        <v>39971</v>
      </c>
      <c r="B4046" s="1542"/>
      <c r="C4046" s="1542"/>
      <c r="D4046" s="1542"/>
      <c r="E4046" s="1542"/>
    </row>
    <row r="4047" spans="1:5">
      <c r="A4047" s="1541">
        <v>39970</v>
      </c>
      <c r="B4047" s="1542">
        <v>8559.49</v>
      </c>
      <c r="C4047" s="1542">
        <v>120.68</v>
      </c>
      <c r="D4047" s="1542"/>
      <c r="E4047" s="1542"/>
    </row>
    <row r="4048" spans="1:5">
      <c r="A4048" s="1541">
        <v>39969</v>
      </c>
      <c r="B4048" s="1542">
        <v>8447.6</v>
      </c>
      <c r="C4048" s="1542">
        <v>118.62</v>
      </c>
      <c r="D4048" s="1542">
        <v>3173.12</v>
      </c>
      <c r="E4048" s="1542">
        <v>1358.64</v>
      </c>
    </row>
    <row r="4049" spans="1:5">
      <c r="A4049" s="1541">
        <v>39968</v>
      </c>
      <c r="B4049" s="1542">
        <v>8471.25</v>
      </c>
      <c r="C4049" s="1542">
        <v>118</v>
      </c>
      <c r="D4049" s="1542">
        <v>3185.09</v>
      </c>
      <c r="E4049" s="1542">
        <v>1349.55</v>
      </c>
    </row>
    <row r="4050" spans="1:5">
      <c r="A4050" s="1541">
        <v>39967</v>
      </c>
      <c r="B4050" s="1542">
        <v>8604.92</v>
      </c>
      <c r="C4050" s="1542">
        <v>116.68</v>
      </c>
      <c r="D4050" s="1542">
        <v>3174.78</v>
      </c>
      <c r="E4050" s="1542">
        <v>1353.54</v>
      </c>
    </row>
    <row r="4051" spans="1:5">
      <c r="A4051" s="1541">
        <v>39966</v>
      </c>
      <c r="B4051" s="1542">
        <v>8674.75</v>
      </c>
      <c r="C4051" s="1542">
        <v>118.97</v>
      </c>
      <c r="D4051" s="1542">
        <v>3228.51</v>
      </c>
      <c r="E4051" s="1542">
        <v>1373.09</v>
      </c>
    </row>
    <row r="4052" spans="1:5">
      <c r="A4052" s="1541">
        <v>39965</v>
      </c>
      <c r="B4052" s="1542">
        <v>8676.9599999999991</v>
      </c>
      <c r="C4052" s="1542">
        <v>122.12</v>
      </c>
      <c r="D4052" s="1542">
        <v>3209.99</v>
      </c>
      <c r="E4052" s="1542">
        <v>1384.36</v>
      </c>
    </row>
    <row r="4053" spans="1:5">
      <c r="A4053" s="1541">
        <v>39964</v>
      </c>
      <c r="B4053" s="1542"/>
      <c r="C4053" s="1542"/>
      <c r="D4053" s="1542"/>
      <c r="E4053" s="1542"/>
    </row>
    <row r="4054" spans="1:5">
      <c r="A4054" s="1541">
        <v>39963</v>
      </c>
      <c r="B4054" s="1542"/>
      <c r="C4054" s="1542"/>
      <c r="D4054" s="1542"/>
      <c r="E4054" s="1542"/>
    </row>
    <row r="4055" spans="1:5">
      <c r="A4055" s="1541">
        <v>39962</v>
      </c>
      <c r="B4055" s="1542"/>
      <c r="C4055" s="1542"/>
      <c r="D4055" s="1542">
        <v>3130.79</v>
      </c>
      <c r="E4055" s="1542">
        <v>1334.1</v>
      </c>
    </row>
    <row r="4056" spans="1:5">
      <c r="A4056" s="1541">
        <v>39961</v>
      </c>
      <c r="B4056" s="1542"/>
      <c r="C4056" s="1542"/>
      <c r="D4056" s="1542">
        <v>3082.11</v>
      </c>
      <c r="E4056" s="1542">
        <v>1314.43</v>
      </c>
    </row>
    <row r="4057" spans="1:5">
      <c r="A4057" s="1541">
        <v>39960</v>
      </c>
      <c r="B4057" s="1542">
        <v>8597.52</v>
      </c>
      <c r="C4057" s="1542">
        <v>122.62</v>
      </c>
      <c r="D4057" s="1542">
        <v>3072.7</v>
      </c>
      <c r="E4057" s="1542">
        <v>1301.3499999999999</v>
      </c>
    </row>
    <row r="4058" spans="1:5">
      <c r="A4058" s="1541">
        <v>39959</v>
      </c>
      <c r="B4058" s="1542">
        <v>8338.83</v>
      </c>
      <c r="C4058" s="1542">
        <v>118.22</v>
      </c>
      <c r="D4058" s="1542">
        <v>3091.76</v>
      </c>
      <c r="E4058" s="1542">
        <v>1275.94</v>
      </c>
    </row>
    <row r="4059" spans="1:5">
      <c r="A4059" s="1541">
        <v>39958</v>
      </c>
      <c r="B4059" s="1542">
        <v>8402.9</v>
      </c>
      <c r="C4059" s="1542">
        <v>122.16</v>
      </c>
      <c r="D4059" s="1542">
        <v>3041.34</v>
      </c>
      <c r="E4059" s="1542">
        <v>1288.19</v>
      </c>
    </row>
    <row r="4060" spans="1:5">
      <c r="A4060" s="1541">
        <v>39957</v>
      </c>
      <c r="B4060" s="1542"/>
      <c r="C4060" s="1542"/>
      <c r="D4060" s="1542"/>
      <c r="E4060" s="1542"/>
    </row>
    <row r="4061" spans="1:5">
      <c r="A4061" s="1541">
        <v>39956</v>
      </c>
      <c r="B4061" s="1542"/>
      <c r="C4061" s="1542"/>
      <c r="D4061" s="1542"/>
      <c r="E4061" s="1542"/>
    </row>
    <row r="4062" spans="1:5">
      <c r="A4062" s="1541">
        <v>39955</v>
      </c>
      <c r="B4062" s="1542">
        <v>8406.43</v>
      </c>
      <c r="C4062" s="1542">
        <v>120.6</v>
      </c>
      <c r="D4062" s="1542">
        <v>3036.7</v>
      </c>
      <c r="E4062" s="1542">
        <v>1285.9000000000001</v>
      </c>
    </row>
    <row r="4063" spans="1:5">
      <c r="A4063" s="1541">
        <v>39954</v>
      </c>
      <c r="B4063" s="1542">
        <v>8383.3799999999992</v>
      </c>
      <c r="C4063" s="1542">
        <v>117.7</v>
      </c>
      <c r="D4063" s="1542">
        <v>3024.69</v>
      </c>
      <c r="E4063" s="1542">
        <v>1276.43</v>
      </c>
    </row>
    <row r="4064" spans="1:5">
      <c r="A4064" s="1541">
        <v>39953</v>
      </c>
      <c r="B4064" s="1542">
        <v>8364.42</v>
      </c>
      <c r="C4064" s="1542">
        <v>115.35</v>
      </c>
      <c r="D4064" s="1542">
        <v>3075.36</v>
      </c>
      <c r="E4064" s="1542">
        <v>1302.43</v>
      </c>
    </row>
    <row r="4065" spans="1:5">
      <c r="A4065" s="1541">
        <v>39952</v>
      </c>
      <c r="B4065" s="1542">
        <v>8304.49</v>
      </c>
      <c r="C4065" s="1542">
        <v>113.21</v>
      </c>
      <c r="D4065" s="1542">
        <v>3055.27</v>
      </c>
      <c r="E4065" s="1542">
        <v>1284.71</v>
      </c>
    </row>
    <row r="4066" spans="1:5">
      <c r="A4066" s="1541">
        <v>39951</v>
      </c>
      <c r="B4066" s="1542">
        <v>8207.44</v>
      </c>
      <c r="C4066" s="1542">
        <v>112.38</v>
      </c>
      <c r="D4066" s="1542">
        <v>3017.65</v>
      </c>
      <c r="E4066" s="1542">
        <v>1254.3499999999999</v>
      </c>
    </row>
    <row r="4067" spans="1:5">
      <c r="A4067" s="1541">
        <v>39950</v>
      </c>
      <c r="B4067" s="1542"/>
      <c r="C4067" s="1542"/>
      <c r="D4067" s="1542"/>
      <c r="E4067" s="1542"/>
    </row>
    <row r="4068" spans="1:5">
      <c r="A4068" s="1541">
        <v>39949</v>
      </c>
      <c r="B4068" s="1542"/>
      <c r="C4068" s="1542"/>
      <c r="D4068" s="1542"/>
      <c r="E4068" s="1542"/>
    </row>
    <row r="4069" spans="1:5">
      <c r="A4069" s="1541">
        <v>39948</v>
      </c>
      <c r="B4069" s="1542">
        <v>8096.74</v>
      </c>
      <c r="C4069" s="1542">
        <v>111.18</v>
      </c>
      <c r="D4069" s="1542">
        <v>2966.41</v>
      </c>
      <c r="E4069" s="1542">
        <v>1218.69</v>
      </c>
    </row>
    <row r="4070" spans="1:5">
      <c r="A4070" s="1541">
        <v>39947</v>
      </c>
      <c r="B4070" s="1542">
        <v>7940.87</v>
      </c>
      <c r="C4070" s="1542">
        <v>109.4</v>
      </c>
      <c r="D4070" s="1542">
        <v>2966.46</v>
      </c>
      <c r="E4070" s="1542">
        <v>1203.94</v>
      </c>
    </row>
    <row r="4071" spans="1:5">
      <c r="A4071" s="1541">
        <v>39946</v>
      </c>
      <c r="B4071" s="1542">
        <v>8091.81</v>
      </c>
      <c r="C4071" s="1542">
        <v>109.35</v>
      </c>
      <c r="D4071" s="1542">
        <v>2962.11</v>
      </c>
      <c r="E4071" s="1542">
        <v>1221.8</v>
      </c>
    </row>
    <row r="4072" spans="1:5">
      <c r="A4072" s="1541">
        <v>39945</v>
      </c>
      <c r="B4072" s="1542">
        <v>8026.19</v>
      </c>
      <c r="C4072" s="1542">
        <v>107.62</v>
      </c>
      <c r="D4072" s="1542">
        <v>3030.98</v>
      </c>
      <c r="E4072" s="1542">
        <v>1241.1600000000001</v>
      </c>
    </row>
    <row r="4073" spans="1:5">
      <c r="A4073" s="1541">
        <v>39944</v>
      </c>
      <c r="B4073" s="1542">
        <v>8294.4</v>
      </c>
      <c r="C4073" s="1542">
        <v>110.21</v>
      </c>
      <c r="D4073" s="1542">
        <v>3035.84</v>
      </c>
      <c r="E4073" s="1542">
        <v>1245.04</v>
      </c>
    </row>
    <row r="4074" spans="1:5">
      <c r="A4074" s="1541">
        <v>39943</v>
      </c>
      <c r="B4074" s="1542"/>
      <c r="C4074" s="1542"/>
      <c r="D4074" s="1542"/>
      <c r="E4074" s="1542"/>
    </row>
    <row r="4075" spans="1:5">
      <c r="A4075" s="1541">
        <v>39942</v>
      </c>
      <c r="B4075" s="1542"/>
      <c r="C4075" s="1542"/>
      <c r="D4075" s="1542"/>
      <c r="E4075" s="1542"/>
    </row>
    <row r="4076" spans="1:5">
      <c r="A4076" s="1541">
        <v>39941</v>
      </c>
      <c r="B4076" s="1542">
        <v>8215.01</v>
      </c>
      <c r="C4076" s="1542">
        <v>108.68</v>
      </c>
      <c r="D4076" s="1542">
        <v>3067.22</v>
      </c>
      <c r="E4076" s="1542">
        <v>1247.6099999999999</v>
      </c>
    </row>
    <row r="4077" spans="1:5">
      <c r="A4077" s="1541">
        <v>39940</v>
      </c>
      <c r="B4077" s="1542">
        <v>8201.2800000000007</v>
      </c>
      <c r="C4077" s="1542">
        <v>107.08</v>
      </c>
      <c r="D4077" s="1542">
        <v>3003.88</v>
      </c>
      <c r="E4077" s="1542">
        <v>1229.8499999999999</v>
      </c>
    </row>
    <row r="4078" spans="1:5">
      <c r="A4078" s="1541">
        <v>39939</v>
      </c>
      <c r="B4078" s="1542">
        <v>8193.35</v>
      </c>
      <c r="C4078" s="1542">
        <v>105.54</v>
      </c>
      <c r="D4078" s="1542">
        <v>3005.51</v>
      </c>
      <c r="E4078" s="1542">
        <v>1224.43</v>
      </c>
    </row>
    <row r="4079" spans="1:5">
      <c r="A4079" s="1541">
        <v>39938</v>
      </c>
      <c r="B4079" s="1542">
        <v>7960.31</v>
      </c>
      <c r="C4079" s="1542">
        <v>102.58</v>
      </c>
      <c r="D4079" s="1542">
        <v>2964.69</v>
      </c>
      <c r="E4079" s="1542">
        <v>1210.7</v>
      </c>
    </row>
    <row r="4080" spans="1:5">
      <c r="A4080" s="1541">
        <v>39937</v>
      </c>
      <c r="B4080" s="1542">
        <v>7898.5</v>
      </c>
      <c r="C4080" s="1542">
        <v>103.18</v>
      </c>
      <c r="D4080" s="1542">
        <v>2960.91</v>
      </c>
      <c r="E4080" s="1542">
        <v>1204.83</v>
      </c>
    </row>
    <row r="4081" spans="1:5">
      <c r="A4081" s="1541">
        <v>39936</v>
      </c>
      <c r="B4081" s="1542"/>
      <c r="C4081" s="1542"/>
      <c r="D4081" s="1542"/>
      <c r="E4081" s="1542"/>
    </row>
    <row r="4082" spans="1:5">
      <c r="A4082" s="1541">
        <v>39935</v>
      </c>
      <c r="B4082" s="1542"/>
      <c r="C4082" s="1542"/>
      <c r="D4082" s="1542"/>
      <c r="E4082" s="1542"/>
    </row>
    <row r="4083" spans="1:5">
      <c r="A4083" s="1541">
        <v>39934</v>
      </c>
      <c r="B4083" s="1542"/>
      <c r="C4083" s="1542"/>
      <c r="D4083" s="1542">
        <v>2877.7</v>
      </c>
      <c r="E4083" s="1542">
        <v>1139.02</v>
      </c>
    </row>
    <row r="4084" spans="1:5">
      <c r="A4084" s="1541">
        <v>39933</v>
      </c>
      <c r="B4084" s="1542">
        <v>7476.99</v>
      </c>
      <c r="C4084" s="1542">
        <v>100.59</v>
      </c>
      <c r="D4084" s="1542">
        <v>2867.37</v>
      </c>
      <c r="E4084" s="1542">
        <v>1138.8399999999999</v>
      </c>
    </row>
    <row r="4085" spans="1:5">
      <c r="A4085" s="1541">
        <v>39932</v>
      </c>
      <c r="B4085" s="1542">
        <v>7004.73</v>
      </c>
      <c r="C4085" s="1542">
        <v>95.1</v>
      </c>
      <c r="D4085" s="1542">
        <v>2844.14</v>
      </c>
      <c r="E4085" s="1542">
        <v>1109.03</v>
      </c>
    </row>
    <row r="4086" spans="1:5">
      <c r="A4086" s="1541">
        <v>39931</v>
      </c>
      <c r="B4086" s="1542">
        <v>6983.1</v>
      </c>
      <c r="C4086" s="1542">
        <v>97.6</v>
      </c>
      <c r="D4086" s="1542">
        <v>2779.18</v>
      </c>
      <c r="E4086" s="1542">
        <v>1071.47</v>
      </c>
    </row>
    <row r="4087" spans="1:5">
      <c r="A4087" s="1541">
        <v>39930</v>
      </c>
      <c r="B4087" s="1542">
        <v>7118.26</v>
      </c>
      <c r="C4087" s="1542">
        <v>101.64</v>
      </c>
      <c r="D4087" s="1542">
        <v>2811.36</v>
      </c>
      <c r="E4087" s="1542">
        <v>1088.1500000000001</v>
      </c>
    </row>
    <row r="4088" spans="1:5">
      <c r="A4088" s="1541">
        <v>39929</v>
      </c>
      <c r="B4088" s="1542"/>
      <c r="C4088" s="1542"/>
      <c r="D4088" s="1542"/>
      <c r="E4088" s="1542"/>
    </row>
    <row r="4089" spans="1:5">
      <c r="A4089" s="1541">
        <v>39928</v>
      </c>
      <c r="B4089" s="1542"/>
      <c r="C4089" s="1542"/>
      <c r="D4089" s="1542"/>
      <c r="E4089" s="1542"/>
    </row>
    <row r="4090" spans="1:5">
      <c r="A4090" s="1541">
        <v>39927</v>
      </c>
      <c r="B4090" s="1542">
        <v>7337.49</v>
      </c>
      <c r="C4090" s="1542">
        <v>105.28</v>
      </c>
      <c r="D4090" s="1542">
        <v>2829.91</v>
      </c>
      <c r="E4090" s="1542">
        <v>1112.58</v>
      </c>
    </row>
    <row r="4091" spans="1:5">
      <c r="A4091" s="1541">
        <v>39926</v>
      </c>
      <c r="B4091" s="1542">
        <v>7330.6</v>
      </c>
      <c r="C4091" s="1542">
        <v>103.91</v>
      </c>
      <c r="D4091" s="1542">
        <v>2770.55</v>
      </c>
      <c r="E4091" s="1542">
        <v>1098.6099999999999</v>
      </c>
    </row>
    <row r="4092" spans="1:5">
      <c r="A4092" s="1541">
        <v>39925</v>
      </c>
      <c r="B4092" s="1542">
        <v>7344.16</v>
      </c>
      <c r="C4092" s="1542">
        <v>103.37</v>
      </c>
      <c r="D4092" s="1542">
        <v>2748.23</v>
      </c>
      <c r="E4092" s="1542">
        <v>1080.25</v>
      </c>
    </row>
    <row r="4093" spans="1:5">
      <c r="A4093" s="1541">
        <v>39924</v>
      </c>
      <c r="B4093" s="1542">
        <v>7338.3</v>
      </c>
      <c r="C4093" s="1542">
        <v>101.53</v>
      </c>
      <c r="D4093" s="1542">
        <v>2743.89</v>
      </c>
      <c r="E4093" s="1542">
        <v>1076.76</v>
      </c>
    </row>
    <row r="4094" spans="1:5">
      <c r="A4094" s="1541">
        <v>39923</v>
      </c>
      <c r="B4094" s="1542">
        <v>7213.84</v>
      </c>
      <c r="C4094" s="1542">
        <v>98.72</v>
      </c>
      <c r="D4094" s="1542">
        <v>2720.27</v>
      </c>
      <c r="E4094" s="1542">
        <v>1087.3800000000001</v>
      </c>
    </row>
    <row r="4095" spans="1:5">
      <c r="A4095" s="1541">
        <v>39922</v>
      </c>
      <c r="B4095" s="1542"/>
      <c r="C4095" s="1542"/>
      <c r="D4095" s="1542"/>
      <c r="E4095" s="1542"/>
    </row>
    <row r="4096" spans="1:5">
      <c r="A4096" s="1541">
        <v>39921</v>
      </c>
      <c r="B4096" s="1542"/>
      <c r="C4096" s="1542"/>
      <c r="D4096" s="1542"/>
      <c r="E4096" s="1542"/>
    </row>
    <row r="4097" spans="1:5">
      <c r="A4097" s="1541">
        <v>39920</v>
      </c>
      <c r="B4097" s="1542">
        <v>7181.05</v>
      </c>
      <c r="C4097" s="1542">
        <v>99.4</v>
      </c>
      <c r="D4097" s="1542">
        <v>2822.97</v>
      </c>
      <c r="E4097" s="1542">
        <v>1104.18</v>
      </c>
    </row>
    <row r="4098" spans="1:5">
      <c r="A4098" s="1541">
        <v>39919</v>
      </c>
      <c r="B4098" s="1542">
        <v>7482.73</v>
      </c>
      <c r="C4098" s="1542">
        <v>103.96</v>
      </c>
      <c r="D4098" s="1542">
        <v>2804.74</v>
      </c>
      <c r="E4098" s="1542">
        <v>1112.5999999999999</v>
      </c>
    </row>
    <row r="4099" spans="1:5">
      <c r="A4099" s="1541">
        <v>39918</v>
      </c>
      <c r="B4099" s="1542">
        <v>7330.54</v>
      </c>
      <c r="C4099" s="1542">
        <v>102.21</v>
      </c>
      <c r="D4099" s="1542">
        <v>2765.76</v>
      </c>
      <c r="E4099" s="1542">
        <v>1104.2</v>
      </c>
    </row>
    <row r="4100" spans="1:5">
      <c r="A4100" s="1541">
        <v>39917</v>
      </c>
      <c r="B4100" s="1542">
        <v>7352.36</v>
      </c>
      <c r="C4100" s="1542">
        <v>100.77</v>
      </c>
      <c r="D4100" s="1542">
        <v>2760.42</v>
      </c>
      <c r="E4100" s="1542">
        <v>1106.8900000000001</v>
      </c>
    </row>
    <row r="4101" spans="1:5">
      <c r="A4101" s="1541">
        <v>39916</v>
      </c>
      <c r="B4101" s="1542">
        <v>7308.64</v>
      </c>
      <c r="C4101" s="1542">
        <v>99.64</v>
      </c>
      <c r="D4101" s="1542">
        <v>2774.87</v>
      </c>
      <c r="E4101" s="1542">
        <v>1098.32</v>
      </c>
    </row>
    <row r="4102" spans="1:5">
      <c r="A4102" s="1541">
        <v>39915</v>
      </c>
      <c r="B4102" s="1542"/>
      <c r="C4102" s="1542"/>
      <c r="D4102" s="1542"/>
      <c r="E4102" s="1542"/>
    </row>
    <row r="4103" spans="1:5">
      <c r="A4103" s="1541">
        <v>39914</v>
      </c>
      <c r="B4103" s="1542"/>
      <c r="C4103" s="1542"/>
      <c r="D4103" s="1542"/>
      <c r="E4103" s="1542"/>
    </row>
    <row r="4104" spans="1:5">
      <c r="A4104" s="1541">
        <v>39913</v>
      </c>
      <c r="B4104" s="1542">
        <v>7214.21</v>
      </c>
      <c r="C4104" s="1542">
        <v>97.96</v>
      </c>
      <c r="D4104" s="1542">
        <v>2760.51</v>
      </c>
      <c r="E4104" s="1542">
        <v>1090.44</v>
      </c>
    </row>
    <row r="4105" spans="1:5">
      <c r="A4105" s="1541">
        <v>39912</v>
      </c>
      <c r="B4105" s="1542">
        <v>7071.77</v>
      </c>
      <c r="C4105" s="1542">
        <v>96.8</v>
      </c>
      <c r="D4105" s="1542">
        <v>2758.6</v>
      </c>
      <c r="E4105" s="1542">
        <v>1084.51</v>
      </c>
    </row>
    <row r="4106" spans="1:5">
      <c r="A4106" s="1541">
        <v>39911</v>
      </c>
      <c r="B4106" s="1542">
        <v>6791.99</v>
      </c>
      <c r="C4106" s="1542">
        <v>93.21</v>
      </c>
      <c r="D4106" s="1542">
        <v>2675.49</v>
      </c>
      <c r="E4106" s="1542">
        <v>1045.6099999999999</v>
      </c>
    </row>
    <row r="4107" spans="1:5">
      <c r="A4107" s="1541">
        <v>39910</v>
      </c>
      <c r="B4107" s="1542">
        <v>6958.3</v>
      </c>
      <c r="C4107" s="1542">
        <v>93.93</v>
      </c>
      <c r="D4107" s="1542">
        <v>2666.3</v>
      </c>
      <c r="E4107" s="1542">
        <v>1055.31</v>
      </c>
    </row>
    <row r="4108" spans="1:5">
      <c r="A4108" s="1541">
        <v>39909</v>
      </c>
      <c r="B4108" s="1542">
        <v>6932.56</v>
      </c>
      <c r="C4108" s="1542">
        <v>92.53</v>
      </c>
      <c r="D4108" s="1542">
        <v>2715.6</v>
      </c>
      <c r="E4108" s="1542">
        <v>1067.52</v>
      </c>
    </row>
    <row r="4109" spans="1:5">
      <c r="A4109" s="1541">
        <v>39908</v>
      </c>
      <c r="B4109" s="1542"/>
      <c r="C4109" s="1542"/>
      <c r="D4109" s="1542"/>
      <c r="E4109" s="1542"/>
    </row>
    <row r="4110" spans="1:5">
      <c r="A4110" s="1541">
        <v>39907</v>
      </c>
      <c r="B4110" s="1542"/>
      <c r="C4110" s="1542"/>
      <c r="D4110" s="1542"/>
      <c r="E4110" s="1542"/>
    </row>
    <row r="4111" spans="1:5">
      <c r="A4111" s="1541">
        <v>39906</v>
      </c>
      <c r="B4111" s="1542">
        <v>6899.38</v>
      </c>
      <c r="C4111" s="1542">
        <v>91.87</v>
      </c>
      <c r="D4111" s="1542">
        <v>2735.76</v>
      </c>
      <c r="E4111" s="1542">
        <v>1057.3699999999999</v>
      </c>
    </row>
    <row r="4112" spans="1:5">
      <c r="A4112" s="1541">
        <v>39905</v>
      </c>
      <c r="B4112" s="1542">
        <v>6829.7</v>
      </c>
      <c r="C4112" s="1542">
        <v>91.08</v>
      </c>
      <c r="D4112" s="1542">
        <v>2728.64</v>
      </c>
      <c r="E4112" s="1542">
        <v>1050.28</v>
      </c>
    </row>
    <row r="4113" spans="1:5">
      <c r="A4113" s="1541">
        <v>39904</v>
      </c>
      <c r="B4113" s="1542">
        <v>6630.9</v>
      </c>
      <c r="C4113" s="1542">
        <v>89.76</v>
      </c>
      <c r="D4113" s="1542">
        <v>2615.7399999999998</v>
      </c>
      <c r="E4113" s="1542">
        <v>994.88</v>
      </c>
    </row>
    <row r="4114" spans="1:5">
      <c r="A4114" s="1541">
        <v>39903</v>
      </c>
      <c r="B4114" s="1542">
        <v>6501.61</v>
      </c>
      <c r="C4114" s="1542">
        <v>86.97</v>
      </c>
      <c r="D4114" s="1542">
        <v>2575.8200000000002</v>
      </c>
      <c r="E4114" s="1542">
        <v>976.24</v>
      </c>
    </row>
    <row r="4115" spans="1:5">
      <c r="A4115" s="1541">
        <v>39902</v>
      </c>
      <c r="B4115" s="1542">
        <v>6495.64</v>
      </c>
      <c r="C4115" s="1542">
        <v>87.33</v>
      </c>
      <c r="D4115" s="1542">
        <v>2535.59</v>
      </c>
      <c r="E4115" s="1542">
        <v>961.61</v>
      </c>
    </row>
    <row r="4116" spans="1:5">
      <c r="A4116" s="1541">
        <v>39901</v>
      </c>
      <c r="B4116" s="1542"/>
      <c r="C4116" s="1542"/>
      <c r="D4116" s="1542"/>
      <c r="E4116" s="1542"/>
    </row>
    <row r="4117" spans="1:5">
      <c r="A4117" s="1541">
        <v>39900</v>
      </c>
      <c r="B4117" s="1542"/>
      <c r="C4117" s="1542"/>
      <c r="D4117" s="1542"/>
      <c r="E4117" s="1542"/>
    </row>
    <row r="4118" spans="1:5">
      <c r="A4118" s="1541">
        <v>39899</v>
      </c>
      <c r="B4118" s="1542">
        <v>6726.04</v>
      </c>
      <c r="C4118" s="1542">
        <v>90.06</v>
      </c>
      <c r="D4118" s="1542">
        <v>2637.8</v>
      </c>
      <c r="E4118" s="1542">
        <v>1012.36</v>
      </c>
    </row>
    <row r="4119" spans="1:5">
      <c r="A4119" s="1541">
        <v>39898</v>
      </c>
      <c r="B4119" s="1542">
        <v>6720.86</v>
      </c>
      <c r="C4119" s="1542">
        <v>88.53</v>
      </c>
      <c r="D4119" s="1542">
        <v>2691.3</v>
      </c>
      <c r="E4119" s="1542">
        <v>1026.74</v>
      </c>
    </row>
    <row r="4120" spans="1:5">
      <c r="A4120" s="1541">
        <v>39897</v>
      </c>
      <c r="B4120" s="1542">
        <v>6670.73</v>
      </c>
      <c r="C4120" s="1542">
        <v>86.74</v>
      </c>
      <c r="D4120" s="1542">
        <v>2649.68</v>
      </c>
      <c r="E4120" s="1542">
        <v>1005.67</v>
      </c>
    </row>
    <row r="4121" spans="1:5">
      <c r="A4121" s="1541">
        <v>39896</v>
      </c>
      <c r="B4121" s="1542">
        <v>6540.72</v>
      </c>
      <c r="C4121" s="1542">
        <v>84.56</v>
      </c>
      <c r="D4121" s="1542">
        <v>2632.24</v>
      </c>
      <c r="E4121" s="1542">
        <v>995.5</v>
      </c>
    </row>
    <row r="4122" spans="1:5">
      <c r="A4122" s="1541">
        <v>39895</v>
      </c>
      <c r="B4122" s="1542">
        <v>6393.5</v>
      </c>
      <c r="C4122" s="1542">
        <v>83.5</v>
      </c>
      <c r="D4122" s="1542">
        <v>2651.58</v>
      </c>
      <c r="E4122" s="1542">
        <v>991.68</v>
      </c>
    </row>
    <row r="4123" spans="1:5">
      <c r="A4123" s="1541">
        <v>39894</v>
      </c>
      <c r="B4123" s="1542"/>
      <c r="C4123" s="1542"/>
      <c r="D4123" s="1542"/>
      <c r="E4123" s="1542"/>
    </row>
    <row r="4124" spans="1:5">
      <c r="A4124" s="1541">
        <v>39893</v>
      </c>
      <c r="B4124" s="1542"/>
      <c r="C4124" s="1542"/>
      <c r="D4124" s="1542"/>
      <c r="E4124" s="1542"/>
    </row>
    <row r="4125" spans="1:5">
      <c r="A4125" s="1541">
        <v>39892</v>
      </c>
      <c r="B4125" s="1542">
        <v>6190.66</v>
      </c>
      <c r="C4125" s="1542">
        <v>81.459999999999994</v>
      </c>
      <c r="D4125" s="1542">
        <v>2522.7600000000002</v>
      </c>
      <c r="E4125" s="1542">
        <v>946.56</v>
      </c>
    </row>
    <row r="4126" spans="1:5">
      <c r="A4126" s="1541">
        <v>39891</v>
      </c>
      <c r="B4126" s="1542">
        <v>6283.39</v>
      </c>
      <c r="C4126" s="1542">
        <v>82.16</v>
      </c>
      <c r="D4126" s="1542">
        <v>2564.79</v>
      </c>
      <c r="E4126" s="1542">
        <v>954.14</v>
      </c>
    </row>
    <row r="4127" spans="1:5">
      <c r="A4127" s="1541">
        <v>39890</v>
      </c>
      <c r="B4127" s="1542">
        <v>6297.87</v>
      </c>
      <c r="C4127" s="1542">
        <v>82.51</v>
      </c>
      <c r="D4127" s="1542">
        <v>2519.04</v>
      </c>
      <c r="E4127" s="1542">
        <v>930.83</v>
      </c>
    </row>
    <row r="4128" spans="1:5">
      <c r="A4128" s="1541">
        <v>39889</v>
      </c>
      <c r="B4128" s="1542">
        <v>6290.19</v>
      </c>
      <c r="C4128" s="1542">
        <v>81.84</v>
      </c>
      <c r="D4128" s="1542">
        <v>2486.0100000000002</v>
      </c>
      <c r="E4128" s="1542">
        <v>927.47</v>
      </c>
    </row>
    <row r="4129" spans="1:5">
      <c r="A4129" s="1541">
        <v>39888</v>
      </c>
      <c r="B4129" s="1542">
        <v>6202.77</v>
      </c>
      <c r="C4129" s="1542">
        <v>81.06</v>
      </c>
      <c r="D4129" s="1542">
        <v>2443.1999999999998</v>
      </c>
      <c r="E4129" s="1542">
        <v>923.57</v>
      </c>
    </row>
    <row r="4130" spans="1:5">
      <c r="A4130" s="1541">
        <v>39887</v>
      </c>
      <c r="B4130" s="1542"/>
      <c r="C4130" s="1542"/>
      <c r="D4130" s="1542"/>
      <c r="E4130" s="1542"/>
    </row>
    <row r="4131" spans="1:5">
      <c r="A4131" s="1541">
        <v>39886</v>
      </c>
      <c r="B4131" s="1542"/>
      <c r="C4131" s="1542"/>
      <c r="D4131" s="1542"/>
      <c r="E4131" s="1542"/>
    </row>
    <row r="4132" spans="1:5">
      <c r="A4132" s="1541">
        <v>39885</v>
      </c>
      <c r="B4132" s="1542">
        <v>6110.52</v>
      </c>
      <c r="C4132" s="1542">
        <v>79.989999999999995</v>
      </c>
      <c r="D4132" s="1542">
        <v>2414.5700000000002</v>
      </c>
      <c r="E4132" s="1542">
        <v>903.51</v>
      </c>
    </row>
    <row r="4133" spans="1:5">
      <c r="A4133" s="1541">
        <v>39884</v>
      </c>
      <c r="B4133" s="1542">
        <v>5932.43</v>
      </c>
      <c r="C4133" s="1542">
        <v>78.290000000000006</v>
      </c>
      <c r="D4133" s="1542">
        <v>2379.77</v>
      </c>
      <c r="E4133" s="1542">
        <v>882.86</v>
      </c>
    </row>
    <row r="4134" spans="1:5">
      <c r="A4134" s="1541">
        <v>39883</v>
      </c>
      <c r="B4134" s="1542">
        <v>5939.05</v>
      </c>
      <c r="C4134" s="1542">
        <v>77.92</v>
      </c>
      <c r="D4134" s="1542">
        <v>2332.92</v>
      </c>
      <c r="E4134" s="1542">
        <v>876.88</v>
      </c>
    </row>
    <row r="4135" spans="1:5">
      <c r="A4135" s="1541">
        <v>39882</v>
      </c>
      <c r="B4135" s="1542">
        <v>5828.09</v>
      </c>
      <c r="C4135" s="1542">
        <v>77.8</v>
      </c>
      <c r="D4135" s="1542">
        <v>2313.86</v>
      </c>
      <c r="E4135" s="1542">
        <v>860.09</v>
      </c>
    </row>
    <row r="4136" spans="1:5">
      <c r="A4136" s="1541">
        <v>39881</v>
      </c>
      <c r="B4136" s="1542">
        <v>5774.7</v>
      </c>
      <c r="C4136" s="1542">
        <v>76.66</v>
      </c>
      <c r="D4136" s="1542">
        <v>2196.91</v>
      </c>
      <c r="E4136" s="1542">
        <v>830.12</v>
      </c>
    </row>
    <row r="4137" spans="1:5">
      <c r="A4137" s="1541">
        <v>39880</v>
      </c>
      <c r="B4137" s="1542"/>
      <c r="C4137" s="1542"/>
      <c r="D4137" s="1542"/>
      <c r="E4137" s="1542"/>
    </row>
    <row r="4138" spans="1:5">
      <c r="A4138" s="1541">
        <v>39879</v>
      </c>
      <c r="B4138" s="1542"/>
      <c r="C4138" s="1542"/>
      <c r="D4138" s="1542"/>
      <c r="E4138" s="1542"/>
    </row>
    <row r="4139" spans="1:5">
      <c r="A4139" s="1541">
        <v>39878</v>
      </c>
      <c r="B4139" s="1542">
        <v>5806.38</v>
      </c>
      <c r="C4139" s="1542">
        <v>76.349999999999994</v>
      </c>
      <c r="D4139" s="1542">
        <v>2225.04</v>
      </c>
      <c r="E4139" s="1542">
        <v>835.06</v>
      </c>
    </row>
    <row r="4140" spans="1:5">
      <c r="A4140" s="1541">
        <v>39877</v>
      </c>
      <c r="B4140" s="1542">
        <v>5785.88</v>
      </c>
      <c r="C4140" s="1542">
        <v>75.8</v>
      </c>
      <c r="D4140" s="1542">
        <v>2234.06</v>
      </c>
      <c r="E4140" s="1542">
        <v>834.71</v>
      </c>
    </row>
    <row r="4141" spans="1:5">
      <c r="A4141" s="1541">
        <v>39876</v>
      </c>
      <c r="B4141" s="1542">
        <v>5666.37</v>
      </c>
      <c r="C4141" s="1542">
        <v>74.81</v>
      </c>
      <c r="D4141" s="1542">
        <v>2303.88</v>
      </c>
      <c r="E4141" s="1542">
        <v>843.67</v>
      </c>
    </row>
    <row r="4142" spans="1:5">
      <c r="A4142" s="1541">
        <v>39875</v>
      </c>
      <c r="B4142" s="1542">
        <v>5534.02</v>
      </c>
      <c r="C4142" s="1542">
        <v>73.260000000000005</v>
      </c>
      <c r="D4142" s="1542">
        <v>2248.9</v>
      </c>
      <c r="E4142" s="1542">
        <v>814.07</v>
      </c>
    </row>
    <row r="4143" spans="1:5">
      <c r="A4143" s="1541">
        <v>39874</v>
      </c>
      <c r="B4143" s="1542">
        <v>5522.15</v>
      </c>
      <c r="C4143" s="1542">
        <v>73.180000000000007</v>
      </c>
      <c r="D4143" s="1542">
        <v>2275.9499999999998</v>
      </c>
      <c r="E4143" s="1542">
        <v>812.17</v>
      </c>
    </row>
    <row r="4144" spans="1:5">
      <c r="A4144" s="1541">
        <v>39873</v>
      </c>
      <c r="B4144" s="1542"/>
      <c r="C4144" s="1542"/>
      <c r="D4144" s="1542"/>
      <c r="E4144" s="1542"/>
    </row>
    <row r="4145" spans="1:5">
      <c r="A4145" s="1541">
        <v>39872</v>
      </c>
      <c r="B4145" s="1542"/>
      <c r="C4145" s="1542"/>
      <c r="D4145" s="1542"/>
      <c r="E4145" s="1542"/>
    </row>
    <row r="4146" spans="1:5">
      <c r="A4146" s="1541">
        <v>39871</v>
      </c>
      <c r="B4146" s="1542">
        <v>5686.01</v>
      </c>
      <c r="C4146" s="1542">
        <v>74.58</v>
      </c>
      <c r="D4146" s="1542">
        <v>2393.87</v>
      </c>
      <c r="E4146" s="1542">
        <v>853.47</v>
      </c>
    </row>
    <row r="4147" spans="1:5">
      <c r="A4147" s="1541">
        <v>39870</v>
      </c>
      <c r="B4147" s="1542">
        <v>5637.86</v>
      </c>
      <c r="C4147" s="1542">
        <v>72.95</v>
      </c>
      <c r="D4147" s="1542">
        <v>2434.16</v>
      </c>
      <c r="E4147" s="1542">
        <v>864.58</v>
      </c>
    </row>
    <row r="4148" spans="1:5">
      <c r="A4148" s="1541">
        <v>39869</v>
      </c>
      <c r="B4148" s="1542">
        <v>5606.89</v>
      </c>
      <c r="C4148" s="1542">
        <v>72.66</v>
      </c>
      <c r="D4148" s="1542">
        <v>2434.0500000000002</v>
      </c>
      <c r="E4148" s="1542">
        <v>863.72</v>
      </c>
    </row>
    <row r="4149" spans="1:5">
      <c r="A4149" s="1541">
        <v>39868</v>
      </c>
      <c r="B4149" s="1542">
        <v>5527.58</v>
      </c>
      <c r="C4149" s="1542">
        <v>71.349999999999994</v>
      </c>
      <c r="D4149" s="1542">
        <v>2446.13</v>
      </c>
      <c r="E4149" s="1542">
        <v>859.1</v>
      </c>
    </row>
    <row r="4150" spans="1:5">
      <c r="A4150" s="1541">
        <v>39867</v>
      </c>
      <c r="B4150" s="1542">
        <v>5586.97</v>
      </c>
      <c r="C4150" s="1542">
        <v>71.36</v>
      </c>
      <c r="D4150" s="1542">
        <v>2412.4699999999998</v>
      </c>
      <c r="E4150" s="1542">
        <v>871.75</v>
      </c>
    </row>
    <row r="4151" spans="1:5">
      <c r="A4151" s="1541">
        <v>39866</v>
      </c>
      <c r="B4151" s="1542"/>
      <c r="C4151" s="1542"/>
      <c r="D4151" s="1542"/>
      <c r="E4151" s="1542"/>
    </row>
    <row r="4152" spans="1:5">
      <c r="A4152" s="1541">
        <v>39865</v>
      </c>
      <c r="B4152" s="1542"/>
      <c r="C4152" s="1542"/>
      <c r="D4152" s="1542"/>
      <c r="E4152" s="1542"/>
    </row>
    <row r="4153" spans="1:5">
      <c r="A4153" s="1541">
        <v>39864</v>
      </c>
      <c r="B4153" s="1542">
        <v>5536.01</v>
      </c>
      <c r="C4153" s="1542">
        <v>70.790000000000006</v>
      </c>
      <c r="D4153" s="1542">
        <v>2461.5700000000002</v>
      </c>
      <c r="E4153" s="1542">
        <v>858.68</v>
      </c>
    </row>
    <row r="4154" spans="1:5">
      <c r="A4154" s="1541">
        <v>39863</v>
      </c>
      <c r="B4154" s="1542">
        <v>5650.72</v>
      </c>
      <c r="C4154" s="1542">
        <v>71.95</v>
      </c>
      <c r="D4154" s="1542">
        <v>2516.4899999999998</v>
      </c>
      <c r="E4154" s="1542">
        <v>890.9</v>
      </c>
    </row>
    <row r="4155" spans="1:5">
      <c r="A4155" s="1541">
        <v>39862</v>
      </c>
      <c r="B4155" s="1542">
        <v>5612.66</v>
      </c>
      <c r="C4155" s="1542">
        <v>71.27</v>
      </c>
      <c r="D4155" s="1542">
        <v>2519.5700000000002</v>
      </c>
      <c r="E4155" s="1542">
        <v>882.22</v>
      </c>
    </row>
    <row r="4156" spans="1:5">
      <c r="A4156" s="1541">
        <v>39861</v>
      </c>
      <c r="B4156" s="1542">
        <v>5604.44</v>
      </c>
      <c r="C4156" s="1542">
        <v>72.14</v>
      </c>
      <c r="D4156" s="1542">
        <v>2535.4699999999998</v>
      </c>
      <c r="E4156" s="1542">
        <v>889.98</v>
      </c>
    </row>
    <row r="4157" spans="1:5">
      <c r="A4157" s="1541">
        <v>39860</v>
      </c>
      <c r="B4157" s="1542">
        <v>5728.56</v>
      </c>
      <c r="C4157" s="1542">
        <v>73.83</v>
      </c>
      <c r="D4157" s="1542">
        <v>2644.6</v>
      </c>
      <c r="E4157" s="1542">
        <v>935.51</v>
      </c>
    </row>
    <row r="4158" spans="1:5">
      <c r="A4158" s="1541">
        <v>39859</v>
      </c>
      <c r="B4158" s="1542"/>
      <c r="C4158" s="1542"/>
      <c r="D4158" s="1542"/>
      <c r="E4158" s="1542"/>
    </row>
    <row r="4159" spans="1:5">
      <c r="A4159" s="1541">
        <v>39858</v>
      </c>
      <c r="B4159" s="1542"/>
      <c r="C4159" s="1542"/>
      <c r="D4159" s="1542"/>
      <c r="E4159" s="1542"/>
    </row>
    <row r="4160" spans="1:5">
      <c r="A4160" s="1541">
        <v>39857</v>
      </c>
      <c r="B4160" s="1542">
        <v>5730.11</v>
      </c>
      <c r="C4160" s="1542">
        <v>72.88</v>
      </c>
      <c r="D4160" s="1542">
        <v>2663.42</v>
      </c>
      <c r="E4160" s="1542">
        <v>947</v>
      </c>
    </row>
    <row r="4161" spans="1:5">
      <c r="A4161" s="1541">
        <v>39856</v>
      </c>
      <c r="B4161" s="1542">
        <v>5572.8</v>
      </c>
      <c r="C4161" s="1542">
        <v>71.03</v>
      </c>
      <c r="D4161" s="1542">
        <v>2665.38</v>
      </c>
      <c r="E4161" s="1542">
        <v>927.14</v>
      </c>
    </row>
    <row r="4162" spans="1:5">
      <c r="A4162" s="1541">
        <v>39855</v>
      </c>
      <c r="B4162" s="1542">
        <v>5709.45</v>
      </c>
      <c r="C4162" s="1542">
        <v>72.510000000000005</v>
      </c>
      <c r="D4162" s="1542">
        <v>2688.5</v>
      </c>
      <c r="E4162" s="1542">
        <v>945.59</v>
      </c>
    </row>
    <row r="4163" spans="1:5">
      <c r="A4163" s="1541">
        <v>39854</v>
      </c>
      <c r="B4163" s="1542">
        <v>5647.26</v>
      </c>
      <c r="C4163" s="1542">
        <v>71.7</v>
      </c>
      <c r="D4163" s="1542">
        <v>2692.02</v>
      </c>
      <c r="E4163" s="1542">
        <v>958.98</v>
      </c>
    </row>
    <row r="4164" spans="1:5">
      <c r="A4164" s="1541">
        <v>39853</v>
      </c>
      <c r="B4164" s="1542">
        <v>5607.95</v>
      </c>
      <c r="C4164" s="1542">
        <v>70.849999999999994</v>
      </c>
      <c r="D4164" s="1542">
        <v>2788.98</v>
      </c>
      <c r="E4164" s="1542">
        <v>964.83</v>
      </c>
    </row>
    <row r="4165" spans="1:5">
      <c r="A4165" s="1541">
        <v>39852</v>
      </c>
      <c r="B4165" s="1542"/>
      <c r="C4165" s="1542"/>
      <c r="D4165" s="1542"/>
      <c r="E4165" s="1542"/>
    </row>
    <row r="4166" spans="1:5">
      <c r="A4166" s="1541">
        <v>39851</v>
      </c>
      <c r="B4166" s="1542"/>
      <c r="C4166" s="1542"/>
      <c r="D4166" s="1542"/>
      <c r="E4166" s="1542"/>
    </row>
    <row r="4167" spans="1:5">
      <c r="A4167" s="1541">
        <v>39850</v>
      </c>
      <c r="B4167" s="1542">
        <v>5578.83</v>
      </c>
      <c r="C4167" s="1542">
        <v>70.599999999999994</v>
      </c>
      <c r="D4167" s="1542">
        <v>2769.21</v>
      </c>
      <c r="E4167" s="1542">
        <v>952.35</v>
      </c>
    </row>
    <row r="4168" spans="1:5">
      <c r="A4168" s="1541">
        <v>39849</v>
      </c>
      <c r="B4168" s="1542">
        <v>5444.07</v>
      </c>
      <c r="C4168" s="1542">
        <v>69.25</v>
      </c>
      <c r="D4168" s="1542">
        <v>2712.08</v>
      </c>
      <c r="E4168" s="1542">
        <v>916.54</v>
      </c>
    </row>
    <row r="4169" spans="1:5">
      <c r="A4169" s="1541">
        <v>39848</v>
      </c>
      <c r="B4169" s="1542">
        <v>5477.42</v>
      </c>
      <c r="C4169" s="1542">
        <v>69.680000000000007</v>
      </c>
      <c r="D4169" s="1542">
        <v>2696.12</v>
      </c>
      <c r="E4169" s="1542">
        <v>915.51</v>
      </c>
    </row>
    <row r="4170" spans="1:5">
      <c r="A4170" s="1541">
        <v>39847</v>
      </c>
      <c r="B4170" s="1542">
        <v>5456</v>
      </c>
      <c r="C4170" s="1542">
        <v>68.959999999999994</v>
      </c>
      <c r="D4170" s="1542">
        <v>2680.98</v>
      </c>
      <c r="E4170" s="1542">
        <v>897.37</v>
      </c>
    </row>
    <row r="4171" spans="1:5">
      <c r="A4171" s="1541">
        <v>39846</v>
      </c>
      <c r="B4171" s="1542">
        <v>5315.22</v>
      </c>
      <c r="C4171" s="1542">
        <v>66.89</v>
      </c>
      <c r="D4171" s="1542">
        <v>2633.68</v>
      </c>
      <c r="E4171" s="1542">
        <v>883.33</v>
      </c>
    </row>
    <row r="4172" spans="1:5">
      <c r="A4172" s="1541">
        <v>39845</v>
      </c>
      <c r="B4172" s="1542"/>
      <c r="C4172" s="1542"/>
      <c r="D4172" s="1542"/>
      <c r="E4172" s="1542"/>
    </row>
    <row r="4173" spans="1:5">
      <c r="A4173" s="1541">
        <v>39844</v>
      </c>
      <c r="B4173" s="1542"/>
      <c r="C4173" s="1542"/>
      <c r="D4173" s="1542"/>
      <c r="E4173" s="1542"/>
    </row>
    <row r="4174" spans="1:5">
      <c r="A4174" s="1541">
        <v>39843</v>
      </c>
      <c r="B4174" s="1542"/>
      <c r="C4174" s="1542"/>
      <c r="D4174" s="1542">
        <v>2664.85</v>
      </c>
      <c r="E4174" s="1542">
        <v>904.33</v>
      </c>
    </row>
    <row r="4175" spans="1:5">
      <c r="A4175" s="1541">
        <v>39842</v>
      </c>
      <c r="B4175" s="1542"/>
      <c r="C4175" s="1542"/>
      <c r="D4175" s="1542">
        <v>2725.52</v>
      </c>
      <c r="E4175" s="1542">
        <v>908.77</v>
      </c>
    </row>
    <row r="4176" spans="1:5">
      <c r="A4176" s="1541">
        <v>39841</v>
      </c>
      <c r="B4176" s="1542"/>
      <c r="C4176" s="1542"/>
      <c r="D4176" s="1542">
        <v>2791.81</v>
      </c>
      <c r="E4176" s="1542">
        <v>910.01</v>
      </c>
    </row>
    <row r="4177" spans="1:5">
      <c r="A4177" s="1541">
        <v>39840</v>
      </c>
      <c r="B4177" s="1542"/>
      <c r="C4177" s="1542"/>
      <c r="D4177" s="1542">
        <v>2713.82</v>
      </c>
      <c r="E4177" s="1542">
        <v>885.66</v>
      </c>
    </row>
    <row r="4178" spans="1:5">
      <c r="A4178" s="1541">
        <v>39839</v>
      </c>
      <c r="B4178" s="1542"/>
      <c r="C4178" s="1542"/>
      <c r="D4178" s="1542">
        <v>2673.93</v>
      </c>
      <c r="E4178" s="1542">
        <v>880.44</v>
      </c>
    </row>
    <row r="4179" spans="1:5">
      <c r="A4179" s="1541">
        <v>39838</v>
      </c>
      <c r="B4179" s="1542"/>
      <c r="C4179" s="1542"/>
      <c r="D4179" s="1542"/>
      <c r="E4179" s="1542"/>
    </row>
    <row r="4180" spans="1:5">
      <c r="A4180" s="1541">
        <v>39837</v>
      </c>
      <c r="B4180" s="1542"/>
      <c r="C4180" s="1542"/>
      <c r="D4180" s="1542"/>
      <c r="E4180" s="1542"/>
    </row>
    <row r="4181" spans="1:5">
      <c r="A4181" s="1541">
        <v>39836</v>
      </c>
      <c r="B4181" s="1542"/>
      <c r="C4181" s="1542"/>
      <c r="D4181" s="1542">
        <v>2621.29</v>
      </c>
      <c r="E4181" s="1542">
        <v>865.78</v>
      </c>
    </row>
    <row r="4182" spans="1:5">
      <c r="A4182" s="1541">
        <v>39835</v>
      </c>
      <c r="B4182" s="1542"/>
      <c r="C4182" s="1542"/>
      <c r="D4182" s="1542">
        <v>2637.3</v>
      </c>
      <c r="E4182" s="1542">
        <v>877.54</v>
      </c>
    </row>
    <row r="4183" spans="1:5">
      <c r="A4183" s="1541">
        <v>39834</v>
      </c>
      <c r="B4183" s="1542">
        <v>5300.24</v>
      </c>
      <c r="C4183" s="1542">
        <v>66.5</v>
      </c>
      <c r="D4183" s="1542">
        <v>2662.57</v>
      </c>
      <c r="E4183" s="1542">
        <v>878.78</v>
      </c>
    </row>
    <row r="4184" spans="1:5">
      <c r="A4184" s="1541">
        <v>39833</v>
      </c>
      <c r="B4184" s="1542">
        <v>5293.55</v>
      </c>
      <c r="C4184" s="1542">
        <v>66.61</v>
      </c>
      <c r="D4184" s="1542">
        <v>2611.9699999999998</v>
      </c>
      <c r="E4184" s="1542">
        <v>882.83</v>
      </c>
    </row>
    <row r="4185" spans="1:5">
      <c r="A4185" s="1541">
        <v>39832</v>
      </c>
      <c r="B4185" s="1542">
        <v>5448.46</v>
      </c>
      <c r="C4185" s="1542">
        <v>68.2</v>
      </c>
      <c r="D4185" s="1542">
        <v>2729.44</v>
      </c>
      <c r="E4185" s="1542">
        <v>910.64</v>
      </c>
    </row>
    <row r="4186" spans="1:5">
      <c r="A4186" s="1541">
        <v>39831</v>
      </c>
      <c r="B4186" s="1542"/>
      <c r="C4186" s="1542"/>
      <c r="D4186" s="1542"/>
      <c r="E4186" s="1542"/>
    </row>
    <row r="4187" spans="1:5">
      <c r="A4187" s="1541">
        <v>39830</v>
      </c>
      <c r="B4187" s="1542">
        <v>5447.63</v>
      </c>
      <c r="C4187" s="1542">
        <v>68.48</v>
      </c>
      <c r="D4187" s="1542"/>
      <c r="E4187" s="1542"/>
    </row>
    <row r="4188" spans="1:5">
      <c r="A4188" s="1541">
        <v>39829</v>
      </c>
      <c r="B4188" s="1542">
        <v>5432.16</v>
      </c>
      <c r="C4188" s="1542">
        <v>68.41</v>
      </c>
      <c r="D4188" s="1542">
        <v>2749.17</v>
      </c>
      <c r="E4188" s="1542">
        <v>917.45</v>
      </c>
    </row>
    <row r="4189" spans="1:5">
      <c r="A4189" s="1541">
        <v>39828</v>
      </c>
      <c r="B4189" s="1542">
        <v>5391.07</v>
      </c>
      <c r="C4189" s="1542">
        <v>67.900000000000006</v>
      </c>
      <c r="D4189" s="1542">
        <v>2709.51</v>
      </c>
      <c r="E4189" s="1542">
        <v>898.12</v>
      </c>
    </row>
    <row r="4190" spans="1:5">
      <c r="A4190" s="1541">
        <v>39827</v>
      </c>
      <c r="B4190" s="1542">
        <v>5641.48</v>
      </c>
      <c r="C4190" s="1542">
        <v>70.31</v>
      </c>
      <c r="D4190" s="1542">
        <v>2737.62</v>
      </c>
      <c r="E4190" s="1542">
        <v>925.74</v>
      </c>
    </row>
    <row r="4191" spans="1:5">
      <c r="A4191" s="1541">
        <v>39826</v>
      </c>
      <c r="B4191" s="1542">
        <v>5655.08</v>
      </c>
      <c r="C4191" s="1542">
        <v>69.94</v>
      </c>
      <c r="D4191" s="1542">
        <v>2823.74</v>
      </c>
      <c r="E4191" s="1542">
        <v>939.46</v>
      </c>
    </row>
    <row r="4192" spans="1:5">
      <c r="A4192" s="1541">
        <v>39825</v>
      </c>
      <c r="B4192" s="1542">
        <v>5557.18</v>
      </c>
      <c r="C4192" s="1542">
        <v>69.709999999999994</v>
      </c>
      <c r="D4192" s="1542">
        <v>2865.42</v>
      </c>
      <c r="E4192" s="1542">
        <v>943.4</v>
      </c>
    </row>
    <row r="4193" spans="1:5">
      <c r="A4193" s="1541">
        <v>39824</v>
      </c>
      <c r="B4193" s="1542"/>
      <c r="C4193" s="1542"/>
      <c r="D4193" s="1542"/>
      <c r="E4193" s="1542"/>
    </row>
    <row r="4194" spans="1:5">
      <c r="A4194" s="1541">
        <v>39823</v>
      </c>
      <c r="B4194" s="1542">
        <v>5574.18</v>
      </c>
      <c r="C4194" s="1542">
        <v>70.03</v>
      </c>
      <c r="D4194" s="1542"/>
      <c r="E4194" s="1542"/>
    </row>
    <row r="4195" spans="1:5">
      <c r="A4195" s="1541">
        <v>39822</v>
      </c>
      <c r="B4195" s="1542">
        <v>5618.12</v>
      </c>
      <c r="C4195" s="1542">
        <v>70.56</v>
      </c>
      <c r="D4195" s="1542">
        <v>2928.89</v>
      </c>
      <c r="E4195" s="1542">
        <v>974.01</v>
      </c>
    </row>
    <row r="4196" spans="1:5">
      <c r="A4196" s="1541">
        <v>39821</v>
      </c>
      <c r="B4196" s="1542">
        <v>5659.35</v>
      </c>
      <c r="C4196" s="1542">
        <v>70.489999999999995</v>
      </c>
      <c r="D4196" s="1542">
        <v>2979.41</v>
      </c>
      <c r="E4196" s="1542">
        <v>985.91</v>
      </c>
    </row>
    <row r="4197" spans="1:5">
      <c r="A4197" s="1541">
        <v>39820</v>
      </c>
      <c r="B4197" s="1542">
        <v>5976.34</v>
      </c>
      <c r="C4197" s="1542">
        <v>73.8</v>
      </c>
      <c r="D4197" s="1542">
        <v>2982.67</v>
      </c>
      <c r="E4197" s="1542">
        <v>1014.56</v>
      </c>
    </row>
    <row r="4198" spans="1:5">
      <c r="A4198" s="1541">
        <v>39819</v>
      </c>
      <c r="B4198" s="1542">
        <v>5898.25</v>
      </c>
      <c r="C4198" s="1542">
        <v>72.84</v>
      </c>
      <c r="D4198" s="1542">
        <v>3013.88</v>
      </c>
      <c r="E4198" s="1542">
        <v>1035.33</v>
      </c>
    </row>
    <row r="4199" spans="1:5">
      <c r="A4199" s="1541">
        <v>39818</v>
      </c>
      <c r="B4199" s="1542">
        <v>5862.14</v>
      </c>
      <c r="C4199" s="1542">
        <v>72.349999999999994</v>
      </c>
      <c r="D4199" s="1542">
        <v>2999.84</v>
      </c>
      <c r="E4199" s="1542">
        <v>1020.91</v>
      </c>
    </row>
    <row r="4200" spans="1:5">
      <c r="A4200" s="1541">
        <v>39817</v>
      </c>
      <c r="B4200" s="1542"/>
      <c r="C4200" s="1542"/>
      <c r="D4200" s="1542"/>
      <c r="E4200" s="1542"/>
    </row>
    <row r="4201" spans="1:5">
      <c r="A4201" s="1541">
        <v>39816</v>
      </c>
      <c r="B4201" s="1542"/>
      <c r="C4201" s="1542"/>
      <c r="D4201" s="1542"/>
      <c r="E4201" s="1542"/>
    </row>
    <row r="4202" spans="1:5">
      <c r="A4202" s="1541">
        <v>39815</v>
      </c>
      <c r="B4202" s="1542"/>
      <c r="C4202" s="1542"/>
      <c r="D4202" s="1542">
        <v>3002.01</v>
      </c>
      <c r="E4202" s="1542">
        <v>990.17</v>
      </c>
    </row>
    <row r="4203" spans="1:5">
      <c r="A4203" s="1541">
        <v>39814</v>
      </c>
      <c r="B4203" s="1542"/>
      <c r="C4203" s="1542"/>
      <c r="D4203" s="1542">
        <v>2919.78</v>
      </c>
      <c r="E4203" s="1542">
        <v>968.33</v>
      </c>
    </row>
    <row r="4204" spans="1:5">
      <c r="A4204" s="1541">
        <v>39813</v>
      </c>
      <c r="B4204" s="1542">
        <v>5728.51</v>
      </c>
      <c r="C4204" s="1542">
        <v>70.760000000000005</v>
      </c>
      <c r="D4204" s="1542">
        <v>2919.78</v>
      </c>
      <c r="E4204" s="1542">
        <v>966.34</v>
      </c>
    </row>
    <row r="4205" spans="1:5">
      <c r="A4205" s="1541">
        <v>39812</v>
      </c>
      <c r="B4205" s="1542">
        <v>5725.79</v>
      </c>
      <c r="C4205" s="1542">
        <v>70.2</v>
      </c>
      <c r="D4205" s="1542">
        <v>2906.25</v>
      </c>
      <c r="E4205" s="1542">
        <v>964.17</v>
      </c>
    </row>
    <row r="4206" spans="1:5">
      <c r="A4206" s="1541">
        <v>39811</v>
      </c>
      <c r="B4206" s="1542">
        <v>5510.09</v>
      </c>
      <c r="C4206" s="1542">
        <v>67.89</v>
      </c>
      <c r="D4206" s="1542">
        <v>2858.7</v>
      </c>
      <c r="E4206" s="1542">
        <v>949.94</v>
      </c>
    </row>
    <row r="4207" spans="1:5">
      <c r="A4207" s="1541">
        <v>39810</v>
      </c>
      <c r="B4207" s="1542"/>
      <c r="C4207" s="1542"/>
      <c r="D4207" s="1542"/>
      <c r="E4207" s="1542"/>
    </row>
    <row r="4208" spans="1:5">
      <c r="A4208" s="1541">
        <v>39809</v>
      </c>
      <c r="B4208" s="1542"/>
      <c r="C4208" s="1542"/>
      <c r="D4208" s="1542"/>
      <c r="E4208" s="1542"/>
    </row>
    <row r="4209" spans="1:5">
      <c r="A4209" s="1541">
        <v>39808</v>
      </c>
      <c r="B4209" s="1542">
        <v>5521.22</v>
      </c>
      <c r="C4209" s="1542">
        <v>67.95</v>
      </c>
      <c r="D4209" s="1542">
        <v>2833.85</v>
      </c>
      <c r="E4209" s="1542">
        <v>938.89</v>
      </c>
    </row>
    <row r="4210" spans="1:5">
      <c r="A4210" s="1541">
        <v>39807</v>
      </c>
      <c r="B4210" s="1542">
        <v>5506.7</v>
      </c>
      <c r="C4210" s="1542">
        <v>67.91</v>
      </c>
      <c r="D4210" s="1542">
        <v>2820.19</v>
      </c>
      <c r="E4210" s="1542">
        <v>940.38</v>
      </c>
    </row>
    <row r="4211" spans="1:5">
      <c r="A4211" s="1541">
        <v>39806</v>
      </c>
      <c r="B4211" s="1542">
        <v>5518.73</v>
      </c>
      <c r="C4211" s="1542">
        <v>67.209999999999994</v>
      </c>
      <c r="D4211" s="1542">
        <v>2816.13</v>
      </c>
      <c r="E4211" s="1542">
        <v>942.48</v>
      </c>
    </row>
    <row r="4212" spans="1:5">
      <c r="A4212" s="1541">
        <v>39805</v>
      </c>
      <c r="B4212" s="1542">
        <v>5497.24</v>
      </c>
      <c r="C4212" s="1542">
        <v>67.400000000000006</v>
      </c>
      <c r="D4212" s="1542">
        <v>2816.51</v>
      </c>
      <c r="E4212" s="1542">
        <v>946.09</v>
      </c>
    </row>
    <row r="4213" spans="1:5">
      <c r="A4213" s="1541">
        <v>39804</v>
      </c>
      <c r="B4213" s="1542">
        <v>5659.04</v>
      </c>
      <c r="C4213" s="1542">
        <v>69.66</v>
      </c>
      <c r="D4213" s="1542">
        <v>2830.05</v>
      </c>
      <c r="E4213" s="1542">
        <v>965.65</v>
      </c>
    </row>
    <row r="4214" spans="1:5">
      <c r="A4214" s="1541">
        <v>39803</v>
      </c>
      <c r="B4214" s="1542"/>
      <c r="C4214" s="1542"/>
      <c r="D4214" s="1542"/>
      <c r="E4214" s="1542"/>
    </row>
    <row r="4215" spans="1:5">
      <c r="A4215" s="1541">
        <v>39802</v>
      </c>
      <c r="B4215" s="1542"/>
      <c r="C4215" s="1542"/>
      <c r="D4215" s="1542"/>
      <c r="E4215" s="1542"/>
    </row>
    <row r="4216" spans="1:5">
      <c r="A4216" s="1541">
        <v>39801</v>
      </c>
      <c r="B4216" s="1542">
        <v>5857.41</v>
      </c>
      <c r="C4216" s="1542">
        <v>71.08</v>
      </c>
      <c r="D4216" s="1542">
        <v>2874.89</v>
      </c>
      <c r="E4216" s="1542">
        <v>990.69</v>
      </c>
    </row>
    <row r="4217" spans="1:5">
      <c r="A4217" s="1541">
        <v>39800</v>
      </c>
      <c r="B4217" s="1542">
        <v>5857.76</v>
      </c>
      <c r="C4217" s="1542">
        <v>70.16</v>
      </c>
      <c r="D4217" s="1542">
        <v>2914.49</v>
      </c>
      <c r="E4217" s="1542">
        <v>1004.7</v>
      </c>
    </row>
    <row r="4218" spans="1:5">
      <c r="A4218" s="1541">
        <v>39799</v>
      </c>
      <c r="B4218" s="1542">
        <v>5799.38</v>
      </c>
      <c r="C4218" s="1542">
        <v>69.36</v>
      </c>
      <c r="D4218" s="1542">
        <v>2941.94</v>
      </c>
      <c r="E4218" s="1542">
        <v>997.59</v>
      </c>
    </row>
    <row r="4219" spans="1:5">
      <c r="A4219" s="1541">
        <v>39798</v>
      </c>
      <c r="B4219" s="1542">
        <v>5760.54</v>
      </c>
      <c r="C4219" s="1542">
        <v>69.489999999999995</v>
      </c>
      <c r="D4219" s="1542">
        <v>2906.8</v>
      </c>
      <c r="E4219" s="1542">
        <v>973.26</v>
      </c>
    </row>
    <row r="4220" spans="1:5">
      <c r="A4220" s="1541">
        <v>39797</v>
      </c>
      <c r="B4220" s="1542">
        <v>5756.59</v>
      </c>
      <c r="C4220" s="1542">
        <v>69.430000000000007</v>
      </c>
      <c r="D4220" s="1542">
        <v>2824.86</v>
      </c>
      <c r="E4220" s="1542">
        <v>957.57</v>
      </c>
    </row>
    <row r="4221" spans="1:5">
      <c r="A4221" s="1541">
        <v>39796</v>
      </c>
      <c r="B4221" s="1542"/>
      <c r="C4221" s="1542"/>
      <c r="D4221" s="1542"/>
      <c r="E4221" s="1542"/>
    </row>
    <row r="4222" spans="1:5">
      <c r="A4222" s="1541">
        <v>39795</v>
      </c>
      <c r="B4222" s="1542"/>
      <c r="C4222" s="1542"/>
      <c r="D4222" s="1542"/>
      <c r="E4222" s="1542"/>
    </row>
    <row r="4223" spans="1:5">
      <c r="A4223" s="1541">
        <v>39794</v>
      </c>
      <c r="B4223" s="1542">
        <v>5591.32</v>
      </c>
      <c r="C4223" s="1542">
        <v>67.430000000000007</v>
      </c>
      <c r="D4223" s="1542">
        <v>2806.09</v>
      </c>
      <c r="E4223" s="1542">
        <v>938.85</v>
      </c>
    </row>
    <row r="4224" spans="1:5">
      <c r="A4224" s="1541">
        <v>39793</v>
      </c>
      <c r="B4224" s="1542">
        <v>5808.81</v>
      </c>
      <c r="C4224" s="1542">
        <v>69.760000000000005</v>
      </c>
      <c r="D4224" s="1542">
        <v>2827.98</v>
      </c>
      <c r="E4224" s="1542">
        <v>968.02</v>
      </c>
    </row>
    <row r="4225" spans="1:5">
      <c r="A4225" s="1541">
        <v>39792</v>
      </c>
      <c r="B4225" s="1542">
        <v>5812.92</v>
      </c>
      <c r="C4225" s="1542">
        <v>68.84</v>
      </c>
      <c r="D4225" s="1542">
        <v>2849.08</v>
      </c>
      <c r="E4225" s="1542">
        <v>957.05</v>
      </c>
    </row>
    <row r="4226" spans="1:5">
      <c r="A4226" s="1541">
        <v>39791</v>
      </c>
      <c r="B4226" s="1542">
        <v>5580.58</v>
      </c>
      <c r="C4226" s="1542">
        <v>65.959999999999994</v>
      </c>
      <c r="D4226" s="1542">
        <v>2812.62</v>
      </c>
      <c r="E4226" s="1542">
        <v>914.66</v>
      </c>
    </row>
    <row r="4227" spans="1:5">
      <c r="A4227" s="1541">
        <v>39790</v>
      </c>
      <c r="B4227" s="1542">
        <v>5512.8</v>
      </c>
      <c r="C4227" s="1542">
        <v>65.430000000000007</v>
      </c>
      <c r="D4227" s="1542">
        <v>2835.44</v>
      </c>
      <c r="E4227" s="1542">
        <v>913.82</v>
      </c>
    </row>
    <row r="4228" spans="1:5">
      <c r="A4228" s="1541">
        <v>39789</v>
      </c>
      <c r="B4228" s="1542"/>
      <c r="C4228" s="1542"/>
      <c r="D4228" s="1542"/>
      <c r="E4228" s="1542"/>
    </row>
    <row r="4229" spans="1:5">
      <c r="A4229" s="1541">
        <v>39788</v>
      </c>
      <c r="B4229" s="1542"/>
      <c r="C4229" s="1542"/>
      <c r="D4229" s="1542"/>
      <c r="E4229" s="1542"/>
    </row>
    <row r="4230" spans="1:5">
      <c r="A4230" s="1541">
        <v>39787</v>
      </c>
      <c r="B4230" s="1542">
        <v>5271.67</v>
      </c>
      <c r="C4230" s="1542">
        <v>62.66</v>
      </c>
      <c r="D4230" s="1542">
        <v>2687.89</v>
      </c>
      <c r="E4230" s="1542">
        <v>846.2</v>
      </c>
    </row>
    <row r="4231" spans="1:5">
      <c r="A4231" s="1541">
        <v>39786</v>
      </c>
      <c r="B4231" s="1542">
        <v>5308.96</v>
      </c>
      <c r="C4231" s="1542">
        <v>63.54</v>
      </c>
      <c r="D4231" s="1542">
        <v>2675.75</v>
      </c>
      <c r="E4231" s="1542">
        <v>853.41</v>
      </c>
    </row>
    <row r="4232" spans="1:5">
      <c r="A4232" s="1541">
        <v>39785</v>
      </c>
      <c r="B4232" s="1542">
        <v>5374.21</v>
      </c>
      <c r="C4232" s="1542">
        <v>63.84</v>
      </c>
      <c r="D4232" s="1542">
        <v>2725.15</v>
      </c>
      <c r="E4232" s="1542">
        <v>856.15</v>
      </c>
    </row>
    <row r="4233" spans="1:5">
      <c r="A4233" s="1541">
        <v>39784</v>
      </c>
      <c r="B4233" s="1542">
        <v>5436.25</v>
      </c>
      <c r="C4233" s="1542">
        <v>64.81</v>
      </c>
      <c r="D4233" s="1542">
        <v>2681.69</v>
      </c>
      <c r="E4233" s="1542">
        <v>852.49</v>
      </c>
    </row>
    <row r="4234" spans="1:5">
      <c r="A4234" s="1541">
        <v>39783</v>
      </c>
      <c r="B4234" s="1542">
        <v>5637.69</v>
      </c>
      <c r="C4234" s="1542">
        <v>67.599999999999994</v>
      </c>
      <c r="D4234" s="1542">
        <v>2629.52</v>
      </c>
      <c r="E4234" s="1542">
        <v>873.14</v>
      </c>
    </row>
    <row r="4235" spans="1:5">
      <c r="A4235" s="1541">
        <v>39782</v>
      </c>
      <c r="B4235" s="1542"/>
      <c r="C4235" s="1542"/>
      <c r="D4235" s="1542"/>
      <c r="E4235" s="1542"/>
    </row>
    <row r="4236" spans="1:5">
      <c r="A4236" s="1541">
        <v>39781</v>
      </c>
      <c r="B4236" s="1542"/>
      <c r="C4236" s="1542"/>
      <c r="D4236" s="1542"/>
      <c r="E4236" s="1542"/>
    </row>
    <row r="4237" spans="1:5">
      <c r="A4237" s="1541">
        <v>39780</v>
      </c>
      <c r="B4237" s="1542">
        <v>5565.4</v>
      </c>
      <c r="C4237" s="1542">
        <v>66.510000000000005</v>
      </c>
      <c r="D4237" s="1542">
        <v>2827.61</v>
      </c>
      <c r="E4237" s="1542">
        <v>896.2</v>
      </c>
    </row>
    <row r="4238" spans="1:5">
      <c r="A4238" s="1541">
        <v>39779</v>
      </c>
      <c r="B4238" s="1542">
        <v>5556.99</v>
      </c>
      <c r="C4238" s="1542">
        <v>66.08</v>
      </c>
      <c r="D4238" s="1542">
        <v>2801.64</v>
      </c>
      <c r="E4238" s="1542">
        <v>894.44</v>
      </c>
    </row>
    <row r="4239" spans="1:5">
      <c r="A4239" s="1541">
        <v>39778</v>
      </c>
      <c r="B4239" s="1542">
        <v>5329.97</v>
      </c>
      <c r="C4239" s="1542">
        <v>63.23</v>
      </c>
      <c r="D4239" s="1542">
        <v>2776.72</v>
      </c>
      <c r="E4239" s="1542">
        <v>872.84</v>
      </c>
    </row>
    <row r="4240" spans="1:5">
      <c r="A4240" s="1541">
        <v>39777</v>
      </c>
      <c r="B4240" s="1542">
        <v>5323.34</v>
      </c>
      <c r="C4240" s="1542">
        <v>62.4</v>
      </c>
      <c r="D4240" s="1542">
        <v>2732.76</v>
      </c>
      <c r="E4240" s="1542">
        <v>850.9</v>
      </c>
    </row>
    <row r="4241" spans="1:5">
      <c r="A4241" s="1541">
        <v>39776</v>
      </c>
      <c r="B4241" s="1542">
        <v>5191.1499999999996</v>
      </c>
      <c r="C4241" s="1542">
        <v>61.16</v>
      </c>
      <c r="D4241" s="1542">
        <v>2688.34</v>
      </c>
      <c r="E4241" s="1542">
        <v>825.5</v>
      </c>
    </row>
    <row r="4242" spans="1:5">
      <c r="A4242" s="1541">
        <v>39775</v>
      </c>
      <c r="B4242" s="1542"/>
      <c r="C4242" s="1542"/>
      <c r="D4242" s="1542"/>
      <c r="E4242" s="1542"/>
    </row>
    <row r="4243" spans="1:5">
      <c r="A4243" s="1541">
        <v>39774</v>
      </c>
      <c r="B4243" s="1542"/>
      <c r="C4243" s="1542"/>
      <c r="D4243" s="1542"/>
      <c r="E4243" s="1542"/>
    </row>
    <row r="4244" spans="1:5">
      <c r="A4244" s="1541">
        <v>39773</v>
      </c>
      <c r="B4244" s="1542">
        <v>5204.32</v>
      </c>
      <c r="C4244" s="1542">
        <v>62.24</v>
      </c>
      <c r="D4244" s="1542">
        <v>2515.4499999999998</v>
      </c>
      <c r="E4244" s="1542">
        <v>794.92</v>
      </c>
    </row>
    <row r="4245" spans="1:5">
      <c r="A4245" s="1541">
        <v>39772</v>
      </c>
      <c r="B4245" s="1542">
        <v>5103.05</v>
      </c>
      <c r="C4245" s="1542">
        <v>60.28</v>
      </c>
      <c r="D4245" s="1542">
        <v>2441.38</v>
      </c>
      <c r="E4245" s="1542">
        <v>789.25</v>
      </c>
    </row>
    <row r="4246" spans="1:5">
      <c r="A4246" s="1541">
        <v>39771</v>
      </c>
      <c r="B4246" s="1542">
        <v>5345.31</v>
      </c>
      <c r="C4246" s="1542">
        <v>62.77</v>
      </c>
      <c r="D4246" s="1542">
        <v>2599.4699999999998</v>
      </c>
      <c r="E4246" s="1542">
        <v>832.16</v>
      </c>
    </row>
    <row r="4247" spans="1:5">
      <c r="A4247" s="1541">
        <v>39770</v>
      </c>
      <c r="B4247" s="1542">
        <v>5371.62</v>
      </c>
      <c r="C4247" s="1542">
        <v>62.42</v>
      </c>
      <c r="D4247" s="1542">
        <v>2725</v>
      </c>
      <c r="E4247" s="1542">
        <v>850.65</v>
      </c>
    </row>
    <row r="4248" spans="1:5">
      <c r="A4248" s="1541">
        <v>39769</v>
      </c>
      <c r="B4248" s="1542">
        <v>5539.59</v>
      </c>
      <c r="C4248" s="1542">
        <v>65.099999999999994</v>
      </c>
      <c r="D4248" s="1542">
        <v>2716.17</v>
      </c>
      <c r="E4248" s="1542">
        <v>883.98</v>
      </c>
    </row>
    <row r="4249" spans="1:5">
      <c r="A4249" s="1541">
        <v>39768</v>
      </c>
      <c r="B4249" s="1542"/>
      <c r="C4249" s="1542"/>
      <c r="D4249" s="1542"/>
      <c r="E4249" s="1542"/>
    </row>
    <row r="4250" spans="1:5">
      <c r="A4250" s="1541">
        <v>39767</v>
      </c>
      <c r="B4250" s="1542"/>
      <c r="C4250" s="1542"/>
      <c r="D4250" s="1542"/>
      <c r="E4250" s="1542"/>
    </row>
    <row r="4251" spans="1:5">
      <c r="A4251" s="1541">
        <v>39766</v>
      </c>
      <c r="B4251" s="1542">
        <v>5555.67</v>
      </c>
      <c r="C4251" s="1542">
        <v>67.42</v>
      </c>
      <c r="D4251" s="1542">
        <v>2781.2</v>
      </c>
      <c r="E4251" s="1542">
        <v>901.22</v>
      </c>
    </row>
    <row r="4252" spans="1:5">
      <c r="A4252" s="1541">
        <v>39765</v>
      </c>
      <c r="B4252" s="1542">
        <v>5537.13</v>
      </c>
      <c r="C4252" s="1542">
        <v>68.42</v>
      </c>
      <c r="D4252" s="1542">
        <v>2826.3</v>
      </c>
      <c r="E4252" s="1542">
        <v>890.69</v>
      </c>
    </row>
    <row r="4253" spans="1:5">
      <c r="A4253" s="1541">
        <v>39764</v>
      </c>
      <c r="B4253" s="1542">
        <v>5758.89</v>
      </c>
      <c r="C4253" s="1542">
        <v>71.790000000000006</v>
      </c>
      <c r="D4253" s="1542">
        <v>2750.32</v>
      </c>
      <c r="E4253" s="1542">
        <v>906.55</v>
      </c>
    </row>
    <row r="4254" spans="1:5">
      <c r="A4254" s="1541">
        <v>39763</v>
      </c>
      <c r="B4254" s="1542">
        <v>5787.6</v>
      </c>
      <c r="C4254" s="1542">
        <v>72.88</v>
      </c>
      <c r="D4254" s="1542">
        <v>2863.41</v>
      </c>
      <c r="E4254" s="1542">
        <v>944.17</v>
      </c>
    </row>
    <row r="4255" spans="1:5">
      <c r="A4255" s="1541">
        <v>39762</v>
      </c>
      <c r="B4255" s="1542">
        <v>5914.48</v>
      </c>
      <c r="C4255" s="1542">
        <v>75.819999999999993</v>
      </c>
      <c r="D4255" s="1542">
        <v>2972.32</v>
      </c>
      <c r="E4255" s="1542">
        <v>990.69</v>
      </c>
    </row>
    <row r="4256" spans="1:5">
      <c r="A4256" s="1541">
        <v>39761</v>
      </c>
      <c r="B4256" s="1542"/>
      <c r="C4256" s="1542"/>
      <c r="D4256" s="1542"/>
      <c r="E4256" s="1542"/>
    </row>
    <row r="4257" spans="1:5">
      <c r="A4257" s="1541">
        <v>39760</v>
      </c>
      <c r="B4257" s="1542"/>
      <c r="C4257" s="1542"/>
      <c r="D4257" s="1542"/>
      <c r="E4257" s="1542"/>
    </row>
    <row r="4258" spans="1:5">
      <c r="A4258" s="1541">
        <v>39759</v>
      </c>
      <c r="B4258" s="1542">
        <v>5917.06</v>
      </c>
      <c r="C4258" s="1542">
        <v>76.959999999999994</v>
      </c>
      <c r="D4258" s="1542">
        <v>2967.45</v>
      </c>
      <c r="E4258" s="1542">
        <v>959.67</v>
      </c>
    </row>
    <row r="4259" spans="1:5">
      <c r="A4259" s="1541">
        <v>39758</v>
      </c>
      <c r="B4259" s="1542">
        <v>5856.91</v>
      </c>
      <c r="C4259" s="1542">
        <v>75.73</v>
      </c>
      <c r="D4259" s="1542">
        <v>2921.95</v>
      </c>
      <c r="E4259" s="1542">
        <v>947.6</v>
      </c>
    </row>
    <row r="4260" spans="1:5">
      <c r="A4260" s="1541">
        <v>39757</v>
      </c>
      <c r="B4260" s="1542">
        <v>6211.42</v>
      </c>
      <c r="C4260" s="1542">
        <v>79.63</v>
      </c>
      <c r="D4260" s="1542">
        <v>3104.21</v>
      </c>
      <c r="E4260" s="1542">
        <v>1019.53</v>
      </c>
    </row>
    <row r="4261" spans="1:5">
      <c r="A4261" s="1541">
        <v>39756</v>
      </c>
      <c r="B4261" s="1542">
        <v>6229.36</v>
      </c>
      <c r="C4261" s="1542">
        <v>78.53</v>
      </c>
      <c r="D4261" s="1542">
        <v>3180.31</v>
      </c>
      <c r="E4261" s="1542">
        <v>1024.56</v>
      </c>
    </row>
    <row r="4262" spans="1:5">
      <c r="A4262" s="1541">
        <v>39755</v>
      </c>
      <c r="B4262" s="1542">
        <v>6232.33</v>
      </c>
      <c r="C4262" s="1542">
        <v>78.27</v>
      </c>
      <c r="D4262" s="1542">
        <v>3034.63</v>
      </c>
      <c r="E4262" s="1542">
        <v>992.6</v>
      </c>
    </row>
    <row r="4263" spans="1:5">
      <c r="A4263" s="1541">
        <v>39754</v>
      </c>
      <c r="B4263" s="1542"/>
      <c r="C4263" s="1542"/>
      <c r="D4263" s="1542"/>
      <c r="E4263" s="1542"/>
    </row>
    <row r="4264" spans="1:5">
      <c r="A4264" s="1541">
        <v>39753</v>
      </c>
      <c r="B4264" s="1542"/>
      <c r="C4264" s="1542"/>
      <c r="D4264" s="1542"/>
      <c r="E4264" s="1542"/>
    </row>
    <row r="4265" spans="1:5">
      <c r="A4265" s="1541">
        <v>39752</v>
      </c>
      <c r="B4265" s="1542">
        <v>6077.13</v>
      </c>
      <c r="C4265" s="1542">
        <v>76.739999999999995</v>
      </c>
      <c r="D4265" s="1542">
        <v>3021.07</v>
      </c>
      <c r="E4265" s="1542">
        <v>969.08</v>
      </c>
    </row>
    <row r="4266" spans="1:5">
      <c r="A4266" s="1541">
        <v>39751</v>
      </c>
      <c r="B4266" s="1542">
        <v>5843.77</v>
      </c>
      <c r="C4266" s="1542">
        <v>75.7</v>
      </c>
      <c r="D4266" s="1542">
        <v>3004.95</v>
      </c>
      <c r="E4266" s="1542">
        <v>953.48</v>
      </c>
    </row>
    <row r="4267" spans="1:5">
      <c r="A4267" s="1541">
        <v>39750</v>
      </c>
      <c r="B4267" s="1542">
        <v>5498.02</v>
      </c>
      <c r="C4267" s="1542">
        <v>72.010000000000005</v>
      </c>
      <c r="D4267" s="1542">
        <v>2916.72</v>
      </c>
      <c r="E4267" s="1542">
        <v>862.11</v>
      </c>
    </row>
    <row r="4268" spans="1:5">
      <c r="A4268" s="1541">
        <v>39749</v>
      </c>
      <c r="B4268" s="1542">
        <v>5489.85</v>
      </c>
      <c r="C4268" s="1542">
        <v>73.349999999999994</v>
      </c>
      <c r="D4268" s="1542">
        <v>2814.87</v>
      </c>
      <c r="E4268" s="1542">
        <v>823.64</v>
      </c>
    </row>
    <row r="4269" spans="1:5">
      <c r="A4269" s="1541">
        <v>39748</v>
      </c>
      <c r="B4269" s="1542">
        <v>5448.55</v>
      </c>
      <c r="C4269" s="1542">
        <v>72.84</v>
      </c>
      <c r="D4269" s="1542">
        <v>2631.36</v>
      </c>
      <c r="E4269" s="1542">
        <v>771.68</v>
      </c>
    </row>
    <row r="4270" spans="1:5">
      <c r="A4270" s="1541">
        <v>39747</v>
      </c>
      <c r="B4270" s="1542"/>
      <c r="C4270" s="1542"/>
      <c r="D4270" s="1542"/>
      <c r="E4270" s="1542"/>
    </row>
    <row r="4271" spans="1:5">
      <c r="A4271" s="1541">
        <v>39746</v>
      </c>
      <c r="B4271" s="1542"/>
      <c r="C4271" s="1542"/>
      <c r="D4271" s="1542"/>
      <c r="E4271" s="1542"/>
    </row>
    <row r="4272" spans="1:5">
      <c r="A4272" s="1541">
        <v>39745</v>
      </c>
      <c r="B4272" s="1542">
        <v>5713.39</v>
      </c>
      <c r="C4272" s="1542">
        <v>76.58</v>
      </c>
      <c r="D4272" s="1542">
        <v>2749.94</v>
      </c>
      <c r="E4272" s="1542">
        <v>804.04</v>
      </c>
    </row>
    <row r="4273" spans="1:5">
      <c r="A4273" s="1541">
        <v>39744</v>
      </c>
      <c r="B4273" s="1542">
        <v>5901.63</v>
      </c>
      <c r="C4273" s="1542">
        <v>78.900000000000006</v>
      </c>
      <c r="D4273" s="1542">
        <v>2873.12</v>
      </c>
      <c r="E4273" s="1542">
        <v>873.49</v>
      </c>
    </row>
    <row r="4274" spans="1:5">
      <c r="A4274" s="1541">
        <v>39743</v>
      </c>
      <c r="B4274" s="1542">
        <v>6066.19</v>
      </c>
      <c r="C4274" s="1542">
        <v>80.87</v>
      </c>
      <c r="D4274" s="1542">
        <v>2870.32</v>
      </c>
      <c r="E4274" s="1542">
        <v>908.04</v>
      </c>
    </row>
    <row r="4275" spans="1:5">
      <c r="A4275" s="1541">
        <v>39742</v>
      </c>
      <c r="B4275" s="1542">
        <v>6166.15</v>
      </c>
      <c r="C4275" s="1542">
        <v>82.3</v>
      </c>
      <c r="D4275" s="1542">
        <v>3066.38</v>
      </c>
      <c r="E4275" s="1542">
        <v>985.35</v>
      </c>
    </row>
    <row r="4276" spans="1:5">
      <c r="A4276" s="1541">
        <v>39741</v>
      </c>
      <c r="B4276" s="1542">
        <v>6152.58</v>
      </c>
      <c r="C4276" s="1542">
        <v>81.88</v>
      </c>
      <c r="D4276" s="1542">
        <v>3121.49</v>
      </c>
      <c r="E4276" s="1542">
        <v>1003</v>
      </c>
    </row>
    <row r="4277" spans="1:5">
      <c r="A4277" s="1541">
        <v>39740</v>
      </c>
      <c r="B4277" s="1542"/>
      <c r="C4277" s="1542"/>
      <c r="D4277" s="1542"/>
      <c r="E4277" s="1542"/>
    </row>
    <row r="4278" spans="1:5">
      <c r="A4278" s="1541">
        <v>39739</v>
      </c>
      <c r="B4278" s="1542"/>
      <c r="C4278" s="1542"/>
      <c r="D4278" s="1542"/>
      <c r="E4278" s="1542"/>
    </row>
    <row r="4279" spans="1:5">
      <c r="A4279" s="1541">
        <v>39738</v>
      </c>
      <c r="B4279" s="1542">
        <v>6188.21</v>
      </c>
      <c r="C4279" s="1542">
        <v>81.650000000000006</v>
      </c>
      <c r="D4279" s="1542">
        <v>2999.01</v>
      </c>
      <c r="E4279" s="1542">
        <v>964.41</v>
      </c>
    </row>
    <row r="4280" spans="1:5">
      <c r="A4280" s="1541">
        <v>39737</v>
      </c>
      <c r="B4280" s="1542">
        <v>6312.41</v>
      </c>
      <c r="C4280" s="1542">
        <v>83.18</v>
      </c>
      <c r="D4280" s="1542">
        <v>2955.85</v>
      </c>
      <c r="E4280" s="1542">
        <v>978.05</v>
      </c>
    </row>
    <row r="4281" spans="1:5">
      <c r="A4281" s="1541">
        <v>39736</v>
      </c>
      <c r="B4281" s="1542">
        <v>6524.03</v>
      </c>
      <c r="C4281" s="1542">
        <v>85.47</v>
      </c>
      <c r="D4281" s="1542">
        <v>2997.64</v>
      </c>
      <c r="E4281" s="1542">
        <v>1057.3800000000001</v>
      </c>
    </row>
    <row r="4282" spans="1:5">
      <c r="A4282" s="1541">
        <v>39735</v>
      </c>
      <c r="B4282" s="1542">
        <v>6580.37</v>
      </c>
      <c r="C4282" s="1542">
        <v>86.01</v>
      </c>
      <c r="D4282" s="1542">
        <v>3225.2</v>
      </c>
      <c r="E4282" s="1542">
        <v>1142.9100000000001</v>
      </c>
    </row>
    <row r="4283" spans="1:5">
      <c r="A4283" s="1541">
        <v>39734</v>
      </c>
      <c r="B4283" s="1542">
        <v>6243.16</v>
      </c>
      <c r="C4283" s="1542">
        <v>81.569999999999993</v>
      </c>
      <c r="D4283" s="1542">
        <v>3144.55</v>
      </c>
      <c r="E4283" s="1542">
        <v>1078.25</v>
      </c>
    </row>
    <row r="4284" spans="1:5">
      <c r="A4284" s="1541">
        <v>39733</v>
      </c>
      <c r="B4284" s="1542"/>
      <c r="C4284" s="1542"/>
      <c r="D4284" s="1542"/>
      <c r="E4284" s="1542"/>
    </row>
    <row r="4285" spans="1:5">
      <c r="A4285" s="1541">
        <v>39732</v>
      </c>
      <c r="B4285" s="1542"/>
      <c r="C4285" s="1542"/>
      <c r="D4285" s="1542"/>
      <c r="E4285" s="1542"/>
    </row>
    <row r="4286" spans="1:5">
      <c r="A4286" s="1541">
        <v>39731</v>
      </c>
      <c r="B4286" s="1542"/>
      <c r="C4286" s="1542"/>
      <c r="D4286" s="1542">
        <v>2871.1</v>
      </c>
      <c r="E4286" s="1542">
        <v>1003.92</v>
      </c>
    </row>
    <row r="4287" spans="1:5">
      <c r="A4287" s="1541">
        <v>39730</v>
      </c>
      <c r="B4287" s="1542">
        <v>6380.29</v>
      </c>
      <c r="C4287" s="1542">
        <v>83.74</v>
      </c>
      <c r="D4287" s="1542">
        <v>3021.26</v>
      </c>
      <c r="E4287" s="1542">
        <v>1049.6600000000001</v>
      </c>
    </row>
    <row r="4288" spans="1:5">
      <c r="A4288" s="1541">
        <v>39729</v>
      </c>
      <c r="B4288" s="1542">
        <v>6474.41</v>
      </c>
      <c r="C4288" s="1542">
        <v>86.32</v>
      </c>
      <c r="D4288" s="1542">
        <v>3165.16</v>
      </c>
      <c r="E4288" s="1542">
        <v>1027.5</v>
      </c>
    </row>
    <row r="4289" spans="1:5">
      <c r="A4289" s="1541">
        <v>39728</v>
      </c>
      <c r="B4289" s="1542">
        <v>6869.06</v>
      </c>
      <c r="C4289" s="1542">
        <v>91.21</v>
      </c>
      <c r="D4289" s="1542">
        <v>3277.69</v>
      </c>
      <c r="E4289" s="1542">
        <v>1117.76</v>
      </c>
    </row>
    <row r="4290" spans="1:5">
      <c r="A4290" s="1541">
        <v>39727</v>
      </c>
      <c r="B4290" s="1542">
        <v>6845.28</v>
      </c>
      <c r="C4290" s="1542">
        <v>91.41</v>
      </c>
      <c r="D4290" s="1542">
        <v>3382.58</v>
      </c>
      <c r="E4290" s="1542">
        <v>1138.1600000000001</v>
      </c>
    </row>
    <row r="4291" spans="1:5">
      <c r="A4291" s="1541">
        <v>39726</v>
      </c>
      <c r="B4291" s="1542"/>
      <c r="C4291" s="1542"/>
      <c r="D4291" s="1542"/>
      <c r="E4291" s="1542"/>
    </row>
    <row r="4292" spans="1:5">
      <c r="A4292" s="1541">
        <v>39725</v>
      </c>
      <c r="B4292" s="1542"/>
      <c r="C4292" s="1542"/>
      <c r="D4292" s="1542"/>
      <c r="E4292" s="1542"/>
    </row>
    <row r="4293" spans="1:5">
      <c r="A4293" s="1541">
        <v>39724</v>
      </c>
      <c r="B4293" s="1542">
        <v>7139.36</v>
      </c>
      <c r="C4293" s="1542">
        <v>94.79</v>
      </c>
      <c r="D4293" s="1542">
        <v>3589.58</v>
      </c>
      <c r="E4293" s="1542">
        <v>1257.4100000000001</v>
      </c>
    </row>
    <row r="4294" spans="1:5">
      <c r="A4294" s="1541">
        <v>39723</v>
      </c>
      <c r="B4294" s="1542">
        <v>7091.23</v>
      </c>
      <c r="C4294" s="1542">
        <v>93.08</v>
      </c>
      <c r="D4294" s="1542">
        <v>3598.07</v>
      </c>
      <c r="E4294" s="1542">
        <v>1287.52</v>
      </c>
    </row>
    <row r="4295" spans="1:5">
      <c r="A4295" s="1541">
        <v>39722</v>
      </c>
      <c r="B4295" s="1542">
        <v>7166.19</v>
      </c>
      <c r="C4295" s="1542">
        <v>93.59</v>
      </c>
      <c r="D4295" s="1542">
        <v>3732.89</v>
      </c>
      <c r="E4295" s="1542">
        <v>1332.7</v>
      </c>
    </row>
    <row r="4296" spans="1:5">
      <c r="A4296" s="1541">
        <v>39721</v>
      </c>
      <c r="B4296" s="1542">
        <v>7110.57</v>
      </c>
      <c r="C4296" s="1542">
        <v>91.23</v>
      </c>
      <c r="D4296" s="1542">
        <v>3726.69</v>
      </c>
      <c r="E4296" s="1542">
        <v>1333.96</v>
      </c>
    </row>
    <row r="4297" spans="1:5">
      <c r="A4297" s="1541">
        <v>39720</v>
      </c>
      <c r="B4297" s="1542"/>
      <c r="C4297" s="1542"/>
      <c r="D4297" s="1542">
        <v>3667.06</v>
      </c>
      <c r="E4297" s="1542">
        <v>1313.77</v>
      </c>
    </row>
    <row r="4298" spans="1:5">
      <c r="A4298" s="1541">
        <v>39719</v>
      </c>
      <c r="B4298" s="1542"/>
      <c r="C4298" s="1542"/>
      <c r="D4298" s="1542"/>
      <c r="E4298" s="1542"/>
    </row>
    <row r="4299" spans="1:5">
      <c r="A4299" s="1541">
        <v>39718</v>
      </c>
      <c r="B4299" s="1542"/>
      <c r="C4299" s="1542"/>
      <c r="D4299" s="1542"/>
      <c r="E4299" s="1542"/>
    </row>
    <row r="4300" spans="1:5">
      <c r="A4300" s="1541">
        <v>39717</v>
      </c>
      <c r="B4300" s="1542">
        <v>7371.75</v>
      </c>
      <c r="C4300" s="1542">
        <v>95.26</v>
      </c>
      <c r="D4300" s="1542">
        <v>3940.59</v>
      </c>
      <c r="E4300" s="1542">
        <v>1396.13</v>
      </c>
    </row>
    <row r="4301" spans="1:5">
      <c r="A4301" s="1541">
        <v>39716</v>
      </c>
      <c r="B4301" s="1542">
        <v>7534.86</v>
      </c>
      <c r="C4301" s="1542">
        <v>98.91</v>
      </c>
      <c r="D4301" s="1542">
        <v>3974.14</v>
      </c>
      <c r="E4301" s="1542">
        <v>1420.84</v>
      </c>
    </row>
    <row r="4302" spans="1:5">
      <c r="A4302" s="1541">
        <v>39715</v>
      </c>
      <c r="B4302" s="1542">
        <v>7624.09</v>
      </c>
      <c r="C4302" s="1542">
        <v>99.41</v>
      </c>
      <c r="D4302" s="1542">
        <v>3916.69</v>
      </c>
      <c r="E4302" s="1542">
        <v>1408.95</v>
      </c>
    </row>
    <row r="4303" spans="1:5">
      <c r="A4303" s="1541">
        <v>39714</v>
      </c>
      <c r="B4303" s="1542">
        <v>7685.43</v>
      </c>
      <c r="C4303" s="1542">
        <v>97.4</v>
      </c>
      <c r="D4303" s="1542">
        <v>3934.21</v>
      </c>
      <c r="E4303" s="1542">
        <v>1407.27</v>
      </c>
    </row>
    <row r="4304" spans="1:5">
      <c r="A4304" s="1541">
        <v>39713</v>
      </c>
      <c r="B4304" s="1542">
        <v>7596.37</v>
      </c>
      <c r="C4304" s="1542">
        <v>94.62</v>
      </c>
      <c r="D4304" s="1542">
        <v>3982.03</v>
      </c>
      <c r="E4304" s="1542">
        <v>1448.18</v>
      </c>
    </row>
    <row r="4305" spans="1:5">
      <c r="A4305" s="1541">
        <v>39712</v>
      </c>
      <c r="B4305" s="1542"/>
      <c r="C4305" s="1542"/>
      <c r="D4305" s="1542"/>
      <c r="E4305" s="1542"/>
    </row>
    <row r="4306" spans="1:5">
      <c r="A4306" s="1541">
        <v>39711</v>
      </c>
      <c r="B4306" s="1542"/>
      <c r="C4306" s="1542"/>
      <c r="D4306" s="1542"/>
      <c r="E4306" s="1542"/>
    </row>
    <row r="4307" spans="1:5">
      <c r="A4307" s="1541">
        <v>39710</v>
      </c>
      <c r="B4307" s="1542">
        <v>7421.54</v>
      </c>
      <c r="C4307" s="1542">
        <v>91.16</v>
      </c>
      <c r="D4307" s="1542">
        <v>4049.21</v>
      </c>
      <c r="E4307" s="1542">
        <v>1432.99</v>
      </c>
    </row>
    <row r="4308" spans="1:5">
      <c r="A4308" s="1541">
        <v>39709</v>
      </c>
      <c r="B4308" s="1542">
        <v>7013.18</v>
      </c>
      <c r="C4308" s="1542">
        <v>86.42</v>
      </c>
      <c r="D4308" s="1542">
        <v>3829.91</v>
      </c>
      <c r="E4308" s="1542">
        <v>1301.0999999999999</v>
      </c>
    </row>
    <row r="4309" spans="1:5">
      <c r="A4309" s="1541">
        <v>39708</v>
      </c>
      <c r="B4309" s="1542">
        <v>7209.74</v>
      </c>
      <c r="C4309" s="1542">
        <v>90.89</v>
      </c>
      <c r="D4309" s="1542">
        <v>3749.41</v>
      </c>
      <c r="E4309" s="1542">
        <v>1302.8699999999999</v>
      </c>
    </row>
    <row r="4310" spans="1:5">
      <c r="A4310" s="1541">
        <v>39707</v>
      </c>
      <c r="B4310" s="1542">
        <v>7154.17</v>
      </c>
      <c r="C4310" s="1542">
        <v>92.76</v>
      </c>
      <c r="D4310" s="1542">
        <v>3864.72</v>
      </c>
      <c r="E4310" s="1542">
        <v>1329.38</v>
      </c>
    </row>
    <row r="4311" spans="1:5">
      <c r="A4311" s="1541">
        <v>39706</v>
      </c>
      <c r="B4311" s="1542">
        <v>7510.76</v>
      </c>
      <c r="C4311" s="1542">
        <v>98.7</v>
      </c>
      <c r="D4311" s="1542">
        <v>3892.37</v>
      </c>
      <c r="E4311" s="1542">
        <v>1398.08</v>
      </c>
    </row>
    <row r="4312" spans="1:5">
      <c r="A4312" s="1541">
        <v>39705</v>
      </c>
      <c r="B4312" s="1542"/>
      <c r="C4312" s="1542"/>
      <c r="D4312" s="1542"/>
      <c r="E4312" s="1542"/>
    </row>
    <row r="4313" spans="1:5">
      <c r="A4313" s="1541">
        <v>39704</v>
      </c>
      <c r="B4313" s="1542"/>
      <c r="C4313" s="1542"/>
      <c r="D4313" s="1542"/>
      <c r="E4313" s="1542"/>
    </row>
    <row r="4314" spans="1:5">
      <c r="A4314" s="1541">
        <v>39703</v>
      </c>
      <c r="B4314" s="1542">
        <v>7830.33</v>
      </c>
      <c r="C4314" s="1542">
        <v>104.32</v>
      </c>
      <c r="D4314" s="1542">
        <v>4037.69</v>
      </c>
      <c r="E4314" s="1542">
        <v>1448.19</v>
      </c>
    </row>
    <row r="4315" spans="1:5">
      <c r="A4315" s="1541">
        <v>39702</v>
      </c>
      <c r="B4315" s="1542">
        <v>7757.26</v>
      </c>
      <c r="C4315" s="1542">
        <v>104.63</v>
      </c>
      <c r="D4315" s="1542">
        <v>3974.56</v>
      </c>
      <c r="E4315" s="1542">
        <v>1421.09</v>
      </c>
    </row>
    <row r="4316" spans="1:5">
      <c r="A4316" s="1541">
        <v>39701</v>
      </c>
      <c r="B4316" s="1542">
        <v>8012.68</v>
      </c>
      <c r="C4316" s="1542">
        <v>107.78</v>
      </c>
      <c r="D4316" s="1542">
        <v>3977.58</v>
      </c>
      <c r="E4316" s="1542">
        <v>1453.38</v>
      </c>
    </row>
    <row r="4317" spans="1:5">
      <c r="A4317" s="1541">
        <v>39700</v>
      </c>
      <c r="B4317" s="1542">
        <v>7971.31</v>
      </c>
      <c r="C4317" s="1542">
        <v>106.19</v>
      </c>
      <c r="D4317" s="1542">
        <v>3979.27</v>
      </c>
      <c r="E4317" s="1542">
        <v>1469.46</v>
      </c>
    </row>
    <row r="4318" spans="1:5">
      <c r="A4318" s="1541">
        <v>39699</v>
      </c>
      <c r="B4318" s="1542">
        <v>8261.01</v>
      </c>
      <c r="C4318" s="1542">
        <v>110.68</v>
      </c>
      <c r="D4318" s="1542">
        <v>4081.94</v>
      </c>
      <c r="E4318" s="1542">
        <v>1526.5</v>
      </c>
    </row>
    <row r="4319" spans="1:5">
      <c r="A4319" s="1541">
        <v>39698</v>
      </c>
      <c r="B4319" s="1542"/>
      <c r="C4319" s="1542"/>
      <c r="D4319" s="1542"/>
      <c r="E4319" s="1542"/>
    </row>
    <row r="4320" spans="1:5">
      <c r="A4320" s="1541">
        <v>39697</v>
      </c>
      <c r="B4320" s="1542"/>
      <c r="C4320" s="1542"/>
      <c r="D4320" s="1542"/>
      <c r="E4320" s="1542"/>
    </row>
    <row r="4321" spans="1:5">
      <c r="A4321" s="1541">
        <v>39696</v>
      </c>
      <c r="B4321" s="1542">
        <v>7824.88</v>
      </c>
      <c r="C4321" s="1542">
        <v>105.09</v>
      </c>
      <c r="D4321" s="1542">
        <v>3991.82</v>
      </c>
      <c r="E4321" s="1542">
        <v>1477.56</v>
      </c>
    </row>
    <row r="4322" spans="1:5">
      <c r="A4322" s="1541">
        <v>39695</v>
      </c>
      <c r="B4322" s="1542">
        <v>7954.26</v>
      </c>
      <c r="C4322" s="1542">
        <v>107.03</v>
      </c>
      <c r="D4322" s="1542">
        <v>4032.33</v>
      </c>
      <c r="E4322" s="1542">
        <v>1510.67</v>
      </c>
    </row>
    <row r="4323" spans="1:5">
      <c r="A4323" s="1541">
        <v>39694</v>
      </c>
      <c r="B4323" s="1542">
        <v>8163.48</v>
      </c>
      <c r="C4323" s="1542">
        <v>110.66</v>
      </c>
      <c r="D4323" s="1542">
        <v>4145.9399999999996</v>
      </c>
      <c r="E4323" s="1542">
        <v>1542.16</v>
      </c>
    </row>
    <row r="4324" spans="1:5">
      <c r="A4324" s="1541">
        <v>39693</v>
      </c>
      <c r="B4324" s="1542">
        <v>8305.89</v>
      </c>
      <c r="C4324" s="1542">
        <v>115.9</v>
      </c>
      <c r="D4324" s="1542">
        <v>4177.1000000000004</v>
      </c>
      <c r="E4324" s="1542">
        <v>1570.15</v>
      </c>
    </row>
    <row r="4325" spans="1:5">
      <c r="A4325" s="1541">
        <v>39692</v>
      </c>
      <c r="B4325" s="1542">
        <v>8445.2999999999993</v>
      </c>
      <c r="C4325" s="1542">
        <v>118.27</v>
      </c>
      <c r="D4325" s="1542">
        <v>4199.0200000000004</v>
      </c>
      <c r="E4325" s="1542">
        <v>1580.24</v>
      </c>
    </row>
    <row r="4326" spans="1:5">
      <c r="A4326" s="1541">
        <v>39691</v>
      </c>
      <c r="B4326" s="1542"/>
      <c r="C4326" s="1542"/>
      <c r="D4326" s="1542"/>
      <c r="E4326" s="1542"/>
    </row>
    <row r="4327" spans="1:5">
      <c r="A4327" s="1541">
        <v>39690</v>
      </c>
      <c r="B4327" s="1542"/>
      <c r="C4327" s="1542"/>
      <c r="D4327" s="1542"/>
      <c r="E4327" s="1542"/>
    </row>
    <row r="4328" spans="1:5">
      <c r="A4328" s="1541">
        <v>39689</v>
      </c>
      <c r="B4328" s="1542">
        <v>8733.8799999999992</v>
      </c>
      <c r="C4328" s="1542">
        <v>122.33</v>
      </c>
      <c r="D4328" s="1542">
        <v>4227.7</v>
      </c>
      <c r="E4328" s="1542">
        <v>1616.72</v>
      </c>
    </row>
    <row r="4329" spans="1:5">
      <c r="A4329" s="1541">
        <v>39688</v>
      </c>
      <c r="B4329" s="1542">
        <v>8711.51</v>
      </c>
      <c r="C4329" s="1542">
        <v>121.69</v>
      </c>
      <c r="D4329" s="1542">
        <v>4235.1499999999996</v>
      </c>
      <c r="E4329" s="1542">
        <v>1617.73</v>
      </c>
    </row>
    <row r="4330" spans="1:5">
      <c r="A4330" s="1541">
        <v>39687</v>
      </c>
      <c r="B4330" s="1542">
        <v>8769.15</v>
      </c>
      <c r="C4330" s="1542">
        <v>121.92</v>
      </c>
      <c r="D4330" s="1542">
        <v>4181.72</v>
      </c>
      <c r="E4330" s="1542">
        <v>1612.24</v>
      </c>
    </row>
    <row r="4331" spans="1:5">
      <c r="A4331" s="1541">
        <v>39686</v>
      </c>
      <c r="B4331" s="1542">
        <v>8624.82</v>
      </c>
      <c r="C4331" s="1542">
        <v>119.38</v>
      </c>
      <c r="D4331" s="1542">
        <v>4154.1000000000004</v>
      </c>
      <c r="E4331" s="1542">
        <v>1586.42</v>
      </c>
    </row>
    <row r="4332" spans="1:5">
      <c r="A4332" s="1541">
        <v>39685</v>
      </c>
      <c r="B4332" s="1542">
        <v>8703.07</v>
      </c>
      <c r="C4332" s="1542">
        <v>120.57</v>
      </c>
      <c r="D4332" s="1542">
        <v>4161.13</v>
      </c>
      <c r="E4332" s="1542">
        <v>1606.12</v>
      </c>
    </row>
    <row r="4333" spans="1:5">
      <c r="A4333" s="1541">
        <v>39684</v>
      </c>
      <c r="B4333" s="1542"/>
      <c r="C4333" s="1542"/>
      <c r="D4333" s="1542"/>
      <c r="E4333" s="1542"/>
    </row>
    <row r="4334" spans="1:5">
      <c r="A4334" s="1541">
        <v>39683</v>
      </c>
      <c r="B4334" s="1542"/>
      <c r="C4334" s="1542"/>
      <c r="D4334" s="1542"/>
      <c r="E4334" s="1542"/>
    </row>
    <row r="4335" spans="1:5">
      <c r="A4335" s="1541">
        <v>39682</v>
      </c>
      <c r="B4335" s="1542">
        <v>8548.18</v>
      </c>
      <c r="C4335" s="1542">
        <v>120.79</v>
      </c>
      <c r="D4335" s="1542">
        <v>4202.93</v>
      </c>
      <c r="E4335" s="1542">
        <v>1615.86</v>
      </c>
    </row>
    <row r="4336" spans="1:5">
      <c r="A4336" s="1541">
        <v>39681</v>
      </c>
      <c r="B4336" s="1542">
        <v>8555.09</v>
      </c>
      <c r="C4336" s="1542">
        <v>122.67</v>
      </c>
      <c r="D4336" s="1542">
        <v>4171.59</v>
      </c>
      <c r="E4336" s="1542">
        <v>1617.36</v>
      </c>
    </row>
    <row r="4337" spans="1:5">
      <c r="A4337" s="1541">
        <v>39680</v>
      </c>
      <c r="B4337" s="1542">
        <v>8698.68</v>
      </c>
      <c r="C4337" s="1542">
        <v>123.96</v>
      </c>
      <c r="D4337" s="1542">
        <v>4155.3999999999996</v>
      </c>
      <c r="E4337" s="1542">
        <v>1624.37</v>
      </c>
    </row>
    <row r="4338" spans="1:5">
      <c r="A4338" s="1541">
        <v>39679</v>
      </c>
      <c r="B4338" s="1542">
        <v>8620.35</v>
      </c>
      <c r="C4338" s="1542">
        <v>123.46</v>
      </c>
      <c r="D4338" s="1542">
        <v>4128.5200000000004</v>
      </c>
      <c r="E4338" s="1542">
        <v>1592.85</v>
      </c>
    </row>
    <row r="4339" spans="1:5">
      <c r="A4339" s="1541">
        <v>39678</v>
      </c>
      <c r="B4339" s="1542">
        <v>8643.91</v>
      </c>
      <c r="C4339" s="1542">
        <v>123.53</v>
      </c>
      <c r="D4339" s="1542">
        <v>4193.83</v>
      </c>
      <c r="E4339" s="1542">
        <v>1621.7</v>
      </c>
    </row>
    <row r="4340" spans="1:5">
      <c r="A4340" s="1541">
        <v>39677</v>
      </c>
      <c r="B4340" s="1542"/>
      <c r="C4340" s="1542"/>
      <c r="D4340" s="1542"/>
      <c r="E4340" s="1542"/>
    </row>
    <row r="4341" spans="1:5">
      <c r="A4341" s="1541">
        <v>39676</v>
      </c>
      <c r="B4341" s="1542"/>
      <c r="C4341" s="1542"/>
      <c r="D4341" s="1542"/>
      <c r="E4341" s="1542"/>
    </row>
    <row r="4342" spans="1:5">
      <c r="A4342" s="1541">
        <v>39675</v>
      </c>
      <c r="B4342" s="1542">
        <v>8884.94</v>
      </c>
      <c r="C4342" s="1542">
        <v>127.59</v>
      </c>
      <c r="D4342" s="1542">
        <v>4217.38</v>
      </c>
      <c r="E4342" s="1542">
        <v>1640.84</v>
      </c>
    </row>
    <row r="4343" spans="1:5">
      <c r="A4343" s="1541">
        <v>39674</v>
      </c>
      <c r="B4343" s="1542">
        <v>9042.6</v>
      </c>
      <c r="C4343" s="1542">
        <v>129.47</v>
      </c>
      <c r="D4343" s="1542">
        <v>4230.41</v>
      </c>
      <c r="E4343" s="1542">
        <v>1661.01</v>
      </c>
    </row>
    <row r="4344" spans="1:5">
      <c r="A4344" s="1541">
        <v>39673</v>
      </c>
      <c r="B4344" s="1542">
        <v>8993.5300000000007</v>
      </c>
      <c r="C4344" s="1542">
        <v>128.75</v>
      </c>
      <c r="D4344" s="1542">
        <v>4212.54</v>
      </c>
      <c r="E4344" s="1542">
        <v>1643.62</v>
      </c>
    </row>
    <row r="4345" spans="1:5">
      <c r="A4345" s="1541">
        <v>39672</v>
      </c>
      <c r="B4345" s="1542">
        <v>8986.1299999999992</v>
      </c>
      <c r="C4345" s="1542">
        <v>127.53</v>
      </c>
      <c r="D4345" s="1542">
        <v>4259.45</v>
      </c>
      <c r="E4345" s="1542">
        <v>1657.82</v>
      </c>
    </row>
    <row r="4346" spans="1:5">
      <c r="A4346" s="1541">
        <v>39671</v>
      </c>
      <c r="B4346" s="1542">
        <v>9012.2999999999993</v>
      </c>
      <c r="C4346" s="1542">
        <v>127.26</v>
      </c>
      <c r="D4346" s="1542">
        <v>4298.99</v>
      </c>
      <c r="E4346" s="1542">
        <v>1671.17</v>
      </c>
    </row>
    <row r="4347" spans="1:5">
      <c r="A4347" s="1541">
        <v>39670</v>
      </c>
      <c r="B4347" s="1542"/>
      <c r="C4347" s="1542"/>
      <c r="D4347" s="1542"/>
      <c r="E4347" s="1542"/>
    </row>
    <row r="4348" spans="1:5">
      <c r="A4348" s="1541">
        <v>39669</v>
      </c>
      <c r="B4348" s="1542"/>
      <c r="C4348" s="1542"/>
      <c r="D4348" s="1542"/>
      <c r="E4348" s="1542"/>
    </row>
    <row r="4349" spans="1:5">
      <c r="A4349" s="1541">
        <v>39668</v>
      </c>
      <c r="B4349" s="1542">
        <v>8867.23</v>
      </c>
      <c r="C4349" s="1542">
        <v>124.38</v>
      </c>
      <c r="D4349" s="1542">
        <v>4261.16</v>
      </c>
      <c r="E4349" s="1542">
        <v>1670.06</v>
      </c>
    </row>
    <row r="4350" spans="1:5">
      <c r="A4350" s="1541">
        <v>39667</v>
      </c>
      <c r="B4350" s="1542">
        <v>8629.74</v>
      </c>
      <c r="C4350" s="1542">
        <v>121.02</v>
      </c>
      <c r="D4350" s="1542">
        <v>4243.49</v>
      </c>
      <c r="E4350" s="1542">
        <v>1700.24</v>
      </c>
    </row>
    <row r="4351" spans="1:5">
      <c r="A4351" s="1541">
        <v>39666</v>
      </c>
      <c r="B4351" s="1542">
        <v>8626.51</v>
      </c>
      <c r="C4351" s="1542">
        <v>119.93</v>
      </c>
      <c r="D4351" s="1542">
        <v>4296.6499999999996</v>
      </c>
      <c r="E4351" s="1542">
        <v>1707.02</v>
      </c>
    </row>
    <row r="4352" spans="1:5">
      <c r="A4352" s="1541">
        <v>39665</v>
      </c>
      <c r="B4352" s="1542">
        <v>8354.34</v>
      </c>
      <c r="C4352" s="1542">
        <v>116.91</v>
      </c>
      <c r="D4352" s="1542">
        <v>4267.91</v>
      </c>
      <c r="E4352" s="1542">
        <v>1685.32</v>
      </c>
    </row>
    <row r="4353" spans="1:5">
      <c r="A4353" s="1541">
        <v>39664</v>
      </c>
      <c r="B4353" s="1542">
        <v>8550.44</v>
      </c>
      <c r="C4353" s="1542">
        <v>120.02</v>
      </c>
      <c r="D4353" s="1542">
        <v>4198.6000000000004</v>
      </c>
      <c r="E4353" s="1542">
        <v>1700.14</v>
      </c>
    </row>
    <row r="4354" spans="1:5">
      <c r="A4354" s="1541">
        <v>39663</v>
      </c>
      <c r="B4354" s="1542"/>
      <c r="C4354" s="1542"/>
      <c r="D4354" s="1542"/>
      <c r="E4354" s="1542"/>
    </row>
    <row r="4355" spans="1:5">
      <c r="A4355" s="1541">
        <v>39662</v>
      </c>
      <c r="B4355" s="1542"/>
      <c r="C4355" s="1542"/>
      <c r="D4355" s="1542"/>
      <c r="E4355" s="1542"/>
    </row>
    <row r="4356" spans="1:5">
      <c r="A4356" s="1541">
        <v>39661</v>
      </c>
      <c r="B4356" s="1542">
        <v>8580.11</v>
      </c>
      <c r="C4356" s="1542">
        <v>119.98</v>
      </c>
      <c r="D4356" s="1542">
        <v>4239.9799999999996</v>
      </c>
      <c r="E4356" s="1542">
        <v>1736.2</v>
      </c>
    </row>
    <row r="4357" spans="1:5">
      <c r="A4357" s="1541">
        <v>39660</v>
      </c>
      <c r="B4357" s="1542">
        <v>8604.98</v>
      </c>
      <c r="C4357" s="1542">
        <v>122.5</v>
      </c>
      <c r="D4357" s="1542">
        <v>4285.97</v>
      </c>
      <c r="E4357" s="1542">
        <v>1756.44</v>
      </c>
    </row>
    <row r="4358" spans="1:5">
      <c r="A4358" s="1541">
        <v>39659</v>
      </c>
      <c r="B4358" s="1542">
        <v>8648.44</v>
      </c>
      <c r="C4358" s="1542">
        <v>125.28</v>
      </c>
      <c r="D4358" s="1542">
        <v>4311.3599999999997</v>
      </c>
      <c r="E4358" s="1542">
        <v>1750.93</v>
      </c>
    </row>
    <row r="4359" spans="1:5">
      <c r="A4359" s="1541">
        <v>39658</v>
      </c>
      <c r="B4359" s="1542">
        <v>8575.77</v>
      </c>
      <c r="C4359" s="1542">
        <v>125.16</v>
      </c>
      <c r="D4359" s="1542">
        <v>4242.83</v>
      </c>
      <c r="E4359" s="1542">
        <v>1711.83</v>
      </c>
    </row>
    <row r="4360" spans="1:5">
      <c r="A4360" s="1541">
        <v>39657</v>
      </c>
      <c r="B4360" s="1542"/>
      <c r="C4360" s="1542"/>
      <c r="D4360" s="1542">
        <v>4219.2700000000004</v>
      </c>
      <c r="E4360" s="1542">
        <v>1726.1</v>
      </c>
    </row>
    <row r="4361" spans="1:5">
      <c r="A4361" s="1541">
        <v>39656</v>
      </c>
      <c r="B4361" s="1542"/>
      <c r="C4361" s="1542"/>
      <c r="D4361" s="1542"/>
      <c r="E4361" s="1542"/>
    </row>
    <row r="4362" spans="1:5">
      <c r="A4362" s="1541">
        <v>39655</v>
      </c>
      <c r="B4362" s="1542"/>
      <c r="C4362" s="1542"/>
      <c r="D4362" s="1542"/>
      <c r="E4362" s="1542"/>
    </row>
    <row r="4363" spans="1:5">
      <c r="A4363" s="1541">
        <v>39654</v>
      </c>
      <c r="B4363" s="1542">
        <v>8830.33</v>
      </c>
      <c r="C4363" s="1542">
        <v>128.38999999999999</v>
      </c>
      <c r="D4363" s="1542">
        <v>4265.9399999999996</v>
      </c>
      <c r="E4363" s="1542">
        <v>1726.26</v>
      </c>
    </row>
    <row r="4364" spans="1:5">
      <c r="A4364" s="1541">
        <v>39653</v>
      </c>
      <c r="B4364" s="1542">
        <v>8988.56</v>
      </c>
      <c r="C4364" s="1542">
        <v>130.18</v>
      </c>
      <c r="D4364" s="1542">
        <v>4277.1400000000003</v>
      </c>
      <c r="E4364" s="1542">
        <v>1756.86</v>
      </c>
    </row>
    <row r="4365" spans="1:5">
      <c r="A4365" s="1541">
        <v>39652</v>
      </c>
      <c r="B4365" s="1542">
        <v>8884.67</v>
      </c>
      <c r="C4365" s="1542">
        <v>127.71</v>
      </c>
      <c r="D4365" s="1542">
        <v>4343.3900000000003</v>
      </c>
      <c r="E4365" s="1542">
        <v>1768.08</v>
      </c>
    </row>
    <row r="4366" spans="1:5">
      <c r="A4366" s="1541">
        <v>39651</v>
      </c>
      <c r="B4366" s="1542">
        <v>8585.4599999999991</v>
      </c>
      <c r="C4366" s="1542">
        <v>123.68</v>
      </c>
      <c r="D4366" s="1542">
        <v>4318.75</v>
      </c>
      <c r="E4366" s="1542">
        <v>1743.91</v>
      </c>
    </row>
    <row r="4367" spans="1:5">
      <c r="A4367" s="1541">
        <v>39650</v>
      </c>
      <c r="B4367" s="1542">
        <v>8601.31</v>
      </c>
      <c r="C4367" s="1542">
        <v>122.4</v>
      </c>
      <c r="D4367" s="1542">
        <v>4292.1899999999996</v>
      </c>
      <c r="E4367" s="1542">
        <v>1753.24</v>
      </c>
    </row>
    <row r="4368" spans="1:5">
      <c r="A4368" s="1541">
        <v>39649</v>
      </c>
      <c r="B4368" s="1542"/>
      <c r="C4368" s="1542"/>
      <c r="D4368" s="1542"/>
      <c r="E4368" s="1542"/>
    </row>
    <row r="4369" spans="1:5">
      <c r="A4369" s="1541">
        <v>39648</v>
      </c>
      <c r="B4369" s="1542"/>
      <c r="C4369" s="1542"/>
      <c r="D4369" s="1542"/>
      <c r="E4369" s="1542"/>
    </row>
    <row r="4370" spans="1:5">
      <c r="A4370" s="1541">
        <v>39647</v>
      </c>
      <c r="B4370" s="1542">
        <v>8270.43</v>
      </c>
      <c r="C4370" s="1542">
        <v>119.51</v>
      </c>
      <c r="D4370" s="1542">
        <v>4271.3100000000004</v>
      </c>
      <c r="E4370" s="1542">
        <v>1720.53</v>
      </c>
    </row>
    <row r="4371" spans="1:5">
      <c r="A4371" s="1541">
        <v>39646</v>
      </c>
      <c r="B4371" s="1542">
        <v>8462.26</v>
      </c>
      <c r="C4371" s="1542">
        <v>123.54</v>
      </c>
      <c r="D4371" s="1542">
        <v>4263.2700000000004</v>
      </c>
      <c r="E4371" s="1542">
        <v>1735.89</v>
      </c>
    </row>
    <row r="4372" spans="1:5">
      <c r="A4372" s="1541">
        <v>39645</v>
      </c>
      <c r="B4372" s="1542">
        <v>8133.16</v>
      </c>
      <c r="C4372" s="1542">
        <v>120.58</v>
      </c>
      <c r="D4372" s="1542">
        <v>4192.8900000000003</v>
      </c>
      <c r="E4372" s="1542">
        <v>1709.48</v>
      </c>
    </row>
    <row r="4373" spans="1:5">
      <c r="A4373" s="1541">
        <v>39644</v>
      </c>
      <c r="B4373" s="1542">
        <v>8234.1</v>
      </c>
      <c r="C4373" s="1542">
        <v>124.16</v>
      </c>
      <c r="D4373" s="1542">
        <v>4150</v>
      </c>
      <c r="E4373" s="1542">
        <v>1708.09</v>
      </c>
    </row>
    <row r="4374" spans="1:5">
      <c r="A4374" s="1541">
        <v>39643</v>
      </c>
      <c r="B4374" s="1542">
        <v>8607.81</v>
      </c>
      <c r="C4374" s="1542">
        <v>129.88</v>
      </c>
      <c r="D4374" s="1542">
        <v>4205.38</v>
      </c>
      <c r="E4374" s="1542">
        <v>1752.81</v>
      </c>
    </row>
    <row r="4375" spans="1:5">
      <c r="A4375" s="1541">
        <v>39642</v>
      </c>
      <c r="B4375" s="1542"/>
      <c r="C4375" s="1542"/>
      <c r="D4375" s="1542"/>
      <c r="E4375" s="1542"/>
    </row>
    <row r="4376" spans="1:5">
      <c r="A4376" s="1541">
        <v>39641</v>
      </c>
      <c r="B4376" s="1542"/>
      <c r="C4376" s="1542"/>
      <c r="D4376" s="1542"/>
      <c r="E4376" s="1542"/>
    </row>
    <row r="4377" spans="1:5">
      <c r="A4377" s="1541">
        <v>39640</v>
      </c>
      <c r="B4377" s="1542">
        <v>8703.19</v>
      </c>
      <c r="C4377" s="1542">
        <v>129.38</v>
      </c>
      <c r="D4377" s="1542">
        <v>4217.37</v>
      </c>
      <c r="E4377" s="1542">
        <v>1752.29</v>
      </c>
    </row>
    <row r="4378" spans="1:5">
      <c r="A4378" s="1541">
        <v>39639</v>
      </c>
      <c r="B4378" s="1542">
        <v>8497.6200000000008</v>
      </c>
      <c r="C4378" s="1542">
        <v>125.56</v>
      </c>
      <c r="D4378" s="1542">
        <v>4262.45</v>
      </c>
      <c r="E4378" s="1542">
        <v>1741.35</v>
      </c>
    </row>
    <row r="4379" spans="1:5">
      <c r="A4379" s="1541">
        <v>39638</v>
      </c>
      <c r="B4379" s="1542">
        <v>8456.9599999999991</v>
      </c>
      <c r="C4379" s="1542">
        <v>126.05</v>
      </c>
      <c r="D4379" s="1542">
        <v>4267.9799999999996</v>
      </c>
      <c r="E4379" s="1542">
        <v>1741.79</v>
      </c>
    </row>
    <row r="4380" spans="1:5">
      <c r="A4380" s="1541">
        <v>39637</v>
      </c>
      <c r="B4380" s="1542">
        <v>8457.0400000000009</v>
      </c>
      <c r="C4380" s="1542">
        <v>125.38</v>
      </c>
      <c r="D4380" s="1542">
        <v>4280.7</v>
      </c>
      <c r="E4380" s="1542">
        <v>1717.6</v>
      </c>
    </row>
    <row r="4381" spans="1:5">
      <c r="A4381" s="1541">
        <v>39636</v>
      </c>
      <c r="B4381" s="1542">
        <v>8784.09</v>
      </c>
      <c r="C4381" s="1542">
        <v>129.4</v>
      </c>
      <c r="D4381" s="1542">
        <v>4276.92</v>
      </c>
      <c r="E4381" s="1542">
        <v>1743.39</v>
      </c>
    </row>
    <row r="4382" spans="1:5">
      <c r="A4382" s="1541">
        <v>39635</v>
      </c>
      <c r="B4382" s="1542"/>
      <c r="C4382" s="1542"/>
      <c r="D4382" s="1542"/>
      <c r="E4382" s="1542"/>
    </row>
    <row r="4383" spans="1:5">
      <c r="A4383" s="1541">
        <v>39634</v>
      </c>
      <c r="B4383" s="1542"/>
      <c r="C4383" s="1542"/>
      <c r="D4383" s="1542"/>
      <c r="E4383" s="1542"/>
    </row>
    <row r="4384" spans="1:5">
      <c r="A4384" s="1541">
        <v>39633</v>
      </c>
      <c r="B4384" s="1542">
        <v>8647.7199999999993</v>
      </c>
      <c r="C4384" s="1542">
        <v>127.37</v>
      </c>
      <c r="D4384" s="1542">
        <v>4283.2</v>
      </c>
      <c r="E4384" s="1542">
        <v>1729.75</v>
      </c>
    </row>
    <row r="4385" spans="1:5">
      <c r="A4385" s="1541">
        <v>39632</v>
      </c>
      <c r="B4385" s="1542">
        <v>8843.7099999999991</v>
      </c>
      <c r="C4385" s="1542">
        <v>129.16</v>
      </c>
      <c r="D4385" s="1542">
        <v>4301.3500000000004</v>
      </c>
      <c r="E4385" s="1542">
        <v>1734.94</v>
      </c>
    </row>
    <row r="4386" spans="1:5">
      <c r="A4386" s="1541">
        <v>39631</v>
      </c>
      <c r="B4386" s="1542">
        <v>8786.49</v>
      </c>
      <c r="C4386" s="1542">
        <v>124.66</v>
      </c>
      <c r="D4386" s="1542">
        <v>4309.3500000000004</v>
      </c>
      <c r="E4386" s="1542">
        <v>1774.47</v>
      </c>
    </row>
    <row r="4387" spans="1:5">
      <c r="A4387" s="1541">
        <v>39630</v>
      </c>
      <c r="B4387" s="1542">
        <v>8815.7000000000007</v>
      </c>
      <c r="C4387" s="1542">
        <v>122.64</v>
      </c>
      <c r="D4387" s="1542">
        <v>4362.93</v>
      </c>
      <c r="E4387" s="1542">
        <v>1793.06</v>
      </c>
    </row>
    <row r="4388" spans="1:5">
      <c r="A4388" s="1541">
        <v>39629</v>
      </c>
      <c r="B4388" s="1542">
        <v>8947.68</v>
      </c>
      <c r="C4388" s="1542">
        <v>126.69</v>
      </c>
      <c r="D4388" s="1542">
        <v>4392.17</v>
      </c>
      <c r="E4388" s="1542">
        <v>1823.79</v>
      </c>
    </row>
    <row r="4389" spans="1:5">
      <c r="A4389" s="1541">
        <v>39628</v>
      </c>
      <c r="B4389" s="1542"/>
      <c r="C4389" s="1542"/>
      <c r="D4389" s="1542"/>
      <c r="E4389" s="1542"/>
    </row>
    <row r="4390" spans="1:5">
      <c r="A4390" s="1541">
        <v>39627</v>
      </c>
      <c r="B4390" s="1542"/>
      <c r="C4390" s="1542"/>
      <c r="D4390" s="1542"/>
      <c r="E4390" s="1542"/>
    </row>
    <row r="4391" spans="1:5">
      <c r="A4391" s="1541">
        <v>39626</v>
      </c>
      <c r="B4391" s="1542">
        <v>8977.5</v>
      </c>
      <c r="C4391" s="1542">
        <v>131.09</v>
      </c>
      <c r="D4391" s="1542">
        <v>4377.91</v>
      </c>
      <c r="E4391" s="1542">
        <v>1819.64</v>
      </c>
    </row>
    <row r="4392" spans="1:5">
      <c r="A4392" s="1541">
        <v>39625</v>
      </c>
      <c r="B4392" s="1542">
        <v>9290.2000000000007</v>
      </c>
      <c r="C4392" s="1542">
        <v>137.43</v>
      </c>
      <c r="D4392" s="1542">
        <v>4395.78</v>
      </c>
      <c r="E4392" s="1542">
        <v>1844.53</v>
      </c>
    </row>
    <row r="4393" spans="1:5">
      <c r="A4393" s="1541">
        <v>39624</v>
      </c>
      <c r="B4393" s="1542">
        <v>9341.25</v>
      </c>
      <c r="C4393" s="1542">
        <v>137.34</v>
      </c>
      <c r="D4393" s="1542">
        <v>4473.3100000000004</v>
      </c>
      <c r="E4393" s="1542">
        <v>1855.36</v>
      </c>
    </row>
    <row r="4394" spans="1:5">
      <c r="A4394" s="1541">
        <v>39623</v>
      </c>
      <c r="B4394" s="1542">
        <v>9183.2199999999993</v>
      </c>
      <c r="C4394" s="1542">
        <v>136.30000000000001</v>
      </c>
      <c r="D4394" s="1542">
        <v>4449.76</v>
      </c>
      <c r="E4394" s="1542">
        <v>1830.43</v>
      </c>
    </row>
    <row r="4395" spans="1:5">
      <c r="A4395" s="1541">
        <v>39622</v>
      </c>
      <c r="B4395" s="1542">
        <v>9347.43</v>
      </c>
      <c r="C4395" s="1542">
        <v>138.36000000000001</v>
      </c>
      <c r="D4395" s="1542">
        <v>4460.09</v>
      </c>
      <c r="E4395" s="1542">
        <v>1844.14</v>
      </c>
    </row>
    <row r="4396" spans="1:5">
      <c r="A4396" s="1541">
        <v>39621</v>
      </c>
      <c r="B4396" s="1542"/>
      <c r="C4396" s="1542"/>
      <c r="D4396" s="1542"/>
      <c r="E4396" s="1542"/>
    </row>
    <row r="4397" spans="1:5">
      <c r="A4397" s="1541">
        <v>39620</v>
      </c>
      <c r="B4397" s="1542"/>
      <c r="C4397" s="1542"/>
      <c r="D4397" s="1542"/>
      <c r="E4397" s="1542"/>
    </row>
    <row r="4398" spans="1:5">
      <c r="A4398" s="1541">
        <v>39619</v>
      </c>
      <c r="B4398" s="1542">
        <v>9377.82</v>
      </c>
      <c r="C4398" s="1542">
        <v>140.25</v>
      </c>
      <c r="D4398" s="1542">
        <v>4478.28</v>
      </c>
      <c r="E4398" s="1542">
        <v>1862.12</v>
      </c>
    </row>
    <row r="4399" spans="1:5">
      <c r="A4399" s="1541">
        <v>39618</v>
      </c>
      <c r="B4399" s="1542">
        <v>9550.14</v>
      </c>
      <c r="C4399" s="1542">
        <v>142.41999999999999</v>
      </c>
      <c r="D4399" s="1542">
        <v>4539.9399999999996</v>
      </c>
      <c r="E4399" s="1542">
        <v>1889.32</v>
      </c>
    </row>
    <row r="4400" spans="1:5">
      <c r="A4400" s="1541">
        <v>39617</v>
      </c>
      <c r="B4400" s="1542">
        <v>9751.49</v>
      </c>
      <c r="C4400" s="1542">
        <v>144.1</v>
      </c>
      <c r="D4400" s="1542">
        <v>4560.3599999999997</v>
      </c>
      <c r="E4400" s="1542">
        <v>1909.13</v>
      </c>
    </row>
    <row r="4401" spans="1:5">
      <c r="A4401" s="1541">
        <v>39616</v>
      </c>
      <c r="B4401" s="1542">
        <v>9703.74</v>
      </c>
      <c r="C4401" s="1542">
        <v>142.35</v>
      </c>
      <c r="D4401" s="1542">
        <v>4597.45</v>
      </c>
      <c r="E4401" s="1542">
        <v>1917.46</v>
      </c>
    </row>
    <row r="4402" spans="1:5">
      <c r="A4402" s="1541">
        <v>39615</v>
      </c>
      <c r="B4402" s="1542">
        <v>9665.74</v>
      </c>
      <c r="C4402" s="1542">
        <v>140.97999999999999</v>
      </c>
      <c r="D4402" s="1542">
        <v>4593.79</v>
      </c>
      <c r="E4402" s="1542">
        <v>1898.97</v>
      </c>
    </row>
    <row r="4403" spans="1:5">
      <c r="A4403" s="1541">
        <v>39614</v>
      </c>
      <c r="B4403" s="1542"/>
      <c r="C4403" s="1542"/>
      <c r="D4403" s="1542"/>
      <c r="E4403" s="1542"/>
    </row>
    <row r="4404" spans="1:5">
      <c r="A4404" s="1541">
        <v>39613</v>
      </c>
      <c r="B4404" s="1542"/>
      <c r="C4404" s="1542"/>
      <c r="D4404" s="1542"/>
      <c r="E4404" s="1542"/>
    </row>
    <row r="4405" spans="1:5">
      <c r="A4405" s="1541">
        <v>39612</v>
      </c>
      <c r="B4405" s="1542">
        <v>9589.7900000000009</v>
      </c>
      <c r="C4405" s="1542">
        <v>141.31</v>
      </c>
      <c r="D4405" s="1542">
        <v>4569.7</v>
      </c>
      <c r="E4405" s="1542">
        <v>1877.02</v>
      </c>
    </row>
    <row r="4406" spans="1:5">
      <c r="A4406" s="1541">
        <v>39611</v>
      </c>
      <c r="B4406" s="1542">
        <v>9538.5400000000009</v>
      </c>
      <c r="C4406" s="1542">
        <v>140.59</v>
      </c>
      <c r="D4406" s="1542">
        <v>4530.25</v>
      </c>
      <c r="E4406" s="1542">
        <v>1882.02</v>
      </c>
    </row>
    <row r="4407" spans="1:5">
      <c r="A4407" s="1541">
        <v>39610</v>
      </c>
      <c r="B4407" s="1542">
        <v>9873.2199999999993</v>
      </c>
      <c r="C4407" s="1542">
        <v>147.99</v>
      </c>
      <c r="D4407" s="1542">
        <v>4548.29</v>
      </c>
      <c r="E4407" s="1542">
        <v>1895.69</v>
      </c>
    </row>
    <row r="4408" spans="1:5">
      <c r="A4408" s="1541">
        <v>39609</v>
      </c>
      <c r="B4408" s="1542">
        <v>9901.2099999999991</v>
      </c>
      <c r="C4408" s="1542">
        <v>151.84</v>
      </c>
      <c r="D4408" s="1542">
        <v>4597.49</v>
      </c>
      <c r="E4408" s="1542">
        <v>1906.82</v>
      </c>
    </row>
    <row r="4409" spans="1:5">
      <c r="A4409" s="1541">
        <v>39608</v>
      </c>
      <c r="B4409" s="1542">
        <v>10159.049999999999</v>
      </c>
      <c r="C4409" s="1542">
        <v>155.68</v>
      </c>
      <c r="D4409" s="1542">
        <v>4659.6899999999996</v>
      </c>
      <c r="E4409" s="1542">
        <v>1955.69</v>
      </c>
    </row>
    <row r="4410" spans="1:5">
      <c r="A4410" s="1541">
        <v>39607</v>
      </c>
      <c r="B4410" s="1542"/>
      <c r="C4410" s="1542"/>
      <c r="D4410" s="1542"/>
      <c r="E4410" s="1542"/>
    </row>
    <row r="4411" spans="1:5">
      <c r="A4411" s="1541">
        <v>39606</v>
      </c>
      <c r="B4411" s="1542"/>
      <c r="C4411" s="1542"/>
      <c r="D4411" s="1542"/>
      <c r="E4411" s="1542"/>
    </row>
    <row r="4412" spans="1:5">
      <c r="A4412" s="1541">
        <v>39605</v>
      </c>
      <c r="B4412" s="1542">
        <v>10345.23</v>
      </c>
      <c r="C4412" s="1542">
        <v>158.53</v>
      </c>
      <c r="D4412" s="1542">
        <v>4682.97</v>
      </c>
      <c r="E4412" s="1542">
        <v>1981.23</v>
      </c>
    </row>
    <row r="4413" spans="1:5">
      <c r="A4413" s="1541">
        <v>39604</v>
      </c>
      <c r="B4413" s="1542">
        <v>10337.09</v>
      </c>
      <c r="C4413" s="1542">
        <v>158.47999999999999</v>
      </c>
      <c r="D4413" s="1542">
        <v>4752.04</v>
      </c>
      <c r="E4413" s="1542">
        <v>1983.88</v>
      </c>
    </row>
    <row r="4414" spans="1:5">
      <c r="A4414" s="1541">
        <v>39603</v>
      </c>
      <c r="B4414" s="1542">
        <v>10206.18</v>
      </c>
      <c r="C4414" s="1542">
        <v>155.88</v>
      </c>
      <c r="D4414" s="1542">
        <v>4707.7</v>
      </c>
      <c r="E4414" s="1542">
        <v>1965.31</v>
      </c>
    </row>
    <row r="4415" spans="1:5">
      <c r="A4415" s="1541">
        <v>39602</v>
      </c>
      <c r="B4415" s="1542">
        <v>10148.959999999999</v>
      </c>
      <c r="C4415" s="1542">
        <v>154.13</v>
      </c>
      <c r="D4415" s="1542">
        <v>4719.8599999999997</v>
      </c>
      <c r="E4415" s="1542">
        <v>1993.82</v>
      </c>
    </row>
    <row r="4416" spans="1:5">
      <c r="A4416" s="1541">
        <v>39601</v>
      </c>
      <c r="B4416" s="1542">
        <v>10320.530000000001</v>
      </c>
      <c r="C4416" s="1542">
        <v>155.16999999999999</v>
      </c>
      <c r="D4416" s="1542">
        <v>4740.78</v>
      </c>
      <c r="E4416" s="1542">
        <v>2022.39</v>
      </c>
    </row>
    <row r="4417" spans="1:5">
      <c r="A4417" s="1541">
        <v>39600</v>
      </c>
      <c r="B4417" s="1542"/>
      <c r="C4417" s="1542"/>
      <c r="D4417" s="1542"/>
      <c r="E4417" s="1542"/>
    </row>
    <row r="4418" spans="1:5">
      <c r="A4418" s="1541">
        <v>39599</v>
      </c>
      <c r="B4418" s="1542"/>
      <c r="C4418" s="1542"/>
      <c r="D4418" s="1542"/>
      <c r="E4418" s="1542"/>
    </row>
    <row r="4419" spans="1:5">
      <c r="A4419" s="1541">
        <v>39598</v>
      </c>
      <c r="B4419" s="1542">
        <v>10195.86</v>
      </c>
      <c r="C4419" s="1542">
        <v>153.74</v>
      </c>
      <c r="D4419" s="1542">
        <v>4771</v>
      </c>
      <c r="E4419" s="1542">
        <v>2025.59</v>
      </c>
    </row>
    <row r="4420" spans="1:5">
      <c r="A4420" s="1541">
        <v>39597</v>
      </c>
      <c r="B4420" s="1542">
        <v>10273.75</v>
      </c>
      <c r="C4420" s="1542">
        <v>155.19999999999999</v>
      </c>
      <c r="D4420" s="1542">
        <v>4753.1400000000003</v>
      </c>
      <c r="E4420" s="1542">
        <v>2011.82</v>
      </c>
    </row>
    <row r="4421" spans="1:5">
      <c r="A4421" s="1541">
        <v>39596</v>
      </c>
      <c r="B4421" s="1542">
        <v>10251.049999999999</v>
      </c>
      <c r="C4421" s="1542">
        <v>155.74</v>
      </c>
      <c r="D4421" s="1542">
        <v>4735.9399999999996</v>
      </c>
      <c r="E4421" s="1542">
        <v>2000.9</v>
      </c>
    </row>
    <row r="4422" spans="1:5">
      <c r="A4422" s="1541">
        <v>39595</v>
      </c>
      <c r="B4422" s="1542">
        <v>10384.32</v>
      </c>
      <c r="C4422" s="1542">
        <v>158.66999999999999</v>
      </c>
      <c r="D4422" s="1542">
        <v>4728.22</v>
      </c>
      <c r="E4422" s="1542">
        <v>1995</v>
      </c>
    </row>
    <row r="4423" spans="1:5">
      <c r="A4423" s="1541">
        <v>39594</v>
      </c>
      <c r="B4423" s="1542">
        <v>10300.85</v>
      </c>
      <c r="C4423" s="1542">
        <v>158.44</v>
      </c>
      <c r="D4423" s="1542">
        <v>4724.07</v>
      </c>
      <c r="E4423" s="1542">
        <v>1997.08</v>
      </c>
    </row>
    <row r="4424" spans="1:5">
      <c r="A4424" s="1541">
        <v>39593</v>
      </c>
      <c r="B4424" s="1542"/>
      <c r="C4424" s="1542"/>
      <c r="D4424" s="1542"/>
      <c r="E4424" s="1542"/>
    </row>
    <row r="4425" spans="1:5">
      <c r="A4425" s="1541">
        <v>39592</v>
      </c>
      <c r="B4425" s="1542"/>
      <c r="C4425" s="1542"/>
      <c r="D4425" s="1542"/>
      <c r="E4425" s="1542"/>
    </row>
    <row r="4426" spans="1:5">
      <c r="A4426" s="1541">
        <v>39591</v>
      </c>
      <c r="B4426" s="1542">
        <v>10450.959999999999</v>
      </c>
      <c r="C4426" s="1542">
        <v>165.04</v>
      </c>
      <c r="D4426" s="1542">
        <v>4740.87</v>
      </c>
      <c r="E4426" s="1542">
        <v>2021.37</v>
      </c>
    </row>
    <row r="4427" spans="1:5">
      <c r="A4427" s="1541">
        <v>39590</v>
      </c>
      <c r="B4427" s="1542">
        <v>10655.92</v>
      </c>
      <c r="C4427" s="1542">
        <v>169.58</v>
      </c>
      <c r="D4427" s="1542">
        <v>4792.78</v>
      </c>
      <c r="E4427" s="1542">
        <v>2044.56</v>
      </c>
    </row>
    <row r="4428" spans="1:5">
      <c r="A4428" s="1541">
        <v>39589</v>
      </c>
      <c r="B4428" s="1542">
        <v>10664.84</v>
      </c>
      <c r="C4428" s="1542">
        <v>170.03</v>
      </c>
      <c r="D4428" s="1542">
        <v>4786.55</v>
      </c>
      <c r="E4428" s="1542">
        <v>2063.12</v>
      </c>
    </row>
    <row r="4429" spans="1:5">
      <c r="A4429" s="1541">
        <v>39588</v>
      </c>
      <c r="B4429" s="1542">
        <v>10727.91</v>
      </c>
      <c r="C4429" s="1542">
        <v>170.11</v>
      </c>
      <c r="D4429" s="1542">
        <v>4832.8100000000004</v>
      </c>
      <c r="E4429" s="1542">
        <v>2063.94</v>
      </c>
    </row>
    <row r="4430" spans="1:5">
      <c r="A4430" s="1541">
        <v>39587</v>
      </c>
      <c r="B4430" s="1542">
        <v>10995.39</v>
      </c>
      <c r="C4430" s="1542">
        <v>172.21</v>
      </c>
      <c r="D4430" s="1542">
        <v>4871.3</v>
      </c>
      <c r="E4430" s="1542">
        <v>2089.6999999999998</v>
      </c>
    </row>
    <row r="4431" spans="1:5">
      <c r="A4431" s="1541">
        <v>39586</v>
      </c>
      <c r="B4431" s="1542"/>
      <c r="C4431" s="1542"/>
      <c r="D4431" s="1542"/>
      <c r="E4431" s="1542"/>
    </row>
    <row r="4432" spans="1:5">
      <c r="A4432" s="1541">
        <v>39585</v>
      </c>
      <c r="B4432" s="1542"/>
      <c r="C4432" s="1542"/>
      <c r="D4432" s="1542"/>
      <c r="E4432" s="1542"/>
    </row>
    <row r="4433" spans="1:5">
      <c r="A4433" s="1541">
        <v>39584</v>
      </c>
      <c r="B4433" s="1542">
        <v>10879.71</v>
      </c>
      <c r="C4433" s="1542">
        <v>171.72</v>
      </c>
      <c r="D4433" s="1542">
        <v>4851.82</v>
      </c>
      <c r="E4433" s="1542">
        <v>2073.48</v>
      </c>
    </row>
    <row r="4434" spans="1:5">
      <c r="A4434" s="1541">
        <v>39583</v>
      </c>
      <c r="B4434" s="1542">
        <v>10832.12</v>
      </c>
      <c r="C4434" s="1542">
        <v>170.09</v>
      </c>
      <c r="D4434" s="1542">
        <v>4818.8500000000004</v>
      </c>
      <c r="E4434" s="1542">
        <v>2041.67</v>
      </c>
    </row>
    <row r="4435" spans="1:5">
      <c r="A4435" s="1541">
        <v>39582</v>
      </c>
      <c r="B4435" s="1542">
        <v>10667.99</v>
      </c>
      <c r="C4435" s="1542">
        <v>168.34</v>
      </c>
      <c r="D4435" s="1542">
        <v>4772.16</v>
      </c>
      <c r="E4435" s="1542">
        <v>2018.28</v>
      </c>
    </row>
    <row r="4436" spans="1:5">
      <c r="A4436" s="1541">
        <v>39581</v>
      </c>
      <c r="B4436" s="1542">
        <v>10633.81</v>
      </c>
      <c r="C4436" s="1542">
        <v>167.16</v>
      </c>
      <c r="D4436" s="1542">
        <v>4756.04</v>
      </c>
      <c r="E4436" s="1542">
        <v>2014.9</v>
      </c>
    </row>
    <row r="4437" spans="1:5">
      <c r="A4437" s="1541">
        <v>39580</v>
      </c>
      <c r="B4437" s="1542">
        <v>10445.15</v>
      </c>
      <c r="C4437" s="1542">
        <v>165.3</v>
      </c>
      <c r="D4437" s="1542">
        <v>4756.41</v>
      </c>
      <c r="E4437" s="1542">
        <v>1995.11</v>
      </c>
    </row>
    <row r="4438" spans="1:5">
      <c r="A4438" s="1541">
        <v>39579</v>
      </c>
      <c r="B4438" s="1542"/>
      <c r="C4438" s="1542"/>
      <c r="D4438" s="1542"/>
      <c r="E4438" s="1542"/>
    </row>
    <row r="4439" spans="1:5">
      <c r="A4439" s="1541">
        <v>39578</v>
      </c>
      <c r="B4439" s="1542"/>
      <c r="C4439" s="1542"/>
      <c r="D4439" s="1542"/>
      <c r="E4439" s="1542"/>
    </row>
    <row r="4440" spans="1:5">
      <c r="A4440" s="1541">
        <v>39577</v>
      </c>
      <c r="B4440" s="1542">
        <v>10400.61</v>
      </c>
      <c r="C4440" s="1542">
        <v>166.82</v>
      </c>
      <c r="D4440" s="1542">
        <v>4715.8599999999997</v>
      </c>
      <c r="E4440" s="1542">
        <v>1985.58</v>
      </c>
    </row>
    <row r="4441" spans="1:5">
      <c r="A4441" s="1541">
        <v>39576</v>
      </c>
      <c r="B4441" s="1542">
        <v>10488.41</v>
      </c>
      <c r="C4441" s="1542">
        <v>168.29</v>
      </c>
      <c r="D4441" s="1542">
        <v>4756.26</v>
      </c>
      <c r="E4441" s="1542">
        <v>1998.48</v>
      </c>
    </row>
    <row r="4442" spans="1:5">
      <c r="A4442" s="1541">
        <v>39575</v>
      </c>
      <c r="B4442" s="1542">
        <v>10559.06</v>
      </c>
      <c r="C4442" s="1542">
        <v>167.86</v>
      </c>
      <c r="D4442" s="1542">
        <v>4742.62</v>
      </c>
      <c r="E4442" s="1542">
        <v>2014.32</v>
      </c>
    </row>
    <row r="4443" spans="1:5">
      <c r="A4443" s="1541">
        <v>39574</v>
      </c>
      <c r="B4443" s="1542">
        <v>10477.48</v>
      </c>
      <c r="C4443" s="1542">
        <v>165.88</v>
      </c>
      <c r="D4443" s="1542">
        <v>4784.7</v>
      </c>
      <c r="E4443" s="1542">
        <v>2029.76</v>
      </c>
    </row>
    <row r="4444" spans="1:5">
      <c r="A4444" s="1541">
        <v>39573</v>
      </c>
      <c r="B4444" s="1542">
        <v>10453.459999999999</v>
      </c>
      <c r="C4444" s="1542">
        <v>165.4</v>
      </c>
      <c r="D4444" s="1542">
        <v>4760.8599999999997</v>
      </c>
      <c r="E4444" s="1542">
        <v>2019.94</v>
      </c>
    </row>
    <row r="4445" spans="1:5">
      <c r="A4445" s="1541">
        <v>39572</v>
      </c>
      <c r="B4445" s="1542"/>
      <c r="C4445" s="1542"/>
      <c r="D4445" s="1542"/>
      <c r="E4445" s="1542"/>
    </row>
    <row r="4446" spans="1:5">
      <c r="A4446" s="1541">
        <v>39571</v>
      </c>
      <c r="B4446" s="1542"/>
      <c r="C4446" s="1542"/>
      <c r="D4446" s="1542"/>
      <c r="E4446" s="1542"/>
    </row>
    <row r="4447" spans="1:5">
      <c r="A4447" s="1541">
        <v>39570</v>
      </c>
      <c r="B4447" s="1542">
        <v>10603.17</v>
      </c>
      <c r="C4447" s="1542">
        <v>166.27</v>
      </c>
      <c r="D4447" s="1542">
        <v>4761.92</v>
      </c>
      <c r="E4447" s="1542">
        <v>2015.68</v>
      </c>
    </row>
    <row r="4448" spans="1:5">
      <c r="A4448" s="1541">
        <v>39569</v>
      </c>
      <c r="B4448" s="1542"/>
      <c r="C4448" s="1542"/>
      <c r="D4448" s="1542">
        <v>4715.6000000000004</v>
      </c>
      <c r="E4448" s="1542">
        <v>1990.52</v>
      </c>
    </row>
    <row r="4449" spans="1:5">
      <c r="A4449" s="1541">
        <v>39568</v>
      </c>
      <c r="B4449" s="1542">
        <v>10551.47</v>
      </c>
      <c r="C4449" s="1542">
        <v>165.95</v>
      </c>
      <c r="D4449" s="1542">
        <v>4693.58</v>
      </c>
      <c r="E4449" s="1542">
        <v>1988.13</v>
      </c>
    </row>
    <row r="4450" spans="1:5">
      <c r="A4450" s="1541">
        <v>39567</v>
      </c>
      <c r="B4450" s="1542">
        <v>10518.13</v>
      </c>
      <c r="C4450" s="1542">
        <v>165.42</v>
      </c>
      <c r="D4450" s="1542">
        <v>4695.79</v>
      </c>
      <c r="E4450" s="1542">
        <v>1969.05</v>
      </c>
    </row>
    <row r="4451" spans="1:5">
      <c r="A4451" s="1541">
        <v>39566</v>
      </c>
      <c r="B4451" s="1542">
        <v>10740.35</v>
      </c>
      <c r="C4451" s="1542">
        <v>166.78</v>
      </c>
      <c r="D4451" s="1542">
        <v>4720.58</v>
      </c>
      <c r="E4451" s="1542">
        <v>1992.54</v>
      </c>
    </row>
    <row r="4452" spans="1:5">
      <c r="A4452" s="1541">
        <v>39565</v>
      </c>
      <c r="B4452" s="1542"/>
      <c r="C4452" s="1542"/>
      <c r="D4452" s="1542"/>
      <c r="E4452" s="1542"/>
    </row>
    <row r="4453" spans="1:5">
      <c r="A4453" s="1541">
        <v>39564</v>
      </c>
      <c r="B4453" s="1542"/>
      <c r="C4453" s="1542"/>
      <c r="D4453" s="1542"/>
      <c r="E4453" s="1542"/>
    </row>
    <row r="4454" spans="1:5">
      <c r="A4454" s="1541">
        <v>39563</v>
      </c>
      <c r="B4454" s="1542">
        <v>10584.48</v>
      </c>
      <c r="C4454" s="1542">
        <v>168.22</v>
      </c>
      <c r="D4454" s="1542">
        <v>4708.68</v>
      </c>
      <c r="E4454" s="1542">
        <v>1983.33</v>
      </c>
    </row>
    <row r="4455" spans="1:5">
      <c r="A4455" s="1541">
        <v>39562</v>
      </c>
      <c r="B4455" s="1542">
        <v>10634.76</v>
      </c>
      <c r="C4455" s="1542">
        <v>167.78</v>
      </c>
      <c r="D4455" s="1542">
        <v>4664.2299999999996</v>
      </c>
      <c r="E4455" s="1542">
        <v>1980.1</v>
      </c>
    </row>
    <row r="4456" spans="1:5">
      <c r="A4456" s="1541">
        <v>39561</v>
      </c>
      <c r="B4456" s="1542">
        <v>10656.23</v>
      </c>
      <c r="C4456" s="1542">
        <v>167.71</v>
      </c>
      <c r="D4456" s="1542">
        <v>4674.53</v>
      </c>
      <c r="E4456" s="1542">
        <v>1988.24</v>
      </c>
    </row>
    <row r="4457" spans="1:5">
      <c r="A4457" s="1541">
        <v>39560</v>
      </c>
      <c r="B4457" s="1542">
        <v>10690.26</v>
      </c>
      <c r="C4457" s="1542">
        <v>167.13</v>
      </c>
      <c r="D4457" s="1542">
        <v>4669.9399999999996</v>
      </c>
      <c r="E4457" s="1542">
        <v>1984.19</v>
      </c>
    </row>
    <row r="4458" spans="1:5">
      <c r="A4458" s="1541">
        <v>39559</v>
      </c>
      <c r="B4458" s="1542">
        <v>10744.76</v>
      </c>
      <c r="C4458" s="1542">
        <v>166.17</v>
      </c>
      <c r="D4458" s="1542">
        <v>4698.82</v>
      </c>
      <c r="E4458" s="1542">
        <v>1979.24</v>
      </c>
    </row>
    <row r="4459" spans="1:5">
      <c r="A4459" s="1541">
        <v>39558</v>
      </c>
      <c r="B4459" s="1542"/>
      <c r="C4459" s="1542"/>
      <c r="D4459" s="1542"/>
      <c r="E4459" s="1542"/>
    </row>
    <row r="4460" spans="1:5">
      <c r="A4460" s="1541">
        <v>39557</v>
      </c>
      <c r="B4460" s="1542"/>
      <c r="C4460" s="1542"/>
      <c r="D4460" s="1542"/>
      <c r="E4460" s="1542"/>
    </row>
    <row r="4461" spans="1:5">
      <c r="A4461" s="1541">
        <v>39556</v>
      </c>
      <c r="B4461" s="1542">
        <v>10734.14</v>
      </c>
      <c r="C4461" s="1542">
        <v>164.79</v>
      </c>
      <c r="D4461" s="1542">
        <v>4672.8599999999997</v>
      </c>
      <c r="E4461" s="1542">
        <v>1960.49</v>
      </c>
    </row>
    <row r="4462" spans="1:5">
      <c r="A4462" s="1541">
        <v>39555</v>
      </c>
      <c r="B4462" s="1542">
        <v>10753.16</v>
      </c>
      <c r="C4462" s="1542">
        <v>164.1</v>
      </c>
      <c r="D4462" s="1542">
        <v>4620.8100000000004</v>
      </c>
      <c r="E4462" s="1542">
        <v>1957.72</v>
      </c>
    </row>
    <row r="4463" spans="1:5">
      <c r="A4463" s="1541">
        <v>39554</v>
      </c>
      <c r="B4463" s="1542">
        <v>10724.32</v>
      </c>
      <c r="C4463" s="1542">
        <v>163.27000000000001</v>
      </c>
      <c r="D4463" s="1542">
        <v>4630.53</v>
      </c>
      <c r="E4463" s="1542">
        <v>1942.24</v>
      </c>
    </row>
    <row r="4464" spans="1:5">
      <c r="A4464" s="1541">
        <v>39553</v>
      </c>
      <c r="B4464" s="1542">
        <v>10557.21</v>
      </c>
      <c r="C4464" s="1542">
        <v>161.94999999999999</v>
      </c>
      <c r="D4464" s="1542">
        <v>4521.8100000000004</v>
      </c>
      <c r="E4464" s="1542">
        <v>1918.55</v>
      </c>
    </row>
    <row r="4465" spans="1:5">
      <c r="A4465" s="1541">
        <v>39552</v>
      </c>
      <c r="B4465" s="1542">
        <v>10519.24</v>
      </c>
      <c r="C4465" s="1542">
        <v>160.69999999999999</v>
      </c>
      <c r="D4465" s="1542">
        <v>4503.8999999999996</v>
      </c>
      <c r="E4465" s="1542">
        <v>1909.01</v>
      </c>
    </row>
    <row r="4466" spans="1:5">
      <c r="A4466" s="1541">
        <v>39551</v>
      </c>
      <c r="B4466" s="1542"/>
      <c r="C4466" s="1542"/>
      <c r="D4466" s="1542"/>
      <c r="E4466" s="1542"/>
    </row>
    <row r="4467" spans="1:5">
      <c r="A4467" s="1541">
        <v>39550</v>
      </c>
      <c r="B4467" s="1542"/>
      <c r="C4467" s="1542"/>
      <c r="D4467" s="1542"/>
      <c r="E4467" s="1542"/>
    </row>
    <row r="4468" spans="1:5">
      <c r="A4468" s="1541">
        <v>39549</v>
      </c>
      <c r="B4468" s="1542">
        <v>10539.23</v>
      </c>
      <c r="C4468" s="1542">
        <v>161.91999999999999</v>
      </c>
      <c r="D4468" s="1542">
        <v>4535.5</v>
      </c>
      <c r="E4468" s="1542">
        <v>1933.86</v>
      </c>
    </row>
    <row r="4469" spans="1:5">
      <c r="A4469" s="1541">
        <v>39548</v>
      </c>
      <c r="B4469" s="1542">
        <v>10444.39</v>
      </c>
      <c r="C4469" s="1542">
        <v>161.83000000000001</v>
      </c>
      <c r="D4469" s="1542">
        <v>4591.7700000000004</v>
      </c>
      <c r="E4469" s="1542">
        <v>1930.65</v>
      </c>
    </row>
    <row r="4470" spans="1:5">
      <c r="A4470" s="1541">
        <v>39547</v>
      </c>
      <c r="B4470" s="1542">
        <v>10253.39</v>
      </c>
      <c r="C4470" s="1542">
        <v>158.76</v>
      </c>
      <c r="D4470" s="1542">
        <v>4581.9399999999996</v>
      </c>
      <c r="E4470" s="1542">
        <v>1916.41</v>
      </c>
    </row>
    <row r="4471" spans="1:5">
      <c r="A4471" s="1541">
        <v>39546</v>
      </c>
      <c r="B4471" s="1542">
        <v>10259.200000000001</v>
      </c>
      <c r="C4471" s="1542">
        <v>158.57</v>
      </c>
      <c r="D4471" s="1542">
        <v>4612.01</v>
      </c>
      <c r="E4471" s="1542">
        <v>1921.53</v>
      </c>
    </row>
    <row r="4472" spans="1:5">
      <c r="A4472" s="1541">
        <v>39545</v>
      </c>
      <c r="B4472" s="1542">
        <v>10326.56</v>
      </c>
      <c r="C4472" s="1542">
        <v>159.72999999999999</v>
      </c>
      <c r="D4472" s="1542">
        <v>4647.41</v>
      </c>
      <c r="E4472" s="1542">
        <v>1933.27</v>
      </c>
    </row>
    <row r="4473" spans="1:5">
      <c r="A4473" s="1541">
        <v>39544</v>
      </c>
      <c r="B4473" s="1542"/>
      <c r="C4473" s="1542"/>
      <c r="D4473" s="1542"/>
      <c r="E4473" s="1542"/>
    </row>
    <row r="4474" spans="1:5">
      <c r="A4474" s="1541">
        <v>39543</v>
      </c>
      <c r="B4474" s="1542"/>
      <c r="C4474" s="1542"/>
      <c r="D4474" s="1542"/>
      <c r="E4474" s="1542"/>
    </row>
    <row r="4475" spans="1:5">
      <c r="A4475" s="1541">
        <v>39542</v>
      </c>
      <c r="B4475" s="1542"/>
      <c r="C4475" s="1542"/>
      <c r="D4475" s="1542">
        <v>4628.6499999999996</v>
      </c>
      <c r="E4475" s="1542">
        <v>1906.8</v>
      </c>
    </row>
    <row r="4476" spans="1:5">
      <c r="A4476" s="1541">
        <v>39541</v>
      </c>
      <c r="B4476" s="1542">
        <v>10168.700000000001</v>
      </c>
      <c r="C4476" s="1542">
        <v>157.05000000000001</v>
      </c>
      <c r="D4476" s="1542">
        <v>4606.1899999999996</v>
      </c>
      <c r="E4476" s="1542">
        <v>1902.69</v>
      </c>
    </row>
    <row r="4477" spans="1:5">
      <c r="A4477" s="1541">
        <v>39540</v>
      </c>
      <c r="B4477" s="1542">
        <v>10179.32</v>
      </c>
      <c r="C4477" s="1542">
        <v>154.84</v>
      </c>
      <c r="D4477" s="1542">
        <v>4592.82</v>
      </c>
      <c r="E4477" s="1542">
        <v>1893.94</v>
      </c>
    </row>
    <row r="4478" spans="1:5">
      <c r="A4478" s="1541">
        <v>39539</v>
      </c>
      <c r="B4478" s="1542">
        <v>9959.77</v>
      </c>
      <c r="C4478" s="1542">
        <v>151.18</v>
      </c>
      <c r="D4478" s="1542">
        <v>4550.3500000000004</v>
      </c>
      <c r="E4478" s="1542">
        <v>1854.08</v>
      </c>
    </row>
    <row r="4479" spans="1:5">
      <c r="A4479" s="1541">
        <v>39538</v>
      </c>
      <c r="B4479" s="1542">
        <v>10140.6</v>
      </c>
      <c r="C4479" s="1542">
        <v>152.53</v>
      </c>
      <c r="D4479" s="1542">
        <v>4455.8100000000004</v>
      </c>
      <c r="E4479" s="1542">
        <v>1838.62</v>
      </c>
    </row>
    <row r="4480" spans="1:5">
      <c r="A4480" s="1541">
        <v>39537</v>
      </c>
      <c r="B4480" s="1542"/>
      <c r="C4480" s="1542"/>
      <c r="D4480" s="1542"/>
      <c r="E4480" s="1542"/>
    </row>
    <row r="4481" spans="1:5">
      <c r="A4481" s="1541">
        <v>39536</v>
      </c>
      <c r="B4481" s="1542"/>
      <c r="C4481" s="1542"/>
      <c r="D4481" s="1542"/>
      <c r="E4481" s="1542"/>
    </row>
    <row r="4482" spans="1:5">
      <c r="A4482" s="1541">
        <v>39535</v>
      </c>
      <c r="B4482" s="1542">
        <v>10200.799999999999</v>
      </c>
      <c r="C4482" s="1542">
        <v>151.91999999999999</v>
      </c>
      <c r="D4482" s="1542">
        <v>4450.08</v>
      </c>
      <c r="E4482" s="1542">
        <v>1852.1</v>
      </c>
    </row>
    <row r="4483" spans="1:5">
      <c r="A4483" s="1541">
        <v>39534</v>
      </c>
      <c r="B4483" s="1542">
        <v>10180.07</v>
      </c>
      <c r="C4483" s="1542">
        <v>150.26</v>
      </c>
      <c r="D4483" s="1542">
        <v>4474.49</v>
      </c>
      <c r="E4483" s="1542">
        <v>1841.82</v>
      </c>
    </row>
    <row r="4484" spans="1:5">
      <c r="A4484" s="1541">
        <v>39533</v>
      </c>
      <c r="B4484" s="1542">
        <v>10371.780000000001</v>
      </c>
      <c r="C4484" s="1542">
        <v>151.37</v>
      </c>
      <c r="D4484" s="1542">
        <v>4483.34</v>
      </c>
      <c r="E4484" s="1542">
        <v>1843.27</v>
      </c>
    </row>
    <row r="4485" spans="1:5">
      <c r="A4485" s="1541">
        <v>39532</v>
      </c>
      <c r="B4485" s="1542">
        <v>10403.799999999999</v>
      </c>
      <c r="C4485" s="1542">
        <v>150.79</v>
      </c>
      <c r="D4485" s="1542">
        <v>4484.32</v>
      </c>
      <c r="E4485" s="1542">
        <v>1838.09</v>
      </c>
    </row>
    <row r="4486" spans="1:5">
      <c r="A4486" s="1541">
        <v>39531</v>
      </c>
      <c r="B4486" s="1542">
        <v>10486.91</v>
      </c>
      <c r="C4486" s="1542">
        <v>149.25</v>
      </c>
      <c r="D4486" s="1542">
        <v>4386.74</v>
      </c>
      <c r="E4486" s="1542">
        <v>1785.23</v>
      </c>
    </row>
    <row r="4487" spans="1:5">
      <c r="A4487" s="1541">
        <v>39530</v>
      </c>
      <c r="B4487" s="1542"/>
      <c r="C4487" s="1542"/>
      <c r="D4487" s="1542"/>
      <c r="E4487" s="1542"/>
    </row>
    <row r="4488" spans="1:5">
      <c r="A4488" s="1541">
        <v>39529</v>
      </c>
      <c r="B4488" s="1542"/>
      <c r="C4488" s="1542"/>
      <c r="D4488" s="1542"/>
      <c r="E4488" s="1542"/>
    </row>
    <row r="4489" spans="1:5">
      <c r="A4489" s="1541">
        <v>39528</v>
      </c>
      <c r="B4489" s="1542">
        <v>10084.299999999999</v>
      </c>
      <c r="C4489" s="1542">
        <v>146.15</v>
      </c>
      <c r="D4489" s="1542">
        <v>4355.45</v>
      </c>
      <c r="E4489" s="1542">
        <v>1750.63</v>
      </c>
    </row>
    <row r="4490" spans="1:5">
      <c r="A4490" s="1541">
        <v>39527</v>
      </c>
      <c r="B4490" s="1542">
        <v>9862.66</v>
      </c>
      <c r="C4490" s="1542">
        <v>143.91999999999999</v>
      </c>
      <c r="D4490" s="1542">
        <v>4347.49</v>
      </c>
      <c r="E4490" s="1542">
        <v>1740.53</v>
      </c>
    </row>
    <row r="4491" spans="1:5">
      <c r="A4491" s="1541">
        <v>39526</v>
      </c>
      <c r="B4491" s="1542">
        <v>9675.44</v>
      </c>
      <c r="C4491" s="1542">
        <v>143.5</v>
      </c>
      <c r="D4491" s="1542">
        <v>4334.7700000000004</v>
      </c>
      <c r="E4491" s="1542">
        <v>1773.67</v>
      </c>
    </row>
    <row r="4492" spans="1:5">
      <c r="A4492" s="1541">
        <v>39525</v>
      </c>
      <c r="B4492" s="1542">
        <v>9531.68</v>
      </c>
      <c r="C4492" s="1542">
        <v>142.99</v>
      </c>
      <c r="D4492" s="1542">
        <v>4408.6400000000003</v>
      </c>
      <c r="E4492" s="1542">
        <v>1772.26</v>
      </c>
    </row>
    <row r="4493" spans="1:5">
      <c r="A4493" s="1541">
        <v>39524</v>
      </c>
      <c r="B4493" s="1542">
        <v>9469.74</v>
      </c>
      <c r="C4493" s="1542">
        <v>142.57</v>
      </c>
      <c r="D4493" s="1542">
        <v>4266.1899999999996</v>
      </c>
      <c r="E4493" s="1542">
        <v>1737.92</v>
      </c>
    </row>
    <row r="4494" spans="1:5">
      <c r="A4494" s="1541">
        <v>39523</v>
      </c>
      <c r="B4494" s="1542"/>
      <c r="C4494" s="1542"/>
      <c r="D4494" s="1542"/>
      <c r="E4494" s="1542"/>
    </row>
    <row r="4495" spans="1:5">
      <c r="A4495" s="1541">
        <v>39522</v>
      </c>
      <c r="B4495" s="1542"/>
      <c r="C4495" s="1542"/>
      <c r="D4495" s="1542"/>
      <c r="E4495" s="1542"/>
    </row>
    <row r="4496" spans="1:5">
      <c r="A4496" s="1541">
        <v>39521</v>
      </c>
      <c r="B4496" s="1542">
        <v>9654.2000000000007</v>
      </c>
      <c r="C4496" s="1542">
        <v>146</v>
      </c>
      <c r="D4496" s="1542">
        <v>4356.8900000000003</v>
      </c>
      <c r="E4496" s="1542">
        <v>1817.49</v>
      </c>
    </row>
    <row r="4497" spans="1:5">
      <c r="A4497" s="1541">
        <v>39520</v>
      </c>
      <c r="B4497" s="1542">
        <v>9712.86</v>
      </c>
      <c r="C4497" s="1542">
        <v>147.51</v>
      </c>
      <c r="D4497" s="1542">
        <v>4420.51</v>
      </c>
      <c r="E4497" s="1542">
        <v>1829.29</v>
      </c>
    </row>
    <row r="4498" spans="1:5">
      <c r="A4498" s="1541">
        <v>39519</v>
      </c>
      <c r="B4498" s="1542">
        <v>9978.2000000000007</v>
      </c>
      <c r="C4498" s="1542">
        <v>151.31</v>
      </c>
      <c r="D4498" s="1542">
        <v>4427.46</v>
      </c>
      <c r="E4498" s="1542">
        <v>1881.3</v>
      </c>
    </row>
    <row r="4499" spans="1:5">
      <c r="A4499" s="1541">
        <v>39518</v>
      </c>
      <c r="B4499" s="1542">
        <v>9914.68</v>
      </c>
      <c r="C4499" s="1542">
        <v>150.18</v>
      </c>
      <c r="D4499" s="1542">
        <v>4394.84</v>
      </c>
      <c r="E4499" s="1542">
        <v>1860.06</v>
      </c>
    </row>
    <row r="4500" spans="1:5">
      <c r="A4500" s="1541">
        <v>39517</v>
      </c>
      <c r="B4500" s="1542">
        <v>9817.41</v>
      </c>
      <c r="C4500" s="1542">
        <v>150.63999999999999</v>
      </c>
      <c r="D4500" s="1542">
        <v>4301.8100000000004</v>
      </c>
      <c r="E4500" s="1542">
        <v>1819.35</v>
      </c>
    </row>
    <row r="4501" spans="1:5">
      <c r="A4501" s="1541">
        <v>39516</v>
      </c>
      <c r="B4501" s="1542"/>
      <c r="C4501" s="1542"/>
      <c r="D4501" s="1542"/>
      <c r="E4501" s="1542"/>
    </row>
    <row r="4502" spans="1:5">
      <c r="A4502" s="1541">
        <v>39515</v>
      </c>
      <c r="B4502" s="1542"/>
      <c r="C4502" s="1542"/>
      <c r="D4502" s="1542"/>
      <c r="E4502" s="1542"/>
    </row>
    <row r="4503" spans="1:5">
      <c r="A4503" s="1541">
        <v>39514</v>
      </c>
      <c r="B4503" s="1542">
        <v>10091.86</v>
      </c>
      <c r="C4503" s="1542">
        <v>152.28</v>
      </c>
      <c r="D4503" s="1542">
        <v>4364.96</v>
      </c>
      <c r="E4503" s="1542">
        <v>1858.14</v>
      </c>
    </row>
    <row r="4504" spans="1:5">
      <c r="A4504" s="1541">
        <v>39513</v>
      </c>
      <c r="B4504" s="1542">
        <v>10242.39</v>
      </c>
      <c r="C4504" s="1542">
        <v>152.59</v>
      </c>
      <c r="D4504" s="1542">
        <v>4421.6499999999996</v>
      </c>
      <c r="E4504" s="1542">
        <v>1902.6</v>
      </c>
    </row>
    <row r="4505" spans="1:5">
      <c r="A4505" s="1541">
        <v>39512</v>
      </c>
      <c r="B4505" s="1542">
        <v>10035.75</v>
      </c>
      <c r="C4505" s="1542">
        <v>148.91999999999999</v>
      </c>
      <c r="D4505" s="1542">
        <v>4468.2</v>
      </c>
      <c r="E4505" s="1542">
        <v>1899.02</v>
      </c>
    </row>
    <row r="4506" spans="1:5">
      <c r="A4506" s="1541">
        <v>39511</v>
      </c>
      <c r="B4506" s="1542">
        <v>10019.379999999999</v>
      </c>
      <c r="C4506" s="1542">
        <v>149.29</v>
      </c>
      <c r="D4506" s="1542">
        <v>4427.3999999999996</v>
      </c>
      <c r="E4506" s="1542">
        <v>1889.05</v>
      </c>
    </row>
    <row r="4507" spans="1:5">
      <c r="A4507" s="1541">
        <v>39510</v>
      </c>
      <c r="B4507" s="1542">
        <v>9774.24</v>
      </c>
      <c r="C4507" s="1542">
        <v>146.30000000000001</v>
      </c>
      <c r="D4507" s="1542">
        <v>4454.43</v>
      </c>
      <c r="E4507" s="1542">
        <v>1903.39</v>
      </c>
    </row>
    <row r="4508" spans="1:5">
      <c r="A4508" s="1541">
        <v>39509</v>
      </c>
      <c r="B4508" s="1542"/>
      <c r="C4508" s="1542"/>
      <c r="D4508" s="1542"/>
      <c r="E4508" s="1542"/>
    </row>
    <row r="4509" spans="1:5">
      <c r="A4509" s="1541">
        <v>39508</v>
      </c>
      <c r="B4509" s="1542"/>
      <c r="C4509" s="1542"/>
      <c r="D4509" s="1542"/>
      <c r="E4509" s="1542"/>
    </row>
    <row r="4510" spans="1:5">
      <c r="A4510" s="1541">
        <v>39507</v>
      </c>
      <c r="B4510" s="1542">
        <v>9951.5400000000009</v>
      </c>
      <c r="C4510" s="1542">
        <v>149.05000000000001</v>
      </c>
      <c r="D4510" s="1542">
        <v>4496.6899999999996</v>
      </c>
      <c r="E4510" s="1542">
        <v>1941.17</v>
      </c>
    </row>
    <row r="4511" spans="1:5">
      <c r="A4511" s="1541">
        <v>39506</v>
      </c>
      <c r="B4511" s="1542"/>
      <c r="C4511" s="1542"/>
      <c r="D4511" s="1542">
        <v>4588.1400000000003</v>
      </c>
      <c r="E4511" s="1542">
        <v>1981.68</v>
      </c>
    </row>
    <row r="4512" spans="1:5">
      <c r="A4512" s="1541">
        <v>39505</v>
      </c>
      <c r="B4512" s="1542">
        <v>10009.879999999999</v>
      </c>
      <c r="C4512" s="1542">
        <v>146.65</v>
      </c>
      <c r="D4512" s="1542">
        <v>4627.2700000000004</v>
      </c>
      <c r="E4512" s="1542">
        <v>1979.69</v>
      </c>
    </row>
    <row r="4513" spans="1:5">
      <c r="A4513" s="1541">
        <v>39504</v>
      </c>
      <c r="B4513" s="1542">
        <v>9827.23</v>
      </c>
      <c r="C4513" s="1542">
        <v>144.19999999999999</v>
      </c>
      <c r="D4513" s="1542">
        <v>4593.0600000000004</v>
      </c>
      <c r="E4513" s="1542">
        <v>1948.71</v>
      </c>
    </row>
    <row r="4514" spans="1:5">
      <c r="A4514" s="1541">
        <v>39503</v>
      </c>
      <c r="B4514" s="1542">
        <v>9801.9599999999991</v>
      </c>
      <c r="C4514" s="1542">
        <v>143.77000000000001</v>
      </c>
      <c r="D4514" s="1542">
        <v>4544.66</v>
      </c>
      <c r="E4514" s="1542">
        <v>1930.66</v>
      </c>
    </row>
    <row r="4515" spans="1:5">
      <c r="A4515" s="1541">
        <v>39502</v>
      </c>
      <c r="B4515" s="1542"/>
      <c r="C4515" s="1542"/>
      <c r="D4515" s="1542"/>
      <c r="E4515" s="1542"/>
    </row>
    <row r="4516" spans="1:5">
      <c r="A4516" s="1541">
        <v>39501</v>
      </c>
      <c r="B4516" s="1542"/>
      <c r="C4516" s="1542"/>
      <c r="D4516" s="1542"/>
      <c r="E4516" s="1542"/>
    </row>
    <row r="4517" spans="1:5">
      <c r="A4517" s="1541">
        <v>39500</v>
      </c>
      <c r="B4517" s="1542">
        <v>9591.8700000000008</v>
      </c>
      <c r="C4517" s="1542">
        <v>142.1</v>
      </c>
      <c r="D4517" s="1542">
        <v>4473.4799999999996</v>
      </c>
      <c r="E4517" s="1542">
        <v>1911.69</v>
      </c>
    </row>
    <row r="4518" spans="1:5">
      <c r="A4518" s="1541">
        <v>39499</v>
      </c>
      <c r="B4518" s="1542">
        <v>9564.93</v>
      </c>
      <c r="C4518" s="1542">
        <v>142.61000000000001</v>
      </c>
      <c r="D4518" s="1542">
        <v>4468.41</v>
      </c>
      <c r="E4518" s="1542">
        <v>1918.57</v>
      </c>
    </row>
    <row r="4519" spans="1:5">
      <c r="A4519" s="1541">
        <v>39498</v>
      </c>
      <c r="B4519" s="1542">
        <v>9338.4500000000007</v>
      </c>
      <c r="C4519" s="1542">
        <v>138.57</v>
      </c>
      <c r="D4519" s="1542">
        <v>4455.0200000000004</v>
      </c>
      <c r="E4519" s="1542">
        <v>1893.36</v>
      </c>
    </row>
    <row r="4520" spans="1:5">
      <c r="A4520" s="1541">
        <v>39497</v>
      </c>
      <c r="B4520" s="1542">
        <v>9492.16</v>
      </c>
      <c r="C4520" s="1542">
        <v>139.93</v>
      </c>
      <c r="D4520" s="1542">
        <v>4485.6400000000003</v>
      </c>
      <c r="E4520" s="1542">
        <v>1916.93</v>
      </c>
    </row>
    <row r="4521" spans="1:5">
      <c r="A4521" s="1541">
        <v>39496</v>
      </c>
      <c r="B4521" s="1542">
        <v>9334.23</v>
      </c>
      <c r="C4521" s="1542">
        <v>137.03</v>
      </c>
      <c r="D4521" s="1542">
        <v>4462.1400000000003</v>
      </c>
      <c r="E4521" s="1542">
        <v>1896.93</v>
      </c>
    </row>
    <row r="4522" spans="1:5">
      <c r="A4522" s="1541">
        <v>39495</v>
      </c>
      <c r="B4522" s="1542"/>
      <c r="C4522" s="1542"/>
      <c r="D4522" s="1542"/>
      <c r="E4522" s="1542"/>
    </row>
    <row r="4523" spans="1:5">
      <c r="A4523" s="1541">
        <v>39494</v>
      </c>
      <c r="B4523" s="1542"/>
      <c r="C4523" s="1542"/>
      <c r="D4523" s="1542"/>
      <c r="E4523" s="1542"/>
    </row>
    <row r="4524" spans="1:5">
      <c r="A4524" s="1541">
        <v>39493</v>
      </c>
      <c r="B4524" s="1542">
        <v>9317.0400000000009</v>
      </c>
      <c r="C4524" s="1542">
        <v>134.03</v>
      </c>
      <c r="D4524" s="1542">
        <v>4442.21</v>
      </c>
      <c r="E4524" s="1542">
        <v>1883.62</v>
      </c>
    </row>
    <row r="4525" spans="1:5">
      <c r="A4525" s="1541">
        <v>39492</v>
      </c>
      <c r="B4525" s="1542">
        <v>9303.92</v>
      </c>
      <c r="C4525" s="1542">
        <v>132.43</v>
      </c>
      <c r="D4525" s="1542">
        <v>4461.9799999999996</v>
      </c>
      <c r="E4525" s="1542">
        <v>1886.82</v>
      </c>
    </row>
    <row r="4526" spans="1:5">
      <c r="A4526" s="1541">
        <v>39491</v>
      </c>
      <c r="B4526" s="1542">
        <v>8931.6200000000008</v>
      </c>
      <c r="C4526" s="1542">
        <v>127.27</v>
      </c>
      <c r="D4526" s="1542">
        <v>4460.42</v>
      </c>
      <c r="E4526" s="1542">
        <v>1846.45</v>
      </c>
    </row>
    <row r="4527" spans="1:5">
      <c r="A4527" s="1541">
        <v>39490</v>
      </c>
      <c r="B4527" s="1542">
        <v>8934.8700000000008</v>
      </c>
      <c r="C4527" s="1542">
        <v>128.46</v>
      </c>
      <c r="D4527" s="1542">
        <v>4436.6000000000004</v>
      </c>
      <c r="E4527" s="1542">
        <v>1829.36</v>
      </c>
    </row>
    <row r="4528" spans="1:5">
      <c r="A4528" s="1541">
        <v>39489</v>
      </c>
      <c r="B4528" s="1542"/>
      <c r="C4528" s="1542"/>
      <c r="D4528" s="1542">
        <v>4363.47</v>
      </c>
      <c r="E4528" s="1542">
        <v>1800.87</v>
      </c>
    </row>
    <row r="4529" spans="1:5">
      <c r="A4529" s="1541">
        <v>39488</v>
      </c>
      <c r="B4529" s="1542"/>
      <c r="C4529" s="1542"/>
      <c r="D4529" s="1542"/>
      <c r="E4529" s="1542"/>
    </row>
    <row r="4530" spans="1:5">
      <c r="A4530" s="1541">
        <v>39487</v>
      </c>
      <c r="B4530" s="1542"/>
      <c r="C4530" s="1542"/>
      <c r="D4530" s="1542"/>
      <c r="E4530" s="1542"/>
    </row>
    <row r="4531" spans="1:5">
      <c r="A4531" s="1541">
        <v>39486</v>
      </c>
      <c r="B4531" s="1542"/>
      <c r="C4531" s="1542"/>
      <c r="D4531" s="1542">
        <v>4363.63</v>
      </c>
      <c r="E4531" s="1542">
        <v>1819.44</v>
      </c>
    </row>
    <row r="4532" spans="1:5">
      <c r="A4532" s="1541">
        <v>39485</v>
      </c>
      <c r="B4532" s="1542"/>
      <c r="C4532" s="1542"/>
      <c r="D4532" s="1542">
        <v>4369.46</v>
      </c>
      <c r="E4532" s="1542">
        <v>1819.58</v>
      </c>
    </row>
    <row r="4533" spans="1:5">
      <c r="A4533" s="1541">
        <v>39484</v>
      </c>
      <c r="B4533" s="1542"/>
      <c r="C4533" s="1542"/>
      <c r="D4533" s="1542">
        <v>4395.43</v>
      </c>
      <c r="E4533" s="1542">
        <v>1835.12</v>
      </c>
    </row>
    <row r="4534" spans="1:5">
      <c r="A4534" s="1541">
        <v>39483</v>
      </c>
      <c r="B4534" s="1542"/>
      <c r="C4534" s="1542"/>
      <c r="D4534" s="1542">
        <v>4428.12</v>
      </c>
      <c r="E4534" s="1542">
        <v>1873.16</v>
      </c>
    </row>
    <row r="4535" spans="1:5">
      <c r="A4535" s="1541">
        <v>39482</v>
      </c>
      <c r="B4535" s="1542"/>
      <c r="C4535" s="1542"/>
      <c r="D4535" s="1542">
        <v>4576.3500000000004</v>
      </c>
      <c r="E4535" s="1542">
        <v>1897.02</v>
      </c>
    </row>
    <row r="4536" spans="1:5">
      <c r="A4536" s="1541">
        <v>39481</v>
      </c>
      <c r="B4536" s="1542"/>
      <c r="C4536" s="1542"/>
      <c r="D4536" s="1542"/>
      <c r="E4536" s="1542"/>
    </row>
    <row r="4537" spans="1:5">
      <c r="A4537" s="1541">
        <v>39480</v>
      </c>
      <c r="B4537" s="1542"/>
      <c r="C4537" s="1542"/>
      <c r="D4537" s="1542"/>
      <c r="E4537" s="1542"/>
    </row>
    <row r="4538" spans="1:5">
      <c r="A4538" s="1541">
        <v>39479</v>
      </c>
      <c r="B4538" s="1542">
        <v>9077.64</v>
      </c>
      <c r="C4538" s="1542">
        <v>131.76</v>
      </c>
      <c r="D4538" s="1542">
        <v>4586.26</v>
      </c>
      <c r="E4538" s="1542">
        <v>1859.34</v>
      </c>
    </row>
    <row r="4539" spans="1:5">
      <c r="A4539" s="1541">
        <v>39478</v>
      </c>
      <c r="B4539" s="1542">
        <v>8896.82</v>
      </c>
      <c r="C4539" s="1542">
        <v>130.36000000000001</v>
      </c>
      <c r="D4539" s="1542">
        <v>4520.67</v>
      </c>
      <c r="E4539" s="1542">
        <v>1807.13</v>
      </c>
    </row>
    <row r="4540" spans="1:5">
      <c r="A4540" s="1541">
        <v>39477</v>
      </c>
      <c r="B4540" s="1542">
        <v>8923.2800000000007</v>
      </c>
      <c r="C4540" s="1542">
        <v>132.63</v>
      </c>
      <c r="D4540" s="1542">
        <v>4467.97</v>
      </c>
      <c r="E4540" s="1542">
        <v>1811.97</v>
      </c>
    </row>
    <row r="4541" spans="1:5">
      <c r="A4541" s="1541">
        <v>39476</v>
      </c>
      <c r="B4541" s="1542">
        <v>8962.2199999999993</v>
      </c>
      <c r="C4541" s="1542">
        <v>132.51</v>
      </c>
      <c r="D4541" s="1542">
        <v>4495.05</v>
      </c>
      <c r="E4541" s="1542">
        <v>1830.92</v>
      </c>
    </row>
    <row r="4542" spans="1:5">
      <c r="A4542" s="1541">
        <v>39475</v>
      </c>
      <c r="B4542" s="1542">
        <v>8855.02</v>
      </c>
      <c r="C4542" s="1542">
        <v>132.61000000000001</v>
      </c>
      <c r="D4542" s="1542">
        <v>4449.07</v>
      </c>
      <c r="E4542" s="1542">
        <v>1805.84</v>
      </c>
    </row>
    <row r="4543" spans="1:5">
      <c r="A4543" s="1541">
        <v>39474</v>
      </c>
      <c r="B4543" s="1542"/>
      <c r="C4543" s="1542"/>
      <c r="D4543" s="1542"/>
      <c r="E4543" s="1542"/>
    </row>
    <row r="4544" spans="1:5">
      <c r="A4544" s="1541">
        <v>39473</v>
      </c>
      <c r="B4544" s="1542"/>
      <c r="C4544" s="1542"/>
      <c r="D4544" s="1542"/>
      <c r="E4544" s="1542"/>
    </row>
    <row r="4545" spans="1:5">
      <c r="A4545" s="1541">
        <v>39472</v>
      </c>
      <c r="B4545" s="1542">
        <v>9155.24</v>
      </c>
      <c r="C4545" s="1542">
        <v>137.16999999999999</v>
      </c>
      <c r="D4545" s="1542">
        <v>4435.32</v>
      </c>
      <c r="E4545" s="1542">
        <v>1843.21</v>
      </c>
    </row>
    <row r="4546" spans="1:5">
      <c r="A4546" s="1541">
        <v>39471</v>
      </c>
      <c r="B4546" s="1542">
        <v>8892</v>
      </c>
      <c r="C4546" s="1542">
        <v>132.66</v>
      </c>
      <c r="D4546" s="1542">
        <v>4438.22</v>
      </c>
      <c r="E4546" s="1542">
        <v>1796.98</v>
      </c>
    </row>
    <row r="4547" spans="1:5">
      <c r="A4547" s="1541">
        <v>39470</v>
      </c>
      <c r="B4547" s="1542">
        <v>8763.48</v>
      </c>
      <c r="C4547" s="1542">
        <v>135.41</v>
      </c>
      <c r="D4547" s="1542">
        <v>4306.13</v>
      </c>
      <c r="E4547" s="1542">
        <v>1750.1</v>
      </c>
    </row>
    <row r="4548" spans="1:5">
      <c r="A4548" s="1541">
        <v>39469</v>
      </c>
      <c r="B4548" s="1542">
        <v>8968.7800000000007</v>
      </c>
      <c r="C4548" s="1542">
        <v>141.51</v>
      </c>
      <c r="D4548" s="1542">
        <v>4288.5600000000004</v>
      </c>
      <c r="E4548" s="1542">
        <v>1726.64</v>
      </c>
    </row>
    <row r="4549" spans="1:5">
      <c r="A4549" s="1541">
        <v>39468</v>
      </c>
      <c r="B4549" s="1542">
        <v>9593.64</v>
      </c>
      <c r="C4549" s="1542">
        <v>150.86000000000001</v>
      </c>
      <c r="D4549" s="1542">
        <v>4300.1499999999996</v>
      </c>
      <c r="E4549" s="1542">
        <v>1774.34</v>
      </c>
    </row>
    <row r="4550" spans="1:5">
      <c r="A4550" s="1541">
        <v>39467</v>
      </c>
      <c r="B4550" s="1542"/>
      <c r="C4550" s="1542"/>
      <c r="D4550" s="1542"/>
      <c r="E4550" s="1542"/>
    </row>
    <row r="4551" spans="1:5">
      <c r="A4551" s="1541">
        <v>39466</v>
      </c>
      <c r="B4551" s="1542"/>
      <c r="C4551" s="1542"/>
      <c r="D4551" s="1542"/>
      <c r="E4551" s="1542"/>
    </row>
    <row r="4552" spans="1:5">
      <c r="A4552" s="1541">
        <v>39465</v>
      </c>
      <c r="B4552" s="1542">
        <v>9681.7099999999991</v>
      </c>
      <c r="C4552" s="1542">
        <v>150.03</v>
      </c>
      <c r="D4552" s="1542">
        <v>4431.03</v>
      </c>
      <c r="E4552" s="1542">
        <v>1884.36</v>
      </c>
    </row>
    <row r="4553" spans="1:5">
      <c r="A4553" s="1541">
        <v>39464</v>
      </c>
      <c r="B4553" s="1542">
        <v>9583.5</v>
      </c>
      <c r="C4553" s="1542">
        <v>148.99</v>
      </c>
      <c r="D4553" s="1542">
        <v>4464.8500000000004</v>
      </c>
      <c r="E4553" s="1542">
        <v>1891.77</v>
      </c>
    </row>
    <row r="4554" spans="1:5">
      <c r="A4554" s="1541">
        <v>39463</v>
      </c>
      <c r="B4554" s="1542">
        <v>9675.66</v>
      </c>
      <c r="C4554" s="1542">
        <v>148.88</v>
      </c>
      <c r="D4554" s="1542">
        <v>4528.74</v>
      </c>
      <c r="E4554" s="1542">
        <v>1902.88</v>
      </c>
    </row>
    <row r="4555" spans="1:5">
      <c r="A4555" s="1541">
        <v>39462</v>
      </c>
      <c r="B4555" s="1542">
        <v>9970.57</v>
      </c>
      <c r="C4555" s="1542">
        <v>153.68</v>
      </c>
      <c r="D4555" s="1542">
        <v>4604.1499999999996</v>
      </c>
      <c r="E4555" s="1542">
        <v>1983.53</v>
      </c>
    </row>
    <row r="4556" spans="1:5">
      <c r="A4556" s="1541">
        <v>39461</v>
      </c>
      <c r="B4556" s="1542">
        <v>9668.41</v>
      </c>
      <c r="C4556" s="1542">
        <v>151.63999999999999</v>
      </c>
      <c r="D4556" s="1542">
        <v>4715.42</v>
      </c>
      <c r="E4556" s="1542">
        <v>2019.75</v>
      </c>
    </row>
    <row r="4557" spans="1:5">
      <c r="A4557" s="1541">
        <v>39460</v>
      </c>
      <c r="B4557" s="1542"/>
      <c r="C4557" s="1542"/>
      <c r="D4557" s="1542"/>
      <c r="E4557" s="1542"/>
    </row>
    <row r="4558" spans="1:5">
      <c r="A4558" s="1541">
        <v>39459</v>
      </c>
      <c r="B4558" s="1542"/>
      <c r="C4558" s="1542"/>
      <c r="D4558" s="1542"/>
      <c r="E4558" s="1542"/>
    </row>
    <row r="4559" spans="1:5">
      <c r="A4559" s="1541">
        <v>39458</v>
      </c>
      <c r="B4559" s="1542">
        <v>9497.9500000000007</v>
      </c>
      <c r="C4559" s="1542">
        <v>152.94</v>
      </c>
      <c r="D4559" s="1542">
        <v>4671.07</v>
      </c>
      <c r="E4559" s="1542">
        <v>2012.24</v>
      </c>
    </row>
    <row r="4560" spans="1:5">
      <c r="A4560" s="1541">
        <v>39457</v>
      </c>
      <c r="B4560" s="1542">
        <v>9531.0300000000007</v>
      </c>
      <c r="C4560" s="1542">
        <v>152.25</v>
      </c>
      <c r="D4560" s="1542">
        <v>4713.88</v>
      </c>
      <c r="E4560" s="1542">
        <v>2024.47</v>
      </c>
    </row>
    <row r="4561" spans="1:5">
      <c r="A4561" s="1541">
        <v>39456</v>
      </c>
      <c r="B4561" s="1542">
        <v>9563.9</v>
      </c>
      <c r="C4561" s="1542">
        <v>151.81</v>
      </c>
      <c r="D4561" s="1542">
        <v>4713.1099999999997</v>
      </c>
      <c r="E4561" s="1542">
        <v>2033.95</v>
      </c>
    </row>
    <row r="4562" spans="1:5">
      <c r="A4562" s="1541">
        <v>39455</v>
      </c>
      <c r="B4562" s="1542">
        <v>9419.41</v>
      </c>
      <c r="C4562" s="1542">
        <v>149.38</v>
      </c>
      <c r="D4562" s="1542">
        <v>4704.3500000000004</v>
      </c>
      <c r="E4562" s="1542">
        <v>2022.85</v>
      </c>
    </row>
    <row r="4563" spans="1:5">
      <c r="A4563" s="1541">
        <v>39454</v>
      </c>
      <c r="B4563" s="1542">
        <v>9325.32</v>
      </c>
      <c r="C4563" s="1542">
        <v>150.16999999999999</v>
      </c>
      <c r="D4563" s="1542">
        <v>4735.13</v>
      </c>
      <c r="E4563" s="1542">
        <v>2001.58</v>
      </c>
    </row>
    <row r="4564" spans="1:5">
      <c r="A4564" s="1541">
        <v>39453</v>
      </c>
      <c r="B4564" s="1542"/>
      <c r="C4564" s="1542"/>
      <c r="D4564" s="1542"/>
      <c r="E4564" s="1542"/>
    </row>
    <row r="4565" spans="1:5">
      <c r="A4565" s="1541">
        <v>39452</v>
      </c>
      <c r="B4565" s="1542"/>
      <c r="C4565" s="1542"/>
      <c r="D4565" s="1542"/>
      <c r="E4565" s="1542"/>
    </row>
    <row r="4566" spans="1:5">
      <c r="A4566" s="1541">
        <v>39451</v>
      </c>
      <c r="B4566" s="1542">
        <v>9724.82</v>
      </c>
      <c r="C4566" s="1542">
        <v>158.59</v>
      </c>
      <c r="D4566" s="1542">
        <v>4754.12</v>
      </c>
      <c r="E4566" s="1542">
        <v>2030.57</v>
      </c>
    </row>
    <row r="4567" spans="1:5">
      <c r="A4567" s="1541">
        <v>39450</v>
      </c>
      <c r="B4567" s="1542">
        <v>9681.17</v>
      </c>
      <c r="C4567" s="1542">
        <v>158.86000000000001</v>
      </c>
      <c r="D4567" s="1542">
        <v>4856.2299999999996</v>
      </c>
      <c r="E4567" s="1542">
        <v>2034.67</v>
      </c>
    </row>
    <row r="4568" spans="1:5">
      <c r="A4568" s="1541">
        <v>39449</v>
      </c>
      <c r="B4568" s="1542">
        <v>9845.42</v>
      </c>
      <c r="C4568" s="1542">
        <v>161.68</v>
      </c>
      <c r="D4568" s="1542">
        <v>4861.32</v>
      </c>
      <c r="E4568" s="1542">
        <v>2047.45</v>
      </c>
    </row>
    <row r="4569" spans="1:5">
      <c r="A4569" s="1541">
        <v>39448</v>
      </c>
      <c r="B4569" s="1542"/>
      <c r="C4569" s="1542"/>
      <c r="D4569" s="1542">
        <v>4893.54</v>
      </c>
      <c r="E4569" s="1542">
        <v>2064.6999999999998</v>
      </c>
    </row>
    <row r="4570" spans="1:5">
      <c r="A4570" s="1541">
        <v>39447</v>
      </c>
      <c r="B4570" s="1542">
        <v>10062.16</v>
      </c>
      <c r="C4570" s="1542">
        <v>162.99</v>
      </c>
      <c r="D4570" s="1542">
        <v>4893.54</v>
      </c>
      <c r="E4570" s="1542">
        <v>2064.11</v>
      </c>
    </row>
    <row r="4571" spans="1:5">
      <c r="A4571" s="1541">
        <v>39446</v>
      </c>
      <c r="B4571" s="1542"/>
      <c r="C4571" s="1542"/>
      <c r="D4571" s="1542"/>
      <c r="E4571" s="1542"/>
    </row>
    <row r="4572" spans="1:5">
      <c r="A4572" s="1541">
        <v>39445</v>
      </c>
      <c r="B4572" s="1542"/>
      <c r="C4572" s="1542"/>
      <c r="D4572" s="1542"/>
      <c r="E4572" s="1542"/>
    </row>
    <row r="4573" spans="1:5">
      <c r="A4573" s="1541">
        <v>39444</v>
      </c>
      <c r="B4573" s="1542">
        <v>9932.84</v>
      </c>
      <c r="C4573" s="1542">
        <v>160.11000000000001</v>
      </c>
      <c r="D4573" s="1542">
        <v>4911.9399999999996</v>
      </c>
      <c r="E4573" s="1542">
        <v>2066.33</v>
      </c>
    </row>
    <row r="4574" spans="1:5">
      <c r="A4574" s="1541">
        <v>39443</v>
      </c>
      <c r="B4574" s="1542">
        <v>9834.39</v>
      </c>
      <c r="C4574" s="1542">
        <v>155.9</v>
      </c>
      <c r="D4574" s="1542">
        <v>4897.51</v>
      </c>
      <c r="E4574" s="1542">
        <v>2068.5100000000002</v>
      </c>
    </row>
    <row r="4575" spans="1:5">
      <c r="A4575" s="1541">
        <v>39442</v>
      </c>
      <c r="B4575" s="1542">
        <v>9648.2800000000007</v>
      </c>
      <c r="C4575" s="1542">
        <v>152.41999999999999</v>
      </c>
      <c r="D4575" s="1542">
        <v>4921.59</v>
      </c>
      <c r="E4575" s="1542">
        <v>2060.4</v>
      </c>
    </row>
    <row r="4576" spans="1:5">
      <c r="A4576" s="1541">
        <v>39441</v>
      </c>
      <c r="B4576" s="1542">
        <v>9660.91</v>
      </c>
      <c r="C4576" s="1542">
        <v>151.43</v>
      </c>
      <c r="D4576" s="1542">
        <v>4903.72</v>
      </c>
      <c r="E4576" s="1542">
        <v>2050.64</v>
      </c>
    </row>
    <row r="4577" spans="1:5">
      <c r="A4577" s="1541">
        <v>39440</v>
      </c>
      <c r="B4577" s="1542">
        <v>9623.5400000000009</v>
      </c>
      <c r="C4577" s="1542">
        <v>150.22</v>
      </c>
      <c r="D4577" s="1542">
        <v>4894.3599999999997</v>
      </c>
      <c r="E4577" s="1542">
        <v>2050.2800000000002</v>
      </c>
    </row>
    <row r="4578" spans="1:5">
      <c r="A4578" s="1541">
        <v>39439</v>
      </c>
      <c r="B4578" s="1542"/>
      <c r="C4578" s="1542"/>
      <c r="D4578" s="1542"/>
      <c r="E4578" s="1542"/>
    </row>
    <row r="4579" spans="1:5">
      <c r="A4579" s="1541">
        <v>39438</v>
      </c>
      <c r="B4579" s="1542"/>
      <c r="C4579" s="1542"/>
      <c r="D4579" s="1542"/>
      <c r="E4579" s="1542"/>
    </row>
    <row r="4580" spans="1:5">
      <c r="A4580" s="1541">
        <v>39437</v>
      </c>
      <c r="B4580" s="1542">
        <v>9394.01</v>
      </c>
      <c r="C4580" s="1542">
        <v>145.53</v>
      </c>
      <c r="D4580" s="1542">
        <v>4866.68</v>
      </c>
      <c r="E4580" s="1542">
        <v>2014.34</v>
      </c>
    </row>
    <row r="4581" spans="1:5">
      <c r="A4581" s="1541">
        <v>39436</v>
      </c>
      <c r="B4581" s="1542">
        <v>9294.2199999999993</v>
      </c>
      <c r="C4581" s="1542">
        <v>146.47999999999999</v>
      </c>
      <c r="D4581" s="1542">
        <v>4793.37</v>
      </c>
      <c r="E4581" s="1542">
        <v>1981.17</v>
      </c>
    </row>
    <row r="4582" spans="1:5">
      <c r="A4582" s="1541">
        <v>39435</v>
      </c>
      <c r="B4582" s="1542">
        <v>9480.2099999999991</v>
      </c>
      <c r="C4582" s="1542">
        <v>150.34</v>
      </c>
      <c r="D4582" s="1542">
        <v>4778.84</v>
      </c>
      <c r="E4582" s="1542">
        <v>1982.86</v>
      </c>
    </row>
    <row r="4583" spans="1:5">
      <c r="A4583" s="1541">
        <v>39434</v>
      </c>
      <c r="B4583" s="1542">
        <v>9235.44</v>
      </c>
      <c r="C4583" s="1542">
        <v>146.22999999999999</v>
      </c>
      <c r="D4583" s="1542">
        <v>4792.28</v>
      </c>
      <c r="E4583" s="1542">
        <v>1970.36</v>
      </c>
    </row>
    <row r="4584" spans="1:5">
      <c r="A4584" s="1541">
        <v>39433</v>
      </c>
      <c r="B4584" s="1542">
        <v>9263.19</v>
      </c>
      <c r="C4584" s="1542">
        <v>148.61000000000001</v>
      </c>
      <c r="D4584" s="1542">
        <v>4779.74</v>
      </c>
      <c r="E4584" s="1542">
        <v>1960.96</v>
      </c>
    </row>
    <row r="4585" spans="1:5">
      <c r="A4585" s="1541">
        <v>39432</v>
      </c>
      <c r="B4585" s="1542"/>
      <c r="C4585" s="1542"/>
      <c r="D4585" s="1542"/>
      <c r="E4585" s="1542"/>
    </row>
    <row r="4586" spans="1:5">
      <c r="A4586" s="1541">
        <v>39431</v>
      </c>
      <c r="B4586" s="1542"/>
      <c r="C4586" s="1542"/>
      <c r="D4586" s="1542"/>
      <c r="E4586" s="1542"/>
    </row>
    <row r="4587" spans="1:5">
      <c r="A4587" s="1541">
        <v>39430</v>
      </c>
      <c r="B4587" s="1542">
        <v>9602.9599999999991</v>
      </c>
      <c r="C4587" s="1542">
        <v>156.13</v>
      </c>
      <c r="D4587" s="1542">
        <v>4869.9399999999996</v>
      </c>
      <c r="E4587" s="1542">
        <v>2028.36</v>
      </c>
    </row>
    <row r="4588" spans="1:5">
      <c r="A4588" s="1541">
        <v>39429</v>
      </c>
      <c r="B4588" s="1542">
        <v>9685.6200000000008</v>
      </c>
      <c r="C4588" s="1542">
        <v>159.97</v>
      </c>
      <c r="D4588" s="1542">
        <v>4929.05</v>
      </c>
      <c r="E4588" s="1542">
        <v>2057.5700000000002</v>
      </c>
    </row>
    <row r="4589" spans="1:5">
      <c r="A4589" s="1541">
        <v>39428</v>
      </c>
      <c r="B4589" s="1542">
        <v>10043.9</v>
      </c>
      <c r="C4589" s="1542">
        <v>166.69</v>
      </c>
      <c r="D4589" s="1542">
        <v>4995.18</v>
      </c>
      <c r="E4589" s="1542">
        <v>2106.9299999999998</v>
      </c>
    </row>
    <row r="4590" spans="1:5">
      <c r="A4590" s="1541">
        <v>39427</v>
      </c>
      <c r="B4590" s="1542">
        <v>10218.370000000001</v>
      </c>
      <c r="C4590" s="1542">
        <v>168.43</v>
      </c>
      <c r="D4590" s="1542">
        <v>4985.1899999999996</v>
      </c>
      <c r="E4590" s="1542">
        <v>2118.62</v>
      </c>
    </row>
    <row r="4591" spans="1:5">
      <c r="A4591" s="1541">
        <v>39426</v>
      </c>
      <c r="B4591" s="1542">
        <v>10170.69</v>
      </c>
      <c r="C4591" s="1542">
        <v>168.9</v>
      </c>
      <c r="D4591" s="1542">
        <v>5050.91</v>
      </c>
      <c r="E4591" s="1542">
        <v>2114.8200000000002</v>
      </c>
    </row>
    <row r="4592" spans="1:5">
      <c r="A4592" s="1541">
        <v>39425</v>
      </c>
      <c r="B4592" s="1542"/>
      <c r="C4592" s="1542"/>
      <c r="D4592" s="1542"/>
      <c r="E4592" s="1542"/>
    </row>
    <row r="4593" spans="1:5">
      <c r="A4593" s="1541">
        <v>39424</v>
      </c>
      <c r="B4593" s="1542"/>
      <c r="C4593" s="1542"/>
      <c r="D4593" s="1542"/>
      <c r="E4593" s="1542"/>
    </row>
    <row r="4594" spans="1:5">
      <c r="A4594" s="1541">
        <v>39423</v>
      </c>
      <c r="B4594" s="1542">
        <v>10317.799999999999</v>
      </c>
      <c r="C4594" s="1542">
        <v>171.51</v>
      </c>
      <c r="D4594" s="1542">
        <v>5016.67</v>
      </c>
      <c r="E4594" s="1542">
        <v>2124.34</v>
      </c>
    </row>
    <row r="4595" spans="1:5">
      <c r="A4595" s="1541">
        <v>39422</v>
      </c>
      <c r="B4595" s="1542">
        <v>10284.709999999999</v>
      </c>
      <c r="C4595" s="1542">
        <v>171.77</v>
      </c>
      <c r="D4595" s="1542">
        <v>4997.6499999999996</v>
      </c>
      <c r="E4595" s="1542">
        <v>2120.65</v>
      </c>
    </row>
    <row r="4596" spans="1:5">
      <c r="A4596" s="1541">
        <v>39421</v>
      </c>
      <c r="B4596" s="1542">
        <v>10264.049999999999</v>
      </c>
      <c r="C4596" s="1542">
        <v>173.56</v>
      </c>
      <c r="D4596" s="1542">
        <v>4954.1499999999996</v>
      </c>
      <c r="E4596" s="1542">
        <v>2102.29</v>
      </c>
    </row>
    <row r="4597" spans="1:5">
      <c r="A4597" s="1541">
        <v>39420</v>
      </c>
      <c r="B4597" s="1542">
        <v>10233.69</v>
      </c>
      <c r="C4597" s="1542">
        <v>170.63</v>
      </c>
      <c r="D4597" s="1542">
        <v>4901.26</v>
      </c>
      <c r="E4597" s="1542">
        <v>2064.7399999999998</v>
      </c>
    </row>
    <row r="4598" spans="1:5">
      <c r="A4598" s="1541">
        <v>39419</v>
      </c>
      <c r="B4598" s="1542">
        <v>10153.549999999999</v>
      </c>
      <c r="C4598" s="1542">
        <v>167.34</v>
      </c>
      <c r="D4598" s="1542">
        <v>4935.04</v>
      </c>
      <c r="E4598" s="1542">
        <v>2058.65</v>
      </c>
    </row>
    <row r="4599" spans="1:5">
      <c r="A4599" s="1541">
        <v>39418</v>
      </c>
      <c r="B4599" s="1542"/>
      <c r="C4599" s="1542"/>
      <c r="D4599" s="1542"/>
      <c r="E4599" s="1542"/>
    </row>
    <row r="4600" spans="1:5">
      <c r="A4600" s="1541">
        <v>39417</v>
      </c>
      <c r="B4600" s="1542"/>
      <c r="C4600" s="1542"/>
      <c r="D4600" s="1542"/>
      <c r="E4600" s="1542"/>
    </row>
    <row r="4601" spans="1:5">
      <c r="A4601" s="1541">
        <v>39416</v>
      </c>
      <c r="B4601" s="1542">
        <v>10156.58</v>
      </c>
      <c r="C4601" s="1542">
        <v>165.57</v>
      </c>
      <c r="D4601" s="1542">
        <v>4956.05</v>
      </c>
      <c r="E4601" s="1542">
        <v>2056.7199999999998</v>
      </c>
    </row>
    <row r="4602" spans="1:5">
      <c r="A4602" s="1541">
        <v>39415</v>
      </c>
      <c r="B4602" s="1542">
        <v>9991.73</v>
      </c>
      <c r="C4602" s="1542">
        <v>161.43</v>
      </c>
      <c r="D4602" s="1542">
        <v>4927.18</v>
      </c>
      <c r="E4602" s="1542">
        <v>2031.43</v>
      </c>
    </row>
    <row r="4603" spans="1:5">
      <c r="A4603" s="1541">
        <v>39414</v>
      </c>
      <c r="B4603" s="1542">
        <v>9789.73</v>
      </c>
      <c r="C4603" s="1542">
        <v>159.72999999999999</v>
      </c>
      <c r="D4603" s="1542">
        <v>4898.07</v>
      </c>
      <c r="E4603" s="1542">
        <v>1993.08</v>
      </c>
    </row>
    <row r="4604" spans="1:5">
      <c r="A4604" s="1541">
        <v>39413</v>
      </c>
      <c r="B4604" s="1542">
        <v>9907.42</v>
      </c>
      <c r="C4604" s="1542">
        <v>162.16999999999999</v>
      </c>
      <c r="D4604" s="1542">
        <v>4803.87</v>
      </c>
      <c r="E4604" s="1542">
        <v>1967.06</v>
      </c>
    </row>
    <row r="4605" spans="1:5">
      <c r="A4605" s="1541">
        <v>39412</v>
      </c>
      <c r="B4605" s="1542">
        <v>10087.9</v>
      </c>
      <c r="C4605" s="1542">
        <v>165.94</v>
      </c>
      <c r="D4605" s="1542">
        <v>4777.91</v>
      </c>
      <c r="E4605" s="1542">
        <v>1988.47</v>
      </c>
    </row>
    <row r="4606" spans="1:5">
      <c r="A4606" s="1541">
        <v>39411</v>
      </c>
      <c r="B4606" s="1542"/>
      <c r="C4606" s="1542"/>
      <c r="D4606" s="1542"/>
      <c r="E4606" s="1542"/>
    </row>
    <row r="4607" spans="1:5">
      <c r="A4607" s="1541">
        <v>39410</v>
      </c>
      <c r="B4607" s="1542"/>
      <c r="C4607" s="1542"/>
      <c r="D4607" s="1542"/>
      <c r="E4607" s="1542"/>
    </row>
    <row r="4608" spans="1:5">
      <c r="A4608" s="1541">
        <v>39409</v>
      </c>
      <c r="B4608" s="1542">
        <v>9867.7199999999993</v>
      </c>
      <c r="C4608" s="1542">
        <v>165.96</v>
      </c>
      <c r="D4608" s="1542">
        <v>4818.8599999999997</v>
      </c>
      <c r="E4608" s="1542">
        <v>1963.9</v>
      </c>
    </row>
    <row r="4609" spans="1:5">
      <c r="A4609" s="1541">
        <v>39408</v>
      </c>
      <c r="B4609" s="1542">
        <v>10053.64</v>
      </c>
      <c r="C4609" s="1542">
        <v>169.19</v>
      </c>
      <c r="D4609" s="1542">
        <v>4758.1099999999997</v>
      </c>
      <c r="E4609" s="1542">
        <v>1962.76</v>
      </c>
    </row>
    <row r="4610" spans="1:5">
      <c r="A4610" s="1541">
        <v>39407</v>
      </c>
      <c r="B4610" s="1542">
        <v>10035.44</v>
      </c>
      <c r="C4610" s="1542">
        <v>170.6</v>
      </c>
      <c r="D4610" s="1542">
        <v>4743.84</v>
      </c>
      <c r="E4610" s="1542">
        <v>1967.71</v>
      </c>
    </row>
    <row r="4611" spans="1:5">
      <c r="A4611" s="1541">
        <v>39406</v>
      </c>
      <c r="B4611" s="1542">
        <v>10268.16</v>
      </c>
      <c r="C4611" s="1542">
        <v>171.47</v>
      </c>
      <c r="D4611" s="1542">
        <v>4829.3599999999997</v>
      </c>
      <c r="E4611" s="1542">
        <v>2033.86</v>
      </c>
    </row>
    <row r="4612" spans="1:5">
      <c r="A4612" s="1541">
        <v>39405</v>
      </c>
      <c r="B4612" s="1542">
        <v>10267.99</v>
      </c>
      <c r="C4612" s="1542">
        <v>170.24</v>
      </c>
      <c r="D4612" s="1542">
        <v>4783.17</v>
      </c>
      <c r="E4612" s="1542">
        <v>2031.36</v>
      </c>
    </row>
    <row r="4613" spans="1:5">
      <c r="A4613" s="1541">
        <v>39404</v>
      </c>
      <c r="B4613" s="1542"/>
      <c r="C4613" s="1542"/>
      <c r="D4613" s="1542"/>
      <c r="E4613" s="1542"/>
    </row>
    <row r="4614" spans="1:5">
      <c r="A4614" s="1541">
        <v>39403</v>
      </c>
      <c r="B4614" s="1542"/>
      <c r="C4614" s="1542"/>
      <c r="D4614" s="1542"/>
      <c r="E4614" s="1542"/>
    </row>
    <row r="4615" spans="1:5">
      <c r="A4615" s="1541">
        <v>39402</v>
      </c>
      <c r="B4615" s="1542">
        <v>10367.469999999999</v>
      </c>
      <c r="C4615" s="1542">
        <v>170.09</v>
      </c>
      <c r="D4615" s="1542">
        <v>4860.6499999999996</v>
      </c>
      <c r="E4615" s="1542">
        <v>2062.3000000000002</v>
      </c>
    </row>
    <row r="4616" spans="1:5">
      <c r="A4616" s="1541">
        <v>39401</v>
      </c>
      <c r="B4616" s="1542">
        <v>10533.78</v>
      </c>
      <c r="C4616" s="1542">
        <v>169.85</v>
      </c>
      <c r="D4616" s="1542">
        <v>4872.26</v>
      </c>
      <c r="E4616" s="1542">
        <v>2093.64</v>
      </c>
    </row>
    <row r="4617" spans="1:5">
      <c r="A4617" s="1541">
        <v>39400</v>
      </c>
      <c r="B4617" s="1542">
        <v>10578.16</v>
      </c>
      <c r="C4617" s="1542">
        <v>170.59</v>
      </c>
      <c r="D4617" s="1542">
        <v>4941.95</v>
      </c>
      <c r="E4617" s="1542">
        <v>2118.59</v>
      </c>
    </row>
    <row r="4618" spans="1:5">
      <c r="A4618" s="1541">
        <v>39399</v>
      </c>
      <c r="B4618" s="1542">
        <v>10322.99</v>
      </c>
      <c r="C4618" s="1542">
        <v>166.87</v>
      </c>
      <c r="D4618" s="1542">
        <v>4922.1000000000004</v>
      </c>
      <c r="E4618" s="1542">
        <v>2053.16</v>
      </c>
    </row>
    <row r="4619" spans="1:5">
      <c r="A4619" s="1541">
        <v>39398</v>
      </c>
      <c r="B4619" s="1542">
        <v>10256.040000000001</v>
      </c>
      <c r="C4619" s="1542">
        <v>166.29</v>
      </c>
      <c r="D4619" s="1542">
        <v>4842.79</v>
      </c>
      <c r="E4619" s="1542">
        <v>2039.34</v>
      </c>
    </row>
    <row r="4620" spans="1:5">
      <c r="A4620" s="1541">
        <v>39397</v>
      </c>
      <c r="B4620" s="1542"/>
      <c r="C4620" s="1542"/>
      <c r="D4620" s="1542"/>
      <c r="E4620" s="1542"/>
    </row>
    <row r="4621" spans="1:5">
      <c r="A4621" s="1541">
        <v>39396</v>
      </c>
      <c r="B4621" s="1542"/>
      <c r="C4621" s="1542"/>
      <c r="D4621" s="1542"/>
      <c r="E4621" s="1542"/>
    </row>
    <row r="4622" spans="1:5">
      <c r="A4622" s="1541">
        <v>39395</v>
      </c>
      <c r="B4622" s="1542">
        <v>10611.26</v>
      </c>
      <c r="C4622" s="1542">
        <v>172.92</v>
      </c>
      <c r="D4622" s="1542">
        <v>4909.83</v>
      </c>
      <c r="E4622" s="1542">
        <v>2114.91</v>
      </c>
    </row>
    <row r="4623" spans="1:5">
      <c r="A4623" s="1541">
        <v>39394</v>
      </c>
      <c r="B4623" s="1542">
        <v>10571.83</v>
      </c>
      <c r="C4623" s="1542">
        <v>176.35</v>
      </c>
      <c r="D4623" s="1542">
        <v>4980.22</v>
      </c>
      <c r="E4623" s="1542">
        <v>2121.92</v>
      </c>
    </row>
    <row r="4624" spans="1:5">
      <c r="A4624" s="1541">
        <v>39393</v>
      </c>
      <c r="B4624" s="1542">
        <v>11000.78</v>
      </c>
      <c r="C4624" s="1542">
        <v>186.07</v>
      </c>
      <c r="D4624" s="1542">
        <v>5008.2</v>
      </c>
      <c r="E4624" s="1542">
        <v>2156.81</v>
      </c>
    </row>
    <row r="4625" spans="1:5">
      <c r="A4625" s="1541">
        <v>39392</v>
      </c>
      <c r="B4625" s="1542">
        <v>10992</v>
      </c>
      <c r="C4625" s="1542">
        <v>186.75</v>
      </c>
      <c r="D4625" s="1542">
        <v>5071.66</v>
      </c>
      <c r="E4625" s="1542">
        <v>2159.17</v>
      </c>
    </row>
    <row r="4626" spans="1:5">
      <c r="A4626" s="1541">
        <v>39391</v>
      </c>
      <c r="B4626" s="1542">
        <v>11010.69</v>
      </c>
      <c r="C4626" s="1542">
        <v>185.91</v>
      </c>
      <c r="D4626" s="1542">
        <v>5019.87</v>
      </c>
      <c r="E4626" s="1542">
        <v>2128.4699999999998</v>
      </c>
    </row>
    <row r="4627" spans="1:5">
      <c r="A4627" s="1541">
        <v>39390</v>
      </c>
      <c r="B4627" s="1542"/>
      <c r="C4627" s="1542"/>
      <c r="D4627" s="1542"/>
      <c r="E4627" s="1542"/>
    </row>
    <row r="4628" spans="1:5">
      <c r="A4628" s="1541">
        <v>39389</v>
      </c>
      <c r="B4628" s="1542"/>
      <c r="C4628" s="1542"/>
      <c r="D4628" s="1542"/>
      <c r="E4628" s="1542"/>
    </row>
    <row r="4629" spans="1:5">
      <c r="A4629" s="1541">
        <v>39388</v>
      </c>
      <c r="B4629" s="1542">
        <v>10968.69</v>
      </c>
      <c r="C4629" s="1542">
        <v>187.25</v>
      </c>
      <c r="D4629" s="1542">
        <v>5057.54</v>
      </c>
      <c r="E4629" s="1542">
        <v>2168.09</v>
      </c>
    </row>
    <row r="4630" spans="1:5">
      <c r="A4630" s="1541">
        <v>39387</v>
      </c>
      <c r="B4630" s="1542">
        <v>11353.28</v>
      </c>
      <c r="C4630" s="1542">
        <v>192.31</v>
      </c>
      <c r="D4630" s="1542">
        <v>5076.24</v>
      </c>
      <c r="E4630" s="1542">
        <v>2197.44</v>
      </c>
    </row>
    <row r="4631" spans="1:5">
      <c r="A4631" s="1541">
        <v>39386</v>
      </c>
      <c r="B4631" s="1542">
        <v>11487.1</v>
      </c>
      <c r="C4631" s="1542">
        <v>193.82</v>
      </c>
      <c r="D4631" s="1542">
        <v>5164.82</v>
      </c>
      <c r="E4631" s="1542">
        <v>2213.54</v>
      </c>
    </row>
    <row r="4632" spans="1:5">
      <c r="A4632" s="1541">
        <v>39385</v>
      </c>
      <c r="B4632" s="1542">
        <v>11542.18</v>
      </c>
      <c r="C4632" s="1542">
        <v>194.45</v>
      </c>
      <c r="D4632" s="1542">
        <v>5107.22</v>
      </c>
      <c r="E4632" s="1542">
        <v>2203.16</v>
      </c>
    </row>
    <row r="4633" spans="1:5">
      <c r="A4633" s="1541">
        <v>39384</v>
      </c>
      <c r="B4633" s="1542">
        <v>11603.63</v>
      </c>
      <c r="C4633" s="1542">
        <v>197.62</v>
      </c>
      <c r="D4633" s="1542">
        <v>5133.84</v>
      </c>
      <c r="E4633" s="1542">
        <v>2213.7600000000002</v>
      </c>
    </row>
    <row r="4634" spans="1:5">
      <c r="A4634" s="1541">
        <v>39383</v>
      </c>
      <c r="B4634" s="1542"/>
      <c r="C4634" s="1542"/>
      <c r="D4634" s="1542"/>
      <c r="E4634" s="1542"/>
    </row>
    <row r="4635" spans="1:5">
      <c r="A4635" s="1541">
        <v>39382</v>
      </c>
      <c r="B4635" s="1542"/>
      <c r="C4635" s="1542"/>
      <c r="D4635" s="1542"/>
      <c r="E4635" s="1542"/>
    </row>
    <row r="4636" spans="1:5">
      <c r="A4636" s="1541">
        <v>39381</v>
      </c>
      <c r="B4636" s="1542">
        <v>11392.65</v>
      </c>
      <c r="C4636" s="1542">
        <v>198.07</v>
      </c>
      <c r="D4636" s="1542">
        <v>5091.6000000000004</v>
      </c>
      <c r="E4636" s="1542">
        <v>2169.16</v>
      </c>
    </row>
    <row r="4637" spans="1:5">
      <c r="A4637" s="1541">
        <v>39380</v>
      </c>
      <c r="B4637" s="1542">
        <v>11317.84</v>
      </c>
      <c r="C4637" s="1542">
        <v>198.04</v>
      </c>
      <c r="D4637" s="1542">
        <v>5019.55</v>
      </c>
      <c r="E4637" s="1542">
        <v>2123.63</v>
      </c>
    </row>
    <row r="4638" spans="1:5">
      <c r="A4638" s="1541">
        <v>39379</v>
      </c>
      <c r="B4638" s="1542">
        <v>11168.93</v>
      </c>
      <c r="C4638" s="1542">
        <v>197.47</v>
      </c>
      <c r="D4638" s="1542">
        <v>4996.1099999999997</v>
      </c>
      <c r="E4638" s="1542">
        <v>2092.73</v>
      </c>
    </row>
    <row r="4639" spans="1:5">
      <c r="A4639" s="1541">
        <v>39378</v>
      </c>
      <c r="B4639" s="1542">
        <v>11239.63</v>
      </c>
      <c r="C4639" s="1542">
        <v>200.01</v>
      </c>
      <c r="D4639" s="1542">
        <v>5013.13</v>
      </c>
      <c r="E4639" s="1542">
        <v>2098.3000000000002</v>
      </c>
    </row>
    <row r="4640" spans="1:5">
      <c r="A4640" s="1541">
        <v>39377</v>
      </c>
      <c r="B4640" s="1542">
        <v>11071.95</v>
      </c>
      <c r="C4640" s="1542">
        <v>197.99</v>
      </c>
      <c r="D4640" s="1542">
        <v>4955.4799999999996</v>
      </c>
      <c r="E4640" s="1542">
        <v>2041.39</v>
      </c>
    </row>
    <row r="4641" spans="1:5">
      <c r="A4641" s="1541">
        <v>39376</v>
      </c>
      <c r="B4641" s="1542"/>
      <c r="C4641" s="1542"/>
      <c r="D4641" s="1542"/>
      <c r="E4641" s="1542"/>
    </row>
    <row r="4642" spans="1:5">
      <c r="A4642" s="1541">
        <v>39375</v>
      </c>
      <c r="B4642" s="1542"/>
      <c r="C4642" s="1542"/>
      <c r="D4642" s="1542"/>
      <c r="E4642" s="1542"/>
    </row>
    <row r="4643" spans="1:5">
      <c r="A4643" s="1541">
        <v>39374</v>
      </c>
      <c r="B4643" s="1542">
        <v>11368.95</v>
      </c>
      <c r="C4643" s="1542">
        <v>202.57</v>
      </c>
      <c r="D4643" s="1542">
        <v>4994.08</v>
      </c>
      <c r="E4643" s="1542">
        <v>2089.21</v>
      </c>
    </row>
    <row r="4644" spans="1:5">
      <c r="A4644" s="1541">
        <v>39373</v>
      </c>
      <c r="B4644" s="1542">
        <v>11398.93</v>
      </c>
      <c r="C4644" s="1542">
        <v>203.3</v>
      </c>
      <c r="D4644" s="1542">
        <v>5080.71</v>
      </c>
      <c r="E4644" s="1542">
        <v>2115.19</v>
      </c>
    </row>
    <row r="4645" spans="1:5">
      <c r="A4645" s="1541">
        <v>39372</v>
      </c>
      <c r="B4645" s="1542">
        <v>11310.33</v>
      </c>
      <c r="C4645" s="1542">
        <v>199.63</v>
      </c>
      <c r="D4645" s="1542">
        <v>5072.79</v>
      </c>
      <c r="E4645" s="1542">
        <v>2116.46</v>
      </c>
    </row>
    <row r="4646" spans="1:5">
      <c r="A4646" s="1541">
        <v>39371</v>
      </c>
      <c r="B4646" s="1542">
        <v>11346.06</v>
      </c>
      <c r="C4646" s="1542">
        <v>198.42</v>
      </c>
      <c r="D4646" s="1542">
        <v>5056.3500000000004</v>
      </c>
      <c r="E4646" s="1542">
        <v>2107.7600000000002</v>
      </c>
    </row>
    <row r="4647" spans="1:5">
      <c r="A4647" s="1541">
        <v>39370</v>
      </c>
      <c r="B4647" s="1542">
        <v>11258.51</v>
      </c>
      <c r="C4647" s="1542">
        <v>196.95</v>
      </c>
      <c r="D4647" s="1542">
        <v>5108.32</v>
      </c>
      <c r="E4647" s="1542">
        <v>2133.96</v>
      </c>
    </row>
    <row r="4648" spans="1:5">
      <c r="A4648" s="1541">
        <v>39369</v>
      </c>
      <c r="B4648" s="1542"/>
      <c r="C4648" s="1542"/>
      <c r="D4648" s="1542"/>
      <c r="E4648" s="1542"/>
    </row>
    <row r="4649" spans="1:5">
      <c r="A4649" s="1541">
        <v>39368</v>
      </c>
      <c r="B4649" s="1542"/>
      <c r="C4649" s="1542"/>
      <c r="D4649" s="1542"/>
      <c r="E4649" s="1542"/>
    </row>
    <row r="4650" spans="1:5">
      <c r="A4650" s="1541">
        <v>39367</v>
      </c>
      <c r="B4650" s="1542">
        <v>11232.23</v>
      </c>
      <c r="C4650" s="1542">
        <v>199.41</v>
      </c>
      <c r="D4650" s="1542">
        <v>5140.43</v>
      </c>
      <c r="E4650" s="1542">
        <v>2110.71</v>
      </c>
    </row>
    <row r="4651" spans="1:5">
      <c r="A4651" s="1541">
        <v>39366</v>
      </c>
      <c r="B4651" s="1542">
        <v>11470.21</v>
      </c>
      <c r="C4651" s="1542">
        <v>203.1</v>
      </c>
      <c r="D4651" s="1542">
        <v>5140.07</v>
      </c>
      <c r="E4651" s="1542">
        <v>2132.14</v>
      </c>
    </row>
    <row r="4652" spans="1:5">
      <c r="A4652" s="1541">
        <v>39365</v>
      </c>
      <c r="B4652" s="1542"/>
      <c r="C4652" s="1542"/>
      <c r="D4652" s="1542">
        <v>5124.8500000000004</v>
      </c>
      <c r="E4652" s="1542">
        <v>2102.3200000000002</v>
      </c>
    </row>
    <row r="4653" spans="1:5">
      <c r="A4653" s="1541">
        <v>39364</v>
      </c>
      <c r="B4653" s="1542">
        <v>11401.78</v>
      </c>
      <c r="C4653" s="1542">
        <v>203</v>
      </c>
      <c r="D4653" s="1542">
        <v>5115.2700000000004</v>
      </c>
      <c r="E4653" s="1542">
        <v>2084.1999999999998</v>
      </c>
    </row>
    <row r="4654" spans="1:5">
      <c r="A4654" s="1541">
        <v>39363</v>
      </c>
      <c r="B4654" s="1542">
        <v>11493.26</v>
      </c>
      <c r="C4654" s="1542">
        <v>204.97</v>
      </c>
      <c r="D4654" s="1542">
        <v>5077.8999999999996</v>
      </c>
      <c r="E4654" s="1542">
        <v>2067.11</v>
      </c>
    </row>
    <row r="4655" spans="1:5">
      <c r="A4655" s="1541">
        <v>39362</v>
      </c>
      <c r="B4655" s="1542"/>
      <c r="C4655" s="1542"/>
      <c r="D4655" s="1542"/>
      <c r="E4655" s="1542"/>
    </row>
    <row r="4656" spans="1:5">
      <c r="A4656" s="1541">
        <v>39361</v>
      </c>
      <c r="B4656" s="1542"/>
      <c r="C4656" s="1542"/>
      <c r="D4656" s="1542"/>
      <c r="E4656" s="1542"/>
    </row>
    <row r="4657" spans="1:5">
      <c r="A4657" s="1541">
        <v>39360</v>
      </c>
      <c r="B4657" s="1542">
        <v>11374.87</v>
      </c>
      <c r="C4657" s="1542">
        <v>207.56</v>
      </c>
      <c r="D4657" s="1542">
        <v>5104.18</v>
      </c>
      <c r="E4657" s="1542">
        <v>2059.5</v>
      </c>
    </row>
    <row r="4658" spans="1:5">
      <c r="A4658" s="1541">
        <v>39359</v>
      </c>
      <c r="B4658" s="1542">
        <v>11386.85</v>
      </c>
      <c r="C4658" s="1542">
        <v>209.06</v>
      </c>
      <c r="D4658" s="1542">
        <v>5057.1400000000003</v>
      </c>
      <c r="E4658" s="1542">
        <v>2026.48</v>
      </c>
    </row>
    <row r="4659" spans="1:5">
      <c r="A4659" s="1541">
        <v>39358</v>
      </c>
      <c r="B4659" s="1542">
        <v>11472.82</v>
      </c>
      <c r="C4659" s="1542">
        <v>208.63</v>
      </c>
      <c r="D4659" s="1542">
        <v>5054.58</v>
      </c>
      <c r="E4659" s="1542">
        <v>2044.16</v>
      </c>
    </row>
    <row r="4660" spans="1:5">
      <c r="A4660" s="1541">
        <v>39357</v>
      </c>
      <c r="B4660" s="1542">
        <v>11381.85</v>
      </c>
      <c r="C4660" s="1542">
        <v>208.53</v>
      </c>
      <c r="D4660" s="1542">
        <v>5061.59</v>
      </c>
      <c r="E4660" s="1542">
        <v>2056.41</v>
      </c>
    </row>
    <row r="4661" spans="1:5">
      <c r="A4661" s="1541">
        <v>39356</v>
      </c>
      <c r="B4661" s="1542">
        <v>11222.16</v>
      </c>
      <c r="C4661" s="1542">
        <v>207.84</v>
      </c>
      <c r="D4661" s="1542">
        <v>5057.79</v>
      </c>
      <c r="E4661" s="1542">
        <v>2013.08</v>
      </c>
    </row>
    <row r="4662" spans="1:5">
      <c r="A4662" s="1541">
        <v>39355</v>
      </c>
      <c r="B4662" s="1542"/>
      <c r="C4662" s="1542"/>
      <c r="D4662" s="1542"/>
      <c r="E4662" s="1542"/>
    </row>
    <row r="4663" spans="1:5">
      <c r="A4663" s="1541">
        <v>39354</v>
      </c>
      <c r="B4663" s="1542">
        <v>11208</v>
      </c>
      <c r="C4663" s="1542">
        <v>208.98</v>
      </c>
      <c r="D4663" s="1542"/>
      <c r="E4663" s="1542"/>
    </row>
    <row r="4664" spans="1:5">
      <c r="A4664" s="1541">
        <v>39353</v>
      </c>
      <c r="B4664" s="1542">
        <v>11131.63</v>
      </c>
      <c r="C4664" s="1542">
        <v>206.63</v>
      </c>
      <c r="D4664" s="1542">
        <v>5010.07</v>
      </c>
      <c r="E4664" s="1542">
        <v>1991.31</v>
      </c>
    </row>
    <row r="4665" spans="1:5">
      <c r="A4665" s="1541">
        <v>39352</v>
      </c>
      <c r="B4665" s="1542">
        <v>11133.24</v>
      </c>
      <c r="C4665" s="1542">
        <v>204.47</v>
      </c>
      <c r="D4665" s="1542">
        <v>5002.9799999999996</v>
      </c>
      <c r="E4665" s="1542">
        <v>1987.93</v>
      </c>
    </row>
    <row r="4666" spans="1:5">
      <c r="A4666" s="1541">
        <v>39351</v>
      </c>
      <c r="B4666" s="1542">
        <v>10948.52</v>
      </c>
      <c r="C4666" s="1542">
        <v>200.42</v>
      </c>
      <c r="D4666" s="1542">
        <v>4957.6899999999996</v>
      </c>
      <c r="E4666" s="1542">
        <v>1952.4</v>
      </c>
    </row>
    <row r="4667" spans="1:5">
      <c r="A4667" s="1541">
        <v>39350</v>
      </c>
      <c r="B4667" s="1542"/>
      <c r="C4667" s="1542"/>
      <c r="D4667" s="1542">
        <v>4936.1099999999997</v>
      </c>
      <c r="E4667" s="1542">
        <v>1933.48</v>
      </c>
    </row>
    <row r="4668" spans="1:5">
      <c r="A4668" s="1541">
        <v>39349</v>
      </c>
      <c r="B4668" s="1542"/>
      <c r="C4668" s="1542"/>
      <c r="D4668" s="1542">
        <v>4939.87</v>
      </c>
      <c r="E4668" s="1542">
        <v>1940.81</v>
      </c>
    </row>
    <row r="4669" spans="1:5">
      <c r="A4669" s="1541">
        <v>39348</v>
      </c>
      <c r="B4669" s="1542"/>
      <c r="C4669" s="1542"/>
      <c r="D4669" s="1542"/>
      <c r="E4669" s="1542"/>
    </row>
    <row r="4670" spans="1:5">
      <c r="A4670" s="1541">
        <v>39347</v>
      </c>
      <c r="B4670" s="1542"/>
      <c r="C4670" s="1542"/>
      <c r="D4670" s="1542"/>
      <c r="E4670" s="1542"/>
    </row>
    <row r="4671" spans="1:5">
      <c r="A4671" s="1541">
        <v>39346</v>
      </c>
      <c r="B4671" s="1542">
        <v>10768.53</v>
      </c>
      <c r="C4671" s="1542">
        <v>198</v>
      </c>
      <c r="D4671" s="1542">
        <v>4946.6499999999996</v>
      </c>
      <c r="E4671" s="1542">
        <v>1918.38</v>
      </c>
    </row>
    <row r="4672" spans="1:5">
      <c r="A4672" s="1541">
        <v>39345</v>
      </c>
      <c r="B4672" s="1542">
        <v>10621.84</v>
      </c>
      <c r="C4672" s="1542">
        <v>194.57</v>
      </c>
      <c r="D4672" s="1542">
        <v>4933.9399999999996</v>
      </c>
      <c r="E4672" s="1542">
        <v>1905.97</v>
      </c>
    </row>
    <row r="4673" spans="1:5">
      <c r="A4673" s="1541">
        <v>39344</v>
      </c>
      <c r="B4673" s="1542">
        <v>10554.4</v>
      </c>
      <c r="C4673" s="1542">
        <v>196.82</v>
      </c>
      <c r="D4673" s="1542">
        <v>4933.0600000000004</v>
      </c>
      <c r="E4673" s="1542">
        <v>1892.71</v>
      </c>
    </row>
    <row r="4674" spans="1:5">
      <c r="A4674" s="1541">
        <v>39343</v>
      </c>
      <c r="B4674" s="1542"/>
      <c r="C4674" s="1542"/>
      <c r="D4674" s="1542">
        <v>4839.93</v>
      </c>
      <c r="E4674" s="1542">
        <v>1830.52</v>
      </c>
    </row>
    <row r="4675" spans="1:5">
      <c r="A4675" s="1541">
        <v>39342</v>
      </c>
      <c r="B4675" s="1542">
        <v>10523.01</v>
      </c>
      <c r="C4675" s="1542">
        <v>202.67</v>
      </c>
      <c r="D4675" s="1542">
        <v>4761.95</v>
      </c>
      <c r="E4675" s="1542">
        <v>1815.01</v>
      </c>
    </row>
    <row r="4676" spans="1:5">
      <c r="A4676" s="1541">
        <v>39341</v>
      </c>
      <c r="B4676" s="1542"/>
      <c r="C4676" s="1542"/>
      <c r="D4676" s="1542"/>
      <c r="E4676" s="1542"/>
    </row>
    <row r="4677" spans="1:5">
      <c r="A4677" s="1541">
        <v>39340</v>
      </c>
      <c r="B4677" s="1542"/>
      <c r="C4677" s="1542"/>
      <c r="D4677" s="1542"/>
      <c r="E4677" s="1542"/>
    </row>
    <row r="4678" spans="1:5">
      <c r="A4678" s="1541">
        <v>39339</v>
      </c>
      <c r="B4678" s="1542">
        <v>10678.64</v>
      </c>
      <c r="C4678" s="1542">
        <v>205.93</v>
      </c>
      <c r="D4678" s="1542">
        <v>4799.7</v>
      </c>
      <c r="E4678" s="1542">
        <v>1829.57</v>
      </c>
    </row>
    <row r="4679" spans="1:5">
      <c r="A4679" s="1541">
        <v>39338</v>
      </c>
      <c r="B4679" s="1542">
        <v>10555.41</v>
      </c>
      <c r="C4679" s="1542">
        <v>205.99</v>
      </c>
      <c r="D4679" s="1542">
        <v>4806.91</v>
      </c>
      <c r="E4679" s="1542">
        <v>1819.02</v>
      </c>
    </row>
    <row r="4680" spans="1:5">
      <c r="A4680" s="1541">
        <v>39337</v>
      </c>
      <c r="B4680" s="1542">
        <v>10662.18</v>
      </c>
      <c r="C4680" s="1542">
        <v>208.09</v>
      </c>
      <c r="D4680" s="1542">
        <v>4777.9399999999996</v>
      </c>
      <c r="E4680" s="1542">
        <v>1799.8</v>
      </c>
    </row>
    <row r="4681" spans="1:5">
      <c r="A4681" s="1541">
        <v>39336</v>
      </c>
      <c r="B4681" s="1542">
        <v>10644.35</v>
      </c>
      <c r="C4681" s="1542">
        <v>207.42</v>
      </c>
      <c r="D4681" s="1542">
        <v>4764.32</v>
      </c>
      <c r="E4681" s="1542">
        <v>1796.64</v>
      </c>
    </row>
    <row r="4682" spans="1:5">
      <c r="A4682" s="1541">
        <v>39335</v>
      </c>
      <c r="B4682" s="1542">
        <v>10565.99</v>
      </c>
      <c r="C4682" s="1542">
        <v>206.11</v>
      </c>
      <c r="D4682" s="1542">
        <v>4697.8900000000003</v>
      </c>
      <c r="E4682" s="1542">
        <v>1775.95</v>
      </c>
    </row>
    <row r="4683" spans="1:5">
      <c r="A4683" s="1541">
        <v>39334</v>
      </c>
      <c r="B4683" s="1542"/>
      <c r="C4683" s="1542"/>
      <c r="D4683" s="1542"/>
      <c r="E4683" s="1542"/>
    </row>
    <row r="4684" spans="1:5">
      <c r="A4684" s="1541">
        <v>39333</v>
      </c>
      <c r="B4684" s="1542"/>
      <c r="C4684" s="1542"/>
      <c r="D4684" s="1542"/>
      <c r="E4684" s="1542"/>
    </row>
    <row r="4685" spans="1:5">
      <c r="A4685" s="1541">
        <v>39332</v>
      </c>
      <c r="B4685" s="1542">
        <v>10659.47</v>
      </c>
      <c r="C4685" s="1542">
        <v>207.23</v>
      </c>
      <c r="D4685" s="1542">
        <v>4724.8500000000004</v>
      </c>
      <c r="E4685" s="1542">
        <v>1797.02</v>
      </c>
    </row>
    <row r="4686" spans="1:5">
      <c r="A4686" s="1541">
        <v>39331</v>
      </c>
      <c r="B4686" s="1542">
        <v>10657.26</v>
      </c>
      <c r="C4686" s="1542">
        <v>205.42</v>
      </c>
      <c r="D4686" s="1542">
        <v>4787.97</v>
      </c>
      <c r="E4686" s="1542">
        <v>1806.41</v>
      </c>
    </row>
    <row r="4687" spans="1:5">
      <c r="A4687" s="1541">
        <v>39330</v>
      </c>
      <c r="B4687" s="1542">
        <v>10534.9</v>
      </c>
      <c r="C4687" s="1542">
        <v>204.15</v>
      </c>
      <c r="D4687" s="1542">
        <v>4765.28</v>
      </c>
      <c r="E4687" s="1542">
        <v>1791.66</v>
      </c>
    </row>
    <row r="4688" spans="1:5">
      <c r="A4688" s="1541">
        <v>39329</v>
      </c>
      <c r="B4688" s="1542">
        <v>10545.41</v>
      </c>
      <c r="C4688" s="1542">
        <v>204.64</v>
      </c>
      <c r="D4688" s="1542">
        <v>4815.92</v>
      </c>
      <c r="E4688" s="1542">
        <v>1800.79</v>
      </c>
    </row>
    <row r="4689" spans="1:5">
      <c r="A4689" s="1541">
        <v>39328</v>
      </c>
      <c r="B4689" s="1542">
        <v>10609.35</v>
      </c>
      <c r="C4689" s="1542">
        <v>206.65</v>
      </c>
      <c r="D4689" s="1542">
        <v>4784.42</v>
      </c>
      <c r="E4689" s="1542">
        <v>1801.85</v>
      </c>
    </row>
    <row r="4690" spans="1:5">
      <c r="A4690" s="1541">
        <v>39327</v>
      </c>
      <c r="B4690" s="1542"/>
      <c r="C4690" s="1542"/>
      <c r="D4690" s="1542"/>
      <c r="E4690" s="1542"/>
    </row>
    <row r="4691" spans="1:5">
      <c r="A4691" s="1541">
        <v>39326</v>
      </c>
      <c r="B4691" s="1542"/>
      <c r="C4691" s="1542"/>
      <c r="D4691" s="1542"/>
      <c r="E4691" s="1542"/>
    </row>
    <row r="4692" spans="1:5">
      <c r="A4692" s="1541">
        <v>39325</v>
      </c>
      <c r="B4692" s="1542">
        <v>10610.91</v>
      </c>
      <c r="C4692" s="1542">
        <v>207.24</v>
      </c>
      <c r="D4692" s="1542">
        <v>4781.07</v>
      </c>
      <c r="E4692" s="1542">
        <v>1793.13</v>
      </c>
    </row>
    <row r="4693" spans="1:5">
      <c r="A4693" s="1541">
        <v>39324</v>
      </c>
      <c r="B4693" s="1542">
        <v>10361.700000000001</v>
      </c>
      <c r="C4693" s="1542">
        <v>204.87</v>
      </c>
      <c r="D4693" s="1542">
        <v>4716.05</v>
      </c>
      <c r="E4693" s="1542">
        <v>1751.36</v>
      </c>
    </row>
    <row r="4694" spans="1:5">
      <c r="A4694" s="1541">
        <v>39323</v>
      </c>
      <c r="B4694" s="1542">
        <v>10208.93</v>
      </c>
      <c r="C4694" s="1542">
        <v>201.97</v>
      </c>
      <c r="D4694" s="1542">
        <v>4705.2299999999996</v>
      </c>
      <c r="E4694" s="1542">
        <v>1728.7</v>
      </c>
    </row>
    <row r="4695" spans="1:5">
      <c r="A4695" s="1541">
        <v>39322</v>
      </c>
      <c r="B4695" s="1542">
        <v>10308.17</v>
      </c>
      <c r="C4695" s="1542">
        <v>204.08</v>
      </c>
      <c r="D4695" s="1542">
        <v>4655.24</v>
      </c>
      <c r="E4695" s="1542">
        <v>1732.63</v>
      </c>
    </row>
    <row r="4696" spans="1:5">
      <c r="A4696" s="1541">
        <v>39321</v>
      </c>
      <c r="B4696" s="1542">
        <v>10296.280000000001</v>
      </c>
      <c r="C4696" s="1542">
        <v>203.87</v>
      </c>
      <c r="D4696" s="1542">
        <v>4739.49</v>
      </c>
      <c r="E4696" s="1542">
        <v>1747.44</v>
      </c>
    </row>
    <row r="4697" spans="1:5">
      <c r="A4697" s="1541">
        <v>39320</v>
      </c>
      <c r="B4697" s="1542"/>
      <c r="C4697" s="1542"/>
      <c r="D4697" s="1542"/>
      <c r="E4697" s="1542"/>
    </row>
    <row r="4698" spans="1:5">
      <c r="A4698" s="1541">
        <v>39319</v>
      </c>
      <c r="B4698" s="1542"/>
      <c r="C4698" s="1542"/>
      <c r="D4698" s="1542"/>
      <c r="E4698" s="1542"/>
    </row>
    <row r="4699" spans="1:5">
      <c r="A4699" s="1541">
        <v>39318</v>
      </c>
      <c r="B4699" s="1542">
        <v>10255.01</v>
      </c>
      <c r="C4699" s="1542">
        <v>203.59</v>
      </c>
      <c r="D4699" s="1542">
        <v>4752.04</v>
      </c>
      <c r="E4699" s="1542">
        <v>1714.82</v>
      </c>
    </row>
    <row r="4700" spans="1:5">
      <c r="A4700" s="1541">
        <v>39317</v>
      </c>
      <c r="B4700" s="1542">
        <v>10305.379999999999</v>
      </c>
      <c r="C4700" s="1542">
        <v>202.49</v>
      </c>
      <c r="D4700" s="1542">
        <v>4713.38</v>
      </c>
      <c r="E4700" s="1542">
        <v>1707.3</v>
      </c>
    </row>
    <row r="4701" spans="1:5">
      <c r="A4701" s="1541">
        <v>39316</v>
      </c>
      <c r="B4701" s="1542">
        <v>10017.56</v>
      </c>
      <c r="C4701" s="1542">
        <v>195.97</v>
      </c>
      <c r="D4701" s="1542">
        <v>4687.82</v>
      </c>
      <c r="E4701" s="1542">
        <v>1677.73</v>
      </c>
    </row>
    <row r="4702" spans="1:5">
      <c r="A4702" s="1541">
        <v>39315</v>
      </c>
      <c r="B4702" s="1542">
        <v>9999.32</v>
      </c>
      <c r="C4702" s="1542">
        <v>197.66</v>
      </c>
      <c r="D4702" s="1542">
        <v>4630.87</v>
      </c>
      <c r="E4702" s="1542">
        <v>1635.57</v>
      </c>
    </row>
    <row r="4703" spans="1:5">
      <c r="A4703" s="1541">
        <v>39314</v>
      </c>
      <c r="B4703" s="1542">
        <v>10039.73</v>
      </c>
      <c r="C4703" s="1542">
        <v>202.29</v>
      </c>
      <c r="D4703" s="1542">
        <v>4612.95</v>
      </c>
      <c r="E4703" s="1542">
        <v>1638.47</v>
      </c>
    </row>
    <row r="4704" spans="1:5">
      <c r="A4704" s="1541">
        <v>39313</v>
      </c>
      <c r="B4704" s="1542"/>
      <c r="C4704" s="1542"/>
      <c r="D4704" s="1542"/>
      <c r="E4704" s="1542"/>
    </row>
    <row r="4705" spans="1:5">
      <c r="A4705" s="1541">
        <v>39312</v>
      </c>
      <c r="B4705" s="1542"/>
      <c r="C4705" s="1542"/>
      <c r="D4705" s="1542"/>
      <c r="E4705" s="1542"/>
    </row>
    <row r="4706" spans="1:5">
      <c r="A4706" s="1541">
        <v>39311</v>
      </c>
      <c r="B4706" s="1542">
        <v>9534.77</v>
      </c>
      <c r="C4706" s="1542">
        <v>193.33</v>
      </c>
      <c r="D4706" s="1542">
        <v>4584.01</v>
      </c>
      <c r="E4706" s="1542">
        <v>1578.77</v>
      </c>
    </row>
    <row r="4707" spans="1:5">
      <c r="A4707" s="1541">
        <v>39310</v>
      </c>
      <c r="B4707" s="1542">
        <v>9663.0400000000009</v>
      </c>
      <c r="C4707" s="1542">
        <v>197.73</v>
      </c>
      <c r="D4707" s="1542">
        <v>4507.88</v>
      </c>
      <c r="E4707" s="1542">
        <v>1576.87</v>
      </c>
    </row>
    <row r="4708" spans="1:5">
      <c r="A4708" s="1541">
        <v>39309</v>
      </c>
      <c r="B4708" s="1542">
        <v>10119.26</v>
      </c>
      <c r="C4708" s="1542">
        <v>208.67</v>
      </c>
      <c r="D4708" s="1542">
        <v>4572.43</v>
      </c>
      <c r="E4708" s="1542">
        <v>1670.86</v>
      </c>
    </row>
    <row r="4709" spans="1:5">
      <c r="A4709" s="1541">
        <v>39308</v>
      </c>
      <c r="B4709" s="1542">
        <v>10491.77</v>
      </c>
      <c r="C4709" s="1542">
        <v>218.9</v>
      </c>
      <c r="D4709" s="1542">
        <v>4640.66</v>
      </c>
      <c r="E4709" s="1542">
        <v>1711.81</v>
      </c>
    </row>
    <row r="4710" spans="1:5">
      <c r="A4710" s="1541">
        <v>39307</v>
      </c>
      <c r="B4710" s="1542">
        <v>10511.62</v>
      </c>
      <c r="C4710" s="1542">
        <v>221.65</v>
      </c>
      <c r="D4710" s="1542">
        <v>4708.07</v>
      </c>
      <c r="E4710" s="1542">
        <v>1736.43</v>
      </c>
    </row>
    <row r="4711" spans="1:5">
      <c r="A4711" s="1541">
        <v>39306</v>
      </c>
      <c r="B4711" s="1542"/>
      <c r="C4711" s="1542"/>
      <c r="D4711" s="1542"/>
      <c r="E4711" s="1542"/>
    </row>
    <row r="4712" spans="1:5">
      <c r="A4712" s="1541">
        <v>39305</v>
      </c>
      <c r="B4712" s="1542"/>
      <c r="C4712" s="1542"/>
      <c r="D4712" s="1542"/>
      <c r="E4712" s="1542"/>
    </row>
    <row r="4713" spans="1:5">
      <c r="A4713" s="1541">
        <v>39304</v>
      </c>
      <c r="B4713" s="1542">
        <v>10501.58</v>
      </c>
      <c r="C4713" s="1542">
        <v>225.12</v>
      </c>
      <c r="D4713" s="1542">
        <v>4683.01</v>
      </c>
      <c r="E4713" s="1542">
        <v>1719</v>
      </c>
    </row>
    <row r="4714" spans="1:5">
      <c r="A4714" s="1541">
        <v>39303</v>
      </c>
      <c r="B4714" s="1542">
        <v>10791.39</v>
      </c>
      <c r="C4714" s="1542">
        <v>228.47</v>
      </c>
      <c r="D4714" s="1542">
        <v>4754.5200000000004</v>
      </c>
      <c r="E4714" s="1542">
        <v>1777.69</v>
      </c>
    </row>
    <row r="4715" spans="1:5">
      <c r="A4715" s="1541">
        <v>39302</v>
      </c>
      <c r="B4715" s="1542">
        <v>10685.63</v>
      </c>
      <c r="C4715" s="1542">
        <v>223.49</v>
      </c>
      <c r="D4715" s="1542">
        <v>4859.62</v>
      </c>
      <c r="E4715" s="1542">
        <v>1800.73</v>
      </c>
    </row>
    <row r="4716" spans="1:5">
      <c r="A4716" s="1541">
        <v>39301</v>
      </c>
      <c r="B4716" s="1542">
        <v>10401.06</v>
      </c>
      <c r="C4716" s="1542">
        <v>218.03</v>
      </c>
      <c r="D4716" s="1542">
        <v>4778.8500000000004</v>
      </c>
      <c r="E4716" s="1542">
        <v>1751.16</v>
      </c>
    </row>
    <row r="4717" spans="1:5">
      <c r="A4717" s="1541">
        <v>39300</v>
      </c>
      <c r="B4717" s="1542">
        <v>10492.07</v>
      </c>
      <c r="C4717" s="1542">
        <v>221.21</v>
      </c>
      <c r="D4717" s="1542">
        <v>4750.01</v>
      </c>
      <c r="E4717" s="1542">
        <v>1743.38</v>
      </c>
    </row>
    <row r="4718" spans="1:5">
      <c r="A4718" s="1541">
        <v>39299</v>
      </c>
      <c r="B4718" s="1542"/>
      <c r="C4718" s="1542"/>
      <c r="D4718" s="1542"/>
      <c r="E4718" s="1542"/>
    </row>
    <row r="4719" spans="1:5">
      <c r="A4719" s="1541">
        <v>39298</v>
      </c>
      <c r="B4719" s="1542"/>
      <c r="C4719" s="1542"/>
      <c r="D4719" s="1542"/>
      <c r="E4719" s="1542"/>
    </row>
    <row r="4720" spans="1:5">
      <c r="A4720" s="1541">
        <v>39297</v>
      </c>
      <c r="B4720" s="1542">
        <v>10627.94</v>
      </c>
      <c r="C4720" s="1542">
        <v>225.6</v>
      </c>
      <c r="D4720" s="1542">
        <v>4712.45</v>
      </c>
      <c r="E4720" s="1542">
        <v>1778.8</v>
      </c>
    </row>
    <row r="4721" spans="1:5">
      <c r="A4721" s="1541">
        <v>39296</v>
      </c>
      <c r="B4721" s="1542">
        <v>10501.24</v>
      </c>
      <c r="C4721" s="1542">
        <v>225.6</v>
      </c>
      <c r="D4721" s="1542">
        <v>4781.58</v>
      </c>
      <c r="E4721" s="1542">
        <v>1779.65</v>
      </c>
    </row>
    <row r="4722" spans="1:5">
      <c r="A4722" s="1541">
        <v>39295</v>
      </c>
      <c r="B4722" s="1542">
        <v>10414.620000000001</v>
      </c>
      <c r="C4722" s="1542">
        <v>230.47</v>
      </c>
      <c r="D4722" s="1542">
        <v>4754.93</v>
      </c>
      <c r="E4722" s="1542">
        <v>1768.84</v>
      </c>
    </row>
    <row r="4723" spans="1:5">
      <c r="A4723" s="1541">
        <v>39294</v>
      </c>
      <c r="B4723" s="1542">
        <v>10873.3</v>
      </c>
      <c r="C4723" s="1542">
        <v>234.62</v>
      </c>
      <c r="D4723" s="1542">
        <v>4782.62</v>
      </c>
      <c r="E4723" s="1542">
        <v>1831.45</v>
      </c>
    </row>
    <row r="4724" spans="1:5">
      <c r="A4724" s="1541">
        <v>39293</v>
      </c>
      <c r="B4724" s="1542">
        <v>10615.37</v>
      </c>
      <c r="C4724" s="1542">
        <v>230.22</v>
      </c>
      <c r="D4724" s="1542">
        <v>4777.4799999999996</v>
      </c>
      <c r="E4724" s="1542">
        <v>1801.35</v>
      </c>
    </row>
    <row r="4725" spans="1:5">
      <c r="A4725" s="1541">
        <v>39292</v>
      </c>
      <c r="B4725" s="1542"/>
      <c r="C4725" s="1542"/>
      <c r="D4725" s="1542"/>
      <c r="E4725" s="1542"/>
    </row>
    <row r="4726" spans="1:5">
      <c r="A4726" s="1541">
        <v>39291</v>
      </c>
      <c r="B4726" s="1542"/>
      <c r="C4726" s="1542"/>
      <c r="D4726" s="1542"/>
      <c r="E4726" s="1542"/>
    </row>
    <row r="4727" spans="1:5">
      <c r="A4727" s="1541">
        <v>39290</v>
      </c>
      <c r="B4727" s="1542">
        <v>10711.87</v>
      </c>
      <c r="C4727" s="1542">
        <v>233.03</v>
      </c>
      <c r="D4727" s="1542">
        <v>4750.9799999999996</v>
      </c>
      <c r="E4727" s="1542">
        <v>1785.87</v>
      </c>
    </row>
    <row r="4728" spans="1:5">
      <c r="A4728" s="1541">
        <v>39289</v>
      </c>
      <c r="B4728" s="1542">
        <v>11178.5</v>
      </c>
      <c r="C4728" s="1542">
        <v>237.56</v>
      </c>
      <c r="D4728" s="1542">
        <v>4822.68</v>
      </c>
      <c r="E4728" s="1542">
        <v>1845.01</v>
      </c>
    </row>
    <row r="4729" spans="1:5">
      <c r="A4729" s="1541">
        <v>39288</v>
      </c>
      <c r="B4729" s="1542">
        <v>11345.06</v>
      </c>
      <c r="C4729" s="1542">
        <v>242.13</v>
      </c>
      <c r="D4729" s="1542">
        <v>4931.51</v>
      </c>
      <c r="E4729" s="1542">
        <v>1887.22</v>
      </c>
    </row>
    <row r="4730" spans="1:5">
      <c r="A4730" s="1541">
        <v>39287</v>
      </c>
      <c r="B4730" s="1542">
        <v>11340.5</v>
      </c>
      <c r="C4730" s="1542">
        <v>237.09</v>
      </c>
      <c r="D4730" s="1542">
        <v>4955.54</v>
      </c>
      <c r="E4730" s="1542">
        <v>1901.92</v>
      </c>
    </row>
    <row r="4731" spans="1:5">
      <c r="A4731" s="1541">
        <v>39286</v>
      </c>
      <c r="B4731" s="1542">
        <v>11189.64</v>
      </c>
      <c r="C4731" s="1542">
        <v>235.4</v>
      </c>
      <c r="D4731" s="1542">
        <v>5026.1000000000004</v>
      </c>
      <c r="E4731" s="1542">
        <v>1912.23</v>
      </c>
    </row>
    <row r="4732" spans="1:5">
      <c r="A4732" s="1541">
        <v>39285</v>
      </c>
      <c r="B4732" s="1542"/>
      <c r="C4732" s="1542"/>
      <c r="D4732" s="1542"/>
      <c r="E4732" s="1542"/>
    </row>
    <row r="4733" spans="1:5">
      <c r="A4733" s="1541">
        <v>39284</v>
      </c>
      <c r="B4733" s="1542"/>
      <c r="C4733" s="1542"/>
      <c r="D4733" s="1542"/>
      <c r="E4733" s="1542"/>
    </row>
    <row r="4734" spans="1:5">
      <c r="A4734" s="1541">
        <v>39283</v>
      </c>
      <c r="B4734" s="1542">
        <v>11147.16</v>
      </c>
      <c r="C4734" s="1542">
        <v>230.53</v>
      </c>
      <c r="D4734" s="1542">
        <v>5014.9799999999996</v>
      </c>
      <c r="E4734" s="1542">
        <v>1891.91</v>
      </c>
    </row>
    <row r="4735" spans="1:5">
      <c r="A4735" s="1541">
        <v>39282</v>
      </c>
      <c r="B4735" s="1542">
        <v>11012.99</v>
      </c>
      <c r="C4735" s="1542">
        <v>225.95</v>
      </c>
      <c r="D4735" s="1542">
        <v>5053.6000000000004</v>
      </c>
      <c r="E4735" s="1542">
        <v>1880.44</v>
      </c>
    </row>
    <row r="4736" spans="1:5">
      <c r="A4736" s="1541">
        <v>39281</v>
      </c>
      <c r="B4736" s="1542">
        <v>11013.77</v>
      </c>
      <c r="C4736" s="1542">
        <v>224.37</v>
      </c>
      <c r="D4736" s="1542">
        <v>5019.99</v>
      </c>
      <c r="E4736" s="1542">
        <v>1860.63</v>
      </c>
    </row>
    <row r="4737" spans="1:5">
      <c r="A4737" s="1541">
        <v>39280</v>
      </c>
      <c r="B4737" s="1542">
        <v>11034.05</v>
      </c>
      <c r="C4737" s="1542">
        <v>223.69</v>
      </c>
      <c r="D4737" s="1542">
        <v>5043.8999999999996</v>
      </c>
      <c r="E4737" s="1542">
        <v>1873.37</v>
      </c>
    </row>
    <row r="4738" spans="1:5">
      <c r="A4738" s="1541">
        <v>39279</v>
      </c>
      <c r="B4738" s="1542">
        <v>10921.03</v>
      </c>
      <c r="C4738" s="1542">
        <v>220.79</v>
      </c>
      <c r="D4738" s="1542">
        <v>5050.58</v>
      </c>
      <c r="E4738" s="1542">
        <v>1873.45</v>
      </c>
    </row>
    <row r="4739" spans="1:5">
      <c r="A4739" s="1541">
        <v>39278</v>
      </c>
      <c r="B4739" s="1542"/>
      <c r="C4739" s="1542"/>
      <c r="D4739" s="1542"/>
      <c r="E4739" s="1542"/>
    </row>
    <row r="4740" spans="1:5">
      <c r="A4740" s="1541">
        <v>39277</v>
      </c>
      <c r="B4740" s="1542"/>
      <c r="C4740" s="1542"/>
      <c r="D4740" s="1542"/>
      <c r="E4740" s="1542"/>
    </row>
    <row r="4741" spans="1:5">
      <c r="A4741" s="1541">
        <v>39276</v>
      </c>
      <c r="B4741" s="1542">
        <v>10977.98</v>
      </c>
      <c r="C4741" s="1542">
        <v>222.8</v>
      </c>
      <c r="D4741" s="1542">
        <v>5052.8500000000004</v>
      </c>
      <c r="E4741" s="1542">
        <v>1882.77</v>
      </c>
    </row>
    <row r="4742" spans="1:5">
      <c r="A4742" s="1541">
        <v>39275</v>
      </c>
      <c r="B4742" s="1542">
        <v>10842.35</v>
      </c>
      <c r="C4742" s="1542">
        <v>223.84</v>
      </c>
      <c r="D4742" s="1542">
        <v>5026.57</v>
      </c>
      <c r="E4742" s="1542">
        <v>1856.55</v>
      </c>
    </row>
    <row r="4743" spans="1:5">
      <c r="A4743" s="1541">
        <v>39274</v>
      </c>
      <c r="B4743" s="1542">
        <v>10758.76</v>
      </c>
      <c r="C4743" s="1542">
        <v>221.83</v>
      </c>
      <c r="D4743" s="1542">
        <v>4962.0600000000004</v>
      </c>
      <c r="E4743" s="1542">
        <v>1829.45</v>
      </c>
    </row>
    <row r="4744" spans="1:5">
      <c r="A4744" s="1541">
        <v>39273</v>
      </c>
      <c r="B4744" s="1542">
        <v>10844.28</v>
      </c>
      <c r="C4744" s="1542">
        <v>221.81</v>
      </c>
      <c r="D4744" s="1542">
        <v>4954.9399999999996</v>
      </c>
      <c r="E4744" s="1542">
        <v>1833.07</v>
      </c>
    </row>
    <row r="4745" spans="1:5">
      <c r="A4745" s="1541">
        <v>39272</v>
      </c>
      <c r="B4745" s="1542">
        <v>10819.44</v>
      </c>
      <c r="C4745" s="1542">
        <v>219.55</v>
      </c>
      <c r="D4745" s="1542">
        <v>4994.08</v>
      </c>
      <c r="E4745" s="1542">
        <v>1837.77</v>
      </c>
    </row>
    <row r="4746" spans="1:5">
      <c r="A4746" s="1541">
        <v>39271</v>
      </c>
      <c r="B4746" s="1542"/>
      <c r="C4746" s="1542"/>
      <c r="D4746" s="1542"/>
      <c r="E4746" s="1542"/>
    </row>
    <row r="4747" spans="1:5">
      <c r="A4747" s="1541">
        <v>39270</v>
      </c>
      <c r="B4747" s="1542"/>
      <c r="C4747" s="1542"/>
      <c r="D4747" s="1542"/>
      <c r="E4747" s="1542"/>
    </row>
    <row r="4748" spans="1:5">
      <c r="A4748" s="1541">
        <v>39269</v>
      </c>
      <c r="B4748" s="1542">
        <v>10609.09</v>
      </c>
      <c r="C4748" s="1542">
        <v>214.79</v>
      </c>
      <c r="D4748" s="1542">
        <v>4980.58</v>
      </c>
      <c r="E4748" s="1542">
        <v>1815.84</v>
      </c>
    </row>
    <row r="4749" spans="1:5">
      <c r="A4749" s="1541">
        <v>39268</v>
      </c>
      <c r="B4749" s="1542">
        <v>10562.59</v>
      </c>
      <c r="C4749" s="1542">
        <v>212.46</v>
      </c>
      <c r="D4749" s="1542">
        <v>4957.97</v>
      </c>
      <c r="E4749" s="1542">
        <v>1801.57</v>
      </c>
    </row>
    <row r="4750" spans="1:5">
      <c r="A4750" s="1541">
        <v>39267</v>
      </c>
      <c r="B4750" s="1542">
        <v>10462.040000000001</v>
      </c>
      <c r="C4750" s="1542">
        <v>209.54</v>
      </c>
      <c r="D4750" s="1542">
        <v>4967.46</v>
      </c>
      <c r="E4750" s="1542">
        <v>1798.47</v>
      </c>
    </row>
    <row r="4751" spans="1:5">
      <c r="A4751" s="1541">
        <v>39266</v>
      </c>
      <c r="B4751" s="1542">
        <v>10376.969999999999</v>
      </c>
      <c r="C4751" s="1542">
        <v>209.28</v>
      </c>
      <c r="D4751" s="1542">
        <v>4958.0600000000004</v>
      </c>
      <c r="E4751" s="1542">
        <v>1787.62</v>
      </c>
    </row>
    <row r="4752" spans="1:5">
      <c r="A4752" s="1541">
        <v>39265</v>
      </c>
      <c r="B4752" s="1542">
        <v>10296.83</v>
      </c>
      <c r="C4752" s="1542">
        <v>206.86</v>
      </c>
      <c r="D4752" s="1542">
        <v>4934.6000000000004</v>
      </c>
      <c r="E4752" s="1542">
        <v>1760.87</v>
      </c>
    </row>
    <row r="4753" spans="1:5">
      <c r="A4753" s="1541">
        <v>39264</v>
      </c>
      <c r="B4753" s="1542"/>
      <c r="C4753" s="1542"/>
      <c r="D4753" s="1542"/>
      <c r="E4753" s="1542"/>
    </row>
    <row r="4754" spans="1:5">
      <c r="A4754" s="1541">
        <v>39263</v>
      </c>
      <c r="B4754" s="1542"/>
      <c r="C4754" s="1542"/>
      <c r="D4754" s="1542"/>
      <c r="E4754" s="1542"/>
    </row>
    <row r="4755" spans="1:5">
      <c r="A4755" s="1541">
        <v>39262</v>
      </c>
      <c r="B4755" s="1542">
        <v>10228.66</v>
      </c>
      <c r="C4755" s="1542">
        <v>205.28</v>
      </c>
      <c r="D4755" s="1542">
        <v>4889.92</v>
      </c>
      <c r="E4755" s="1542">
        <v>1738.81</v>
      </c>
    </row>
    <row r="4756" spans="1:5">
      <c r="A4756" s="1541">
        <v>39261</v>
      </c>
      <c r="B4756" s="1542">
        <v>10239.629999999999</v>
      </c>
      <c r="C4756" s="1542">
        <v>205.12</v>
      </c>
      <c r="D4756" s="1542">
        <v>4871.53</v>
      </c>
      <c r="E4756" s="1542">
        <v>1733.36</v>
      </c>
    </row>
    <row r="4757" spans="1:5">
      <c r="A4757" s="1541">
        <v>39260</v>
      </c>
      <c r="B4757" s="1542">
        <v>10183.42</v>
      </c>
      <c r="C4757" s="1542">
        <v>203.29</v>
      </c>
      <c r="D4757" s="1542">
        <v>4846.49</v>
      </c>
      <c r="E4757" s="1542">
        <v>1714.57</v>
      </c>
    </row>
    <row r="4758" spans="1:5">
      <c r="A4758" s="1541">
        <v>39259</v>
      </c>
      <c r="B4758" s="1542">
        <v>10194.98</v>
      </c>
      <c r="C4758" s="1542">
        <v>202.06</v>
      </c>
      <c r="D4758" s="1542">
        <v>4844.4799999999996</v>
      </c>
      <c r="E4758" s="1542">
        <v>1724.3</v>
      </c>
    </row>
    <row r="4759" spans="1:5">
      <c r="A4759" s="1541">
        <v>39258</v>
      </c>
      <c r="B4759" s="1542">
        <v>10279.43</v>
      </c>
      <c r="C4759" s="1542">
        <v>203.85</v>
      </c>
      <c r="D4759" s="1542">
        <v>4861.6000000000004</v>
      </c>
      <c r="E4759" s="1542">
        <v>1734.42</v>
      </c>
    </row>
    <row r="4760" spans="1:5">
      <c r="A4760" s="1541">
        <v>39257</v>
      </c>
      <c r="B4760" s="1542"/>
      <c r="C4760" s="1542"/>
      <c r="D4760" s="1542"/>
      <c r="E4760" s="1542"/>
    </row>
    <row r="4761" spans="1:5">
      <c r="A4761" s="1541">
        <v>39256</v>
      </c>
      <c r="B4761" s="1542">
        <v>10134.219999999999</v>
      </c>
      <c r="C4761" s="1542">
        <v>202.82</v>
      </c>
      <c r="D4761" s="1542"/>
      <c r="E4761" s="1542"/>
    </row>
    <row r="4762" spans="1:5">
      <c r="A4762" s="1541">
        <v>39255</v>
      </c>
      <c r="B4762" s="1542">
        <v>10172.700000000001</v>
      </c>
      <c r="C4762" s="1542">
        <v>200.5</v>
      </c>
      <c r="D4762" s="1542">
        <v>4875.3900000000003</v>
      </c>
      <c r="E4762" s="1542">
        <v>1745.63</v>
      </c>
    </row>
    <row r="4763" spans="1:5">
      <c r="A4763" s="1541">
        <v>39254</v>
      </c>
      <c r="B4763" s="1542">
        <v>10178.959999999999</v>
      </c>
      <c r="C4763" s="1542">
        <v>196.59</v>
      </c>
      <c r="D4763" s="1542">
        <v>4912.68</v>
      </c>
      <c r="E4763" s="1542">
        <v>1749.84</v>
      </c>
    </row>
    <row r="4764" spans="1:5">
      <c r="A4764" s="1541">
        <v>39253</v>
      </c>
      <c r="B4764" s="1542">
        <v>10068.450000000001</v>
      </c>
      <c r="C4764" s="1542">
        <v>195.17</v>
      </c>
      <c r="D4764" s="1542">
        <v>4914.7299999999996</v>
      </c>
      <c r="E4764" s="1542">
        <v>1744.96</v>
      </c>
    </row>
    <row r="4765" spans="1:5">
      <c r="A4765" s="1541">
        <v>39252</v>
      </c>
      <c r="B4765" s="1542"/>
      <c r="C4765" s="1542"/>
      <c r="D4765" s="1542">
        <v>4940.83</v>
      </c>
      <c r="E4765" s="1542">
        <v>1740.68</v>
      </c>
    </row>
    <row r="4766" spans="1:5">
      <c r="A4766" s="1541">
        <v>39251</v>
      </c>
      <c r="B4766" s="1542"/>
      <c r="C4766" s="1542"/>
      <c r="D4766" s="1542">
        <v>4939.4399999999996</v>
      </c>
      <c r="E4766" s="1542">
        <v>1740.6</v>
      </c>
    </row>
    <row r="4767" spans="1:5">
      <c r="A4767" s="1541">
        <v>39250</v>
      </c>
      <c r="B4767" s="1542"/>
      <c r="C4767" s="1542"/>
      <c r="D4767" s="1542"/>
      <c r="E4767" s="1542"/>
    </row>
    <row r="4768" spans="1:5">
      <c r="A4768" s="1541">
        <v>39249</v>
      </c>
      <c r="B4768" s="1542"/>
      <c r="C4768" s="1542"/>
      <c r="D4768" s="1542"/>
      <c r="E4768" s="1542"/>
    </row>
    <row r="4769" spans="1:5">
      <c r="A4769" s="1541">
        <v>39248</v>
      </c>
      <c r="B4769" s="1542">
        <v>9839.8799999999992</v>
      </c>
      <c r="C4769" s="1542">
        <v>196.52</v>
      </c>
      <c r="D4769" s="1542">
        <v>4938.1499999999996</v>
      </c>
      <c r="E4769" s="1542">
        <v>1720.14</v>
      </c>
    </row>
    <row r="4770" spans="1:5">
      <c r="A4770" s="1541">
        <v>39247</v>
      </c>
      <c r="B4770" s="1542">
        <v>9698.44</v>
      </c>
      <c r="C4770" s="1542">
        <v>195.43</v>
      </c>
      <c r="D4770" s="1542">
        <v>4888.95</v>
      </c>
      <c r="E4770" s="1542">
        <v>1698.87</v>
      </c>
    </row>
    <row r="4771" spans="1:5">
      <c r="A4771" s="1541">
        <v>39246</v>
      </c>
      <c r="B4771" s="1542">
        <v>9578.7000000000007</v>
      </c>
      <c r="C4771" s="1542">
        <v>194.61</v>
      </c>
      <c r="D4771" s="1542">
        <v>4847.26</v>
      </c>
      <c r="E4771" s="1542">
        <v>1664</v>
      </c>
    </row>
    <row r="4772" spans="1:5">
      <c r="A4772" s="1541">
        <v>39245</v>
      </c>
      <c r="B4772" s="1542">
        <v>9606.1</v>
      </c>
      <c r="C4772" s="1542">
        <v>194.91</v>
      </c>
      <c r="D4772" s="1542">
        <v>4811.74</v>
      </c>
      <c r="E4772" s="1542">
        <v>1662.08</v>
      </c>
    </row>
    <row r="4773" spans="1:5">
      <c r="A4773" s="1541">
        <v>39244</v>
      </c>
      <c r="B4773" s="1542">
        <v>9570.09</v>
      </c>
      <c r="C4773" s="1542">
        <v>193.2</v>
      </c>
      <c r="D4773" s="1542">
        <v>4852.13</v>
      </c>
      <c r="E4773" s="1542">
        <v>1662.18</v>
      </c>
    </row>
    <row r="4774" spans="1:5">
      <c r="A4774" s="1541">
        <v>39243</v>
      </c>
      <c r="B4774" s="1542"/>
      <c r="C4774" s="1542"/>
      <c r="D4774" s="1542"/>
      <c r="E4774" s="1542"/>
    </row>
    <row r="4775" spans="1:5">
      <c r="A4775" s="1541">
        <v>39242</v>
      </c>
      <c r="B4775" s="1542"/>
      <c r="C4775" s="1542"/>
      <c r="D4775" s="1542"/>
      <c r="E4775" s="1542"/>
    </row>
    <row r="4776" spans="1:5">
      <c r="A4776" s="1541">
        <v>39241</v>
      </c>
      <c r="B4776" s="1542">
        <v>9526.19</v>
      </c>
      <c r="C4776" s="1542">
        <v>191.14</v>
      </c>
      <c r="D4776" s="1542">
        <v>4835.55</v>
      </c>
      <c r="E4776" s="1542">
        <v>1649.99</v>
      </c>
    </row>
    <row r="4777" spans="1:5">
      <c r="A4777" s="1541">
        <v>39240</v>
      </c>
      <c r="B4777" s="1542">
        <v>9552.7999999999993</v>
      </c>
      <c r="C4777" s="1542">
        <v>190.28</v>
      </c>
      <c r="D4777" s="1542">
        <v>4831.96</v>
      </c>
      <c r="E4777" s="1542">
        <v>1669.73</v>
      </c>
    </row>
    <row r="4778" spans="1:5">
      <c r="A4778" s="1541">
        <v>39239</v>
      </c>
      <c r="B4778" s="1542">
        <v>9506.41</v>
      </c>
      <c r="C4778" s="1542">
        <v>189.11</v>
      </c>
      <c r="D4778" s="1542">
        <v>4901.01</v>
      </c>
      <c r="E4778" s="1542">
        <v>1676.48</v>
      </c>
    </row>
    <row r="4779" spans="1:5">
      <c r="A4779" s="1541">
        <v>39238</v>
      </c>
      <c r="B4779" s="1542">
        <v>9494.18</v>
      </c>
      <c r="C4779" s="1542">
        <v>190.27</v>
      </c>
      <c r="D4779" s="1542">
        <v>4950.4799999999996</v>
      </c>
      <c r="E4779" s="1542">
        <v>1695.27</v>
      </c>
    </row>
    <row r="4780" spans="1:5">
      <c r="A4780" s="1541">
        <v>39237</v>
      </c>
      <c r="B4780" s="1542">
        <v>9483.66</v>
      </c>
      <c r="C4780" s="1542">
        <v>189.63</v>
      </c>
      <c r="D4780" s="1542">
        <v>4966.99</v>
      </c>
      <c r="E4780" s="1542">
        <v>1693.43</v>
      </c>
    </row>
    <row r="4781" spans="1:5">
      <c r="A4781" s="1541">
        <v>39236</v>
      </c>
      <c r="B4781" s="1542"/>
      <c r="C4781" s="1542"/>
      <c r="D4781" s="1542"/>
      <c r="E4781" s="1542"/>
    </row>
    <row r="4782" spans="1:5">
      <c r="A4782" s="1541">
        <v>39235</v>
      </c>
      <c r="B4782" s="1542"/>
      <c r="C4782" s="1542"/>
      <c r="D4782" s="1542"/>
      <c r="E4782" s="1542"/>
    </row>
    <row r="4783" spans="1:5">
      <c r="A4783" s="1541">
        <v>39234</v>
      </c>
      <c r="B4783" s="1542">
        <v>9432.33</v>
      </c>
      <c r="C4783" s="1542">
        <v>187.72</v>
      </c>
      <c r="D4783" s="1542">
        <v>4952.05</v>
      </c>
      <c r="E4783" s="1542">
        <v>1688.48</v>
      </c>
    </row>
    <row r="4784" spans="1:5">
      <c r="A4784" s="1541">
        <v>39233</v>
      </c>
      <c r="B4784" s="1542">
        <v>9312.34</v>
      </c>
      <c r="C4784" s="1542">
        <v>186.52</v>
      </c>
      <c r="D4784" s="1542">
        <v>4926.1899999999996</v>
      </c>
      <c r="E4784" s="1542">
        <v>1660.28</v>
      </c>
    </row>
    <row r="4785" spans="1:5">
      <c r="A4785" s="1541">
        <v>39232</v>
      </c>
      <c r="B4785" s="1542">
        <v>9315.08</v>
      </c>
      <c r="C4785" s="1542">
        <v>183.24</v>
      </c>
      <c r="D4785" s="1542">
        <v>4900.8599999999997</v>
      </c>
      <c r="E4785" s="1542">
        <v>1634.59</v>
      </c>
    </row>
    <row r="4786" spans="1:5">
      <c r="A4786" s="1541">
        <v>39231</v>
      </c>
      <c r="B4786" s="1542">
        <v>9354.1200000000008</v>
      </c>
      <c r="C4786" s="1542">
        <v>183.52</v>
      </c>
      <c r="D4786" s="1542">
        <v>4890.99</v>
      </c>
      <c r="E4786" s="1542">
        <v>1645.69</v>
      </c>
    </row>
    <row r="4787" spans="1:5">
      <c r="A4787" s="1541">
        <v>39230</v>
      </c>
      <c r="B4787" s="1542">
        <v>9325.92</v>
      </c>
      <c r="C4787" s="1542">
        <v>183.63</v>
      </c>
      <c r="D4787" s="1542">
        <v>4876.6499999999996</v>
      </c>
      <c r="E4787" s="1542">
        <v>1648.63</v>
      </c>
    </row>
    <row r="4788" spans="1:5">
      <c r="A4788" s="1541">
        <v>39229</v>
      </c>
      <c r="B4788" s="1542"/>
      <c r="C4788" s="1542"/>
      <c r="D4788" s="1542"/>
      <c r="E4788" s="1542"/>
    </row>
    <row r="4789" spans="1:5">
      <c r="A4789" s="1541">
        <v>39228</v>
      </c>
      <c r="B4789" s="1542"/>
      <c r="C4789" s="1542"/>
      <c r="D4789" s="1542"/>
      <c r="E4789" s="1542"/>
    </row>
    <row r="4790" spans="1:5">
      <c r="A4790" s="1541">
        <v>39227</v>
      </c>
      <c r="B4790" s="1542">
        <v>9329.52</v>
      </c>
      <c r="C4790" s="1542">
        <v>183.82</v>
      </c>
      <c r="D4790" s="1542">
        <v>4871.12</v>
      </c>
      <c r="E4790" s="1542">
        <v>1643.17</v>
      </c>
    </row>
    <row r="4791" spans="1:5">
      <c r="A4791" s="1541">
        <v>39226</v>
      </c>
      <c r="B4791" s="1542">
        <v>9394.0499999999993</v>
      </c>
      <c r="C4791" s="1542">
        <v>182.7</v>
      </c>
      <c r="D4791" s="1542">
        <v>4862.8</v>
      </c>
      <c r="E4791" s="1542">
        <v>1640.74</v>
      </c>
    </row>
    <row r="4792" spans="1:5">
      <c r="A4792" s="1541">
        <v>39225</v>
      </c>
      <c r="B4792" s="1542">
        <v>9400.2000000000007</v>
      </c>
      <c r="C4792" s="1542">
        <v>181.51</v>
      </c>
      <c r="D4792" s="1542">
        <v>4909.33</v>
      </c>
      <c r="E4792" s="1542">
        <v>1661.27</v>
      </c>
    </row>
    <row r="4793" spans="1:5">
      <c r="A4793" s="1541">
        <v>39224</v>
      </c>
      <c r="B4793" s="1542">
        <v>9362.2800000000007</v>
      </c>
      <c r="C4793" s="1542">
        <v>180.32</v>
      </c>
      <c r="D4793" s="1542">
        <v>4892.2299999999996</v>
      </c>
      <c r="E4793" s="1542">
        <v>1663.29</v>
      </c>
    </row>
    <row r="4794" spans="1:5">
      <c r="A4794" s="1541">
        <v>39223</v>
      </c>
      <c r="B4794" s="1542">
        <v>9308.0400000000009</v>
      </c>
      <c r="C4794" s="1542">
        <v>178.93</v>
      </c>
      <c r="D4794" s="1542">
        <v>4887</v>
      </c>
      <c r="E4794" s="1542">
        <v>1657.64</v>
      </c>
    </row>
    <row r="4795" spans="1:5">
      <c r="A4795" s="1541">
        <v>39222</v>
      </c>
      <c r="B4795" s="1542"/>
      <c r="C4795" s="1542"/>
      <c r="D4795" s="1542"/>
      <c r="E4795" s="1542"/>
    </row>
    <row r="4796" spans="1:5">
      <c r="A4796" s="1541">
        <v>39221</v>
      </c>
      <c r="B4796" s="1542"/>
      <c r="C4796" s="1542"/>
      <c r="D4796" s="1542"/>
      <c r="E4796" s="1542"/>
    </row>
    <row r="4797" spans="1:5">
      <c r="A4797" s="1541">
        <v>39220</v>
      </c>
      <c r="B4797" s="1542">
        <v>9185.19</v>
      </c>
      <c r="C4797" s="1542">
        <v>178.33</v>
      </c>
      <c r="D4797" s="1542">
        <v>4881.67</v>
      </c>
      <c r="E4797" s="1542">
        <v>1643.9</v>
      </c>
    </row>
    <row r="4798" spans="1:5">
      <c r="A4798" s="1541">
        <v>39219</v>
      </c>
      <c r="B4798" s="1542">
        <v>9189.35</v>
      </c>
      <c r="C4798" s="1542">
        <v>178.45</v>
      </c>
      <c r="D4798" s="1542">
        <v>4853.12</v>
      </c>
      <c r="E4798" s="1542">
        <v>1639.49</v>
      </c>
    </row>
    <row r="4799" spans="1:5">
      <c r="A4799" s="1541">
        <v>39218</v>
      </c>
      <c r="B4799" s="1542">
        <v>9132.89</v>
      </c>
      <c r="C4799" s="1542">
        <v>178.13</v>
      </c>
      <c r="D4799" s="1542">
        <v>4860.7299999999996</v>
      </c>
      <c r="E4799" s="1542">
        <v>1640.54</v>
      </c>
    </row>
    <row r="4800" spans="1:5">
      <c r="A4800" s="1541">
        <v>39217</v>
      </c>
      <c r="B4800" s="1542">
        <v>9117.41</v>
      </c>
      <c r="C4800" s="1542">
        <v>177.76</v>
      </c>
      <c r="D4800" s="1542">
        <v>4847.68</v>
      </c>
      <c r="E4800" s="1542">
        <v>1621.73</v>
      </c>
    </row>
    <row r="4801" spans="1:5">
      <c r="A4801" s="1541">
        <v>39216</v>
      </c>
      <c r="B4801" s="1542">
        <v>9180.9</v>
      </c>
      <c r="C4801" s="1542">
        <v>179.15</v>
      </c>
      <c r="D4801" s="1542">
        <v>4843.2</v>
      </c>
      <c r="E4801" s="1542">
        <v>1630.11</v>
      </c>
    </row>
    <row r="4802" spans="1:5">
      <c r="A4802" s="1541">
        <v>39215</v>
      </c>
      <c r="B4802" s="1542"/>
      <c r="C4802" s="1542"/>
      <c r="D4802" s="1542"/>
      <c r="E4802" s="1542"/>
    </row>
    <row r="4803" spans="1:5">
      <c r="A4803" s="1541">
        <v>39214</v>
      </c>
      <c r="B4803" s="1542"/>
      <c r="C4803" s="1542"/>
      <c r="D4803" s="1542"/>
      <c r="E4803" s="1542"/>
    </row>
    <row r="4804" spans="1:5">
      <c r="A4804" s="1541">
        <v>39213</v>
      </c>
      <c r="B4804" s="1542">
        <v>9182.01</v>
      </c>
      <c r="C4804" s="1542">
        <v>179.67</v>
      </c>
      <c r="D4804" s="1542">
        <v>4844.6099999999997</v>
      </c>
      <c r="E4804" s="1542">
        <v>1617.87</v>
      </c>
    </row>
    <row r="4805" spans="1:5">
      <c r="A4805" s="1541">
        <v>39212</v>
      </c>
      <c r="B4805" s="1542">
        <v>9256.69</v>
      </c>
      <c r="C4805" s="1542">
        <v>179.67</v>
      </c>
      <c r="D4805" s="1542">
        <v>4815.6400000000003</v>
      </c>
      <c r="E4805" s="1542">
        <v>1622.83</v>
      </c>
    </row>
    <row r="4806" spans="1:5">
      <c r="A4806" s="1541">
        <v>39211</v>
      </c>
      <c r="B4806" s="1542">
        <v>9206.2000000000007</v>
      </c>
      <c r="C4806" s="1542">
        <v>178.23</v>
      </c>
      <c r="D4806" s="1542">
        <v>4869.1899999999996</v>
      </c>
      <c r="E4806" s="1542">
        <v>1629.48</v>
      </c>
    </row>
    <row r="4807" spans="1:5">
      <c r="A4807" s="1541">
        <v>39210</v>
      </c>
      <c r="B4807" s="1542">
        <v>9255.5300000000007</v>
      </c>
      <c r="C4807" s="1542">
        <v>179.22</v>
      </c>
      <c r="D4807" s="1542">
        <v>4848.07</v>
      </c>
      <c r="E4807" s="1542">
        <v>1620.25</v>
      </c>
    </row>
    <row r="4808" spans="1:5">
      <c r="A4808" s="1541">
        <v>39209</v>
      </c>
      <c r="B4808" s="1542">
        <v>9277.74</v>
      </c>
      <c r="C4808" s="1542">
        <v>179.15</v>
      </c>
      <c r="D4808" s="1542">
        <v>4875.88</v>
      </c>
      <c r="E4808" s="1542">
        <v>1630.18</v>
      </c>
    </row>
    <row r="4809" spans="1:5">
      <c r="A4809" s="1541">
        <v>39208</v>
      </c>
      <c r="B4809" s="1542"/>
      <c r="C4809" s="1542"/>
      <c r="D4809" s="1542"/>
      <c r="E4809" s="1542"/>
    </row>
    <row r="4810" spans="1:5">
      <c r="A4810" s="1541">
        <v>39207</v>
      </c>
      <c r="B4810" s="1542"/>
      <c r="C4810" s="1542"/>
      <c r="D4810" s="1542"/>
      <c r="E4810" s="1542"/>
    </row>
    <row r="4811" spans="1:5">
      <c r="A4811" s="1541">
        <v>39206</v>
      </c>
      <c r="B4811" s="1542">
        <v>9221.48</v>
      </c>
      <c r="C4811" s="1542">
        <v>177.37</v>
      </c>
      <c r="D4811" s="1542">
        <v>4851.26</v>
      </c>
      <c r="E4811" s="1542">
        <v>1623.12</v>
      </c>
    </row>
    <row r="4812" spans="1:5">
      <c r="A4812" s="1541">
        <v>39205</v>
      </c>
      <c r="B4812" s="1542">
        <v>9062.11</v>
      </c>
      <c r="C4812" s="1542">
        <v>174.42</v>
      </c>
      <c r="D4812" s="1542">
        <v>4826.41</v>
      </c>
      <c r="E4812" s="1542">
        <v>1608.71</v>
      </c>
    </row>
    <row r="4813" spans="1:5">
      <c r="A4813" s="1541">
        <v>39204</v>
      </c>
      <c r="B4813" s="1542">
        <v>9035.11</v>
      </c>
      <c r="C4813" s="1542">
        <v>176.32</v>
      </c>
      <c r="D4813" s="1542">
        <v>4812.8100000000004</v>
      </c>
      <c r="E4813" s="1542">
        <v>1589.92</v>
      </c>
    </row>
    <row r="4814" spans="1:5">
      <c r="A4814" s="1541">
        <v>39203</v>
      </c>
      <c r="B4814" s="1542"/>
      <c r="C4814" s="1542"/>
      <c r="D4814" s="1542">
        <v>4781.49</v>
      </c>
      <c r="E4814" s="1542">
        <v>1581.69</v>
      </c>
    </row>
    <row r="4815" spans="1:5">
      <c r="A4815" s="1541">
        <v>39202</v>
      </c>
      <c r="B4815" s="1542">
        <v>9003.5300000000007</v>
      </c>
      <c r="C4815" s="1542">
        <v>177.32</v>
      </c>
      <c r="D4815" s="1542">
        <v>4787.38</v>
      </c>
      <c r="E4815" s="1542">
        <v>1582.97</v>
      </c>
    </row>
    <row r="4816" spans="1:5">
      <c r="A4816" s="1541">
        <v>39201</v>
      </c>
      <c r="B4816" s="1542"/>
      <c r="C4816" s="1542"/>
      <c r="D4816" s="1542"/>
      <c r="E4816" s="1542"/>
    </row>
    <row r="4817" spans="1:5">
      <c r="A4817" s="1541">
        <v>39200</v>
      </c>
      <c r="B4817" s="1542"/>
      <c r="C4817" s="1542"/>
      <c r="D4817" s="1542"/>
      <c r="E4817" s="1542"/>
    </row>
    <row r="4818" spans="1:5">
      <c r="A4818" s="1541">
        <v>39199</v>
      </c>
      <c r="B4818" s="1542">
        <v>9088.1299999999992</v>
      </c>
      <c r="C4818" s="1542">
        <v>180.62</v>
      </c>
      <c r="D4818" s="1542">
        <v>4805.45</v>
      </c>
      <c r="E4818" s="1542">
        <v>1590.65</v>
      </c>
    </row>
    <row r="4819" spans="1:5">
      <c r="A4819" s="1541">
        <v>39198</v>
      </c>
      <c r="B4819" s="1542">
        <v>9146</v>
      </c>
      <c r="C4819" s="1542">
        <v>181.68</v>
      </c>
      <c r="D4819" s="1542">
        <v>4809.43</v>
      </c>
      <c r="E4819" s="1542">
        <v>1603.04</v>
      </c>
    </row>
    <row r="4820" spans="1:5">
      <c r="A4820" s="1541">
        <v>39197</v>
      </c>
      <c r="B4820" s="1542">
        <v>9128.41</v>
      </c>
      <c r="C4820" s="1542">
        <v>181.5</v>
      </c>
      <c r="D4820" s="1542">
        <v>4814.42</v>
      </c>
      <c r="E4820" s="1542">
        <v>1601.6</v>
      </c>
    </row>
    <row r="4821" spans="1:5">
      <c r="A4821" s="1541">
        <v>39196</v>
      </c>
      <c r="B4821" s="1542">
        <v>9197.41</v>
      </c>
      <c r="C4821" s="1542">
        <v>181.96</v>
      </c>
      <c r="D4821" s="1542">
        <v>4778.7700000000004</v>
      </c>
      <c r="E4821" s="1542">
        <v>1597.36</v>
      </c>
    </row>
    <row r="4822" spans="1:5">
      <c r="A4822" s="1541">
        <v>39195</v>
      </c>
      <c r="B4822" s="1542">
        <v>9157.91</v>
      </c>
      <c r="C4822" s="1542">
        <v>180.93</v>
      </c>
      <c r="D4822" s="1542">
        <v>4788.04</v>
      </c>
      <c r="E4822" s="1542">
        <v>1598.39</v>
      </c>
    </row>
    <row r="4823" spans="1:5">
      <c r="A4823" s="1541">
        <v>39194</v>
      </c>
      <c r="B4823" s="1542"/>
      <c r="C4823" s="1542"/>
      <c r="D4823" s="1542"/>
      <c r="E4823" s="1542"/>
    </row>
    <row r="4824" spans="1:5">
      <c r="A4824" s="1541">
        <v>39193</v>
      </c>
      <c r="B4824" s="1542"/>
      <c r="C4824" s="1542"/>
      <c r="D4824" s="1542"/>
      <c r="E4824" s="1542"/>
    </row>
    <row r="4825" spans="1:5">
      <c r="A4825" s="1541">
        <v>39192</v>
      </c>
      <c r="B4825" s="1542">
        <v>9080.41</v>
      </c>
      <c r="C4825" s="1542">
        <v>180.41</v>
      </c>
      <c r="D4825" s="1542">
        <v>4797.3999999999996</v>
      </c>
      <c r="E4825" s="1542">
        <v>1596.28</v>
      </c>
    </row>
    <row r="4826" spans="1:5">
      <c r="A4826" s="1541">
        <v>39191</v>
      </c>
      <c r="B4826" s="1542">
        <v>9018.6299999999992</v>
      </c>
      <c r="C4826" s="1542">
        <v>178.51</v>
      </c>
      <c r="D4826" s="1542">
        <v>4756.12</v>
      </c>
      <c r="E4826" s="1542">
        <v>1571.2</v>
      </c>
    </row>
    <row r="4827" spans="1:5">
      <c r="A4827" s="1541">
        <v>39190</v>
      </c>
      <c r="B4827" s="1542">
        <v>9149.74</v>
      </c>
      <c r="C4827" s="1542">
        <v>178.75</v>
      </c>
      <c r="D4827" s="1542">
        <v>4774.3</v>
      </c>
      <c r="E4827" s="1542">
        <v>1589.58</v>
      </c>
    </row>
    <row r="4828" spans="1:5">
      <c r="A4828" s="1541">
        <v>39189</v>
      </c>
      <c r="B4828" s="1542">
        <v>9099.41</v>
      </c>
      <c r="C4828" s="1542">
        <v>176.37</v>
      </c>
      <c r="D4828" s="1542">
        <v>4769.04</v>
      </c>
      <c r="E4828" s="1542">
        <v>1593.59</v>
      </c>
    </row>
    <row r="4829" spans="1:5">
      <c r="A4829" s="1541">
        <v>39188</v>
      </c>
      <c r="B4829" s="1542">
        <v>9195.73</v>
      </c>
      <c r="C4829" s="1542">
        <v>180.4</v>
      </c>
      <c r="D4829" s="1542">
        <v>4760.43</v>
      </c>
      <c r="E4829" s="1542">
        <v>1597.07</v>
      </c>
    </row>
    <row r="4830" spans="1:5">
      <c r="A4830" s="1541">
        <v>39187</v>
      </c>
      <c r="B4830" s="1542"/>
      <c r="C4830" s="1542"/>
      <c r="D4830" s="1542"/>
      <c r="E4830" s="1542"/>
    </row>
    <row r="4831" spans="1:5">
      <c r="A4831" s="1541">
        <v>39186</v>
      </c>
      <c r="B4831" s="1542">
        <v>9197.5400000000009</v>
      </c>
      <c r="C4831" s="1542">
        <v>182.55</v>
      </c>
      <c r="D4831" s="1542"/>
      <c r="E4831" s="1542"/>
    </row>
    <row r="4832" spans="1:5">
      <c r="A4832" s="1541">
        <v>39185</v>
      </c>
      <c r="B4832" s="1542">
        <v>9148.59</v>
      </c>
      <c r="C4832" s="1542">
        <v>181.59</v>
      </c>
      <c r="D4832" s="1542">
        <v>4705.63</v>
      </c>
      <c r="E4832" s="1542">
        <v>1577.82</v>
      </c>
    </row>
    <row r="4833" spans="1:5">
      <c r="A4833" s="1541">
        <v>39184</v>
      </c>
      <c r="B4833" s="1542">
        <v>9231.93</v>
      </c>
      <c r="C4833" s="1542">
        <v>182.92</v>
      </c>
      <c r="D4833" s="1542">
        <v>4691.2700000000004</v>
      </c>
      <c r="E4833" s="1542">
        <v>1568.46</v>
      </c>
    </row>
    <row r="4834" spans="1:5">
      <c r="A4834" s="1541">
        <v>39183</v>
      </c>
      <c r="B4834" s="1542">
        <v>9242.5</v>
      </c>
      <c r="C4834" s="1542">
        <v>181.53</v>
      </c>
      <c r="D4834" s="1542">
        <v>4676.6000000000004</v>
      </c>
      <c r="E4834" s="1542">
        <v>1568.61</v>
      </c>
    </row>
    <row r="4835" spans="1:5">
      <c r="A4835" s="1541">
        <v>39182</v>
      </c>
      <c r="B4835" s="1542">
        <v>9201.2800000000007</v>
      </c>
      <c r="C4835" s="1542">
        <v>179.44</v>
      </c>
      <c r="D4835" s="1542">
        <v>4692.8900000000003</v>
      </c>
      <c r="E4835" s="1542">
        <v>1563.13</v>
      </c>
    </row>
    <row r="4836" spans="1:5">
      <c r="A4836" s="1541">
        <v>39181</v>
      </c>
      <c r="B4836" s="1542">
        <v>9210.61</v>
      </c>
      <c r="C4836" s="1542">
        <v>180.88</v>
      </c>
      <c r="D4836" s="1542">
        <v>4664.8999999999996</v>
      </c>
      <c r="E4836" s="1542">
        <v>1557.41</v>
      </c>
    </row>
    <row r="4837" spans="1:5">
      <c r="A4837" s="1541">
        <v>39180</v>
      </c>
      <c r="B4837" s="1542"/>
      <c r="C4837" s="1542"/>
      <c r="D4837" s="1542"/>
      <c r="E4837" s="1542"/>
    </row>
    <row r="4838" spans="1:5">
      <c r="A4838" s="1541">
        <v>39179</v>
      </c>
      <c r="B4838" s="1542"/>
      <c r="C4838" s="1542"/>
      <c r="D4838" s="1542"/>
      <c r="E4838" s="1542"/>
    </row>
    <row r="4839" spans="1:5">
      <c r="A4839" s="1541">
        <v>39178</v>
      </c>
      <c r="B4839" s="1542"/>
      <c r="C4839" s="1542"/>
      <c r="D4839" s="1542">
        <v>4668.87</v>
      </c>
      <c r="E4839" s="1542">
        <v>1546.83</v>
      </c>
    </row>
    <row r="4840" spans="1:5">
      <c r="A4840" s="1541">
        <v>39177</v>
      </c>
      <c r="B4840" s="1542"/>
      <c r="C4840" s="1542"/>
      <c r="D4840" s="1542">
        <v>4670.05</v>
      </c>
      <c r="E4840" s="1542">
        <v>1546.58</v>
      </c>
    </row>
    <row r="4841" spans="1:5">
      <c r="A4841" s="1541">
        <v>39176</v>
      </c>
      <c r="B4841" s="1542">
        <v>9151.23</v>
      </c>
      <c r="C4841" s="1542">
        <v>181.07</v>
      </c>
      <c r="D4841" s="1542">
        <v>4655.96</v>
      </c>
      <c r="E4841" s="1542">
        <v>1541.73</v>
      </c>
    </row>
    <row r="4842" spans="1:5">
      <c r="A4842" s="1541">
        <v>39175</v>
      </c>
      <c r="B4842" s="1542">
        <v>9069.26</v>
      </c>
      <c r="C4842" s="1542">
        <v>181.1</v>
      </c>
      <c r="D4842" s="1542">
        <v>4638.1899999999996</v>
      </c>
      <c r="E4842" s="1542">
        <v>1524.78</v>
      </c>
    </row>
    <row r="4843" spans="1:5">
      <c r="A4843" s="1541">
        <v>39174</v>
      </c>
      <c r="B4843" s="1542">
        <v>9014.4699999999993</v>
      </c>
      <c r="C4843" s="1542">
        <v>179.69</v>
      </c>
      <c r="D4843" s="1542">
        <v>4594.7</v>
      </c>
      <c r="E4843" s="1542">
        <v>1509.73</v>
      </c>
    </row>
    <row r="4844" spans="1:5">
      <c r="A4844" s="1541">
        <v>39173</v>
      </c>
      <c r="B4844" s="1542"/>
      <c r="C4844" s="1542"/>
      <c r="D4844" s="1542"/>
      <c r="E4844" s="1542"/>
    </row>
    <row r="4845" spans="1:5">
      <c r="A4845" s="1541">
        <v>39172</v>
      </c>
      <c r="B4845" s="1542"/>
      <c r="C4845" s="1542"/>
      <c r="D4845" s="1542"/>
      <c r="E4845" s="1542"/>
    </row>
    <row r="4846" spans="1:5">
      <c r="A4846" s="1541">
        <v>39171</v>
      </c>
      <c r="B4846" s="1542">
        <v>9013.81</v>
      </c>
      <c r="C4846" s="1542">
        <v>179.79</v>
      </c>
      <c r="D4846" s="1542">
        <v>4582.51</v>
      </c>
      <c r="E4846" s="1542">
        <v>1511.06</v>
      </c>
    </row>
    <row r="4847" spans="1:5">
      <c r="A4847" s="1541">
        <v>39170</v>
      </c>
      <c r="B4847" s="1542">
        <v>8972.56</v>
      </c>
      <c r="C4847" s="1542">
        <v>178.49</v>
      </c>
      <c r="D4847" s="1542">
        <v>4587.33</v>
      </c>
      <c r="E4847" s="1542">
        <v>1503.29</v>
      </c>
    </row>
    <row r="4848" spans="1:5">
      <c r="A4848" s="1541">
        <v>39169</v>
      </c>
      <c r="B4848" s="1542">
        <v>8903.75</v>
      </c>
      <c r="C4848" s="1542">
        <v>176.33</v>
      </c>
      <c r="D4848" s="1542">
        <v>4570.0600000000004</v>
      </c>
      <c r="E4848" s="1542">
        <v>1485.47</v>
      </c>
    </row>
    <row r="4849" spans="1:5">
      <c r="A4849" s="1541">
        <v>39168</v>
      </c>
      <c r="B4849" s="1542">
        <v>8968.94</v>
      </c>
      <c r="C4849" s="1542">
        <v>176.41</v>
      </c>
      <c r="D4849" s="1542">
        <v>4593.42</v>
      </c>
      <c r="E4849" s="1542">
        <v>1498.96</v>
      </c>
    </row>
    <row r="4850" spans="1:5">
      <c r="A4850" s="1541">
        <v>39167</v>
      </c>
      <c r="B4850" s="1542">
        <v>9006.27</v>
      </c>
      <c r="C4850" s="1542">
        <v>177.18</v>
      </c>
      <c r="D4850" s="1542">
        <v>4610.8100000000004</v>
      </c>
      <c r="E4850" s="1542">
        <v>1504.3</v>
      </c>
    </row>
    <row r="4851" spans="1:5">
      <c r="A4851" s="1541">
        <v>39166</v>
      </c>
      <c r="B4851" s="1542"/>
      <c r="C4851" s="1542"/>
      <c r="D4851" s="1542"/>
      <c r="E4851" s="1542"/>
    </row>
    <row r="4852" spans="1:5">
      <c r="A4852" s="1541">
        <v>39165</v>
      </c>
      <c r="B4852" s="1542"/>
      <c r="C4852" s="1542"/>
      <c r="D4852" s="1542"/>
      <c r="E4852" s="1542"/>
    </row>
    <row r="4853" spans="1:5">
      <c r="A4853" s="1541">
        <v>39164</v>
      </c>
      <c r="B4853" s="1542">
        <v>8985.1200000000008</v>
      </c>
      <c r="C4853" s="1542">
        <v>175.46</v>
      </c>
      <c r="D4853" s="1542">
        <v>4616.12</v>
      </c>
      <c r="E4853" s="1542">
        <v>1501.04</v>
      </c>
    </row>
    <row r="4854" spans="1:5">
      <c r="A4854" s="1541">
        <v>39163</v>
      </c>
      <c r="B4854" s="1542">
        <v>8944.3700000000008</v>
      </c>
      <c r="C4854" s="1542">
        <v>173.98</v>
      </c>
      <c r="D4854" s="1542">
        <v>4609.9799999999996</v>
      </c>
      <c r="E4854" s="1542">
        <v>1498.11</v>
      </c>
    </row>
    <row r="4855" spans="1:5">
      <c r="A4855" s="1541">
        <v>39162</v>
      </c>
      <c r="B4855" s="1542">
        <v>8868.18</v>
      </c>
      <c r="C4855" s="1542">
        <v>174.49</v>
      </c>
      <c r="D4855" s="1542">
        <v>4571.6000000000004</v>
      </c>
      <c r="E4855" s="1542">
        <v>1477.93</v>
      </c>
    </row>
    <row r="4856" spans="1:5">
      <c r="A4856" s="1541">
        <v>39161</v>
      </c>
      <c r="B4856" s="1542">
        <v>8844.3700000000008</v>
      </c>
      <c r="C4856" s="1542">
        <v>174.27</v>
      </c>
      <c r="D4856" s="1542">
        <v>4524.6000000000004</v>
      </c>
      <c r="E4856" s="1542">
        <v>1460.24</v>
      </c>
    </row>
    <row r="4857" spans="1:5">
      <c r="A4857" s="1541">
        <v>39160</v>
      </c>
      <c r="B4857" s="1542">
        <v>8845.81</v>
      </c>
      <c r="C4857" s="1542">
        <v>174.45</v>
      </c>
      <c r="D4857" s="1542">
        <v>4492.91</v>
      </c>
      <c r="E4857" s="1542">
        <v>1452.58</v>
      </c>
    </row>
    <row r="4858" spans="1:5">
      <c r="A4858" s="1541">
        <v>39159</v>
      </c>
      <c r="B4858" s="1542"/>
      <c r="C4858" s="1542"/>
      <c r="D4858" s="1542"/>
      <c r="E4858" s="1542"/>
    </row>
    <row r="4859" spans="1:5">
      <c r="A4859" s="1541">
        <v>39158</v>
      </c>
      <c r="B4859" s="1542"/>
      <c r="C4859" s="1542"/>
      <c r="D4859" s="1542"/>
      <c r="E4859" s="1542"/>
    </row>
    <row r="4860" spans="1:5">
      <c r="A4860" s="1541">
        <v>39157</v>
      </c>
      <c r="B4860" s="1542">
        <v>8825.6200000000008</v>
      </c>
      <c r="C4860" s="1542">
        <v>173.47</v>
      </c>
      <c r="D4860" s="1542">
        <v>4442.16</v>
      </c>
      <c r="E4860" s="1542">
        <v>1434.89</v>
      </c>
    </row>
    <row r="4861" spans="1:5">
      <c r="A4861" s="1541">
        <v>39156</v>
      </c>
      <c r="B4861" s="1542">
        <v>8798.36</v>
      </c>
      <c r="C4861" s="1542">
        <v>173.89</v>
      </c>
      <c r="D4861" s="1542">
        <v>4446.8599999999997</v>
      </c>
      <c r="E4861" s="1542">
        <v>1436.22</v>
      </c>
    </row>
    <row r="4862" spans="1:5">
      <c r="A4862" s="1541">
        <v>39155</v>
      </c>
      <c r="B4862" s="1542">
        <v>8654.67</v>
      </c>
      <c r="C4862" s="1542">
        <v>170.85</v>
      </c>
      <c r="D4862" s="1542">
        <v>4401.34</v>
      </c>
      <c r="E4862" s="1542">
        <v>1417.35</v>
      </c>
    </row>
    <row r="4863" spans="1:5">
      <c r="A4863" s="1541">
        <v>39154</v>
      </c>
      <c r="B4863" s="1542">
        <v>8784.69</v>
      </c>
      <c r="C4863" s="1542">
        <v>172.06</v>
      </c>
      <c r="D4863" s="1542">
        <v>4440.5200000000004</v>
      </c>
      <c r="E4863" s="1542">
        <v>1444.29</v>
      </c>
    </row>
    <row r="4864" spans="1:5">
      <c r="A4864" s="1541">
        <v>39153</v>
      </c>
      <c r="B4864" s="1542">
        <v>8721.98</v>
      </c>
      <c r="C4864" s="1542">
        <v>170.96</v>
      </c>
      <c r="D4864" s="1542">
        <v>4503.01</v>
      </c>
      <c r="E4864" s="1542">
        <v>1454.79</v>
      </c>
    </row>
    <row r="4865" spans="1:5">
      <c r="A4865" s="1541">
        <v>39152</v>
      </c>
      <c r="B4865" s="1542"/>
      <c r="C4865" s="1542"/>
      <c r="D4865" s="1542"/>
      <c r="E4865" s="1542"/>
    </row>
    <row r="4866" spans="1:5">
      <c r="A4866" s="1541">
        <v>39151</v>
      </c>
      <c r="B4866" s="1542"/>
      <c r="C4866" s="1542"/>
      <c r="D4866" s="1542"/>
      <c r="E4866" s="1542"/>
    </row>
    <row r="4867" spans="1:5">
      <c r="A4867" s="1541">
        <v>39150</v>
      </c>
      <c r="B4867" s="1542">
        <v>8652.2999999999993</v>
      </c>
      <c r="C4867" s="1542">
        <v>169.06</v>
      </c>
      <c r="D4867" s="1542">
        <v>4487.1499999999996</v>
      </c>
      <c r="E4867" s="1542">
        <v>1444.57</v>
      </c>
    </row>
    <row r="4868" spans="1:5">
      <c r="A4868" s="1541">
        <v>39149</v>
      </c>
      <c r="B4868" s="1542">
        <v>8658.7900000000009</v>
      </c>
      <c r="C4868" s="1542">
        <v>168.84</v>
      </c>
      <c r="D4868" s="1542">
        <v>4481.43</v>
      </c>
      <c r="E4868" s="1542">
        <v>1433.78</v>
      </c>
    </row>
    <row r="4869" spans="1:5">
      <c r="A4869" s="1541">
        <v>39148</v>
      </c>
      <c r="B4869" s="1542">
        <v>8552.49</v>
      </c>
      <c r="C4869" s="1542">
        <v>165.67</v>
      </c>
      <c r="D4869" s="1542">
        <v>4441.05</v>
      </c>
      <c r="E4869" s="1542">
        <v>1405.88</v>
      </c>
    </row>
    <row r="4870" spans="1:5">
      <c r="A4870" s="1541">
        <v>39147</v>
      </c>
      <c r="B4870" s="1542">
        <v>8518.3799999999992</v>
      </c>
      <c r="C4870" s="1542">
        <v>164.29</v>
      </c>
      <c r="D4870" s="1542">
        <v>4430.4399999999996</v>
      </c>
      <c r="E4870" s="1542">
        <v>1403.35</v>
      </c>
    </row>
    <row r="4871" spans="1:5">
      <c r="A4871" s="1541">
        <v>39146</v>
      </c>
      <c r="B4871" s="1542">
        <v>8396.6299999999992</v>
      </c>
      <c r="C4871" s="1542">
        <v>161.88</v>
      </c>
      <c r="D4871" s="1542">
        <v>4369.2</v>
      </c>
      <c r="E4871" s="1542">
        <v>1370.02</v>
      </c>
    </row>
    <row r="4872" spans="1:5">
      <c r="A4872" s="1541">
        <v>39145</v>
      </c>
      <c r="B4872" s="1542"/>
      <c r="C4872" s="1542"/>
      <c r="D4872" s="1542"/>
      <c r="E4872" s="1542"/>
    </row>
    <row r="4873" spans="1:5">
      <c r="A4873" s="1541">
        <v>39144</v>
      </c>
      <c r="B4873" s="1542">
        <v>8723.1299999999992</v>
      </c>
      <c r="C4873" s="1542">
        <v>168.77</v>
      </c>
      <c r="D4873" s="1542"/>
      <c r="E4873" s="1542"/>
    </row>
    <row r="4874" spans="1:5">
      <c r="A4874" s="1541">
        <v>39143</v>
      </c>
      <c r="B4874" s="1542">
        <v>8769.56</v>
      </c>
      <c r="C4874" s="1542">
        <v>169.23</v>
      </c>
      <c r="D4874" s="1542">
        <v>4436.8599999999997</v>
      </c>
      <c r="E4874" s="1542">
        <v>1424.18</v>
      </c>
    </row>
    <row r="4875" spans="1:5">
      <c r="A4875" s="1541">
        <v>39142</v>
      </c>
      <c r="B4875" s="1542">
        <v>8778.6</v>
      </c>
      <c r="C4875" s="1542">
        <v>169.59</v>
      </c>
      <c r="D4875" s="1542">
        <v>4471.28</v>
      </c>
      <c r="E4875" s="1542">
        <v>1431.38</v>
      </c>
    </row>
    <row r="4876" spans="1:5">
      <c r="A4876" s="1541">
        <v>39141</v>
      </c>
      <c r="B4876" s="1542"/>
      <c r="C4876" s="1542"/>
      <c r="D4876" s="1542">
        <v>4498.26</v>
      </c>
      <c r="E4876" s="1542">
        <v>1452.86</v>
      </c>
    </row>
    <row r="4877" spans="1:5">
      <c r="A4877" s="1541">
        <v>39140</v>
      </c>
      <c r="B4877" s="1542">
        <v>9033.8799999999992</v>
      </c>
      <c r="C4877" s="1542">
        <v>171.97</v>
      </c>
      <c r="D4877" s="1542">
        <v>4536.5200000000004</v>
      </c>
      <c r="E4877" s="1542">
        <v>1478.8</v>
      </c>
    </row>
    <row r="4878" spans="1:5">
      <c r="A4878" s="1541">
        <v>39139</v>
      </c>
      <c r="B4878" s="1542">
        <v>9031.86</v>
      </c>
      <c r="C4878" s="1542">
        <v>170.94</v>
      </c>
      <c r="D4878" s="1542">
        <v>4651.76</v>
      </c>
      <c r="E4878" s="1542">
        <v>1525.65</v>
      </c>
    </row>
    <row r="4879" spans="1:5">
      <c r="A4879" s="1541">
        <v>39138</v>
      </c>
      <c r="B4879" s="1542"/>
      <c r="C4879" s="1542"/>
      <c r="D4879" s="1542"/>
      <c r="E4879" s="1542"/>
    </row>
    <row r="4880" spans="1:5">
      <c r="A4880" s="1541">
        <v>39137</v>
      </c>
      <c r="B4880" s="1542"/>
      <c r="C4880" s="1542"/>
      <c r="D4880" s="1542"/>
      <c r="E4880" s="1542"/>
    </row>
    <row r="4881" spans="1:5">
      <c r="A4881" s="1541">
        <v>39136</v>
      </c>
      <c r="B4881" s="1542"/>
      <c r="C4881" s="1542"/>
      <c r="D4881" s="1542">
        <v>4642.7700000000004</v>
      </c>
      <c r="E4881" s="1542">
        <v>1525.26</v>
      </c>
    </row>
    <row r="4882" spans="1:5">
      <c r="A4882" s="1541">
        <v>39135</v>
      </c>
      <c r="B4882" s="1542"/>
      <c r="C4882" s="1542"/>
      <c r="D4882" s="1542">
        <v>4633.3900000000003</v>
      </c>
      <c r="E4882" s="1542">
        <v>1531.17</v>
      </c>
    </row>
    <row r="4883" spans="1:5">
      <c r="A4883" s="1541">
        <v>39134</v>
      </c>
      <c r="B4883" s="1542"/>
      <c r="C4883" s="1542"/>
      <c r="D4883" s="1542">
        <v>4628.12</v>
      </c>
      <c r="E4883" s="1542">
        <v>1520.88</v>
      </c>
    </row>
    <row r="4884" spans="1:5">
      <c r="A4884" s="1541">
        <v>39133</v>
      </c>
      <c r="B4884" s="1542"/>
      <c r="C4884" s="1542"/>
      <c r="D4884" s="1542">
        <v>4645.5600000000004</v>
      </c>
      <c r="E4884" s="1542">
        <v>1518.97</v>
      </c>
    </row>
    <row r="4885" spans="1:5">
      <c r="A4885" s="1541">
        <v>39132</v>
      </c>
      <c r="B4885" s="1542"/>
      <c r="C4885" s="1542"/>
      <c r="D4885" s="1542">
        <v>4642.6000000000004</v>
      </c>
      <c r="E4885" s="1542">
        <v>1523.48</v>
      </c>
    </row>
    <row r="4886" spans="1:5">
      <c r="A4886" s="1541">
        <v>39131</v>
      </c>
      <c r="B4886" s="1542"/>
      <c r="C4886" s="1542"/>
      <c r="D4886" s="1542"/>
      <c r="E4886" s="1542"/>
    </row>
    <row r="4887" spans="1:5">
      <c r="A4887" s="1541">
        <v>39130</v>
      </c>
      <c r="B4887" s="1542"/>
      <c r="C4887" s="1542"/>
      <c r="D4887" s="1542"/>
      <c r="E4887" s="1542"/>
    </row>
    <row r="4888" spans="1:5">
      <c r="A4888" s="1541">
        <v>39129</v>
      </c>
      <c r="B4888" s="1542"/>
      <c r="C4888" s="1542"/>
      <c r="D4888" s="1542">
        <v>4634.43</v>
      </c>
      <c r="E4888" s="1542">
        <v>1519.82</v>
      </c>
    </row>
    <row r="4889" spans="1:5">
      <c r="A4889" s="1541">
        <v>39128</v>
      </c>
      <c r="B4889" s="1542"/>
      <c r="C4889" s="1542"/>
      <c r="D4889" s="1542">
        <v>4641.04</v>
      </c>
      <c r="E4889" s="1542">
        <v>1516.57</v>
      </c>
    </row>
    <row r="4890" spans="1:5">
      <c r="A4890" s="1541">
        <v>39127</v>
      </c>
      <c r="B4890" s="1542">
        <v>8928.11</v>
      </c>
      <c r="C4890" s="1542">
        <v>168.82</v>
      </c>
      <c r="D4890" s="1542">
        <v>4625.47</v>
      </c>
      <c r="E4890" s="1542">
        <v>1505.57</v>
      </c>
    </row>
    <row r="4891" spans="1:5">
      <c r="A4891" s="1541">
        <v>39126</v>
      </c>
      <c r="B4891" s="1542">
        <v>8845.09</v>
      </c>
      <c r="C4891" s="1542">
        <v>166.98</v>
      </c>
      <c r="D4891" s="1542">
        <v>4574.6499999999996</v>
      </c>
      <c r="E4891" s="1542">
        <v>1484.05</v>
      </c>
    </row>
    <row r="4892" spans="1:5">
      <c r="A4892" s="1541">
        <v>39125</v>
      </c>
      <c r="B4892" s="1542">
        <v>8890.2900000000009</v>
      </c>
      <c r="C4892" s="1542">
        <v>168.7</v>
      </c>
      <c r="D4892" s="1542">
        <v>4541.01</v>
      </c>
      <c r="E4892" s="1542">
        <v>1478.46</v>
      </c>
    </row>
    <row r="4893" spans="1:5">
      <c r="A4893" s="1541">
        <v>39124</v>
      </c>
      <c r="B4893" s="1542"/>
      <c r="C4893" s="1542"/>
      <c r="D4893" s="1542"/>
      <c r="E4893" s="1542"/>
    </row>
    <row r="4894" spans="1:5">
      <c r="A4894" s="1541">
        <v>39123</v>
      </c>
      <c r="B4894" s="1542"/>
      <c r="C4894" s="1542"/>
      <c r="D4894" s="1542"/>
      <c r="E4894" s="1542"/>
    </row>
    <row r="4895" spans="1:5">
      <c r="A4895" s="1541">
        <v>39122</v>
      </c>
      <c r="B4895" s="1542">
        <v>8985.36</v>
      </c>
      <c r="C4895" s="1542">
        <v>169.41</v>
      </c>
      <c r="D4895" s="1542">
        <v>4563.51</v>
      </c>
      <c r="E4895" s="1542">
        <v>1498.34</v>
      </c>
    </row>
    <row r="4896" spans="1:5">
      <c r="A4896" s="1541">
        <v>39121</v>
      </c>
      <c r="B4896" s="1542">
        <v>8965.58</v>
      </c>
      <c r="C4896" s="1542">
        <v>168.57</v>
      </c>
      <c r="D4896" s="1542">
        <v>4572.5600000000004</v>
      </c>
      <c r="E4896" s="1542">
        <v>1499.49</v>
      </c>
    </row>
    <row r="4897" spans="1:5">
      <c r="A4897" s="1541">
        <v>39120</v>
      </c>
      <c r="B4897" s="1542">
        <v>8974.5400000000009</v>
      </c>
      <c r="C4897" s="1542">
        <v>169</v>
      </c>
      <c r="D4897" s="1542">
        <v>4588.95</v>
      </c>
      <c r="E4897" s="1542">
        <v>1505.43</v>
      </c>
    </row>
    <row r="4898" spans="1:5">
      <c r="A4898" s="1541">
        <v>39119</v>
      </c>
      <c r="B4898" s="1542">
        <v>9003.91</v>
      </c>
      <c r="C4898" s="1542">
        <v>170.03</v>
      </c>
      <c r="D4898" s="1542">
        <v>4572.99</v>
      </c>
      <c r="E4898" s="1542">
        <v>1505.51</v>
      </c>
    </row>
    <row r="4899" spans="1:5">
      <c r="A4899" s="1541">
        <v>39118</v>
      </c>
      <c r="B4899" s="1542">
        <v>8898</v>
      </c>
      <c r="C4899" s="1542">
        <v>167.18</v>
      </c>
      <c r="D4899" s="1542">
        <v>4557.54</v>
      </c>
      <c r="E4899" s="1542">
        <v>1494.78</v>
      </c>
    </row>
    <row r="4900" spans="1:5">
      <c r="A4900" s="1541">
        <v>39117</v>
      </c>
      <c r="B4900" s="1542"/>
      <c r="C4900" s="1542"/>
      <c r="D4900" s="1542"/>
      <c r="E4900" s="1542"/>
    </row>
    <row r="4901" spans="1:5">
      <c r="A4901" s="1541">
        <v>39116</v>
      </c>
      <c r="B4901" s="1542"/>
      <c r="C4901" s="1542"/>
      <c r="D4901" s="1542"/>
      <c r="E4901" s="1542"/>
    </row>
    <row r="4902" spans="1:5">
      <c r="A4902" s="1541">
        <v>39115</v>
      </c>
      <c r="B4902" s="1542">
        <v>8891.0499999999993</v>
      </c>
      <c r="C4902" s="1542">
        <v>166.61</v>
      </c>
      <c r="D4902" s="1542">
        <v>4567.3100000000004</v>
      </c>
      <c r="E4902" s="1542">
        <v>1490.82</v>
      </c>
    </row>
    <row r="4903" spans="1:5">
      <c r="A4903" s="1541">
        <v>39114</v>
      </c>
      <c r="B4903" s="1542">
        <v>8804.75</v>
      </c>
      <c r="C4903" s="1542">
        <v>165.55</v>
      </c>
      <c r="D4903" s="1542">
        <v>4562.3599999999997</v>
      </c>
      <c r="E4903" s="1542">
        <v>1479.54</v>
      </c>
    </row>
    <row r="4904" spans="1:5">
      <c r="A4904" s="1541">
        <v>39113</v>
      </c>
      <c r="B4904" s="1542">
        <v>8802.58</v>
      </c>
      <c r="C4904" s="1542">
        <v>166.01</v>
      </c>
      <c r="D4904" s="1542">
        <v>4519.91</v>
      </c>
      <c r="E4904" s="1542">
        <v>1461.33</v>
      </c>
    </row>
    <row r="4905" spans="1:5">
      <c r="A4905" s="1541">
        <v>39112</v>
      </c>
      <c r="B4905" s="1542">
        <v>8848.61</v>
      </c>
      <c r="C4905" s="1542">
        <v>167.2</v>
      </c>
      <c r="D4905" s="1542">
        <v>4509.16</v>
      </c>
      <c r="E4905" s="1542">
        <v>1457.99</v>
      </c>
    </row>
    <row r="4906" spans="1:5">
      <c r="A4906" s="1541">
        <v>39111</v>
      </c>
      <c r="B4906" s="1542">
        <v>8862.19</v>
      </c>
      <c r="C4906" s="1542">
        <v>168.49</v>
      </c>
      <c r="D4906" s="1542">
        <v>4485.6099999999997</v>
      </c>
      <c r="E4906" s="1542">
        <v>1450.31</v>
      </c>
    </row>
    <row r="4907" spans="1:5">
      <c r="A4907" s="1541">
        <v>39110</v>
      </c>
      <c r="B4907" s="1542"/>
      <c r="C4907" s="1542"/>
      <c r="D4907" s="1542"/>
      <c r="E4907" s="1542"/>
    </row>
    <row r="4908" spans="1:5">
      <c r="A4908" s="1541">
        <v>39109</v>
      </c>
      <c r="B4908" s="1542"/>
      <c r="C4908" s="1542"/>
      <c r="D4908" s="1542"/>
      <c r="E4908" s="1542"/>
    </row>
    <row r="4909" spans="1:5">
      <c r="A4909" s="1541">
        <v>39108</v>
      </c>
      <c r="B4909" s="1542">
        <v>8941.68</v>
      </c>
      <c r="C4909" s="1542">
        <v>171.38</v>
      </c>
      <c r="D4909" s="1542">
        <v>4480.3100000000004</v>
      </c>
      <c r="E4909" s="1542">
        <v>1461.91</v>
      </c>
    </row>
    <row r="4910" spans="1:5">
      <c r="A4910" s="1541">
        <v>39107</v>
      </c>
      <c r="B4910" s="1542">
        <v>9058.81</v>
      </c>
      <c r="C4910" s="1542">
        <v>171.19</v>
      </c>
      <c r="D4910" s="1542">
        <v>4504.5600000000004</v>
      </c>
      <c r="E4910" s="1542">
        <v>1478.81</v>
      </c>
    </row>
    <row r="4911" spans="1:5">
      <c r="A4911" s="1541">
        <v>39106</v>
      </c>
      <c r="B4911" s="1542">
        <v>9072.26</v>
      </c>
      <c r="C4911" s="1542">
        <v>171.71</v>
      </c>
      <c r="D4911" s="1542">
        <v>4536.2700000000004</v>
      </c>
      <c r="E4911" s="1542">
        <v>1483.83</v>
      </c>
    </row>
    <row r="4912" spans="1:5">
      <c r="A4912" s="1541">
        <v>39105</v>
      </c>
      <c r="B4912" s="1542">
        <v>8977.17</v>
      </c>
      <c r="C4912" s="1542">
        <v>170.84</v>
      </c>
      <c r="D4912" s="1542">
        <v>4507.75</v>
      </c>
      <c r="E4912" s="1542">
        <v>1467.35</v>
      </c>
    </row>
    <row r="4913" spans="1:5">
      <c r="A4913" s="1541">
        <v>39104</v>
      </c>
      <c r="B4913" s="1542">
        <v>8965.86</v>
      </c>
      <c r="C4913" s="1542">
        <v>169.88</v>
      </c>
      <c r="D4913" s="1542">
        <v>4488.34</v>
      </c>
      <c r="E4913" s="1542">
        <v>1463.94</v>
      </c>
    </row>
    <row r="4914" spans="1:5">
      <c r="A4914" s="1541">
        <v>39103</v>
      </c>
      <c r="B4914" s="1542"/>
      <c r="C4914" s="1542"/>
      <c r="D4914" s="1542"/>
      <c r="E4914" s="1542"/>
    </row>
    <row r="4915" spans="1:5">
      <c r="A4915" s="1541">
        <v>39102</v>
      </c>
      <c r="B4915" s="1542"/>
      <c r="C4915" s="1542"/>
      <c r="D4915" s="1542"/>
      <c r="E4915" s="1542"/>
    </row>
    <row r="4916" spans="1:5">
      <c r="A4916" s="1541">
        <v>39101</v>
      </c>
      <c r="B4916" s="1542">
        <v>8963.1299999999992</v>
      </c>
      <c r="C4916" s="1542">
        <v>169.2</v>
      </c>
      <c r="D4916" s="1542">
        <v>4498.59</v>
      </c>
      <c r="E4916" s="1542">
        <v>1452.69</v>
      </c>
    </row>
    <row r="4917" spans="1:5">
      <c r="A4917" s="1541">
        <v>39100</v>
      </c>
      <c r="B4917" s="1542">
        <v>9026.1200000000008</v>
      </c>
      <c r="C4917" s="1542">
        <v>169.46</v>
      </c>
      <c r="D4917" s="1542">
        <v>4481.2700000000004</v>
      </c>
      <c r="E4917" s="1542">
        <v>1452.79</v>
      </c>
    </row>
    <row r="4918" spans="1:5">
      <c r="A4918" s="1541">
        <v>39099</v>
      </c>
      <c r="B4918" s="1542">
        <v>8956.15</v>
      </c>
      <c r="C4918" s="1542">
        <v>167.18</v>
      </c>
      <c r="D4918" s="1542">
        <v>4489.6899999999996</v>
      </c>
      <c r="E4918" s="1542">
        <v>1447.69</v>
      </c>
    </row>
    <row r="4919" spans="1:5">
      <c r="A4919" s="1541">
        <v>39098</v>
      </c>
      <c r="B4919" s="1542">
        <v>8908.25</v>
      </c>
      <c r="C4919" s="1542">
        <v>166.52</v>
      </c>
      <c r="D4919" s="1542">
        <v>4488.0600000000004</v>
      </c>
      <c r="E4919" s="1542">
        <v>1449.8</v>
      </c>
    </row>
    <row r="4920" spans="1:5">
      <c r="A4920" s="1541">
        <v>39097</v>
      </c>
      <c r="B4920" s="1542">
        <v>8898.44</v>
      </c>
      <c r="C4920" s="1542">
        <v>167.12</v>
      </c>
      <c r="D4920" s="1542">
        <v>4497.45</v>
      </c>
      <c r="E4920" s="1542">
        <v>1452.45</v>
      </c>
    </row>
    <row r="4921" spans="1:5">
      <c r="A4921" s="1541">
        <v>39096</v>
      </c>
      <c r="B4921" s="1542"/>
      <c r="C4921" s="1542"/>
      <c r="D4921" s="1542"/>
      <c r="E4921" s="1542"/>
    </row>
    <row r="4922" spans="1:5">
      <c r="A4922" s="1541">
        <v>39095</v>
      </c>
      <c r="B4922" s="1542"/>
      <c r="C4922" s="1542"/>
      <c r="D4922" s="1542"/>
      <c r="E4922" s="1542"/>
    </row>
    <row r="4923" spans="1:5">
      <c r="A4923" s="1541">
        <v>39094</v>
      </c>
      <c r="B4923" s="1542">
        <v>8873.5400000000009</v>
      </c>
      <c r="C4923" s="1542">
        <v>167.88</v>
      </c>
      <c r="D4923" s="1542">
        <v>4480.0600000000004</v>
      </c>
      <c r="E4923" s="1542">
        <v>1432.22</v>
      </c>
    </row>
    <row r="4924" spans="1:5">
      <c r="A4924" s="1541">
        <v>39093</v>
      </c>
      <c r="B4924" s="1542">
        <v>8709.8700000000008</v>
      </c>
      <c r="C4924" s="1542">
        <v>165.89</v>
      </c>
      <c r="D4924" s="1542">
        <v>4443.67</v>
      </c>
      <c r="E4924" s="1542">
        <v>1414.65</v>
      </c>
    </row>
    <row r="4925" spans="1:5">
      <c r="A4925" s="1541">
        <v>39092</v>
      </c>
      <c r="B4925" s="1542">
        <v>8801.2800000000007</v>
      </c>
      <c r="C4925" s="1542">
        <v>170.42</v>
      </c>
      <c r="D4925" s="1542">
        <v>4413.0200000000004</v>
      </c>
      <c r="E4925" s="1542">
        <v>1403.75</v>
      </c>
    </row>
    <row r="4926" spans="1:5">
      <c r="A4926" s="1541">
        <v>39091</v>
      </c>
      <c r="B4926" s="1542">
        <v>8905.89</v>
      </c>
      <c r="C4926" s="1542">
        <v>171.28</v>
      </c>
      <c r="D4926" s="1542">
        <v>4434.91</v>
      </c>
      <c r="E4926" s="1542">
        <v>1420.67</v>
      </c>
    </row>
    <row r="4927" spans="1:5">
      <c r="A4927" s="1541">
        <v>39090</v>
      </c>
      <c r="B4927" s="1542">
        <v>8844.9500000000007</v>
      </c>
      <c r="C4927" s="1542">
        <v>169.96</v>
      </c>
      <c r="D4927" s="1542">
        <v>4430.83</v>
      </c>
      <c r="E4927" s="1542">
        <v>1439.11</v>
      </c>
    </row>
    <row r="4928" spans="1:5">
      <c r="A4928" s="1541">
        <v>39089</v>
      </c>
      <c r="B4928" s="1542"/>
      <c r="C4928" s="1542"/>
      <c r="D4928" s="1542"/>
      <c r="E4928" s="1542"/>
    </row>
    <row r="4929" spans="1:5">
      <c r="A4929" s="1541">
        <v>39088</v>
      </c>
      <c r="B4929" s="1542"/>
      <c r="C4929" s="1542"/>
      <c r="D4929" s="1542"/>
      <c r="E4929" s="1542"/>
    </row>
    <row r="4930" spans="1:5">
      <c r="A4930" s="1541">
        <v>39087</v>
      </c>
      <c r="B4930" s="1542">
        <v>8957.9699999999993</v>
      </c>
      <c r="C4930" s="1542">
        <v>172.47</v>
      </c>
      <c r="D4930" s="1542">
        <v>4425.41</v>
      </c>
      <c r="E4930" s="1542">
        <v>1447.04</v>
      </c>
    </row>
    <row r="4931" spans="1:5">
      <c r="A4931" s="1541">
        <v>39086</v>
      </c>
      <c r="B4931" s="1542">
        <v>9071.09</v>
      </c>
      <c r="C4931" s="1542">
        <v>172.33</v>
      </c>
      <c r="D4931" s="1542">
        <v>4469.22</v>
      </c>
      <c r="E4931" s="1542">
        <v>1467.64</v>
      </c>
    </row>
    <row r="4932" spans="1:5">
      <c r="A4932" s="1541">
        <v>39085</v>
      </c>
      <c r="B4932" s="1542">
        <v>9051.41</v>
      </c>
      <c r="C4932" s="1542">
        <v>170.78</v>
      </c>
      <c r="D4932" s="1542">
        <v>4482.09</v>
      </c>
      <c r="E4932" s="1542">
        <v>1490.39</v>
      </c>
    </row>
    <row r="4933" spans="1:5">
      <c r="A4933" s="1541">
        <v>39084</v>
      </c>
      <c r="B4933" s="1542">
        <v>9055.41</v>
      </c>
      <c r="C4933" s="1542">
        <v>169.27</v>
      </c>
      <c r="D4933" s="1542">
        <v>4498.8100000000004</v>
      </c>
      <c r="E4933" s="1542">
        <v>1499.02</v>
      </c>
    </row>
    <row r="4934" spans="1:5">
      <c r="A4934" s="1541">
        <v>39083</v>
      </c>
      <c r="B4934" s="1542"/>
      <c r="C4934" s="1542"/>
      <c r="D4934" s="1542">
        <v>4466.3</v>
      </c>
      <c r="E4934" s="1542">
        <v>1476.81</v>
      </c>
    </row>
    <row r="4935" spans="1:5">
      <c r="A4935" s="1541">
        <v>39082</v>
      </c>
      <c r="B4935" s="1542"/>
      <c r="C4935" s="1542"/>
      <c r="D4935" s="1542"/>
      <c r="E4935" s="1542"/>
    </row>
    <row r="4936" spans="1:5">
      <c r="A4936" s="1541">
        <v>39081</v>
      </c>
      <c r="B4936" s="1542"/>
      <c r="C4936" s="1542"/>
      <c r="D4936" s="1542"/>
      <c r="E4936" s="1542"/>
    </row>
    <row r="4937" spans="1:5">
      <c r="A4937" s="1541">
        <v>39080</v>
      </c>
      <c r="B4937" s="1542">
        <v>8944.43</v>
      </c>
      <c r="C4937" s="1542">
        <v>168.44</v>
      </c>
      <c r="D4937" s="1542">
        <v>4466.3</v>
      </c>
      <c r="E4937" s="1542">
        <v>1476.24</v>
      </c>
    </row>
    <row r="4938" spans="1:5">
      <c r="A4938" s="1541">
        <v>39079</v>
      </c>
      <c r="B4938" s="1542">
        <v>8840.6299999999992</v>
      </c>
      <c r="C4938" s="1542">
        <v>166.38</v>
      </c>
      <c r="D4938" s="1542">
        <v>4475.4799999999996</v>
      </c>
      <c r="E4938" s="1542">
        <v>1472.13</v>
      </c>
    </row>
    <row r="4939" spans="1:5">
      <c r="A4939" s="1541">
        <v>39078</v>
      </c>
      <c r="B4939" s="1542">
        <v>8840.91</v>
      </c>
      <c r="C4939" s="1542">
        <v>165.64</v>
      </c>
      <c r="D4939" s="1542">
        <v>4474.3599999999997</v>
      </c>
      <c r="E4939" s="1542">
        <v>1463.96</v>
      </c>
    </row>
    <row r="4940" spans="1:5">
      <c r="A4940" s="1541">
        <v>39077</v>
      </c>
      <c r="B4940" s="1542">
        <v>8834.52</v>
      </c>
      <c r="C4940" s="1542">
        <v>165.58</v>
      </c>
      <c r="D4940" s="1542">
        <v>4438.8900000000003</v>
      </c>
      <c r="E4940" s="1542">
        <v>1444.57</v>
      </c>
    </row>
    <row r="4941" spans="1:5">
      <c r="A4941" s="1541">
        <v>39076</v>
      </c>
      <c r="B4941" s="1542">
        <v>8742.17</v>
      </c>
      <c r="C4941" s="1542">
        <v>164.87</v>
      </c>
      <c r="D4941" s="1542">
        <v>4431.43</v>
      </c>
      <c r="E4941" s="1542">
        <v>1441.84</v>
      </c>
    </row>
    <row r="4942" spans="1:5">
      <c r="A4942" s="1541">
        <v>39075</v>
      </c>
      <c r="B4942" s="1542"/>
      <c r="C4942" s="1542"/>
      <c r="D4942" s="1542"/>
      <c r="E4942" s="1542"/>
    </row>
    <row r="4943" spans="1:5">
      <c r="A4943" s="1541">
        <v>39074</v>
      </c>
      <c r="B4943" s="1542"/>
      <c r="C4943" s="1542"/>
      <c r="D4943" s="1542"/>
      <c r="E4943" s="1542"/>
    </row>
    <row r="4944" spans="1:5">
      <c r="A4944" s="1541">
        <v>39073</v>
      </c>
      <c r="B4944" s="1542">
        <v>8748.65</v>
      </c>
      <c r="C4944" s="1542">
        <v>163.84</v>
      </c>
      <c r="D4944" s="1542">
        <v>4433.13</v>
      </c>
      <c r="E4944" s="1542">
        <v>1443.8</v>
      </c>
    </row>
    <row r="4945" spans="1:5">
      <c r="A4945" s="1541">
        <v>39072</v>
      </c>
      <c r="B4945" s="1542">
        <v>8712.6</v>
      </c>
      <c r="C4945" s="1542">
        <v>162.5</v>
      </c>
      <c r="D4945" s="1542">
        <v>4452.09</v>
      </c>
      <c r="E4945" s="1542">
        <v>1443.47</v>
      </c>
    </row>
    <row r="4946" spans="1:5">
      <c r="A4946" s="1541">
        <v>39071</v>
      </c>
      <c r="B4946" s="1542">
        <v>8743.93</v>
      </c>
      <c r="C4946" s="1542">
        <v>162.85</v>
      </c>
      <c r="D4946" s="1542">
        <v>4464.38</v>
      </c>
      <c r="E4946" s="1542">
        <v>1442.92</v>
      </c>
    </row>
    <row r="4947" spans="1:5">
      <c r="A4947" s="1541">
        <v>39070</v>
      </c>
      <c r="B4947" s="1542">
        <v>8687.3799999999992</v>
      </c>
      <c r="C4947" s="1542">
        <v>161.72999999999999</v>
      </c>
      <c r="D4947" s="1542">
        <v>4452.7299999999996</v>
      </c>
      <c r="E4947" s="1542">
        <v>1425.05</v>
      </c>
    </row>
    <row r="4948" spans="1:5">
      <c r="A4948" s="1541">
        <v>39069</v>
      </c>
      <c r="B4948" s="1542">
        <v>8716.7999999999993</v>
      </c>
      <c r="C4948" s="1542">
        <v>161.06</v>
      </c>
      <c r="D4948" s="1542">
        <v>4452.74</v>
      </c>
      <c r="E4948" s="1542">
        <v>1447.35</v>
      </c>
    </row>
    <row r="4949" spans="1:5">
      <c r="A4949" s="1541">
        <v>39068</v>
      </c>
      <c r="B4949" s="1542"/>
      <c r="C4949" s="1542"/>
      <c r="D4949" s="1542"/>
      <c r="E4949" s="1542"/>
    </row>
    <row r="4950" spans="1:5">
      <c r="A4950" s="1541">
        <v>39067</v>
      </c>
      <c r="B4950" s="1542"/>
      <c r="C4950" s="1542"/>
      <c r="D4950" s="1542"/>
      <c r="E4950" s="1542"/>
    </row>
    <row r="4951" spans="1:5">
      <c r="A4951" s="1541">
        <v>39066</v>
      </c>
      <c r="B4951" s="1542">
        <v>8618.7099999999991</v>
      </c>
      <c r="C4951" s="1542">
        <v>159.49</v>
      </c>
      <c r="D4951" s="1542">
        <v>4464.16</v>
      </c>
      <c r="E4951" s="1542">
        <v>1441.37</v>
      </c>
    </row>
    <row r="4952" spans="1:5">
      <c r="A4952" s="1541">
        <v>39065</v>
      </c>
      <c r="B4952" s="1542">
        <v>8551.93</v>
      </c>
      <c r="C4952" s="1542">
        <v>158.13</v>
      </c>
      <c r="D4952" s="1542">
        <v>4464.05</v>
      </c>
      <c r="E4952" s="1542">
        <v>1433.43</v>
      </c>
    </row>
    <row r="4953" spans="1:5">
      <c r="A4953" s="1541">
        <v>39064</v>
      </c>
      <c r="B4953" s="1542">
        <v>8517.51</v>
      </c>
      <c r="C4953" s="1542">
        <v>155.72999999999999</v>
      </c>
      <c r="D4953" s="1542">
        <v>4436.75</v>
      </c>
      <c r="E4953" s="1542">
        <v>1415.97</v>
      </c>
    </row>
    <row r="4954" spans="1:5">
      <c r="A4954" s="1541">
        <v>39063</v>
      </c>
      <c r="B4954" s="1542">
        <v>8526.92</v>
      </c>
      <c r="C4954" s="1542">
        <v>156.13</v>
      </c>
      <c r="D4954" s="1542">
        <v>4426.33</v>
      </c>
      <c r="E4954" s="1542">
        <v>1414.95</v>
      </c>
    </row>
    <row r="4955" spans="1:5">
      <c r="A4955" s="1541">
        <v>39062</v>
      </c>
      <c r="B4955" s="1542">
        <v>8702.4699999999993</v>
      </c>
      <c r="C4955" s="1542">
        <v>158.93</v>
      </c>
      <c r="D4955" s="1542">
        <v>4419.1400000000003</v>
      </c>
      <c r="E4955" s="1542">
        <v>1425.05</v>
      </c>
    </row>
    <row r="4956" spans="1:5">
      <c r="A4956" s="1541">
        <v>39061</v>
      </c>
      <c r="B4956" s="1542"/>
      <c r="C4956" s="1542"/>
      <c r="D4956" s="1542"/>
      <c r="E4956" s="1542"/>
    </row>
    <row r="4957" spans="1:5">
      <c r="A4957" s="1541">
        <v>39060</v>
      </c>
      <c r="B4957" s="1542"/>
      <c r="C4957" s="1542"/>
      <c r="D4957" s="1542"/>
      <c r="E4957" s="1542"/>
    </row>
    <row r="4958" spans="1:5">
      <c r="A4958" s="1541">
        <v>39059</v>
      </c>
      <c r="B4958" s="1542">
        <v>8730.11</v>
      </c>
      <c r="C4958" s="1542">
        <v>159.22</v>
      </c>
      <c r="D4958" s="1542">
        <v>4420.32</v>
      </c>
      <c r="E4958" s="1542">
        <v>1430.99</v>
      </c>
    </row>
    <row r="4959" spans="1:5">
      <c r="A4959" s="1541">
        <v>39058</v>
      </c>
      <c r="B4959" s="1542">
        <v>8787.52</v>
      </c>
      <c r="C4959" s="1542">
        <v>159.58000000000001</v>
      </c>
      <c r="D4959" s="1542">
        <v>4417.92</v>
      </c>
      <c r="E4959" s="1542">
        <v>1440.64</v>
      </c>
    </row>
    <row r="4960" spans="1:5">
      <c r="A4960" s="1541">
        <v>39057</v>
      </c>
      <c r="B4960" s="1542">
        <v>8795.31</v>
      </c>
      <c r="C4960" s="1542">
        <v>159.74</v>
      </c>
      <c r="D4960" s="1542">
        <v>4419.45</v>
      </c>
      <c r="E4960" s="1542">
        <v>1440.42</v>
      </c>
    </row>
    <row r="4961" spans="1:5">
      <c r="A4961" s="1541">
        <v>39056</v>
      </c>
      <c r="B4961" s="1542">
        <v>8699.93</v>
      </c>
      <c r="C4961" s="1542">
        <v>156.83000000000001</v>
      </c>
      <c r="D4961" s="1542">
        <v>4413.67</v>
      </c>
      <c r="E4961" s="1542">
        <v>1435.73</v>
      </c>
    </row>
    <row r="4962" spans="1:5">
      <c r="A4962" s="1541">
        <v>39055</v>
      </c>
      <c r="B4962" s="1542">
        <v>8742.35</v>
      </c>
      <c r="C4962" s="1542">
        <v>158.03</v>
      </c>
      <c r="D4962" s="1542">
        <v>4396.97</v>
      </c>
      <c r="E4962" s="1542">
        <v>1421.06</v>
      </c>
    </row>
    <row r="4963" spans="1:5">
      <c r="A4963" s="1541">
        <v>39054</v>
      </c>
      <c r="B4963" s="1542"/>
      <c r="C4963" s="1542"/>
      <c r="D4963" s="1542"/>
      <c r="E4963" s="1542"/>
    </row>
    <row r="4964" spans="1:5">
      <c r="A4964" s="1541">
        <v>39053</v>
      </c>
      <c r="B4964" s="1542"/>
      <c r="C4964" s="1542"/>
      <c r="D4964" s="1542"/>
      <c r="E4964" s="1542"/>
    </row>
    <row r="4965" spans="1:5">
      <c r="A4965" s="1541">
        <v>39052</v>
      </c>
      <c r="B4965" s="1542">
        <v>8704.1299999999992</v>
      </c>
      <c r="C4965" s="1542">
        <v>158.26</v>
      </c>
      <c r="D4965" s="1542">
        <v>4369.6899999999996</v>
      </c>
      <c r="E4965" s="1542">
        <v>1415.16</v>
      </c>
    </row>
    <row r="4966" spans="1:5">
      <c r="A4966" s="1541">
        <v>39051</v>
      </c>
      <c r="B4966" s="1542">
        <v>8651.7000000000007</v>
      </c>
      <c r="C4966" s="1542">
        <v>158.12</v>
      </c>
      <c r="D4966" s="1542">
        <v>4376.1499999999996</v>
      </c>
      <c r="E4966" s="1542">
        <v>1412.5</v>
      </c>
    </row>
    <row r="4967" spans="1:5">
      <c r="A4967" s="1541">
        <v>39050</v>
      </c>
      <c r="B4967" s="1542">
        <v>8544.7800000000007</v>
      </c>
      <c r="C4967" s="1542">
        <v>155.88999999999999</v>
      </c>
      <c r="D4967" s="1542">
        <v>4361.55</v>
      </c>
      <c r="E4967" s="1542">
        <v>1400.23</v>
      </c>
    </row>
    <row r="4968" spans="1:5">
      <c r="A4968" s="1541">
        <v>39049</v>
      </c>
      <c r="B4968" s="1542">
        <v>8511.34</v>
      </c>
      <c r="C4968" s="1542">
        <v>155.72999999999999</v>
      </c>
      <c r="D4968" s="1542">
        <v>4310.45</v>
      </c>
      <c r="E4968" s="1542">
        <v>1378.41</v>
      </c>
    </row>
    <row r="4969" spans="1:5">
      <c r="A4969" s="1541">
        <v>39048</v>
      </c>
      <c r="B4969" s="1542">
        <v>8572.17</v>
      </c>
      <c r="C4969" s="1542">
        <v>156.83000000000001</v>
      </c>
      <c r="D4969" s="1542">
        <v>4307.16</v>
      </c>
      <c r="E4969" s="1542">
        <v>1394.72</v>
      </c>
    </row>
    <row r="4970" spans="1:5">
      <c r="A4970" s="1541">
        <v>39047</v>
      </c>
      <c r="B4970" s="1542"/>
      <c r="C4970" s="1542"/>
      <c r="D4970" s="1542"/>
      <c r="E4970" s="1542"/>
    </row>
    <row r="4971" spans="1:5">
      <c r="A4971" s="1541">
        <v>39046</v>
      </c>
      <c r="B4971" s="1542"/>
      <c r="C4971" s="1542"/>
      <c r="D4971" s="1542"/>
      <c r="E4971" s="1542"/>
    </row>
    <row r="4972" spans="1:5">
      <c r="A4972" s="1541">
        <v>39045</v>
      </c>
      <c r="B4972" s="1542">
        <v>8491.24</v>
      </c>
      <c r="C4972" s="1542">
        <v>156.35</v>
      </c>
      <c r="D4972" s="1542">
        <v>4352.66</v>
      </c>
      <c r="E4972" s="1542">
        <v>1394.46</v>
      </c>
    </row>
    <row r="4973" spans="1:5">
      <c r="A4973" s="1541">
        <v>39044</v>
      </c>
      <c r="B4973" s="1542">
        <v>8442.4599999999991</v>
      </c>
      <c r="C4973" s="1542">
        <v>154.47</v>
      </c>
      <c r="D4973" s="1542">
        <v>4357.55</v>
      </c>
      <c r="E4973" s="1542">
        <v>1392.15</v>
      </c>
    </row>
    <row r="4974" spans="1:5">
      <c r="A4974" s="1541">
        <v>39043</v>
      </c>
      <c r="B4974" s="1542">
        <v>8401.4</v>
      </c>
      <c r="C4974" s="1542">
        <v>154.18</v>
      </c>
      <c r="D4974" s="1542">
        <v>4355.8900000000003</v>
      </c>
      <c r="E4974" s="1542">
        <v>1389.53</v>
      </c>
    </row>
    <row r="4975" spans="1:5">
      <c r="A4975" s="1541">
        <v>39042</v>
      </c>
      <c r="B4975" s="1542">
        <v>8356.7199999999993</v>
      </c>
      <c r="C4975" s="1542">
        <v>153.52000000000001</v>
      </c>
      <c r="D4975" s="1542">
        <v>4325.74</v>
      </c>
      <c r="E4975" s="1542">
        <v>1374.66</v>
      </c>
    </row>
    <row r="4976" spans="1:5">
      <c r="A4976" s="1541">
        <v>39041</v>
      </c>
      <c r="B4976" s="1542">
        <v>8301.6</v>
      </c>
      <c r="C4976" s="1542">
        <v>152.26</v>
      </c>
      <c r="D4976" s="1542">
        <v>4314.2700000000004</v>
      </c>
      <c r="E4976" s="1542">
        <v>1363.89</v>
      </c>
    </row>
    <row r="4977" spans="1:5">
      <c r="A4977" s="1541">
        <v>39040</v>
      </c>
      <c r="B4977" s="1542"/>
      <c r="C4977" s="1542"/>
      <c r="D4977" s="1542"/>
      <c r="E4977" s="1542"/>
    </row>
    <row r="4978" spans="1:5">
      <c r="A4978" s="1541">
        <v>39039</v>
      </c>
      <c r="B4978" s="1542"/>
      <c r="C4978" s="1542"/>
      <c r="D4978" s="1542"/>
      <c r="E4978" s="1542"/>
    </row>
    <row r="4979" spans="1:5">
      <c r="A4979" s="1541">
        <v>39038</v>
      </c>
      <c r="B4979" s="1542">
        <v>8299.3799999999992</v>
      </c>
      <c r="C4979" s="1542">
        <v>152.18</v>
      </c>
      <c r="D4979" s="1542">
        <v>4326.3</v>
      </c>
      <c r="E4979" s="1542">
        <v>1363.29</v>
      </c>
    </row>
    <row r="4980" spans="1:5">
      <c r="A4980" s="1541">
        <v>39037</v>
      </c>
      <c r="B4980" s="1542">
        <v>8297.0300000000007</v>
      </c>
      <c r="C4980" s="1542">
        <v>151.21</v>
      </c>
      <c r="D4980" s="1542">
        <v>4332.6499999999996</v>
      </c>
      <c r="E4980" s="1542">
        <v>1375.26</v>
      </c>
    </row>
    <row r="4981" spans="1:5">
      <c r="A4981" s="1541">
        <v>39036</v>
      </c>
      <c r="B4981" s="1542">
        <v>8273.4500000000007</v>
      </c>
      <c r="C4981" s="1542">
        <v>150.84</v>
      </c>
      <c r="D4981" s="1542">
        <v>4329.05</v>
      </c>
      <c r="E4981" s="1542">
        <v>1370.53</v>
      </c>
    </row>
    <row r="4982" spans="1:5">
      <c r="A4982" s="1541">
        <v>39035</v>
      </c>
      <c r="B4982" s="1542">
        <v>8235.93</v>
      </c>
      <c r="C4982" s="1542">
        <v>149.71</v>
      </c>
      <c r="D4982" s="1542">
        <v>4316.05</v>
      </c>
      <c r="E4982" s="1542">
        <v>1369.88</v>
      </c>
    </row>
    <row r="4983" spans="1:5">
      <c r="A4983" s="1541">
        <v>39034</v>
      </c>
      <c r="B4983" s="1542">
        <v>8158.22</v>
      </c>
      <c r="C4983" s="1542">
        <v>147.66</v>
      </c>
      <c r="D4983" s="1542">
        <v>4296.16</v>
      </c>
      <c r="E4983" s="1542">
        <v>1358.29</v>
      </c>
    </row>
    <row r="4984" spans="1:5">
      <c r="A4984" s="1541">
        <v>39033</v>
      </c>
      <c r="B4984" s="1542"/>
      <c r="C4984" s="1542"/>
      <c r="D4984" s="1542"/>
      <c r="E4984" s="1542"/>
    </row>
    <row r="4985" spans="1:5">
      <c r="A4985" s="1541">
        <v>39032</v>
      </c>
      <c r="B4985" s="1542"/>
      <c r="C4985" s="1542"/>
      <c r="D4985" s="1542"/>
      <c r="E4985" s="1542"/>
    </row>
    <row r="4986" spans="1:5">
      <c r="A4986" s="1541">
        <v>39031</v>
      </c>
      <c r="B4986" s="1542">
        <v>8201.82</v>
      </c>
      <c r="C4986" s="1542">
        <v>148.09</v>
      </c>
      <c r="D4986" s="1542">
        <v>4300.6099999999997</v>
      </c>
      <c r="E4986" s="1542">
        <v>1361.11</v>
      </c>
    </row>
    <row r="4987" spans="1:5">
      <c r="A4987" s="1541">
        <v>39030</v>
      </c>
      <c r="B4987" s="1542">
        <v>8175.45</v>
      </c>
      <c r="C4987" s="1542">
        <v>147.78</v>
      </c>
      <c r="D4987" s="1542">
        <v>4290.12</v>
      </c>
      <c r="E4987" s="1542">
        <v>1360.15</v>
      </c>
    </row>
    <row r="4988" spans="1:5">
      <c r="A4988" s="1541">
        <v>39029</v>
      </c>
      <c r="B4988" s="1542">
        <v>8206.5499999999993</v>
      </c>
      <c r="C4988" s="1542">
        <v>149.47</v>
      </c>
      <c r="D4988" s="1542">
        <v>4303.78</v>
      </c>
      <c r="E4988" s="1542">
        <v>1350.27</v>
      </c>
    </row>
    <row r="4989" spans="1:5">
      <c r="A4989" s="1541">
        <v>39028</v>
      </c>
      <c r="B4989" s="1542">
        <v>8213.77</v>
      </c>
      <c r="C4989" s="1542">
        <v>149.16999999999999</v>
      </c>
      <c r="D4989" s="1542">
        <v>4310.79</v>
      </c>
      <c r="E4989" s="1542">
        <v>1353.55</v>
      </c>
    </row>
    <row r="4990" spans="1:5">
      <c r="A4990" s="1541">
        <v>39027</v>
      </c>
      <c r="B4990" s="1542">
        <v>8140.36</v>
      </c>
      <c r="C4990" s="1542">
        <v>147.54</v>
      </c>
      <c r="D4990" s="1542">
        <v>4284.1899999999996</v>
      </c>
      <c r="E4990" s="1542">
        <v>1343.18</v>
      </c>
    </row>
    <row r="4991" spans="1:5">
      <c r="A4991" s="1541">
        <v>39026</v>
      </c>
      <c r="B4991" s="1542"/>
      <c r="C4991" s="1542"/>
      <c r="D4991" s="1542"/>
      <c r="E4991" s="1542"/>
    </row>
    <row r="4992" spans="1:5">
      <c r="A4992" s="1541">
        <v>39025</v>
      </c>
      <c r="B4992" s="1542"/>
      <c r="C4992" s="1542"/>
      <c r="D4992" s="1542"/>
      <c r="E4992" s="1542"/>
    </row>
    <row r="4993" spans="1:5">
      <c r="A4993" s="1541">
        <v>39024</v>
      </c>
      <c r="B4993" s="1542">
        <v>8187.43</v>
      </c>
      <c r="C4993" s="1542">
        <v>148.86000000000001</v>
      </c>
      <c r="D4993" s="1542">
        <v>4244.32</v>
      </c>
      <c r="E4993" s="1542">
        <v>1335.57</v>
      </c>
    </row>
    <row r="4994" spans="1:5">
      <c r="A4994" s="1541">
        <v>39023</v>
      </c>
      <c r="B4994" s="1542">
        <v>8091.96</v>
      </c>
      <c r="C4994" s="1542">
        <v>147.4</v>
      </c>
      <c r="D4994" s="1542">
        <v>4252.6099999999997</v>
      </c>
      <c r="E4994" s="1542">
        <v>1326.43</v>
      </c>
    </row>
    <row r="4995" spans="1:5">
      <c r="A4995" s="1541">
        <v>39022</v>
      </c>
      <c r="B4995" s="1542">
        <v>8018.63</v>
      </c>
      <c r="C4995" s="1542">
        <v>145.97999999999999</v>
      </c>
      <c r="D4995" s="1542">
        <v>4259.59</v>
      </c>
      <c r="E4995" s="1542">
        <v>1327.82</v>
      </c>
    </row>
    <row r="4996" spans="1:5">
      <c r="A4996" s="1541">
        <v>39021</v>
      </c>
      <c r="B4996" s="1542">
        <v>8027.01</v>
      </c>
      <c r="C4996" s="1542">
        <v>145.30000000000001</v>
      </c>
      <c r="D4996" s="1542">
        <v>4269.3900000000003</v>
      </c>
      <c r="E4996" s="1542">
        <v>1314.6</v>
      </c>
    </row>
    <row r="4997" spans="1:5">
      <c r="A4997" s="1541">
        <v>39020</v>
      </c>
      <c r="B4997" s="1542">
        <v>7997.15</v>
      </c>
      <c r="C4997" s="1542">
        <v>145.4</v>
      </c>
      <c r="D4997" s="1542">
        <v>4262.9799999999996</v>
      </c>
      <c r="E4997" s="1542">
        <v>1301.23</v>
      </c>
    </row>
    <row r="4998" spans="1:5">
      <c r="A4998" s="1541">
        <v>39019</v>
      </c>
      <c r="B4998" s="1542"/>
      <c r="C4998" s="1542"/>
      <c r="D4998" s="1542"/>
      <c r="E4998" s="1542"/>
    </row>
    <row r="4999" spans="1:5">
      <c r="A4999" s="1541">
        <v>39018</v>
      </c>
      <c r="B4999" s="1542"/>
      <c r="C4999" s="1542"/>
      <c r="D4999" s="1542"/>
      <c r="E4999" s="1542"/>
    </row>
    <row r="5000" spans="1:5">
      <c r="A5000" s="1541">
        <v>39017</v>
      </c>
      <c r="B5000" s="1542">
        <v>8101.81</v>
      </c>
      <c r="C5000" s="1542">
        <v>145.62</v>
      </c>
      <c r="D5000" s="1542">
        <v>4275.1400000000003</v>
      </c>
      <c r="E5000" s="1542">
        <v>1315.11</v>
      </c>
    </row>
    <row r="5001" spans="1:5">
      <c r="A5001" s="1541">
        <v>39016</v>
      </c>
      <c r="B5001" s="1542">
        <v>8095.06</v>
      </c>
      <c r="C5001" s="1542">
        <v>146.38999999999999</v>
      </c>
      <c r="D5001" s="1542">
        <v>4290.3999999999996</v>
      </c>
      <c r="E5001" s="1542">
        <v>1317.96</v>
      </c>
    </row>
    <row r="5002" spans="1:5">
      <c r="A5002" s="1541">
        <v>39015</v>
      </c>
      <c r="B5002" s="1542">
        <v>8071.04</v>
      </c>
      <c r="C5002" s="1542">
        <v>146.11000000000001</v>
      </c>
      <c r="D5002" s="1542">
        <v>4263.91</v>
      </c>
      <c r="E5002" s="1542">
        <v>1309.96</v>
      </c>
    </row>
    <row r="5003" spans="1:5">
      <c r="A5003" s="1541">
        <v>39014</v>
      </c>
      <c r="B5003" s="1542">
        <v>8113.94</v>
      </c>
      <c r="C5003" s="1542">
        <v>146.80000000000001</v>
      </c>
      <c r="D5003" s="1542">
        <v>4244.8999999999996</v>
      </c>
      <c r="E5003" s="1542">
        <v>1302.83</v>
      </c>
    </row>
    <row r="5004" spans="1:5">
      <c r="A5004" s="1541">
        <v>39013</v>
      </c>
      <c r="B5004" s="1542">
        <v>8048.59</v>
      </c>
      <c r="C5004" s="1542">
        <v>146.44999999999999</v>
      </c>
      <c r="D5004" s="1542">
        <v>4243.43</v>
      </c>
      <c r="E5004" s="1542">
        <v>1297.8599999999999</v>
      </c>
    </row>
    <row r="5005" spans="1:5">
      <c r="A5005" s="1541">
        <v>39012</v>
      </c>
      <c r="B5005" s="1542"/>
      <c r="C5005" s="1542"/>
      <c r="D5005" s="1542"/>
      <c r="E5005" s="1542"/>
    </row>
    <row r="5006" spans="1:5">
      <c r="A5006" s="1541">
        <v>39011</v>
      </c>
      <c r="B5006" s="1542"/>
      <c r="C5006" s="1542"/>
      <c r="D5006" s="1542"/>
      <c r="E5006" s="1542"/>
    </row>
    <row r="5007" spans="1:5">
      <c r="A5007" s="1541">
        <v>39010</v>
      </c>
      <c r="B5007" s="1542">
        <v>8047.53</v>
      </c>
      <c r="C5007" s="1542">
        <v>147.28</v>
      </c>
      <c r="D5007" s="1542">
        <v>4228.47</v>
      </c>
      <c r="E5007" s="1542">
        <v>1302.6300000000001</v>
      </c>
    </row>
    <row r="5008" spans="1:5">
      <c r="A5008" s="1541">
        <v>39009</v>
      </c>
      <c r="B5008" s="1542">
        <v>7997.75</v>
      </c>
      <c r="C5008" s="1542">
        <v>145.30000000000001</v>
      </c>
      <c r="D5008" s="1542">
        <v>4218.8599999999997</v>
      </c>
      <c r="E5008" s="1542">
        <v>1303.1600000000001</v>
      </c>
    </row>
    <row r="5009" spans="1:5">
      <c r="A5009" s="1541">
        <v>39008</v>
      </c>
      <c r="B5009" s="1542">
        <v>8022.62</v>
      </c>
      <c r="C5009" s="1542">
        <v>144.91</v>
      </c>
      <c r="D5009" s="1542">
        <v>4205.24</v>
      </c>
      <c r="E5009" s="1542">
        <v>1300.74</v>
      </c>
    </row>
    <row r="5010" spans="1:5">
      <c r="A5010" s="1541">
        <v>39007</v>
      </c>
      <c r="B5010" s="1542">
        <v>8088.39</v>
      </c>
      <c r="C5010" s="1542">
        <v>146.06</v>
      </c>
      <c r="D5010" s="1542">
        <v>4193.2</v>
      </c>
      <c r="E5010" s="1542">
        <v>1295.98</v>
      </c>
    </row>
    <row r="5011" spans="1:5">
      <c r="A5011" s="1541">
        <v>39006</v>
      </c>
      <c r="B5011" s="1542">
        <v>8175.6</v>
      </c>
      <c r="C5011" s="1542">
        <v>147.18</v>
      </c>
      <c r="D5011" s="1542">
        <v>4214.8100000000004</v>
      </c>
      <c r="E5011" s="1542">
        <v>1304.82</v>
      </c>
    </row>
    <row r="5012" spans="1:5">
      <c r="A5012" s="1541">
        <v>39005</v>
      </c>
      <c r="B5012" s="1542"/>
      <c r="C5012" s="1542"/>
      <c r="D5012" s="1542"/>
      <c r="E5012" s="1542"/>
    </row>
    <row r="5013" spans="1:5">
      <c r="A5013" s="1541">
        <v>39004</v>
      </c>
      <c r="B5013" s="1542">
        <v>8090.34</v>
      </c>
      <c r="C5013" s="1542">
        <v>146.62</v>
      </c>
      <c r="D5013" s="1542"/>
      <c r="E5013" s="1542"/>
    </row>
    <row r="5014" spans="1:5">
      <c r="A5014" s="1541">
        <v>39003</v>
      </c>
      <c r="B5014" s="1542">
        <v>8081.13</v>
      </c>
      <c r="C5014" s="1542">
        <v>147.26</v>
      </c>
      <c r="D5014" s="1542">
        <v>4193.57</v>
      </c>
      <c r="E5014" s="1542">
        <v>1296.78</v>
      </c>
    </row>
    <row r="5015" spans="1:5">
      <c r="A5015" s="1541">
        <v>39002</v>
      </c>
      <c r="B5015" s="1542">
        <v>7984.85</v>
      </c>
      <c r="C5015" s="1542">
        <v>145.6</v>
      </c>
      <c r="D5015" s="1542">
        <v>4183.96</v>
      </c>
      <c r="E5015" s="1542">
        <v>1275.52</v>
      </c>
    </row>
    <row r="5016" spans="1:5">
      <c r="A5016" s="1541">
        <v>39001</v>
      </c>
      <c r="B5016" s="1542">
        <v>8010.1</v>
      </c>
      <c r="C5016" s="1542">
        <v>145.04</v>
      </c>
      <c r="D5016" s="1542">
        <v>4154.6099999999997</v>
      </c>
      <c r="E5016" s="1542">
        <v>1267.99</v>
      </c>
    </row>
    <row r="5017" spans="1:5">
      <c r="A5017" s="1541">
        <v>39000</v>
      </c>
      <c r="B5017" s="1542"/>
      <c r="C5017" s="1542"/>
      <c r="D5017" s="1542">
        <v>4161.93</v>
      </c>
      <c r="E5017" s="1542">
        <v>1268.5999999999999</v>
      </c>
    </row>
    <row r="5018" spans="1:5">
      <c r="A5018" s="1541">
        <v>38999</v>
      </c>
      <c r="B5018" s="1542"/>
      <c r="C5018" s="1542"/>
      <c r="D5018" s="1542">
        <v>4155.13</v>
      </c>
      <c r="E5018" s="1542">
        <v>1262.3800000000001</v>
      </c>
    </row>
    <row r="5019" spans="1:5">
      <c r="A5019" s="1541">
        <v>38998</v>
      </c>
      <c r="B5019" s="1542"/>
      <c r="C5019" s="1542"/>
      <c r="D5019" s="1542"/>
      <c r="E5019" s="1542"/>
    </row>
    <row r="5020" spans="1:5">
      <c r="A5020" s="1541">
        <v>38997</v>
      </c>
      <c r="B5020" s="1542"/>
      <c r="C5020" s="1542"/>
      <c r="D5020" s="1542"/>
      <c r="E5020" s="1542"/>
    </row>
    <row r="5021" spans="1:5">
      <c r="A5021" s="1541">
        <v>38996</v>
      </c>
      <c r="B5021" s="1542"/>
      <c r="C5021" s="1542"/>
      <c r="D5021" s="1542">
        <v>4149.99</v>
      </c>
      <c r="E5021" s="1542">
        <v>1264.3499999999999</v>
      </c>
    </row>
    <row r="5022" spans="1:5">
      <c r="A5022" s="1541">
        <v>38995</v>
      </c>
      <c r="B5022" s="1542">
        <v>7999.33</v>
      </c>
      <c r="C5022" s="1542">
        <v>145.44</v>
      </c>
      <c r="D5022" s="1542">
        <v>4170.32</v>
      </c>
      <c r="E5022" s="1542">
        <v>1265.8900000000001</v>
      </c>
    </row>
    <row r="5023" spans="1:5">
      <c r="A5023" s="1541">
        <v>38994</v>
      </c>
      <c r="B5023" s="1542">
        <v>7859.47</v>
      </c>
      <c r="C5023" s="1542">
        <v>143.99</v>
      </c>
      <c r="D5023" s="1542">
        <v>4141.7299999999996</v>
      </c>
      <c r="E5023" s="1542">
        <v>1248.94</v>
      </c>
    </row>
    <row r="5024" spans="1:5">
      <c r="A5024" s="1541">
        <v>38993</v>
      </c>
      <c r="B5024" s="1542">
        <v>7952.72</v>
      </c>
      <c r="C5024" s="1542">
        <v>144.15</v>
      </c>
      <c r="D5024" s="1542">
        <v>4117.24</v>
      </c>
      <c r="E5024" s="1542">
        <v>1251.1199999999999</v>
      </c>
    </row>
    <row r="5025" spans="1:5">
      <c r="A5025" s="1541">
        <v>38992</v>
      </c>
      <c r="B5025" s="1542">
        <v>7957.37</v>
      </c>
      <c r="C5025" s="1542">
        <v>142.91</v>
      </c>
      <c r="D5025" s="1542">
        <v>4124.09</v>
      </c>
      <c r="E5025" s="1542">
        <v>1259.69</v>
      </c>
    </row>
    <row r="5026" spans="1:5">
      <c r="A5026" s="1541">
        <v>38991</v>
      </c>
      <c r="B5026" s="1542"/>
      <c r="C5026" s="1542"/>
      <c r="D5026" s="1542"/>
      <c r="E5026" s="1542"/>
    </row>
    <row r="5027" spans="1:5">
      <c r="A5027" s="1541">
        <v>38990</v>
      </c>
      <c r="B5027" s="1542"/>
      <c r="C5027" s="1542"/>
      <c r="D5027" s="1542"/>
      <c r="E5027" s="1542"/>
    </row>
    <row r="5028" spans="1:5">
      <c r="A5028" s="1541">
        <v>38989</v>
      </c>
      <c r="B5028" s="1542">
        <v>7868.25</v>
      </c>
      <c r="C5028" s="1542">
        <v>143.21</v>
      </c>
      <c r="D5028" s="1542">
        <v>4117.43</v>
      </c>
      <c r="E5028" s="1542">
        <v>1254.92</v>
      </c>
    </row>
    <row r="5029" spans="1:5">
      <c r="A5029" s="1541">
        <v>38988</v>
      </c>
      <c r="B5029" s="1542">
        <v>7870.61</v>
      </c>
      <c r="C5029" s="1542">
        <v>142.21</v>
      </c>
      <c r="D5029" s="1542">
        <v>4124.6899999999996</v>
      </c>
      <c r="E5029" s="1542">
        <v>1258.77</v>
      </c>
    </row>
    <row r="5030" spans="1:5">
      <c r="A5030" s="1541">
        <v>38987</v>
      </c>
      <c r="B5030" s="1542">
        <v>7940.49</v>
      </c>
      <c r="C5030" s="1542">
        <v>143.31</v>
      </c>
      <c r="D5030" s="1542">
        <v>4118.68</v>
      </c>
      <c r="E5030" s="1542">
        <v>1251.44</v>
      </c>
    </row>
    <row r="5031" spans="1:5">
      <c r="A5031" s="1541">
        <v>38986</v>
      </c>
      <c r="B5031" s="1542">
        <v>7889.6</v>
      </c>
      <c r="C5031" s="1542">
        <v>143.11000000000001</v>
      </c>
      <c r="D5031" s="1542">
        <v>4090.85</v>
      </c>
      <c r="E5031" s="1542">
        <v>1238.6199999999999</v>
      </c>
    </row>
    <row r="5032" spans="1:5">
      <c r="A5032" s="1541">
        <v>38985</v>
      </c>
      <c r="B5032" s="1542">
        <v>7900.41</v>
      </c>
      <c r="C5032" s="1542">
        <v>143.76</v>
      </c>
      <c r="D5032" s="1542">
        <v>4066.32</v>
      </c>
      <c r="E5032" s="1542">
        <v>1230.0899999999999</v>
      </c>
    </row>
    <row r="5033" spans="1:5">
      <c r="A5033" s="1541">
        <v>38984</v>
      </c>
      <c r="B5033" s="1542"/>
      <c r="C5033" s="1542"/>
      <c r="D5033" s="1542"/>
      <c r="E5033" s="1542"/>
    </row>
    <row r="5034" spans="1:5">
      <c r="A5034" s="1541">
        <v>38983</v>
      </c>
      <c r="B5034" s="1542"/>
      <c r="C5034" s="1542"/>
      <c r="D5034" s="1542"/>
      <c r="E5034" s="1542"/>
    </row>
    <row r="5035" spans="1:5">
      <c r="A5035" s="1541">
        <v>38982</v>
      </c>
      <c r="B5035" s="1542">
        <v>7871.14</v>
      </c>
      <c r="C5035" s="1542">
        <v>143.85</v>
      </c>
      <c r="D5035" s="1542">
        <v>4057.8</v>
      </c>
      <c r="E5035" s="1542">
        <v>1233.3499999999999</v>
      </c>
    </row>
    <row r="5036" spans="1:5">
      <c r="A5036" s="1541">
        <v>38981</v>
      </c>
      <c r="B5036" s="1542">
        <v>7875.82</v>
      </c>
      <c r="C5036" s="1542">
        <v>143.16999999999999</v>
      </c>
      <c r="D5036" s="1542">
        <v>4074.74</v>
      </c>
      <c r="E5036" s="1542">
        <v>1248.8399999999999</v>
      </c>
    </row>
    <row r="5037" spans="1:5">
      <c r="A5037" s="1541">
        <v>38980</v>
      </c>
      <c r="B5037" s="1542">
        <v>7861.97</v>
      </c>
      <c r="C5037" s="1542">
        <v>143.1</v>
      </c>
      <c r="D5037" s="1542">
        <v>4072.26</v>
      </c>
      <c r="E5037" s="1542">
        <v>1254.06</v>
      </c>
    </row>
    <row r="5038" spans="1:5">
      <c r="A5038" s="1541">
        <v>38979</v>
      </c>
      <c r="B5038" s="1542">
        <v>7866.52</v>
      </c>
      <c r="C5038" s="1542">
        <v>143.27000000000001</v>
      </c>
      <c r="D5038" s="1542">
        <v>4058.21</v>
      </c>
      <c r="E5038" s="1542">
        <v>1260.3</v>
      </c>
    </row>
    <row r="5039" spans="1:5">
      <c r="A5039" s="1541">
        <v>38978</v>
      </c>
      <c r="B5039" s="1542">
        <v>7867.13</v>
      </c>
      <c r="C5039" s="1542">
        <v>143.69</v>
      </c>
      <c r="D5039" s="1542">
        <v>4066.48</v>
      </c>
      <c r="E5039" s="1542">
        <v>1261.1300000000001</v>
      </c>
    </row>
    <row r="5040" spans="1:5">
      <c r="A5040" s="1541">
        <v>38977</v>
      </c>
      <c r="B5040" s="1542"/>
      <c r="C5040" s="1542"/>
      <c r="D5040" s="1542"/>
      <c r="E5040" s="1542"/>
    </row>
    <row r="5041" spans="1:5">
      <c r="A5041" s="1541">
        <v>38976</v>
      </c>
      <c r="B5041" s="1542"/>
      <c r="C5041" s="1542"/>
      <c r="D5041" s="1542"/>
      <c r="E5041" s="1542"/>
    </row>
    <row r="5042" spans="1:5">
      <c r="A5042" s="1541">
        <v>38975</v>
      </c>
      <c r="B5042" s="1542">
        <v>7633.8</v>
      </c>
      <c r="C5042" s="1542">
        <v>138.82</v>
      </c>
      <c r="D5042" s="1542">
        <v>4058.82</v>
      </c>
      <c r="E5042" s="1542">
        <v>1243.53</v>
      </c>
    </row>
    <row r="5043" spans="1:5">
      <c r="A5043" s="1541">
        <v>38974</v>
      </c>
      <c r="B5043" s="1542">
        <v>7539.6</v>
      </c>
      <c r="C5043" s="1542">
        <v>136.82</v>
      </c>
      <c r="D5043" s="1542">
        <v>4063.26</v>
      </c>
      <c r="E5043" s="1542">
        <v>1239.69</v>
      </c>
    </row>
    <row r="5044" spans="1:5">
      <c r="A5044" s="1541">
        <v>38973</v>
      </c>
      <c r="B5044" s="1542">
        <v>7613.17</v>
      </c>
      <c r="C5044" s="1542">
        <v>139.91</v>
      </c>
      <c r="D5044" s="1542">
        <v>4053.95</v>
      </c>
      <c r="E5044" s="1542">
        <v>1236.6099999999999</v>
      </c>
    </row>
    <row r="5045" spans="1:5">
      <c r="A5045" s="1541">
        <v>38972</v>
      </c>
      <c r="B5045" s="1542">
        <v>7568.23</v>
      </c>
      <c r="C5045" s="1542">
        <v>140.66999999999999</v>
      </c>
      <c r="D5045" s="1542">
        <v>4040.5</v>
      </c>
      <c r="E5045" s="1542">
        <v>1224.31</v>
      </c>
    </row>
    <row r="5046" spans="1:5">
      <c r="A5046" s="1541">
        <v>38971</v>
      </c>
      <c r="B5046" s="1542">
        <v>7645.87</v>
      </c>
      <c r="C5046" s="1542">
        <v>143.54</v>
      </c>
      <c r="D5046" s="1542">
        <v>4005.72</v>
      </c>
      <c r="E5046" s="1542">
        <v>1216.1600000000001</v>
      </c>
    </row>
    <row r="5047" spans="1:5">
      <c r="A5047" s="1541">
        <v>38970</v>
      </c>
      <c r="B5047" s="1542"/>
      <c r="C5047" s="1542"/>
      <c r="D5047" s="1542"/>
      <c r="E5047" s="1542"/>
    </row>
    <row r="5048" spans="1:5">
      <c r="A5048" s="1541">
        <v>38969</v>
      </c>
      <c r="B5048" s="1542"/>
      <c r="C5048" s="1542"/>
      <c r="D5048" s="1542"/>
      <c r="E5048" s="1542"/>
    </row>
    <row r="5049" spans="1:5">
      <c r="A5049" s="1541">
        <v>38968</v>
      </c>
      <c r="B5049" s="1542">
        <v>7644.58</v>
      </c>
      <c r="C5049" s="1542">
        <v>142.38999999999999</v>
      </c>
      <c r="D5049" s="1542">
        <v>4025.79</v>
      </c>
      <c r="E5049" s="1542">
        <v>1240.6500000000001</v>
      </c>
    </row>
    <row r="5050" spans="1:5">
      <c r="A5050" s="1541">
        <v>38967</v>
      </c>
      <c r="B5050" s="1542">
        <v>7635.45</v>
      </c>
      <c r="C5050" s="1542">
        <v>141.76</v>
      </c>
      <c r="D5050" s="1542">
        <v>4021.4</v>
      </c>
      <c r="E5050" s="1542">
        <v>1241.5899999999999</v>
      </c>
    </row>
    <row r="5051" spans="1:5">
      <c r="A5051" s="1541">
        <v>38966</v>
      </c>
      <c r="B5051" s="1542">
        <v>7638.64</v>
      </c>
      <c r="C5051" s="1542">
        <v>141.43</v>
      </c>
      <c r="D5051" s="1542">
        <v>4059.73</v>
      </c>
      <c r="E5051" s="1542">
        <v>1257.58</v>
      </c>
    </row>
    <row r="5052" spans="1:5">
      <c r="A5052" s="1541">
        <v>38965</v>
      </c>
      <c r="B5052" s="1542">
        <v>7691.43</v>
      </c>
      <c r="C5052" s="1542">
        <v>141.97999999999999</v>
      </c>
      <c r="D5052" s="1542">
        <v>4103.9799999999996</v>
      </c>
      <c r="E5052" s="1542">
        <v>1271.0999999999999</v>
      </c>
    </row>
    <row r="5053" spans="1:5">
      <c r="A5053" s="1541">
        <v>38964</v>
      </c>
      <c r="B5053" s="1542">
        <v>7709.54</v>
      </c>
      <c r="C5053" s="1542">
        <v>142.55000000000001</v>
      </c>
      <c r="D5053" s="1542">
        <v>4110.42</v>
      </c>
      <c r="E5053" s="1542">
        <v>1271.99</v>
      </c>
    </row>
    <row r="5054" spans="1:5">
      <c r="A5054" s="1541">
        <v>38963</v>
      </c>
      <c r="B5054" s="1542"/>
      <c r="C5054" s="1542"/>
      <c r="D5054" s="1542"/>
      <c r="E5054" s="1542"/>
    </row>
    <row r="5055" spans="1:5">
      <c r="A5055" s="1541">
        <v>38962</v>
      </c>
      <c r="B5055" s="1542"/>
      <c r="C5055" s="1542"/>
      <c r="D5055" s="1542"/>
      <c r="E5055" s="1542"/>
    </row>
    <row r="5056" spans="1:5">
      <c r="A5056" s="1541">
        <v>38961</v>
      </c>
      <c r="B5056" s="1542">
        <v>7595.79</v>
      </c>
      <c r="C5056" s="1542">
        <v>140.43</v>
      </c>
      <c r="D5056" s="1542">
        <v>4086.7</v>
      </c>
      <c r="E5056" s="1542">
        <v>1253.29</v>
      </c>
    </row>
    <row r="5057" spans="1:5">
      <c r="A5057" s="1541">
        <v>38960</v>
      </c>
      <c r="B5057" s="1542">
        <v>7550.08</v>
      </c>
      <c r="C5057" s="1542">
        <v>138.97</v>
      </c>
      <c r="D5057" s="1542">
        <v>4067.75</v>
      </c>
      <c r="E5057" s="1542">
        <v>1244.46</v>
      </c>
    </row>
    <row r="5058" spans="1:5">
      <c r="A5058" s="1541">
        <v>38959</v>
      </c>
      <c r="B5058" s="1542">
        <v>7521.04</v>
      </c>
      <c r="C5058" s="1542">
        <v>137.88999999999999</v>
      </c>
      <c r="D5058" s="1542">
        <v>4067.14</v>
      </c>
      <c r="E5058" s="1542">
        <v>1250.45</v>
      </c>
    </row>
    <row r="5059" spans="1:5">
      <c r="A5059" s="1541">
        <v>38958</v>
      </c>
      <c r="B5059" s="1542">
        <v>7398.41</v>
      </c>
      <c r="C5059" s="1542">
        <v>134.87</v>
      </c>
      <c r="D5059" s="1542">
        <v>4050.87</v>
      </c>
      <c r="E5059" s="1542">
        <v>1241.05</v>
      </c>
    </row>
    <row r="5060" spans="1:5">
      <c r="A5060" s="1541">
        <v>38957</v>
      </c>
      <c r="B5060" s="1542">
        <v>7358.15</v>
      </c>
      <c r="C5060" s="1542">
        <v>134.72</v>
      </c>
      <c r="D5060" s="1542">
        <v>4041.28</v>
      </c>
      <c r="E5060" s="1542">
        <v>1232.28</v>
      </c>
    </row>
    <row r="5061" spans="1:5">
      <c r="A5061" s="1541">
        <v>38956</v>
      </c>
      <c r="B5061" s="1542"/>
      <c r="C5061" s="1542"/>
      <c r="D5061" s="1542"/>
      <c r="E5061" s="1542"/>
    </row>
    <row r="5062" spans="1:5">
      <c r="A5062" s="1541">
        <v>38955</v>
      </c>
      <c r="B5062" s="1542"/>
      <c r="C5062" s="1542"/>
      <c r="D5062" s="1542"/>
      <c r="E5062" s="1542"/>
    </row>
    <row r="5063" spans="1:5">
      <c r="A5063" s="1541">
        <v>38954</v>
      </c>
      <c r="B5063" s="1542">
        <v>7451.15</v>
      </c>
      <c r="C5063" s="1542">
        <v>136.97999999999999</v>
      </c>
      <c r="D5063" s="1542">
        <v>4024.8</v>
      </c>
      <c r="E5063" s="1542">
        <v>1232.8499999999999</v>
      </c>
    </row>
    <row r="5064" spans="1:5">
      <c r="A5064" s="1541">
        <v>38953</v>
      </c>
      <c r="B5064" s="1542">
        <v>7476.85</v>
      </c>
      <c r="C5064" s="1542">
        <v>137.44</v>
      </c>
      <c r="D5064" s="1542">
        <v>4034.91</v>
      </c>
      <c r="E5064" s="1542">
        <v>1230.92</v>
      </c>
    </row>
    <row r="5065" spans="1:5">
      <c r="A5065" s="1541">
        <v>38952</v>
      </c>
      <c r="B5065" s="1542">
        <v>7477.51</v>
      </c>
      <c r="C5065" s="1542">
        <v>136.61000000000001</v>
      </c>
      <c r="D5065" s="1542">
        <v>4034.77</v>
      </c>
      <c r="E5065" s="1542">
        <v>1238.97</v>
      </c>
    </row>
    <row r="5066" spans="1:5">
      <c r="A5066" s="1541">
        <v>38951</v>
      </c>
      <c r="B5066" s="1542">
        <v>7515.91</v>
      </c>
      <c r="C5066" s="1542">
        <v>136.85</v>
      </c>
      <c r="D5066" s="1542">
        <v>4051.17</v>
      </c>
      <c r="E5066" s="1542">
        <v>1249.53</v>
      </c>
    </row>
    <row r="5067" spans="1:5">
      <c r="A5067" s="1541">
        <v>38950</v>
      </c>
      <c r="B5067" s="1542">
        <v>7418.51</v>
      </c>
      <c r="C5067" s="1542">
        <v>134.66999999999999</v>
      </c>
      <c r="D5067" s="1542">
        <v>4051.66</v>
      </c>
      <c r="E5067" s="1542">
        <v>1242.2</v>
      </c>
    </row>
    <row r="5068" spans="1:5">
      <c r="A5068" s="1541">
        <v>38949</v>
      </c>
      <c r="B5068" s="1542"/>
      <c r="C5068" s="1542"/>
      <c r="D5068" s="1542"/>
      <c r="E5068" s="1542"/>
    </row>
    <row r="5069" spans="1:5">
      <c r="A5069" s="1541">
        <v>38948</v>
      </c>
      <c r="B5069" s="1542"/>
      <c r="C5069" s="1542"/>
      <c r="D5069" s="1542"/>
      <c r="E5069" s="1542"/>
    </row>
    <row r="5070" spans="1:5">
      <c r="A5070" s="1541">
        <v>38947</v>
      </c>
      <c r="B5070" s="1542">
        <v>7662.14</v>
      </c>
      <c r="C5070" s="1542">
        <v>140.22999999999999</v>
      </c>
      <c r="D5070" s="1542">
        <v>4053.13</v>
      </c>
      <c r="E5070" s="1542">
        <v>1250.27</v>
      </c>
    </row>
    <row r="5071" spans="1:5">
      <c r="A5071" s="1541">
        <v>38946</v>
      </c>
      <c r="B5071" s="1542">
        <v>7675.58</v>
      </c>
      <c r="C5071" s="1542">
        <v>140.87</v>
      </c>
      <c r="D5071" s="1542">
        <v>4052.6</v>
      </c>
      <c r="E5071" s="1542">
        <v>1260.33</v>
      </c>
    </row>
    <row r="5072" spans="1:5">
      <c r="A5072" s="1541">
        <v>38945</v>
      </c>
      <c r="B5072" s="1542">
        <v>7623.59</v>
      </c>
      <c r="C5072" s="1542">
        <v>140.38999999999999</v>
      </c>
      <c r="D5072" s="1542">
        <v>4043.71</v>
      </c>
      <c r="E5072" s="1542">
        <v>1255.1199999999999</v>
      </c>
    </row>
    <row r="5073" spans="1:5">
      <c r="A5073" s="1541">
        <v>38944</v>
      </c>
      <c r="B5073" s="1542">
        <v>7529.13</v>
      </c>
      <c r="C5073" s="1542">
        <v>139.33000000000001</v>
      </c>
      <c r="D5073" s="1542">
        <v>4003.29</v>
      </c>
      <c r="E5073" s="1542">
        <v>1236.96</v>
      </c>
    </row>
    <row r="5074" spans="1:5">
      <c r="A5074" s="1541">
        <v>38943</v>
      </c>
      <c r="B5074" s="1542">
        <v>7524.54</v>
      </c>
      <c r="C5074" s="1542">
        <v>139.16999999999999</v>
      </c>
      <c r="D5074" s="1542">
        <v>3956.19</v>
      </c>
      <c r="E5074" s="1542">
        <v>1232.49</v>
      </c>
    </row>
    <row r="5075" spans="1:5">
      <c r="A5075" s="1541">
        <v>38942</v>
      </c>
      <c r="B5075" s="1542"/>
      <c r="C5075" s="1542"/>
      <c r="D5075" s="1542"/>
      <c r="E5075" s="1542"/>
    </row>
    <row r="5076" spans="1:5">
      <c r="A5076" s="1541">
        <v>38941</v>
      </c>
      <c r="B5076" s="1542"/>
      <c r="C5076" s="1542"/>
      <c r="D5076" s="1542"/>
      <c r="E5076" s="1542"/>
    </row>
    <row r="5077" spans="1:5">
      <c r="A5077" s="1541">
        <v>38940</v>
      </c>
      <c r="B5077" s="1542">
        <v>7474.43</v>
      </c>
      <c r="C5077" s="1542">
        <v>139.12</v>
      </c>
      <c r="D5077" s="1542">
        <v>3941.88</v>
      </c>
      <c r="E5077" s="1542">
        <v>1235.3499999999999</v>
      </c>
    </row>
    <row r="5078" spans="1:5">
      <c r="A5078" s="1541">
        <v>38939</v>
      </c>
      <c r="B5078" s="1542">
        <v>7481.92</v>
      </c>
      <c r="C5078" s="1542">
        <v>138.55000000000001</v>
      </c>
      <c r="D5078" s="1542">
        <v>3952.52</v>
      </c>
      <c r="E5078" s="1542">
        <v>1234.51</v>
      </c>
    </row>
    <row r="5079" spans="1:5">
      <c r="A5079" s="1541">
        <v>38938</v>
      </c>
      <c r="B5079" s="1542">
        <v>7454.19</v>
      </c>
      <c r="C5079" s="1542">
        <v>137.28</v>
      </c>
      <c r="D5079" s="1542">
        <v>3966.13</v>
      </c>
      <c r="E5079" s="1542">
        <v>1240.82</v>
      </c>
    </row>
    <row r="5080" spans="1:5">
      <c r="A5080" s="1541">
        <v>38937</v>
      </c>
      <c r="B5080" s="1542">
        <v>7370.27</v>
      </c>
      <c r="C5080" s="1542">
        <v>135.31</v>
      </c>
      <c r="D5080" s="1542">
        <v>3956.31</v>
      </c>
      <c r="E5080" s="1542">
        <v>1228.94</v>
      </c>
    </row>
    <row r="5081" spans="1:5">
      <c r="A5081" s="1541">
        <v>38936</v>
      </c>
      <c r="B5081" s="1542">
        <v>7266.14</v>
      </c>
      <c r="C5081" s="1542">
        <v>133.76</v>
      </c>
      <c r="D5081" s="1542">
        <v>3956.62</v>
      </c>
      <c r="E5081" s="1542">
        <v>1222.3900000000001</v>
      </c>
    </row>
    <row r="5082" spans="1:5">
      <c r="A5082" s="1541">
        <v>38935</v>
      </c>
      <c r="B5082" s="1542"/>
      <c r="C5082" s="1542"/>
      <c r="D5082" s="1542"/>
      <c r="E5082" s="1542"/>
    </row>
    <row r="5083" spans="1:5">
      <c r="A5083" s="1541">
        <v>38934</v>
      </c>
      <c r="B5083" s="1542"/>
      <c r="C5083" s="1542"/>
      <c r="D5083" s="1542"/>
      <c r="E5083" s="1542"/>
    </row>
    <row r="5084" spans="1:5">
      <c r="A5084" s="1541">
        <v>38933</v>
      </c>
      <c r="B5084" s="1542">
        <v>7291.55</v>
      </c>
      <c r="C5084" s="1542">
        <v>134.16999999999999</v>
      </c>
      <c r="D5084" s="1542">
        <v>3990.26</v>
      </c>
      <c r="E5084" s="1542">
        <v>1226.3499999999999</v>
      </c>
    </row>
    <row r="5085" spans="1:5">
      <c r="A5085" s="1541">
        <v>38932</v>
      </c>
      <c r="B5085" s="1542">
        <v>7313.03</v>
      </c>
      <c r="C5085" s="1542">
        <v>134.57</v>
      </c>
      <c r="D5085" s="1542">
        <v>3964.53</v>
      </c>
      <c r="E5085" s="1542">
        <v>1215.57</v>
      </c>
    </row>
    <row r="5086" spans="1:5">
      <c r="A5086" s="1541">
        <v>38931</v>
      </c>
      <c r="B5086" s="1542">
        <v>7312.58</v>
      </c>
      <c r="C5086" s="1542">
        <v>133.41</v>
      </c>
      <c r="D5086" s="1542">
        <v>3974.59</v>
      </c>
      <c r="E5086" s="1542">
        <v>1214.3699999999999</v>
      </c>
    </row>
    <row r="5087" spans="1:5">
      <c r="A5087" s="1541">
        <v>38930</v>
      </c>
      <c r="B5087" s="1542">
        <v>7263.98</v>
      </c>
      <c r="C5087" s="1542">
        <v>132.11000000000001</v>
      </c>
      <c r="D5087" s="1542">
        <v>3937.63</v>
      </c>
      <c r="E5087" s="1542">
        <v>1201.96</v>
      </c>
    </row>
    <row r="5088" spans="1:5">
      <c r="A5088" s="1541">
        <v>38929</v>
      </c>
      <c r="B5088" s="1542">
        <v>7260.48</v>
      </c>
      <c r="C5088" s="1542">
        <v>132.19999999999999</v>
      </c>
      <c r="D5088" s="1542">
        <v>3962.86</v>
      </c>
      <c r="E5088" s="1542">
        <v>1212.95</v>
      </c>
    </row>
    <row r="5089" spans="1:5">
      <c r="A5089" s="1541">
        <v>38928</v>
      </c>
      <c r="B5089" s="1542"/>
      <c r="C5089" s="1542"/>
      <c r="D5089" s="1542"/>
      <c r="E5089" s="1542"/>
    </row>
    <row r="5090" spans="1:5">
      <c r="A5090" s="1541">
        <v>38927</v>
      </c>
      <c r="B5090" s="1542"/>
      <c r="C5090" s="1542"/>
      <c r="D5090" s="1542"/>
      <c r="E5090" s="1542"/>
    </row>
    <row r="5091" spans="1:5">
      <c r="A5091" s="1541">
        <v>38926</v>
      </c>
      <c r="B5091" s="1542">
        <v>7288.26</v>
      </c>
      <c r="C5091" s="1542">
        <v>133.13</v>
      </c>
      <c r="D5091" s="1542">
        <v>3965.57</v>
      </c>
      <c r="E5091" s="1542">
        <v>1212.1300000000001</v>
      </c>
    </row>
    <row r="5092" spans="1:5">
      <c r="A5092" s="1541">
        <v>38925</v>
      </c>
      <c r="B5092" s="1542">
        <v>7262.52</v>
      </c>
      <c r="C5092" s="1542">
        <v>131.86000000000001</v>
      </c>
      <c r="D5092" s="1542">
        <v>3922.06</v>
      </c>
      <c r="E5092" s="1542">
        <v>1212.8599999999999</v>
      </c>
    </row>
    <row r="5093" spans="1:5">
      <c r="A5093" s="1541">
        <v>38924</v>
      </c>
      <c r="B5093" s="1542">
        <v>7166.49</v>
      </c>
      <c r="C5093" s="1542">
        <v>130.55000000000001</v>
      </c>
      <c r="D5093" s="1542">
        <v>3893.05</v>
      </c>
      <c r="E5093" s="1542">
        <v>1188.06</v>
      </c>
    </row>
    <row r="5094" spans="1:5">
      <c r="A5094" s="1541">
        <v>38923</v>
      </c>
      <c r="B5094" s="1542">
        <v>7161.35</v>
      </c>
      <c r="C5094" s="1542">
        <v>130.28</v>
      </c>
      <c r="D5094" s="1542">
        <v>3892.77</v>
      </c>
      <c r="E5094" s="1542">
        <v>1185.69</v>
      </c>
    </row>
    <row r="5095" spans="1:5">
      <c r="A5095" s="1541">
        <v>38922</v>
      </c>
      <c r="B5095" s="1542">
        <v>7104.49</v>
      </c>
      <c r="C5095" s="1542">
        <v>129.18</v>
      </c>
      <c r="D5095" s="1542">
        <v>3868.39</v>
      </c>
      <c r="E5095" s="1542">
        <v>1172.44</v>
      </c>
    </row>
    <row r="5096" spans="1:5">
      <c r="A5096" s="1541">
        <v>38921</v>
      </c>
      <c r="B5096" s="1542"/>
      <c r="C5096" s="1542"/>
      <c r="D5096" s="1542"/>
      <c r="E5096" s="1542"/>
    </row>
    <row r="5097" spans="1:5">
      <c r="A5097" s="1541">
        <v>38920</v>
      </c>
      <c r="B5097" s="1542"/>
      <c r="C5097" s="1542"/>
      <c r="D5097" s="1542"/>
      <c r="E5097" s="1542"/>
    </row>
    <row r="5098" spans="1:5">
      <c r="A5098" s="1541">
        <v>38919</v>
      </c>
      <c r="B5098" s="1542">
        <v>7169.42</v>
      </c>
      <c r="C5098" s="1542">
        <v>130.46</v>
      </c>
      <c r="D5098" s="1542">
        <v>3820.77</v>
      </c>
      <c r="E5098" s="1542">
        <v>1169.3900000000001</v>
      </c>
    </row>
    <row r="5099" spans="1:5">
      <c r="A5099" s="1541">
        <v>38918</v>
      </c>
      <c r="B5099" s="1542">
        <v>7195.13</v>
      </c>
      <c r="C5099" s="1542">
        <v>130.63</v>
      </c>
      <c r="D5099" s="1542">
        <v>3845.74</v>
      </c>
      <c r="E5099" s="1542">
        <v>1177.53</v>
      </c>
    </row>
    <row r="5100" spans="1:5">
      <c r="A5100" s="1541">
        <v>38917</v>
      </c>
      <c r="B5100" s="1542">
        <v>6997.04</v>
      </c>
      <c r="C5100" s="1542">
        <v>127.58</v>
      </c>
      <c r="D5100" s="1542">
        <v>3836.42</v>
      </c>
      <c r="E5100" s="1542">
        <v>1156.6099999999999</v>
      </c>
    </row>
    <row r="5101" spans="1:5">
      <c r="A5101" s="1541">
        <v>38916</v>
      </c>
      <c r="B5101" s="1542">
        <v>7004.4</v>
      </c>
      <c r="C5101" s="1542">
        <v>127.67</v>
      </c>
      <c r="D5101" s="1542">
        <v>3764.11</v>
      </c>
      <c r="E5101" s="1542">
        <v>1139.76</v>
      </c>
    </row>
    <row r="5102" spans="1:5">
      <c r="A5102" s="1541">
        <v>38915</v>
      </c>
      <c r="B5102" s="1542">
        <v>6952.55</v>
      </c>
      <c r="C5102" s="1542">
        <v>125.4</v>
      </c>
      <c r="D5102" s="1542">
        <v>3779.36</v>
      </c>
      <c r="E5102" s="1542">
        <v>1137.58</v>
      </c>
    </row>
    <row r="5103" spans="1:5">
      <c r="A5103" s="1541">
        <v>38914</v>
      </c>
      <c r="B5103" s="1542"/>
      <c r="C5103" s="1542"/>
      <c r="D5103" s="1542"/>
      <c r="E5103" s="1542"/>
    </row>
    <row r="5104" spans="1:5">
      <c r="A5104" s="1541">
        <v>38913</v>
      </c>
      <c r="B5104" s="1542"/>
      <c r="C5104" s="1542"/>
      <c r="D5104" s="1542"/>
      <c r="E5104" s="1542"/>
    </row>
    <row r="5105" spans="1:5">
      <c r="A5105" s="1541">
        <v>38912</v>
      </c>
      <c r="B5105" s="1542">
        <v>7140.77</v>
      </c>
      <c r="C5105" s="1542">
        <v>129.94999999999999</v>
      </c>
      <c r="D5105" s="1542">
        <v>3804.97</v>
      </c>
      <c r="E5105" s="1542">
        <v>1157.32</v>
      </c>
    </row>
    <row r="5106" spans="1:5">
      <c r="A5106" s="1541">
        <v>38911</v>
      </c>
      <c r="B5106" s="1542">
        <v>7295.53</v>
      </c>
      <c r="C5106" s="1542">
        <v>132.16999999999999</v>
      </c>
      <c r="D5106" s="1542">
        <v>3850.38</v>
      </c>
      <c r="E5106" s="1542">
        <v>1176.3399999999999</v>
      </c>
    </row>
    <row r="5107" spans="1:5">
      <c r="A5107" s="1541">
        <v>38910</v>
      </c>
      <c r="B5107" s="1542">
        <v>7360.18</v>
      </c>
      <c r="C5107" s="1542">
        <v>133</v>
      </c>
      <c r="D5107" s="1542">
        <v>3897.92</v>
      </c>
      <c r="E5107" s="1542">
        <v>1205.25</v>
      </c>
    </row>
    <row r="5108" spans="1:5">
      <c r="A5108" s="1541">
        <v>38909</v>
      </c>
      <c r="B5108" s="1542">
        <v>7364.36</v>
      </c>
      <c r="C5108" s="1542">
        <v>132.27000000000001</v>
      </c>
      <c r="D5108" s="1542">
        <v>3933.94</v>
      </c>
      <c r="E5108" s="1542">
        <v>1205.3499999999999</v>
      </c>
    </row>
    <row r="5109" spans="1:5">
      <c r="A5109" s="1541">
        <v>38908</v>
      </c>
      <c r="B5109" s="1542">
        <v>7403.56</v>
      </c>
      <c r="C5109" s="1542">
        <v>132.4</v>
      </c>
      <c r="D5109" s="1542">
        <v>3939.26</v>
      </c>
      <c r="E5109" s="1542">
        <v>1210.23</v>
      </c>
    </row>
    <row r="5110" spans="1:5">
      <c r="A5110" s="1541">
        <v>38907</v>
      </c>
      <c r="B5110" s="1542"/>
      <c r="C5110" s="1542"/>
      <c r="D5110" s="1542"/>
      <c r="E5110" s="1542"/>
    </row>
    <row r="5111" spans="1:5">
      <c r="A5111" s="1541">
        <v>38906</v>
      </c>
      <c r="B5111" s="1542"/>
      <c r="C5111" s="1542"/>
      <c r="D5111" s="1542"/>
      <c r="E5111" s="1542"/>
    </row>
    <row r="5112" spans="1:5">
      <c r="A5112" s="1541">
        <v>38905</v>
      </c>
      <c r="B5112" s="1542">
        <v>7378.61</v>
      </c>
      <c r="C5112" s="1542">
        <v>132.54</v>
      </c>
      <c r="D5112" s="1542">
        <v>3936.94</v>
      </c>
      <c r="E5112" s="1542">
        <v>1202.95</v>
      </c>
    </row>
    <row r="5113" spans="1:5">
      <c r="A5113" s="1541">
        <v>38904</v>
      </c>
      <c r="B5113" s="1542">
        <v>7376.61</v>
      </c>
      <c r="C5113" s="1542">
        <v>133.08000000000001</v>
      </c>
      <c r="D5113" s="1542">
        <v>3939.64</v>
      </c>
      <c r="E5113" s="1542">
        <v>1199.81</v>
      </c>
    </row>
    <row r="5114" spans="1:5">
      <c r="A5114" s="1541">
        <v>38903</v>
      </c>
      <c r="B5114" s="1542">
        <v>7373.22</v>
      </c>
      <c r="C5114" s="1542">
        <v>131.69</v>
      </c>
      <c r="D5114" s="1542">
        <v>3921.35</v>
      </c>
      <c r="E5114" s="1542">
        <v>1193.6099999999999</v>
      </c>
    </row>
    <row r="5115" spans="1:5">
      <c r="A5115" s="1541">
        <v>38902</v>
      </c>
      <c r="B5115" s="1542">
        <v>7443.03</v>
      </c>
      <c r="C5115" s="1542">
        <v>132.94999999999999</v>
      </c>
      <c r="D5115" s="1542">
        <v>3970.67</v>
      </c>
      <c r="E5115" s="1542">
        <v>1220.33</v>
      </c>
    </row>
    <row r="5116" spans="1:5">
      <c r="A5116" s="1541">
        <v>38901</v>
      </c>
      <c r="B5116" s="1542">
        <v>7422.82</v>
      </c>
      <c r="C5116" s="1542">
        <v>131.97999999999999</v>
      </c>
      <c r="D5116" s="1542">
        <v>3962.39</v>
      </c>
      <c r="E5116" s="1542">
        <v>1214.1500000000001</v>
      </c>
    </row>
    <row r="5117" spans="1:5">
      <c r="A5117" s="1541">
        <v>38900</v>
      </c>
      <c r="B5117" s="1542"/>
      <c r="C5117" s="1542"/>
      <c r="D5117" s="1542"/>
      <c r="E5117" s="1542"/>
    </row>
    <row r="5118" spans="1:5">
      <c r="A5118" s="1541">
        <v>38899</v>
      </c>
      <c r="B5118" s="1542"/>
      <c r="C5118" s="1542"/>
      <c r="D5118" s="1542"/>
      <c r="E5118" s="1542"/>
    </row>
    <row r="5119" spans="1:5">
      <c r="A5119" s="1541">
        <v>38898</v>
      </c>
      <c r="B5119" s="1542">
        <v>7406.68</v>
      </c>
      <c r="C5119" s="1542">
        <v>131.35</v>
      </c>
      <c r="D5119" s="1542">
        <v>3937.43</v>
      </c>
      <c r="E5119" s="1542">
        <v>1195.3699999999999</v>
      </c>
    </row>
    <row r="5120" spans="1:5">
      <c r="A5120" s="1541">
        <v>38897</v>
      </c>
      <c r="B5120" s="1542">
        <v>7299.02</v>
      </c>
      <c r="C5120" s="1542">
        <v>129.22</v>
      </c>
      <c r="D5120" s="1542">
        <v>3875.45</v>
      </c>
      <c r="E5120" s="1542">
        <v>1156.8900000000001</v>
      </c>
    </row>
    <row r="5121" spans="1:5">
      <c r="A5121" s="1541">
        <v>38896</v>
      </c>
      <c r="B5121" s="1542">
        <v>7222.54</v>
      </c>
      <c r="C5121" s="1542">
        <v>128.07</v>
      </c>
      <c r="D5121" s="1542">
        <v>3798.33</v>
      </c>
      <c r="E5121" s="1542">
        <v>1132.5999999999999</v>
      </c>
    </row>
    <row r="5122" spans="1:5">
      <c r="A5122" s="1541">
        <v>38895</v>
      </c>
      <c r="B5122" s="1542">
        <v>7256.56</v>
      </c>
      <c r="C5122" s="1542">
        <v>127.65</v>
      </c>
      <c r="D5122" s="1542">
        <v>3800.45</v>
      </c>
      <c r="E5122" s="1542">
        <v>1129.5999999999999</v>
      </c>
    </row>
    <row r="5123" spans="1:5">
      <c r="A5123" s="1541">
        <v>38894</v>
      </c>
      <c r="B5123" s="1542">
        <v>7201.73</v>
      </c>
      <c r="C5123" s="1542">
        <v>125.76</v>
      </c>
      <c r="D5123" s="1542">
        <v>3820.81</v>
      </c>
      <c r="E5123" s="1542">
        <v>1118.8900000000001</v>
      </c>
    </row>
    <row r="5124" spans="1:5">
      <c r="A5124" s="1541">
        <v>38893</v>
      </c>
      <c r="B5124" s="1542"/>
      <c r="C5124" s="1542"/>
      <c r="D5124" s="1542"/>
      <c r="E5124" s="1542"/>
    </row>
    <row r="5125" spans="1:5">
      <c r="A5125" s="1541">
        <v>38892</v>
      </c>
      <c r="B5125" s="1542"/>
      <c r="C5125" s="1542"/>
      <c r="D5125" s="1542"/>
      <c r="E5125" s="1542"/>
    </row>
    <row r="5126" spans="1:5">
      <c r="A5126" s="1541">
        <v>38891</v>
      </c>
      <c r="B5126" s="1542">
        <v>7122.55</v>
      </c>
      <c r="C5126" s="1542">
        <v>123.26</v>
      </c>
      <c r="D5126" s="1542">
        <v>3809.3</v>
      </c>
      <c r="E5126" s="1542">
        <v>1118.7</v>
      </c>
    </row>
    <row r="5127" spans="1:5">
      <c r="A5127" s="1541">
        <v>38890</v>
      </c>
      <c r="B5127" s="1542">
        <v>7158.8</v>
      </c>
      <c r="C5127" s="1542">
        <v>123.04</v>
      </c>
      <c r="D5127" s="1542">
        <v>3815.69</v>
      </c>
      <c r="E5127" s="1542">
        <v>1123.51</v>
      </c>
    </row>
    <row r="5128" spans="1:5">
      <c r="A5128" s="1541">
        <v>38889</v>
      </c>
      <c r="B5128" s="1542">
        <v>6952.85</v>
      </c>
      <c r="C5128" s="1542">
        <v>119.05</v>
      </c>
      <c r="D5128" s="1542">
        <v>3816.89</v>
      </c>
      <c r="E5128" s="1542">
        <v>1116.3900000000001</v>
      </c>
    </row>
    <row r="5129" spans="1:5">
      <c r="A5129" s="1541">
        <v>38888</v>
      </c>
      <c r="B5129" s="1542">
        <v>7022.5</v>
      </c>
      <c r="C5129" s="1542">
        <v>123.24</v>
      </c>
      <c r="D5129" s="1542">
        <v>3787.5</v>
      </c>
      <c r="E5129" s="1542">
        <v>1107.6099999999999</v>
      </c>
    </row>
    <row r="5130" spans="1:5">
      <c r="A5130" s="1541">
        <v>38887</v>
      </c>
      <c r="B5130" s="1542">
        <v>7236.56</v>
      </c>
      <c r="C5130" s="1542">
        <v>127.65</v>
      </c>
      <c r="D5130" s="1542">
        <v>3782.97</v>
      </c>
      <c r="E5130" s="1542">
        <v>1120.92</v>
      </c>
    </row>
    <row r="5131" spans="1:5">
      <c r="A5131" s="1541">
        <v>38886</v>
      </c>
      <c r="B5131" s="1542"/>
      <c r="C5131" s="1542"/>
      <c r="D5131" s="1542"/>
      <c r="E5131" s="1542"/>
    </row>
    <row r="5132" spans="1:5">
      <c r="A5132" s="1541">
        <v>38885</v>
      </c>
      <c r="B5132" s="1542"/>
      <c r="C5132" s="1542"/>
      <c r="D5132" s="1542"/>
      <c r="E5132" s="1542"/>
    </row>
    <row r="5133" spans="1:5">
      <c r="A5133" s="1541">
        <v>38884</v>
      </c>
      <c r="B5133" s="1542">
        <v>7228.56</v>
      </c>
      <c r="C5133" s="1542">
        <v>128.97999999999999</v>
      </c>
      <c r="D5133" s="1542">
        <v>3809.75</v>
      </c>
      <c r="E5133" s="1542">
        <v>1128.54</v>
      </c>
    </row>
    <row r="5134" spans="1:5">
      <c r="A5134" s="1541">
        <v>38883</v>
      </c>
      <c r="B5134" s="1542">
        <v>7061.75</v>
      </c>
      <c r="C5134" s="1542">
        <v>127.04</v>
      </c>
      <c r="D5134" s="1542">
        <v>3806.64</v>
      </c>
      <c r="E5134" s="1542">
        <v>1099.8499999999999</v>
      </c>
    </row>
    <row r="5135" spans="1:5">
      <c r="A5135" s="1541">
        <v>38882</v>
      </c>
      <c r="B5135" s="1542">
        <v>7107.76</v>
      </c>
      <c r="C5135" s="1542">
        <v>128.76</v>
      </c>
      <c r="D5135" s="1542">
        <v>3728.52</v>
      </c>
      <c r="E5135" s="1542">
        <v>1075.01</v>
      </c>
    </row>
    <row r="5136" spans="1:5">
      <c r="A5136" s="1541">
        <v>38881</v>
      </c>
      <c r="B5136" s="1542">
        <v>6962.88</v>
      </c>
      <c r="C5136" s="1542">
        <v>126.63</v>
      </c>
      <c r="D5136" s="1542">
        <v>3707.68</v>
      </c>
      <c r="E5136" s="1542">
        <v>1062.17</v>
      </c>
    </row>
    <row r="5137" spans="1:5">
      <c r="A5137" s="1541">
        <v>38880</v>
      </c>
      <c r="B5137" s="1542">
        <v>7073.58</v>
      </c>
      <c r="C5137" s="1542">
        <v>128.11000000000001</v>
      </c>
      <c r="D5137" s="1542">
        <v>3783.61</v>
      </c>
      <c r="E5137" s="1542">
        <v>1109.55</v>
      </c>
    </row>
    <row r="5138" spans="1:5">
      <c r="A5138" s="1541">
        <v>38879</v>
      </c>
      <c r="B5138" s="1542"/>
      <c r="C5138" s="1542"/>
      <c r="D5138" s="1542"/>
      <c r="E5138" s="1542"/>
    </row>
    <row r="5139" spans="1:5">
      <c r="A5139" s="1541">
        <v>38878</v>
      </c>
      <c r="B5139" s="1542"/>
      <c r="C5139" s="1542"/>
      <c r="D5139" s="1542"/>
      <c r="E5139" s="1542"/>
    </row>
    <row r="5140" spans="1:5">
      <c r="A5140" s="1541">
        <v>38877</v>
      </c>
      <c r="B5140" s="1542">
        <v>7075.1</v>
      </c>
      <c r="C5140" s="1542">
        <v>128.06</v>
      </c>
      <c r="D5140" s="1542">
        <v>3826.04</v>
      </c>
      <c r="E5140" s="1542">
        <v>1127.06</v>
      </c>
    </row>
    <row r="5141" spans="1:5">
      <c r="A5141" s="1541">
        <v>38876</v>
      </c>
      <c r="B5141" s="1542">
        <v>6951.25</v>
      </c>
      <c r="C5141" s="1542">
        <v>126.52</v>
      </c>
      <c r="D5141" s="1542">
        <v>3802.82</v>
      </c>
      <c r="E5141" s="1542">
        <v>1112.99</v>
      </c>
    </row>
    <row r="5142" spans="1:5">
      <c r="A5142" s="1541">
        <v>38875</v>
      </c>
      <c r="B5142" s="1542">
        <v>7259.5</v>
      </c>
      <c r="C5142" s="1542">
        <v>133.72999999999999</v>
      </c>
      <c r="D5142" s="1542">
        <v>3868.32</v>
      </c>
      <c r="E5142" s="1542">
        <v>1159.0899999999999</v>
      </c>
    </row>
    <row r="5143" spans="1:5">
      <c r="A5143" s="1541">
        <v>38874</v>
      </c>
      <c r="B5143" s="1542">
        <v>7388.52</v>
      </c>
      <c r="C5143" s="1542">
        <v>136.58000000000001</v>
      </c>
      <c r="D5143" s="1542">
        <v>3890.15</v>
      </c>
      <c r="E5143" s="1542">
        <v>1187.1500000000001</v>
      </c>
    </row>
    <row r="5144" spans="1:5">
      <c r="A5144" s="1541">
        <v>38873</v>
      </c>
      <c r="B5144" s="1542">
        <v>7372.05</v>
      </c>
      <c r="C5144" s="1542">
        <v>136.63999999999999</v>
      </c>
      <c r="D5144" s="1542">
        <v>3949.7</v>
      </c>
      <c r="E5144" s="1542">
        <v>1211.8699999999999</v>
      </c>
    </row>
    <row r="5145" spans="1:5">
      <c r="A5145" s="1541">
        <v>38872</v>
      </c>
      <c r="B5145" s="1542"/>
      <c r="C5145" s="1542"/>
      <c r="D5145" s="1542"/>
      <c r="E5145" s="1542"/>
    </row>
    <row r="5146" spans="1:5">
      <c r="A5146" s="1541">
        <v>38871</v>
      </c>
      <c r="B5146" s="1542"/>
      <c r="C5146" s="1542"/>
      <c r="D5146" s="1542"/>
      <c r="E5146" s="1542"/>
    </row>
    <row r="5147" spans="1:5">
      <c r="A5147" s="1541">
        <v>38870</v>
      </c>
      <c r="B5147" s="1542">
        <v>7640.32</v>
      </c>
      <c r="C5147" s="1542">
        <v>143.21</v>
      </c>
      <c r="D5147" s="1542">
        <v>3998.97</v>
      </c>
      <c r="E5147" s="1542">
        <v>1223.78</v>
      </c>
    </row>
    <row r="5148" spans="1:5">
      <c r="A5148" s="1541">
        <v>38869</v>
      </c>
      <c r="B5148" s="1542">
        <v>7545.03</v>
      </c>
      <c r="C5148" s="1542">
        <v>143.02000000000001</v>
      </c>
      <c r="D5148" s="1542">
        <v>3966.35</v>
      </c>
      <c r="E5148" s="1542">
        <v>1199.45</v>
      </c>
    </row>
    <row r="5149" spans="1:5">
      <c r="A5149" s="1541">
        <v>38868</v>
      </c>
      <c r="B5149" s="1542"/>
      <c r="C5149" s="1542"/>
      <c r="D5149" s="1542">
        <v>3936.96</v>
      </c>
      <c r="E5149" s="1542">
        <v>1197.9100000000001</v>
      </c>
    </row>
    <row r="5150" spans="1:5">
      <c r="A5150" s="1541">
        <v>38867</v>
      </c>
      <c r="B5150" s="1542">
        <v>7516.47</v>
      </c>
      <c r="C5150" s="1542">
        <v>142.43</v>
      </c>
      <c r="D5150" s="1542">
        <v>3928.11</v>
      </c>
      <c r="E5150" s="1542">
        <v>1207.9000000000001</v>
      </c>
    </row>
    <row r="5151" spans="1:5">
      <c r="A5151" s="1541">
        <v>38866</v>
      </c>
      <c r="B5151" s="1542">
        <v>7551.52</v>
      </c>
      <c r="C5151" s="1542">
        <v>141.22</v>
      </c>
      <c r="D5151" s="1542">
        <v>3971.91</v>
      </c>
      <c r="E5151" s="1542">
        <v>1233.75</v>
      </c>
    </row>
    <row r="5152" spans="1:5">
      <c r="A5152" s="1541">
        <v>38865</v>
      </c>
      <c r="B5152" s="1542"/>
      <c r="C5152" s="1542"/>
      <c r="D5152" s="1542"/>
      <c r="E5152" s="1542"/>
    </row>
    <row r="5153" spans="1:5">
      <c r="A5153" s="1541">
        <v>38864</v>
      </c>
      <c r="B5153" s="1542"/>
      <c r="C5153" s="1542"/>
      <c r="D5153" s="1542"/>
      <c r="E5153" s="1542"/>
    </row>
    <row r="5154" spans="1:5">
      <c r="A5154" s="1541">
        <v>38863</v>
      </c>
      <c r="B5154" s="1542">
        <v>7552.21</v>
      </c>
      <c r="C5154" s="1542">
        <v>140.69</v>
      </c>
      <c r="D5154" s="1542">
        <v>3965.06</v>
      </c>
      <c r="E5154" s="1542">
        <v>1227.1099999999999</v>
      </c>
    </row>
    <row r="5155" spans="1:5">
      <c r="A5155" s="1541">
        <v>38862</v>
      </c>
      <c r="B5155" s="1542">
        <v>7532.61</v>
      </c>
      <c r="C5155" s="1542">
        <v>141.53</v>
      </c>
      <c r="D5155" s="1542">
        <v>3927.02</v>
      </c>
      <c r="E5155" s="1542">
        <v>1197.22</v>
      </c>
    </row>
    <row r="5156" spans="1:5">
      <c r="A5156" s="1541">
        <v>38861</v>
      </c>
      <c r="B5156" s="1542">
        <v>7549.25</v>
      </c>
      <c r="C5156" s="1542">
        <v>142.35</v>
      </c>
      <c r="D5156" s="1542">
        <v>3887.74</v>
      </c>
      <c r="E5156" s="1542">
        <v>1193.3599999999999</v>
      </c>
    </row>
    <row r="5157" spans="1:5">
      <c r="A5157" s="1541">
        <v>38860</v>
      </c>
      <c r="B5157" s="1542">
        <v>7512.99</v>
      </c>
      <c r="C5157" s="1542">
        <v>143.19</v>
      </c>
      <c r="D5157" s="1542">
        <v>3910.2</v>
      </c>
      <c r="E5157" s="1542">
        <v>1216.4000000000001</v>
      </c>
    </row>
    <row r="5158" spans="1:5">
      <c r="A5158" s="1541">
        <v>38859</v>
      </c>
      <c r="B5158" s="1542">
        <v>7616.48</v>
      </c>
      <c r="C5158" s="1542">
        <v>146.52000000000001</v>
      </c>
      <c r="D5158" s="1542">
        <v>3892.09</v>
      </c>
      <c r="E5158" s="1542">
        <v>1195.3</v>
      </c>
    </row>
    <row r="5159" spans="1:5">
      <c r="A5159" s="1541">
        <v>38858</v>
      </c>
      <c r="B5159" s="1542"/>
      <c r="C5159" s="1542"/>
      <c r="D5159" s="1542"/>
      <c r="E5159" s="1542"/>
    </row>
    <row r="5160" spans="1:5">
      <c r="A5160" s="1541">
        <v>38857</v>
      </c>
      <c r="B5160" s="1542"/>
      <c r="C5160" s="1542"/>
      <c r="D5160" s="1542"/>
      <c r="E5160" s="1542"/>
    </row>
    <row r="5161" spans="1:5">
      <c r="A5161" s="1541">
        <v>38856</v>
      </c>
      <c r="B5161" s="1542">
        <v>7765.66</v>
      </c>
      <c r="C5161" s="1542">
        <v>148.22</v>
      </c>
      <c r="D5161" s="1542">
        <v>3931.88</v>
      </c>
      <c r="E5161" s="1542">
        <v>1253.42</v>
      </c>
    </row>
    <row r="5162" spans="1:5">
      <c r="A5162" s="1541">
        <v>38855</v>
      </c>
      <c r="B5162" s="1542">
        <v>7721.62</v>
      </c>
      <c r="C5162" s="1542">
        <v>146.85</v>
      </c>
      <c r="D5162" s="1542">
        <v>3941</v>
      </c>
      <c r="E5162" s="1542">
        <v>1261.71</v>
      </c>
    </row>
    <row r="5163" spans="1:5">
      <c r="A5163" s="1541">
        <v>38854</v>
      </c>
      <c r="B5163" s="1542">
        <v>7811.69</v>
      </c>
      <c r="C5163" s="1542">
        <v>147.52000000000001</v>
      </c>
      <c r="D5163" s="1542">
        <v>3973.27</v>
      </c>
      <c r="E5163" s="1542">
        <v>1300.47</v>
      </c>
    </row>
    <row r="5164" spans="1:5">
      <c r="A5164" s="1541">
        <v>38853</v>
      </c>
      <c r="B5164" s="1542">
        <v>7760.18</v>
      </c>
      <c r="C5164" s="1542">
        <v>147.22999999999999</v>
      </c>
      <c r="D5164" s="1542">
        <v>4044.82</v>
      </c>
      <c r="E5164" s="1542">
        <v>1302.1099999999999</v>
      </c>
    </row>
    <row r="5165" spans="1:5">
      <c r="A5165" s="1541">
        <v>38852</v>
      </c>
      <c r="B5165" s="1542">
        <v>7877.02</v>
      </c>
      <c r="C5165" s="1542">
        <v>148.35</v>
      </c>
      <c r="D5165" s="1542">
        <v>4053.78</v>
      </c>
      <c r="E5165" s="1542">
        <v>1306.19</v>
      </c>
    </row>
    <row r="5166" spans="1:5">
      <c r="A5166" s="1541">
        <v>38851</v>
      </c>
      <c r="B5166" s="1542"/>
      <c r="C5166" s="1542"/>
      <c r="D5166" s="1542"/>
      <c r="E5166" s="1542"/>
    </row>
    <row r="5167" spans="1:5">
      <c r="A5167" s="1541">
        <v>38850</v>
      </c>
      <c r="B5167" s="1542"/>
      <c r="C5167" s="1542"/>
      <c r="D5167" s="1542"/>
      <c r="E5167" s="1542"/>
    </row>
    <row r="5168" spans="1:5">
      <c r="A5168" s="1541">
        <v>38849</v>
      </c>
      <c r="B5168" s="1542">
        <v>7989.65</v>
      </c>
      <c r="C5168" s="1542">
        <v>148.08000000000001</v>
      </c>
      <c r="D5168" s="1542">
        <v>4081.27</v>
      </c>
      <c r="E5168" s="1542">
        <v>1364.4</v>
      </c>
    </row>
    <row r="5169" spans="1:5">
      <c r="A5169" s="1541">
        <v>38848</v>
      </c>
      <c r="B5169" s="1542">
        <v>8080.19</v>
      </c>
      <c r="C5169" s="1542">
        <v>148.08000000000001</v>
      </c>
      <c r="D5169" s="1542">
        <v>4134.0600000000004</v>
      </c>
      <c r="E5169" s="1542">
        <v>1390.05</v>
      </c>
    </row>
    <row r="5170" spans="1:5">
      <c r="A5170" s="1541">
        <v>38847</v>
      </c>
      <c r="B5170" s="1542">
        <v>8039.86</v>
      </c>
      <c r="C5170" s="1542">
        <v>145.58000000000001</v>
      </c>
      <c r="D5170" s="1542">
        <v>4167.26</v>
      </c>
      <c r="E5170" s="1542">
        <v>1399.53</v>
      </c>
    </row>
    <row r="5171" spans="1:5">
      <c r="A5171" s="1541">
        <v>38846</v>
      </c>
      <c r="B5171" s="1542">
        <v>8110.37</v>
      </c>
      <c r="C5171" s="1542">
        <v>146.66</v>
      </c>
      <c r="D5171" s="1542">
        <v>4175.82</v>
      </c>
      <c r="E5171" s="1542">
        <v>1402.11</v>
      </c>
    </row>
    <row r="5172" spans="1:5">
      <c r="A5172" s="1541">
        <v>38845</v>
      </c>
      <c r="B5172" s="1542">
        <v>8203.7800000000007</v>
      </c>
      <c r="C5172" s="1542">
        <v>147.69999999999999</v>
      </c>
      <c r="D5172" s="1542">
        <v>4163.3500000000004</v>
      </c>
      <c r="E5172" s="1542">
        <v>1402.46</v>
      </c>
    </row>
    <row r="5173" spans="1:5">
      <c r="A5173" s="1541">
        <v>38844</v>
      </c>
      <c r="B5173" s="1542"/>
      <c r="C5173" s="1542"/>
      <c r="D5173" s="1542"/>
      <c r="E5173" s="1542"/>
    </row>
    <row r="5174" spans="1:5">
      <c r="A5174" s="1541">
        <v>38843</v>
      </c>
      <c r="B5174" s="1542"/>
      <c r="C5174" s="1542"/>
      <c r="D5174" s="1542"/>
      <c r="E5174" s="1542"/>
    </row>
    <row r="5175" spans="1:5">
      <c r="A5175" s="1541">
        <v>38842</v>
      </c>
      <c r="B5175" s="1542">
        <v>8090.05</v>
      </c>
      <c r="C5175" s="1542">
        <v>146.35</v>
      </c>
      <c r="D5175" s="1542">
        <v>4154.95</v>
      </c>
      <c r="E5175" s="1542">
        <v>1384.52</v>
      </c>
    </row>
    <row r="5176" spans="1:5">
      <c r="A5176" s="1541">
        <v>38841</v>
      </c>
      <c r="B5176" s="1542">
        <v>8062.18</v>
      </c>
      <c r="C5176" s="1542">
        <v>146.93</v>
      </c>
      <c r="D5176" s="1542">
        <v>4106.99</v>
      </c>
      <c r="E5176" s="1542">
        <v>1375.06</v>
      </c>
    </row>
    <row r="5177" spans="1:5">
      <c r="A5177" s="1541">
        <v>38840</v>
      </c>
      <c r="B5177" s="1542">
        <v>7949.49</v>
      </c>
      <c r="C5177" s="1542">
        <v>146.51</v>
      </c>
      <c r="D5177" s="1542">
        <v>4086.64</v>
      </c>
      <c r="E5177" s="1542">
        <v>1367.87</v>
      </c>
    </row>
    <row r="5178" spans="1:5">
      <c r="A5178" s="1541">
        <v>38839</v>
      </c>
      <c r="B5178" s="1542">
        <v>7902.54</v>
      </c>
      <c r="C5178" s="1542">
        <v>144.11000000000001</v>
      </c>
      <c r="D5178" s="1542">
        <v>4109.0600000000004</v>
      </c>
      <c r="E5178" s="1542">
        <v>1362.32</v>
      </c>
    </row>
    <row r="5179" spans="1:5">
      <c r="A5179" s="1541">
        <v>38838</v>
      </c>
      <c r="B5179" s="1542"/>
      <c r="C5179" s="1542"/>
      <c r="D5179" s="1542">
        <v>4077.9</v>
      </c>
      <c r="E5179" s="1542">
        <v>1343.27</v>
      </c>
    </row>
    <row r="5180" spans="1:5">
      <c r="A5180" s="1541">
        <v>38837</v>
      </c>
      <c r="B5180" s="1542"/>
      <c r="C5180" s="1542"/>
      <c r="D5180" s="1542"/>
      <c r="E5180" s="1542"/>
    </row>
    <row r="5181" spans="1:5">
      <c r="A5181" s="1541">
        <v>38836</v>
      </c>
      <c r="B5181" s="1542"/>
      <c r="C5181" s="1542"/>
      <c r="D5181" s="1542"/>
      <c r="E5181" s="1542"/>
    </row>
    <row r="5182" spans="1:5">
      <c r="A5182" s="1541">
        <v>38835</v>
      </c>
      <c r="B5182" s="1542">
        <v>7872</v>
      </c>
      <c r="C5182" s="1542">
        <v>145.97</v>
      </c>
      <c r="D5182" s="1542">
        <v>4072.43</v>
      </c>
      <c r="E5182" s="1542">
        <v>1337.8</v>
      </c>
    </row>
    <row r="5183" spans="1:5">
      <c r="A5183" s="1541">
        <v>38834</v>
      </c>
      <c r="B5183" s="1542">
        <v>7832.96</v>
      </c>
      <c r="C5183" s="1542">
        <v>144.33000000000001</v>
      </c>
      <c r="D5183" s="1542">
        <v>4075.36</v>
      </c>
      <c r="E5183" s="1542">
        <v>1334.39</v>
      </c>
    </row>
    <row r="5184" spans="1:5">
      <c r="A5184" s="1541">
        <v>38833</v>
      </c>
      <c r="B5184" s="1542">
        <v>7868.93</v>
      </c>
      <c r="C5184" s="1542">
        <v>146.49</v>
      </c>
      <c r="D5184" s="1542">
        <v>4059.51</v>
      </c>
      <c r="E5184" s="1542">
        <v>1342.83</v>
      </c>
    </row>
    <row r="5185" spans="1:5">
      <c r="A5185" s="1541">
        <v>38832</v>
      </c>
      <c r="B5185" s="1542">
        <v>7749.24</v>
      </c>
      <c r="C5185" s="1542">
        <v>144.53</v>
      </c>
      <c r="D5185" s="1542">
        <v>4043.53</v>
      </c>
      <c r="E5185" s="1542">
        <v>1329.33</v>
      </c>
    </row>
    <row r="5186" spans="1:5">
      <c r="A5186" s="1541">
        <v>38831</v>
      </c>
      <c r="B5186" s="1542">
        <v>7788.86</v>
      </c>
      <c r="C5186" s="1542">
        <v>146.46</v>
      </c>
      <c r="D5186" s="1542">
        <v>4046.46</v>
      </c>
      <c r="E5186" s="1542">
        <v>1336.09</v>
      </c>
    </row>
    <row r="5187" spans="1:5">
      <c r="A5187" s="1541">
        <v>38830</v>
      </c>
      <c r="B5187" s="1542"/>
      <c r="C5187" s="1542"/>
      <c r="D5187" s="1542"/>
      <c r="E5187" s="1542"/>
    </row>
    <row r="5188" spans="1:5">
      <c r="A5188" s="1541">
        <v>38829</v>
      </c>
      <c r="B5188" s="1542"/>
      <c r="C5188" s="1542"/>
      <c r="D5188" s="1542"/>
      <c r="E5188" s="1542"/>
    </row>
    <row r="5189" spans="1:5">
      <c r="A5189" s="1541">
        <v>38828</v>
      </c>
      <c r="B5189" s="1542">
        <v>7785.59</v>
      </c>
      <c r="C5189" s="1542">
        <v>146.38</v>
      </c>
      <c r="D5189" s="1542">
        <v>4059.06</v>
      </c>
      <c r="E5189" s="1542">
        <v>1340.27</v>
      </c>
    </row>
    <row r="5190" spans="1:5">
      <c r="A5190" s="1541">
        <v>38827</v>
      </c>
      <c r="B5190" s="1542">
        <v>7796.22</v>
      </c>
      <c r="C5190" s="1542">
        <v>147.18</v>
      </c>
      <c r="D5190" s="1542">
        <v>4040.4</v>
      </c>
      <c r="E5190" s="1542">
        <v>1333.92</v>
      </c>
    </row>
    <row r="5191" spans="1:5">
      <c r="A5191" s="1541">
        <v>38826</v>
      </c>
      <c r="B5191" s="1542">
        <v>7726.02</v>
      </c>
      <c r="C5191" s="1542">
        <v>145.86000000000001</v>
      </c>
      <c r="D5191" s="1542">
        <v>4038.59</v>
      </c>
      <c r="E5191" s="1542">
        <v>1331.38</v>
      </c>
    </row>
    <row r="5192" spans="1:5">
      <c r="A5192" s="1541">
        <v>38825</v>
      </c>
      <c r="B5192" s="1542">
        <v>7671.88</v>
      </c>
      <c r="C5192" s="1542">
        <v>144.18</v>
      </c>
      <c r="D5192" s="1542">
        <v>4009.81</v>
      </c>
      <c r="E5192" s="1542">
        <v>1314.71</v>
      </c>
    </row>
    <row r="5193" spans="1:5">
      <c r="A5193" s="1541">
        <v>38824</v>
      </c>
      <c r="B5193" s="1542">
        <v>7683.55</v>
      </c>
      <c r="C5193" s="1542">
        <v>143.47999999999999</v>
      </c>
      <c r="D5193" s="1542">
        <v>3966.48</v>
      </c>
      <c r="E5193" s="1542">
        <v>1296.56</v>
      </c>
    </row>
    <row r="5194" spans="1:5">
      <c r="A5194" s="1541">
        <v>38823</v>
      </c>
      <c r="B5194" s="1542"/>
      <c r="C5194" s="1542"/>
      <c r="D5194" s="1542"/>
      <c r="E5194" s="1542"/>
    </row>
    <row r="5195" spans="1:5">
      <c r="A5195" s="1541">
        <v>38822</v>
      </c>
      <c r="B5195" s="1542"/>
      <c r="C5195" s="1542"/>
      <c r="D5195" s="1542"/>
      <c r="E5195" s="1542"/>
    </row>
    <row r="5196" spans="1:5">
      <c r="A5196" s="1541">
        <v>38821</v>
      </c>
      <c r="B5196" s="1542">
        <v>7631.36</v>
      </c>
      <c r="C5196" s="1542">
        <v>143.22999999999999</v>
      </c>
      <c r="D5196" s="1542">
        <v>3953.59</v>
      </c>
      <c r="E5196" s="1542">
        <v>1284.9000000000001</v>
      </c>
    </row>
    <row r="5197" spans="1:5">
      <c r="A5197" s="1541">
        <v>38820</v>
      </c>
      <c r="B5197" s="1542">
        <v>7525.11</v>
      </c>
      <c r="C5197" s="1542">
        <v>140.91</v>
      </c>
      <c r="D5197" s="1542">
        <v>3953.36</v>
      </c>
      <c r="E5197" s="1542">
        <v>1276.27</v>
      </c>
    </row>
    <row r="5198" spans="1:5">
      <c r="A5198" s="1541">
        <v>38819</v>
      </c>
      <c r="B5198" s="1542">
        <v>7473.25</v>
      </c>
      <c r="C5198" s="1542">
        <v>139.57</v>
      </c>
      <c r="D5198" s="1542">
        <v>3948.76</v>
      </c>
      <c r="E5198" s="1542">
        <v>1276.3399999999999</v>
      </c>
    </row>
    <row r="5199" spans="1:5">
      <c r="A5199" s="1541">
        <v>38818</v>
      </c>
      <c r="B5199" s="1542">
        <v>7416.92</v>
      </c>
      <c r="C5199" s="1542">
        <v>138.76</v>
      </c>
      <c r="D5199" s="1542">
        <v>3959.26</v>
      </c>
      <c r="E5199" s="1542">
        <v>1282.32</v>
      </c>
    </row>
    <row r="5200" spans="1:5">
      <c r="A5200" s="1541">
        <v>38817</v>
      </c>
      <c r="B5200" s="1542">
        <v>7442.67</v>
      </c>
      <c r="C5200" s="1542">
        <v>138.93</v>
      </c>
      <c r="D5200" s="1542">
        <v>3988.3</v>
      </c>
      <c r="E5200" s="1542">
        <v>1287.19</v>
      </c>
    </row>
    <row r="5201" spans="1:5">
      <c r="A5201" s="1541">
        <v>38816</v>
      </c>
      <c r="B5201" s="1542"/>
      <c r="C5201" s="1542"/>
      <c r="D5201" s="1542"/>
      <c r="E5201" s="1542"/>
    </row>
    <row r="5202" spans="1:5">
      <c r="A5202" s="1541">
        <v>38815</v>
      </c>
      <c r="B5202" s="1542"/>
      <c r="C5202" s="1542"/>
      <c r="D5202" s="1542"/>
      <c r="E5202" s="1542"/>
    </row>
    <row r="5203" spans="1:5">
      <c r="A5203" s="1541">
        <v>38814</v>
      </c>
      <c r="B5203" s="1542">
        <v>7444.1</v>
      </c>
      <c r="C5203" s="1542">
        <v>138.83000000000001</v>
      </c>
      <c r="D5203" s="1542">
        <v>3985.29</v>
      </c>
      <c r="E5203" s="1542">
        <v>1292.21</v>
      </c>
    </row>
    <row r="5204" spans="1:5">
      <c r="A5204" s="1541">
        <v>38813</v>
      </c>
      <c r="B5204" s="1542">
        <v>7420.92</v>
      </c>
      <c r="C5204" s="1542">
        <v>139.22</v>
      </c>
      <c r="D5204" s="1542">
        <v>4021.49</v>
      </c>
      <c r="E5204" s="1542">
        <v>1296.95</v>
      </c>
    </row>
    <row r="5205" spans="1:5">
      <c r="A5205" s="1541">
        <v>38812</v>
      </c>
      <c r="B5205" s="1542"/>
      <c r="C5205" s="1542"/>
      <c r="D5205" s="1542">
        <v>4013.91</v>
      </c>
      <c r="E5205" s="1542">
        <v>1288.43</v>
      </c>
    </row>
    <row r="5206" spans="1:5">
      <c r="A5206" s="1541">
        <v>38811</v>
      </c>
      <c r="B5206" s="1542">
        <v>7316.4</v>
      </c>
      <c r="C5206" s="1542">
        <v>137.41</v>
      </c>
      <c r="D5206" s="1542">
        <v>3996.59</v>
      </c>
      <c r="E5206" s="1542">
        <v>1282.5999999999999</v>
      </c>
    </row>
    <row r="5207" spans="1:5">
      <c r="A5207" s="1541">
        <v>38810</v>
      </c>
      <c r="B5207" s="1542">
        <v>7311.09</v>
      </c>
      <c r="C5207" s="1542">
        <v>137.61000000000001</v>
      </c>
      <c r="D5207" s="1542">
        <v>3974.91</v>
      </c>
      <c r="E5207" s="1542">
        <v>1271.19</v>
      </c>
    </row>
    <row r="5208" spans="1:5">
      <c r="A5208" s="1541">
        <v>38809</v>
      </c>
      <c r="B5208" s="1542"/>
      <c r="C5208" s="1542"/>
      <c r="D5208" s="1542"/>
      <c r="E5208" s="1542"/>
    </row>
    <row r="5209" spans="1:5">
      <c r="A5209" s="1541">
        <v>38808</v>
      </c>
      <c r="B5209" s="1542"/>
      <c r="C5209" s="1542"/>
      <c r="D5209" s="1542"/>
      <c r="E5209" s="1542"/>
    </row>
    <row r="5210" spans="1:5">
      <c r="A5210" s="1541">
        <v>38807</v>
      </c>
      <c r="B5210" s="1542">
        <v>7259.73</v>
      </c>
      <c r="C5210" s="1542">
        <v>136.1</v>
      </c>
      <c r="D5210" s="1542">
        <v>3950.38</v>
      </c>
      <c r="E5210" s="1542">
        <v>1248.69</v>
      </c>
    </row>
    <row r="5211" spans="1:5">
      <c r="A5211" s="1541">
        <v>38806</v>
      </c>
      <c r="B5211" s="1542">
        <v>7185.19</v>
      </c>
      <c r="C5211" s="1542">
        <v>134.52000000000001</v>
      </c>
      <c r="D5211" s="1542">
        <v>3973.01</v>
      </c>
      <c r="E5211" s="1542">
        <v>1242.31</v>
      </c>
    </row>
    <row r="5212" spans="1:5">
      <c r="A5212" s="1541">
        <v>38805</v>
      </c>
      <c r="B5212" s="1542">
        <v>7132.47</v>
      </c>
      <c r="C5212" s="1542">
        <v>133.97</v>
      </c>
      <c r="D5212" s="1542">
        <v>3941.44</v>
      </c>
      <c r="E5212" s="1542">
        <v>1223.99</v>
      </c>
    </row>
    <row r="5213" spans="1:5">
      <c r="A5213" s="1541">
        <v>38804</v>
      </c>
      <c r="B5213" s="1542">
        <v>7083.98</v>
      </c>
      <c r="C5213" s="1542">
        <v>133.13999999999999</v>
      </c>
      <c r="D5213" s="1542">
        <v>3930.5</v>
      </c>
      <c r="E5213" s="1542">
        <v>1222.44</v>
      </c>
    </row>
    <row r="5214" spans="1:5">
      <c r="A5214" s="1541">
        <v>38803</v>
      </c>
      <c r="B5214" s="1542">
        <v>7048.85</v>
      </c>
      <c r="C5214" s="1542">
        <v>131.09</v>
      </c>
      <c r="D5214" s="1542">
        <v>3943.03</v>
      </c>
      <c r="E5214" s="1542">
        <v>1232.73</v>
      </c>
    </row>
    <row r="5215" spans="1:5">
      <c r="A5215" s="1541">
        <v>38802</v>
      </c>
      <c r="B5215" s="1542"/>
      <c r="C5215" s="1542"/>
      <c r="D5215" s="1542"/>
      <c r="E5215" s="1542"/>
    </row>
    <row r="5216" spans="1:5">
      <c r="A5216" s="1541">
        <v>38801</v>
      </c>
      <c r="B5216" s="1542"/>
      <c r="C5216" s="1542"/>
      <c r="D5216" s="1542"/>
      <c r="E5216" s="1542"/>
    </row>
    <row r="5217" spans="1:5">
      <c r="A5217" s="1541">
        <v>38800</v>
      </c>
      <c r="B5217" s="1542">
        <v>6999.2</v>
      </c>
      <c r="C5217" s="1542">
        <v>129.47999999999999</v>
      </c>
      <c r="D5217" s="1542">
        <v>3947.74</v>
      </c>
      <c r="E5217" s="1542">
        <v>1226.55</v>
      </c>
    </row>
    <row r="5218" spans="1:5">
      <c r="A5218" s="1541">
        <v>38799</v>
      </c>
      <c r="B5218" s="1542">
        <v>6986.01</v>
      </c>
      <c r="C5218" s="1542">
        <v>131.16</v>
      </c>
      <c r="D5218" s="1542">
        <v>3931.87</v>
      </c>
      <c r="E5218" s="1542">
        <v>1224.07</v>
      </c>
    </row>
    <row r="5219" spans="1:5">
      <c r="A5219" s="1541">
        <v>38798</v>
      </c>
      <c r="B5219" s="1542">
        <v>7015.27</v>
      </c>
      <c r="C5219" s="1542">
        <v>132.77000000000001</v>
      </c>
      <c r="D5219" s="1542">
        <v>3952.84</v>
      </c>
      <c r="E5219" s="1542">
        <v>1220.72</v>
      </c>
    </row>
    <row r="5220" spans="1:5">
      <c r="A5220" s="1541">
        <v>38797</v>
      </c>
      <c r="B5220" s="1542">
        <v>7088.57</v>
      </c>
      <c r="C5220" s="1542">
        <v>133.78</v>
      </c>
      <c r="D5220" s="1542">
        <v>3937.08</v>
      </c>
      <c r="E5220" s="1542">
        <v>1229.94</v>
      </c>
    </row>
    <row r="5221" spans="1:5">
      <c r="A5221" s="1541">
        <v>38796</v>
      </c>
      <c r="B5221" s="1542">
        <v>7152.76</v>
      </c>
      <c r="C5221" s="1542">
        <v>136.22</v>
      </c>
      <c r="D5221" s="1542">
        <v>3960.34</v>
      </c>
      <c r="E5221" s="1542">
        <v>1242.92</v>
      </c>
    </row>
    <row r="5222" spans="1:5">
      <c r="A5222" s="1541">
        <v>38795</v>
      </c>
      <c r="B5222" s="1542"/>
      <c r="C5222" s="1542"/>
      <c r="D5222" s="1542"/>
      <c r="E5222" s="1542"/>
    </row>
    <row r="5223" spans="1:5">
      <c r="A5223" s="1541">
        <v>38794</v>
      </c>
      <c r="B5223" s="1542"/>
      <c r="C5223" s="1542"/>
      <c r="D5223" s="1542"/>
      <c r="E5223" s="1542"/>
    </row>
    <row r="5224" spans="1:5">
      <c r="A5224" s="1541">
        <v>38793</v>
      </c>
      <c r="B5224" s="1542">
        <v>7165.99</v>
      </c>
      <c r="C5224" s="1542">
        <v>135.41999999999999</v>
      </c>
      <c r="D5224" s="1542">
        <v>3955.7</v>
      </c>
      <c r="E5224" s="1542">
        <v>1239.3</v>
      </c>
    </row>
    <row r="5225" spans="1:5">
      <c r="A5225" s="1541">
        <v>38792</v>
      </c>
      <c r="B5225" s="1542">
        <v>7140.1</v>
      </c>
      <c r="C5225" s="1542">
        <v>133.83000000000001</v>
      </c>
      <c r="D5225" s="1542">
        <v>3943.43</v>
      </c>
      <c r="E5225" s="1542">
        <v>1233.27</v>
      </c>
    </row>
    <row r="5226" spans="1:5">
      <c r="A5226" s="1541">
        <v>38791</v>
      </c>
      <c r="B5226" s="1542">
        <v>7155.16</v>
      </c>
      <c r="C5226" s="1542">
        <v>134.05000000000001</v>
      </c>
      <c r="D5226" s="1542">
        <v>3931.24</v>
      </c>
      <c r="E5226" s="1542">
        <v>1225.55</v>
      </c>
    </row>
    <row r="5227" spans="1:5">
      <c r="A5227" s="1541">
        <v>38790</v>
      </c>
      <c r="B5227" s="1542">
        <v>7090.74</v>
      </c>
      <c r="C5227" s="1542">
        <v>132.13999999999999</v>
      </c>
      <c r="D5227" s="1542">
        <v>3915.75</v>
      </c>
      <c r="E5227" s="1542">
        <v>1209.19</v>
      </c>
    </row>
    <row r="5228" spans="1:5">
      <c r="A5228" s="1541">
        <v>38789</v>
      </c>
      <c r="B5228" s="1542">
        <v>7183.62</v>
      </c>
      <c r="C5228" s="1542">
        <v>133.69999999999999</v>
      </c>
      <c r="D5228" s="1542">
        <v>3878.64</v>
      </c>
      <c r="E5228" s="1542">
        <v>1206.95</v>
      </c>
    </row>
    <row r="5229" spans="1:5">
      <c r="A5229" s="1541">
        <v>38788</v>
      </c>
      <c r="B5229" s="1542"/>
      <c r="C5229" s="1542"/>
      <c r="D5229" s="1542"/>
      <c r="E5229" s="1542"/>
    </row>
    <row r="5230" spans="1:5">
      <c r="A5230" s="1541">
        <v>38787</v>
      </c>
      <c r="B5230" s="1542"/>
      <c r="C5230" s="1542"/>
      <c r="D5230" s="1542"/>
      <c r="E5230" s="1542"/>
    </row>
    <row r="5231" spans="1:5">
      <c r="A5231" s="1541">
        <v>38786</v>
      </c>
      <c r="B5231" s="1542">
        <v>7124.4</v>
      </c>
      <c r="C5231" s="1542">
        <v>132.16999999999999</v>
      </c>
      <c r="D5231" s="1542">
        <v>3851.48</v>
      </c>
      <c r="E5231" s="1542">
        <v>1191.26</v>
      </c>
    </row>
    <row r="5232" spans="1:5">
      <c r="A5232" s="1541">
        <v>38785</v>
      </c>
      <c r="B5232" s="1542">
        <v>7119.79</v>
      </c>
      <c r="C5232" s="1542">
        <v>131.11000000000001</v>
      </c>
      <c r="D5232" s="1542">
        <v>3837.32</v>
      </c>
      <c r="E5232" s="1542">
        <v>1187.32</v>
      </c>
    </row>
    <row r="5233" spans="1:5">
      <c r="A5233" s="1541">
        <v>38784</v>
      </c>
      <c r="B5233" s="1542">
        <v>7090.26</v>
      </c>
      <c r="C5233" s="1542">
        <v>131.30000000000001</v>
      </c>
      <c r="D5233" s="1542">
        <v>3827.36</v>
      </c>
      <c r="E5233" s="1542">
        <v>1186.5</v>
      </c>
    </row>
    <row r="5234" spans="1:5">
      <c r="A5234" s="1541">
        <v>38783</v>
      </c>
      <c r="B5234" s="1542">
        <v>7128.22</v>
      </c>
      <c r="C5234" s="1542">
        <v>131.34</v>
      </c>
      <c r="D5234" s="1542">
        <v>3833.68</v>
      </c>
      <c r="E5234" s="1542">
        <v>1200.5</v>
      </c>
    </row>
    <row r="5235" spans="1:5">
      <c r="A5235" s="1541">
        <v>38782</v>
      </c>
      <c r="B5235" s="1542">
        <v>7217.82</v>
      </c>
      <c r="C5235" s="1542">
        <v>132.5</v>
      </c>
      <c r="D5235" s="1542">
        <v>3863.48</v>
      </c>
      <c r="E5235" s="1542">
        <v>1237.75</v>
      </c>
    </row>
    <row r="5236" spans="1:5">
      <c r="A5236" s="1541">
        <v>38781</v>
      </c>
      <c r="B5236" s="1542"/>
      <c r="C5236" s="1542"/>
      <c r="D5236" s="1542"/>
      <c r="E5236" s="1542"/>
    </row>
    <row r="5237" spans="1:5">
      <c r="A5237" s="1541">
        <v>38780</v>
      </c>
      <c r="B5237" s="1542"/>
      <c r="C5237" s="1542"/>
      <c r="D5237" s="1542"/>
      <c r="E5237" s="1542"/>
    </row>
    <row r="5238" spans="1:5">
      <c r="A5238" s="1541">
        <v>38779</v>
      </c>
      <c r="B5238" s="1542">
        <v>7193.53</v>
      </c>
      <c r="C5238" s="1542">
        <v>131.75</v>
      </c>
      <c r="D5238" s="1542">
        <v>3872.17</v>
      </c>
      <c r="E5238" s="1542">
        <v>1242.05</v>
      </c>
    </row>
    <row r="5239" spans="1:5">
      <c r="A5239" s="1541">
        <v>38778</v>
      </c>
      <c r="B5239" s="1542">
        <v>7291.55</v>
      </c>
      <c r="C5239" s="1542">
        <v>134.03</v>
      </c>
      <c r="D5239" s="1542">
        <v>3879.05</v>
      </c>
      <c r="E5239" s="1542">
        <v>1253.1199999999999</v>
      </c>
    </row>
    <row r="5240" spans="1:5">
      <c r="A5240" s="1541">
        <v>38777</v>
      </c>
      <c r="B5240" s="1542">
        <v>7259.09</v>
      </c>
      <c r="C5240" s="1542">
        <v>133.51</v>
      </c>
      <c r="D5240" s="1542">
        <v>3885.12</v>
      </c>
      <c r="E5240" s="1542">
        <v>1245.72</v>
      </c>
    </row>
    <row r="5241" spans="1:5">
      <c r="A5241" s="1541">
        <v>38776</v>
      </c>
      <c r="B5241" s="1542"/>
      <c r="C5241" s="1542"/>
      <c r="D5241" s="1542">
        <v>3863.68</v>
      </c>
      <c r="E5241" s="1542">
        <v>1237.5999999999999</v>
      </c>
    </row>
    <row r="5242" spans="1:5">
      <c r="A5242" s="1541">
        <v>38775</v>
      </c>
      <c r="B5242" s="1542">
        <v>7202.28</v>
      </c>
      <c r="C5242" s="1542">
        <v>131</v>
      </c>
      <c r="D5242" s="1542">
        <v>3891.94</v>
      </c>
      <c r="E5242" s="1542">
        <v>1250.58</v>
      </c>
    </row>
    <row r="5243" spans="1:5">
      <c r="A5243" s="1541">
        <v>38774</v>
      </c>
      <c r="B5243" s="1542"/>
      <c r="C5243" s="1542"/>
      <c r="D5243" s="1542"/>
      <c r="E5243" s="1542"/>
    </row>
    <row r="5244" spans="1:5">
      <c r="A5244" s="1541">
        <v>38773</v>
      </c>
      <c r="B5244" s="1542"/>
      <c r="C5244" s="1542"/>
      <c r="D5244" s="1542"/>
      <c r="E5244" s="1542"/>
    </row>
    <row r="5245" spans="1:5">
      <c r="A5245" s="1541">
        <v>38772</v>
      </c>
      <c r="B5245" s="1542">
        <v>7176.59</v>
      </c>
      <c r="C5245" s="1542">
        <v>129.49</v>
      </c>
      <c r="D5245" s="1542">
        <v>3873.91</v>
      </c>
      <c r="E5245" s="1542">
        <v>1243.6300000000001</v>
      </c>
    </row>
    <row r="5246" spans="1:5">
      <c r="A5246" s="1541">
        <v>38771</v>
      </c>
      <c r="B5246" s="1542">
        <v>7106.85</v>
      </c>
      <c r="C5246" s="1542">
        <v>127.72</v>
      </c>
      <c r="D5246" s="1542">
        <v>3869.32</v>
      </c>
      <c r="E5246" s="1542">
        <v>1241.72</v>
      </c>
    </row>
    <row r="5247" spans="1:5">
      <c r="A5247" s="1541">
        <v>38770</v>
      </c>
      <c r="B5247" s="1542">
        <v>7168.34</v>
      </c>
      <c r="C5247" s="1542">
        <v>129.84</v>
      </c>
      <c r="D5247" s="1542">
        <v>3859.67</v>
      </c>
      <c r="E5247" s="1542">
        <v>1232.52</v>
      </c>
    </row>
    <row r="5248" spans="1:5">
      <c r="A5248" s="1541">
        <v>38769</v>
      </c>
      <c r="B5248" s="1542">
        <v>7278.99</v>
      </c>
      <c r="C5248" s="1542">
        <v>133.38999999999999</v>
      </c>
      <c r="D5248" s="1542">
        <v>3841.35</v>
      </c>
      <c r="E5248" s="1542">
        <v>1237.95</v>
      </c>
    </row>
    <row r="5249" spans="1:5">
      <c r="A5249" s="1541">
        <v>38768</v>
      </c>
      <c r="B5249" s="1542">
        <v>7339.4</v>
      </c>
      <c r="C5249" s="1542">
        <v>134.51</v>
      </c>
      <c r="D5249" s="1542">
        <v>3840.45</v>
      </c>
      <c r="E5249" s="1542">
        <v>1242.28</v>
      </c>
    </row>
    <row r="5250" spans="1:5">
      <c r="A5250" s="1541">
        <v>38767</v>
      </c>
      <c r="B5250" s="1542"/>
      <c r="C5250" s="1542"/>
      <c r="D5250" s="1542"/>
      <c r="E5250" s="1542"/>
    </row>
    <row r="5251" spans="1:5">
      <c r="A5251" s="1541">
        <v>38766</v>
      </c>
      <c r="B5251" s="1542"/>
      <c r="C5251" s="1542"/>
      <c r="D5251" s="1542"/>
      <c r="E5251" s="1542"/>
    </row>
    <row r="5252" spans="1:5">
      <c r="A5252" s="1541">
        <v>38765</v>
      </c>
      <c r="B5252" s="1542">
        <v>7325.35</v>
      </c>
      <c r="C5252" s="1542">
        <v>135.30000000000001</v>
      </c>
      <c r="D5252" s="1542">
        <v>3838.66</v>
      </c>
      <c r="E5252" s="1542">
        <v>1231.48</v>
      </c>
    </row>
    <row r="5253" spans="1:5">
      <c r="A5253" s="1541">
        <v>38764</v>
      </c>
      <c r="B5253" s="1542">
        <v>7336.52</v>
      </c>
      <c r="C5253" s="1542">
        <v>135.28</v>
      </c>
      <c r="D5253" s="1542">
        <v>3842.45</v>
      </c>
      <c r="E5253" s="1542">
        <v>1215.5</v>
      </c>
    </row>
    <row r="5254" spans="1:5">
      <c r="A5254" s="1541">
        <v>38763</v>
      </c>
      <c r="B5254" s="1542">
        <v>7242.74</v>
      </c>
      <c r="C5254" s="1542">
        <v>133.33000000000001</v>
      </c>
      <c r="D5254" s="1542">
        <v>3820.71</v>
      </c>
      <c r="E5254" s="1542">
        <v>1205.3800000000001</v>
      </c>
    </row>
    <row r="5255" spans="1:5">
      <c r="A5255" s="1541">
        <v>38762</v>
      </c>
      <c r="B5255" s="1542">
        <v>7258.63</v>
      </c>
      <c r="C5255" s="1542">
        <v>134.03</v>
      </c>
      <c r="D5255" s="1542">
        <v>3813.46</v>
      </c>
      <c r="E5255" s="1542">
        <v>1204.8699999999999</v>
      </c>
    </row>
    <row r="5256" spans="1:5">
      <c r="A5256" s="1541">
        <v>38761</v>
      </c>
      <c r="B5256" s="1542">
        <v>7203.01</v>
      </c>
      <c r="C5256" s="1542">
        <v>132.16999999999999</v>
      </c>
      <c r="D5256" s="1542">
        <v>3791</v>
      </c>
      <c r="E5256" s="1542">
        <v>1202.82</v>
      </c>
    </row>
    <row r="5257" spans="1:5">
      <c r="A5257" s="1541">
        <v>38760</v>
      </c>
      <c r="B5257" s="1542"/>
      <c r="C5257" s="1542"/>
      <c r="D5257" s="1542"/>
      <c r="E5257" s="1542"/>
    </row>
    <row r="5258" spans="1:5">
      <c r="A5258" s="1541">
        <v>38759</v>
      </c>
      <c r="B5258" s="1542"/>
      <c r="C5258" s="1542"/>
      <c r="D5258" s="1542"/>
      <c r="E5258" s="1542"/>
    </row>
    <row r="5259" spans="1:5">
      <c r="A5259" s="1541">
        <v>38758</v>
      </c>
      <c r="B5259" s="1542">
        <v>7238.82</v>
      </c>
      <c r="C5259" s="1542">
        <v>132.82</v>
      </c>
      <c r="D5259" s="1542">
        <v>3805.85</v>
      </c>
      <c r="E5259" s="1542">
        <v>1219.3900000000001</v>
      </c>
    </row>
    <row r="5260" spans="1:5">
      <c r="A5260" s="1541">
        <v>38757</v>
      </c>
      <c r="B5260" s="1542">
        <v>7277.47</v>
      </c>
      <c r="C5260" s="1542">
        <v>134.68</v>
      </c>
      <c r="D5260" s="1542">
        <v>3813.44</v>
      </c>
      <c r="E5260" s="1542">
        <v>1215.68</v>
      </c>
    </row>
    <row r="5261" spans="1:5">
      <c r="A5261" s="1541">
        <v>38756</v>
      </c>
      <c r="B5261" s="1542">
        <v>7270.87</v>
      </c>
      <c r="C5261" s="1542">
        <v>134.99</v>
      </c>
      <c r="D5261" s="1542">
        <v>3797.97</v>
      </c>
      <c r="E5261" s="1542">
        <v>1203.3800000000001</v>
      </c>
    </row>
    <row r="5262" spans="1:5">
      <c r="A5262" s="1541">
        <v>38755</v>
      </c>
      <c r="B5262" s="1542">
        <v>7376.2</v>
      </c>
      <c r="C5262" s="1542">
        <v>136.24</v>
      </c>
      <c r="D5262" s="1542">
        <v>3799.44</v>
      </c>
      <c r="E5262" s="1542">
        <v>1222.71</v>
      </c>
    </row>
    <row r="5263" spans="1:5">
      <c r="A5263" s="1541">
        <v>38754</v>
      </c>
      <c r="B5263" s="1542">
        <v>7376.07</v>
      </c>
      <c r="C5263" s="1542">
        <v>133.85</v>
      </c>
      <c r="D5263" s="1542">
        <v>3823.64</v>
      </c>
      <c r="E5263" s="1542">
        <v>1232.52</v>
      </c>
    </row>
    <row r="5264" spans="1:5">
      <c r="A5264" s="1541">
        <v>38753</v>
      </c>
      <c r="B5264" s="1542"/>
      <c r="C5264" s="1542"/>
      <c r="D5264" s="1542"/>
      <c r="E5264" s="1542"/>
    </row>
    <row r="5265" spans="1:5">
      <c r="A5265" s="1541">
        <v>38752</v>
      </c>
      <c r="B5265" s="1542"/>
      <c r="C5265" s="1542"/>
      <c r="D5265" s="1542"/>
      <c r="E5265" s="1542"/>
    </row>
    <row r="5266" spans="1:5">
      <c r="A5266" s="1541">
        <v>38751</v>
      </c>
      <c r="B5266" s="1542">
        <v>7238.47</v>
      </c>
      <c r="C5266" s="1542">
        <v>131.94</v>
      </c>
      <c r="D5266" s="1542">
        <v>3818.53</v>
      </c>
      <c r="E5266" s="1542">
        <v>1213.3800000000001</v>
      </c>
    </row>
    <row r="5267" spans="1:5">
      <c r="A5267" s="1541">
        <v>38750</v>
      </c>
      <c r="B5267" s="1542"/>
      <c r="C5267" s="1542"/>
      <c r="D5267" s="1542">
        <v>3843.1</v>
      </c>
      <c r="E5267" s="1542">
        <v>1231.03</v>
      </c>
    </row>
    <row r="5268" spans="1:5">
      <c r="A5268" s="1541">
        <v>38749</v>
      </c>
      <c r="B5268" s="1542"/>
      <c r="C5268" s="1542"/>
      <c r="D5268" s="1542">
        <v>3872.21</v>
      </c>
      <c r="E5268" s="1542">
        <v>1242.51</v>
      </c>
    </row>
    <row r="5269" spans="1:5">
      <c r="A5269" s="1541">
        <v>38748</v>
      </c>
      <c r="B5269" s="1542"/>
      <c r="C5269" s="1542"/>
      <c r="D5269" s="1542">
        <v>3867.81</v>
      </c>
      <c r="E5269" s="1542">
        <v>1238.78</v>
      </c>
    </row>
    <row r="5270" spans="1:5">
      <c r="A5270" s="1541">
        <v>38747</v>
      </c>
      <c r="B5270" s="1542"/>
      <c r="C5270" s="1542"/>
      <c r="D5270" s="1542">
        <v>3863.12</v>
      </c>
      <c r="E5270" s="1542">
        <v>1229.98</v>
      </c>
    </row>
    <row r="5271" spans="1:5">
      <c r="A5271" s="1541">
        <v>38746</v>
      </c>
      <c r="B5271" s="1542"/>
      <c r="C5271" s="1542"/>
      <c r="D5271" s="1542"/>
      <c r="E5271" s="1542"/>
    </row>
    <row r="5272" spans="1:5">
      <c r="A5272" s="1541">
        <v>38745</v>
      </c>
      <c r="B5272" s="1542"/>
      <c r="C5272" s="1542"/>
      <c r="D5272" s="1542"/>
      <c r="E5272" s="1542"/>
    </row>
    <row r="5273" spans="1:5">
      <c r="A5273" s="1541">
        <v>38744</v>
      </c>
      <c r="B5273" s="1542"/>
      <c r="C5273" s="1542"/>
      <c r="D5273" s="1542">
        <v>3863.13</v>
      </c>
      <c r="E5273" s="1542">
        <v>1231.5999999999999</v>
      </c>
    </row>
    <row r="5274" spans="1:5">
      <c r="A5274" s="1541">
        <v>38743</v>
      </c>
      <c r="B5274" s="1542"/>
      <c r="C5274" s="1542"/>
      <c r="D5274" s="1542">
        <v>3832.37</v>
      </c>
      <c r="E5274" s="1542">
        <v>1220.44</v>
      </c>
    </row>
    <row r="5275" spans="1:5">
      <c r="A5275" s="1541">
        <v>38742</v>
      </c>
      <c r="B5275" s="1542">
        <v>7169.96</v>
      </c>
      <c r="C5275" s="1542">
        <v>130.46</v>
      </c>
      <c r="D5275" s="1542">
        <v>3801.93</v>
      </c>
      <c r="E5275" s="1542">
        <v>1216.42</v>
      </c>
    </row>
    <row r="5276" spans="1:5">
      <c r="A5276" s="1541">
        <v>38741</v>
      </c>
      <c r="B5276" s="1542">
        <v>7081.88</v>
      </c>
      <c r="C5276" s="1542">
        <v>129.19999999999999</v>
      </c>
      <c r="D5276" s="1542">
        <v>3795.86</v>
      </c>
      <c r="E5276" s="1542">
        <v>1203.6199999999999</v>
      </c>
    </row>
    <row r="5277" spans="1:5">
      <c r="A5277" s="1541">
        <v>38740</v>
      </c>
      <c r="B5277" s="1542">
        <v>7005.08</v>
      </c>
      <c r="C5277" s="1542">
        <v>126.94</v>
      </c>
      <c r="D5277" s="1542">
        <v>3788.68</v>
      </c>
      <c r="E5277" s="1542">
        <v>1187.74</v>
      </c>
    </row>
    <row r="5278" spans="1:5">
      <c r="A5278" s="1541">
        <v>38739</v>
      </c>
      <c r="B5278" s="1542"/>
      <c r="C5278" s="1542"/>
      <c r="D5278" s="1542"/>
      <c r="E5278" s="1542"/>
    </row>
    <row r="5279" spans="1:5">
      <c r="A5279" s="1541">
        <v>38738</v>
      </c>
      <c r="B5279" s="1542"/>
      <c r="C5279" s="1542"/>
      <c r="D5279" s="1542"/>
      <c r="E5279" s="1542"/>
    </row>
    <row r="5280" spans="1:5">
      <c r="A5280" s="1541">
        <v>38737</v>
      </c>
      <c r="B5280" s="1542">
        <v>7119.96</v>
      </c>
      <c r="C5280" s="1542">
        <v>131.54</v>
      </c>
      <c r="D5280" s="1542">
        <v>3774.21</v>
      </c>
      <c r="E5280" s="1542">
        <v>1191.07</v>
      </c>
    </row>
    <row r="5281" spans="1:5">
      <c r="A5281" s="1541">
        <v>38736</v>
      </c>
      <c r="B5281" s="1542">
        <v>7148.13</v>
      </c>
      <c r="C5281" s="1542">
        <v>132.51</v>
      </c>
      <c r="D5281" s="1542">
        <v>3817.79</v>
      </c>
      <c r="E5281" s="1542">
        <v>1189.97</v>
      </c>
    </row>
    <row r="5282" spans="1:5">
      <c r="A5282" s="1541">
        <v>38735</v>
      </c>
      <c r="B5282" s="1542">
        <v>7133.45</v>
      </c>
      <c r="C5282" s="1542">
        <v>132.47999999999999</v>
      </c>
      <c r="D5282" s="1542">
        <v>3784.38</v>
      </c>
      <c r="E5282" s="1542">
        <v>1166.54</v>
      </c>
    </row>
    <row r="5283" spans="1:5">
      <c r="A5283" s="1541">
        <v>38734</v>
      </c>
      <c r="B5283" s="1542">
        <v>7366.28</v>
      </c>
      <c r="C5283" s="1542">
        <v>136.61000000000001</v>
      </c>
      <c r="D5283" s="1542">
        <v>3814.37</v>
      </c>
      <c r="E5283" s="1542">
        <v>1186.26</v>
      </c>
    </row>
    <row r="5284" spans="1:5">
      <c r="A5284" s="1541">
        <v>38733</v>
      </c>
      <c r="B5284" s="1542">
        <v>7380.7</v>
      </c>
      <c r="C5284" s="1542">
        <v>135.69</v>
      </c>
      <c r="D5284" s="1542">
        <v>3849.64</v>
      </c>
      <c r="E5284" s="1542">
        <v>1201.98</v>
      </c>
    </row>
    <row r="5285" spans="1:5">
      <c r="A5285" s="1541">
        <v>38732</v>
      </c>
      <c r="B5285" s="1542"/>
      <c r="C5285" s="1542"/>
      <c r="D5285" s="1542"/>
      <c r="E5285" s="1542"/>
    </row>
    <row r="5286" spans="1:5">
      <c r="A5286" s="1541">
        <v>38731</v>
      </c>
      <c r="B5286" s="1542"/>
      <c r="C5286" s="1542"/>
      <c r="D5286" s="1542"/>
      <c r="E5286" s="1542"/>
    </row>
    <row r="5287" spans="1:5">
      <c r="A5287" s="1541">
        <v>38730</v>
      </c>
      <c r="B5287" s="1542">
        <v>7334.78</v>
      </c>
      <c r="C5287" s="1542">
        <v>135.13</v>
      </c>
      <c r="D5287" s="1542">
        <v>3847.66</v>
      </c>
      <c r="E5287" s="1542">
        <v>1193.9000000000001</v>
      </c>
    </row>
    <row r="5288" spans="1:5">
      <c r="A5288" s="1541">
        <v>38729</v>
      </c>
      <c r="B5288" s="1542">
        <v>7382.27</v>
      </c>
      <c r="C5288" s="1542">
        <v>135.83000000000001</v>
      </c>
      <c r="D5288" s="1542">
        <v>3850.22</v>
      </c>
      <c r="E5288" s="1542">
        <v>1194.8699999999999</v>
      </c>
    </row>
    <row r="5289" spans="1:5">
      <c r="A5289" s="1541">
        <v>38728</v>
      </c>
      <c r="B5289" s="1542">
        <v>7393.55</v>
      </c>
      <c r="C5289" s="1542">
        <v>139.94999999999999</v>
      </c>
      <c r="D5289" s="1542">
        <v>3861.89</v>
      </c>
      <c r="E5289" s="1542">
        <v>1188.3399999999999</v>
      </c>
    </row>
    <row r="5290" spans="1:5">
      <c r="A5290" s="1541">
        <v>38727</v>
      </c>
      <c r="B5290" s="1542">
        <v>7362.28</v>
      </c>
      <c r="C5290" s="1542">
        <v>140.19</v>
      </c>
      <c r="D5290" s="1542">
        <v>3839.66</v>
      </c>
      <c r="E5290" s="1542">
        <v>1181.79</v>
      </c>
    </row>
    <row r="5291" spans="1:5">
      <c r="A5291" s="1541">
        <v>38726</v>
      </c>
      <c r="B5291" s="1542">
        <v>7400.69</v>
      </c>
      <c r="C5291" s="1542">
        <v>140.18</v>
      </c>
      <c r="D5291" s="1542">
        <v>3854.87</v>
      </c>
      <c r="E5291" s="1542">
        <v>1186.4000000000001</v>
      </c>
    </row>
    <row r="5292" spans="1:5">
      <c r="A5292" s="1541">
        <v>38725</v>
      </c>
      <c r="B5292" s="1542"/>
      <c r="C5292" s="1542"/>
      <c r="D5292" s="1542"/>
      <c r="E5292" s="1542"/>
    </row>
    <row r="5293" spans="1:5">
      <c r="A5293" s="1541">
        <v>38724</v>
      </c>
      <c r="B5293" s="1542"/>
      <c r="C5293" s="1542"/>
      <c r="D5293" s="1542"/>
      <c r="E5293" s="1542"/>
    </row>
    <row r="5294" spans="1:5">
      <c r="A5294" s="1541">
        <v>38723</v>
      </c>
      <c r="B5294" s="1542">
        <v>7348.47</v>
      </c>
      <c r="C5294" s="1542">
        <v>140.07</v>
      </c>
      <c r="D5294" s="1542">
        <v>3851.12</v>
      </c>
      <c r="E5294" s="1542">
        <v>1174.5999999999999</v>
      </c>
    </row>
    <row r="5295" spans="1:5">
      <c r="A5295" s="1541">
        <v>38722</v>
      </c>
      <c r="B5295" s="1542">
        <v>7365</v>
      </c>
      <c r="C5295" s="1542">
        <v>140.22999999999999</v>
      </c>
      <c r="D5295" s="1542">
        <v>3813.13</v>
      </c>
      <c r="E5295" s="1542">
        <v>1163.95</v>
      </c>
    </row>
    <row r="5296" spans="1:5">
      <c r="A5296" s="1541">
        <v>38721</v>
      </c>
      <c r="B5296" s="1542">
        <v>7262.44</v>
      </c>
      <c r="C5296" s="1542">
        <v>137.07</v>
      </c>
      <c r="D5296" s="1542">
        <v>3812.27</v>
      </c>
      <c r="E5296" s="1542">
        <v>1159.29</v>
      </c>
    </row>
    <row r="5297" spans="1:5">
      <c r="A5297" s="1541">
        <v>38720</v>
      </c>
      <c r="B5297" s="1542">
        <v>7235.36</v>
      </c>
      <c r="C5297" s="1542">
        <v>136.30000000000001</v>
      </c>
      <c r="D5297" s="1542">
        <v>3771.16</v>
      </c>
      <c r="E5297" s="1542">
        <v>1137.48</v>
      </c>
    </row>
    <row r="5298" spans="1:5">
      <c r="A5298" s="1541">
        <v>38719</v>
      </c>
      <c r="B5298" s="1542">
        <v>7092.99</v>
      </c>
      <c r="C5298" s="1542">
        <v>132.71</v>
      </c>
      <c r="D5298" s="1542">
        <v>3705.85</v>
      </c>
      <c r="E5298" s="1542">
        <v>1115.1500000000001</v>
      </c>
    </row>
    <row r="5299" spans="1:5">
      <c r="A5299" s="1541">
        <v>38718</v>
      </c>
      <c r="B5299" s="1542"/>
      <c r="C5299" s="1542"/>
      <c r="D5299" s="1542"/>
      <c r="E5299" s="1542"/>
    </row>
  </sheetData>
  <phoneticPr fontId="26"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D40"/>
  <sheetViews>
    <sheetView zoomScale="115" zoomScaleNormal="115" zoomScaleSheetLayoutView="100" workbookViewId="0"/>
  </sheetViews>
  <sheetFormatPr defaultColWidth="15.625" defaultRowHeight="15.75"/>
  <cols>
    <col min="1" max="1" width="5.625" style="1857" customWidth="1"/>
    <col min="2" max="30" width="15.625" style="1857" customWidth="1"/>
    <col min="31" max="16384" width="15.625" style="1900"/>
  </cols>
  <sheetData>
    <row r="1" spans="1:30" ht="16.5">
      <c r="A1" s="2410" t="s">
        <v>679</v>
      </c>
      <c r="B1" s="1900"/>
      <c r="C1" s="1900"/>
      <c r="D1" s="1900"/>
      <c r="E1" s="1900"/>
      <c r="S1" s="1873"/>
      <c r="T1" s="1893" t="s">
        <v>405</v>
      </c>
      <c r="U1" s="1893"/>
      <c r="V1" s="1893"/>
      <c r="W1" s="1893"/>
      <c r="X1" s="1893"/>
    </row>
    <row r="2" spans="1:30" ht="16.5">
      <c r="A2" s="1898" t="s">
        <v>4173</v>
      </c>
      <c r="B2" s="1901"/>
      <c r="C2" s="1901"/>
      <c r="D2" s="1901"/>
      <c r="E2" s="1901"/>
      <c r="S2" s="1873"/>
      <c r="T2" s="1893"/>
      <c r="U2" s="1893"/>
      <c r="V2" s="1893"/>
      <c r="W2" s="1893"/>
      <c r="X2" s="1893"/>
      <c r="Y2" s="1900"/>
      <c r="AC2" s="1859" t="s">
        <v>4174</v>
      </c>
    </row>
    <row r="3" spans="1:30" ht="15.75" customHeight="1">
      <c r="A3" s="2552" t="s">
        <v>2343</v>
      </c>
      <c r="B3" s="2549" t="s">
        <v>3841</v>
      </c>
      <c r="C3" s="2549"/>
      <c r="D3" s="2549"/>
      <c r="E3" s="2549"/>
      <c r="F3" s="2549"/>
      <c r="G3" s="2549" t="s">
        <v>3770</v>
      </c>
      <c r="H3" s="2549" t="s">
        <v>3772</v>
      </c>
      <c r="I3" s="2549" t="s">
        <v>3773</v>
      </c>
      <c r="J3" s="2549" t="s">
        <v>3774</v>
      </c>
      <c r="K3" s="2549" t="s">
        <v>3886</v>
      </c>
      <c r="L3" s="2549" t="s">
        <v>7040</v>
      </c>
      <c r="M3" s="2549" t="s">
        <v>3842</v>
      </c>
      <c r="N3" s="2549" t="s">
        <v>3843</v>
      </c>
      <c r="O3" s="2549" t="s">
        <v>3778</v>
      </c>
      <c r="P3" s="2549" t="s">
        <v>3844</v>
      </c>
      <c r="Q3" s="2549" t="s">
        <v>3845</v>
      </c>
      <c r="R3" s="2549" t="s">
        <v>3846</v>
      </c>
      <c r="S3" s="2549" t="s">
        <v>3632</v>
      </c>
      <c r="T3" s="2549"/>
      <c r="U3" s="2549"/>
      <c r="V3" s="2549" t="s">
        <v>3887</v>
      </c>
      <c r="W3" s="2550" t="s">
        <v>3785</v>
      </c>
      <c r="X3" s="2550"/>
      <c r="Y3" s="2549" t="s">
        <v>3888</v>
      </c>
      <c r="Z3" s="2549" t="s">
        <v>3787</v>
      </c>
      <c r="AA3" s="2549" t="s">
        <v>3847</v>
      </c>
      <c r="AB3" s="2549" t="s">
        <v>3889</v>
      </c>
      <c r="AC3" s="2549" t="s">
        <v>2436</v>
      </c>
    </row>
    <row r="4" spans="1:30" ht="33">
      <c r="A4" s="2552"/>
      <c r="B4" s="2212" t="s">
        <v>3792</v>
      </c>
      <c r="C4" s="2212" t="s">
        <v>3793</v>
      </c>
      <c r="D4" s="2212" t="s">
        <v>3790</v>
      </c>
      <c r="E4" s="2212" t="s">
        <v>3791</v>
      </c>
      <c r="F4" s="1902" t="s">
        <v>3794</v>
      </c>
      <c r="G4" s="2549"/>
      <c r="H4" s="2549"/>
      <c r="I4" s="2549"/>
      <c r="J4" s="2549"/>
      <c r="K4" s="2549"/>
      <c r="L4" s="2549"/>
      <c r="M4" s="2549"/>
      <c r="N4" s="2549"/>
      <c r="O4" s="2549"/>
      <c r="P4" s="2562"/>
      <c r="Q4" s="2549"/>
      <c r="R4" s="2549"/>
      <c r="S4" s="2212" t="s">
        <v>3848</v>
      </c>
      <c r="T4" s="2212" t="s">
        <v>3849</v>
      </c>
      <c r="U4" s="2212" t="s">
        <v>3850</v>
      </c>
      <c r="V4" s="2549"/>
      <c r="W4" s="2213" t="s">
        <v>3795</v>
      </c>
      <c r="X4" s="2213" t="s">
        <v>3796</v>
      </c>
      <c r="Y4" s="2562"/>
      <c r="Z4" s="2549"/>
      <c r="AA4" s="2549"/>
      <c r="AB4" s="2549"/>
      <c r="AC4" s="2549"/>
    </row>
    <row r="5" spans="1:30">
      <c r="A5" s="2552"/>
      <c r="B5" s="1860" t="s">
        <v>66</v>
      </c>
      <c r="C5" s="1860" t="s">
        <v>67</v>
      </c>
      <c r="D5" s="1860" t="s">
        <v>68</v>
      </c>
      <c r="E5" s="1860" t="s">
        <v>69</v>
      </c>
      <c r="F5" s="1860" t="s">
        <v>70</v>
      </c>
      <c r="G5" s="1860" t="s">
        <v>71</v>
      </c>
      <c r="H5" s="1860" t="s">
        <v>72</v>
      </c>
      <c r="I5" s="1860" t="s">
        <v>73</v>
      </c>
      <c r="J5" s="1860" t="s">
        <v>74</v>
      </c>
      <c r="K5" s="1860" t="s">
        <v>75</v>
      </c>
      <c r="L5" s="1860" t="s">
        <v>234</v>
      </c>
      <c r="M5" s="1860" t="s">
        <v>235</v>
      </c>
      <c r="N5" s="1860" t="s">
        <v>286</v>
      </c>
      <c r="O5" s="1860" t="s">
        <v>287</v>
      </c>
      <c r="P5" s="1860" t="s">
        <v>288</v>
      </c>
      <c r="Q5" s="1860" t="s">
        <v>289</v>
      </c>
      <c r="R5" s="1860" t="s">
        <v>290</v>
      </c>
      <c r="S5" s="1860" t="s">
        <v>138</v>
      </c>
      <c r="T5" s="1860" t="s">
        <v>139</v>
      </c>
      <c r="U5" s="1860" t="s">
        <v>140</v>
      </c>
      <c r="V5" s="1860" t="s">
        <v>141</v>
      </c>
      <c r="W5" s="1860" t="s">
        <v>2192</v>
      </c>
      <c r="X5" s="1860" t="s">
        <v>253</v>
      </c>
      <c r="Y5" s="1860" t="s">
        <v>254</v>
      </c>
      <c r="Z5" s="1860" t="s">
        <v>255</v>
      </c>
      <c r="AA5" s="1860" t="s">
        <v>256</v>
      </c>
      <c r="AB5" s="1860" t="s">
        <v>257</v>
      </c>
      <c r="AC5" s="1860" t="s">
        <v>258</v>
      </c>
    </row>
    <row r="6" spans="1:30">
      <c r="A6" s="1861">
        <v>1</v>
      </c>
      <c r="B6" s="1903"/>
      <c r="C6" s="1904"/>
      <c r="D6" s="1904"/>
      <c r="E6" s="1904"/>
      <c r="F6" s="1904"/>
      <c r="G6" s="1904"/>
      <c r="H6" s="1904"/>
      <c r="I6" s="1904"/>
      <c r="J6" s="1904"/>
      <c r="K6" s="1904"/>
      <c r="L6" s="1904"/>
      <c r="M6" s="1904"/>
      <c r="N6" s="1904"/>
      <c r="O6" s="1904"/>
      <c r="P6" s="1905"/>
      <c r="Q6" s="1906"/>
      <c r="R6" s="1905"/>
      <c r="S6" s="1841"/>
      <c r="T6" s="1841"/>
      <c r="U6" s="1841"/>
      <c r="V6" s="1841"/>
      <c r="W6" s="1907">
        <f>+V6-U6</f>
        <v>0</v>
      </c>
      <c r="X6" s="1907">
        <f>+U6-AA6</f>
        <v>0</v>
      </c>
      <c r="Y6" s="1905" t="e">
        <f>U6/'表05-1'!$D$257</f>
        <v>#DIV/0!</v>
      </c>
      <c r="Z6" s="1904"/>
      <c r="AA6" s="1904"/>
      <c r="AB6" s="1904"/>
      <c r="AC6" s="1904"/>
    </row>
    <row r="7" spans="1:30">
      <c r="A7" s="1861">
        <f>A6+1</f>
        <v>2</v>
      </c>
      <c r="B7" s="1903"/>
      <c r="C7" s="1904"/>
      <c r="D7" s="1904"/>
      <c r="E7" s="1904"/>
      <c r="F7" s="1904"/>
      <c r="G7" s="1904"/>
      <c r="H7" s="1904"/>
      <c r="I7" s="1904"/>
      <c r="J7" s="1904"/>
      <c r="K7" s="1904"/>
      <c r="L7" s="1904"/>
      <c r="M7" s="1904"/>
      <c r="N7" s="1904"/>
      <c r="O7" s="1904"/>
      <c r="P7" s="1905"/>
      <c r="Q7" s="1906"/>
      <c r="R7" s="1905"/>
      <c r="S7" s="1841"/>
      <c r="T7" s="1841"/>
      <c r="U7" s="1841"/>
      <c r="V7" s="1841"/>
      <c r="W7" s="1907">
        <f t="shared" ref="W7:W15" si="0">+V7-U7</f>
        <v>0</v>
      </c>
      <c r="X7" s="1907">
        <f t="shared" ref="X7:X14" si="1">+U7-AA7</f>
        <v>0</v>
      </c>
      <c r="Y7" s="1905" t="e">
        <f>U7/'表05-1'!$D$257</f>
        <v>#DIV/0!</v>
      </c>
      <c r="Z7" s="1904"/>
      <c r="AA7" s="1904"/>
      <c r="AB7" s="1904"/>
      <c r="AC7" s="1904"/>
    </row>
    <row r="8" spans="1:30">
      <c r="A8" s="1861">
        <f t="shared" ref="A8:A15" si="2">A7+1</f>
        <v>3</v>
      </c>
      <c r="B8" s="1903"/>
      <c r="C8" s="1904"/>
      <c r="D8" s="1904"/>
      <c r="E8" s="1904"/>
      <c r="F8" s="1904"/>
      <c r="G8" s="1904"/>
      <c r="H8" s="1904"/>
      <c r="I8" s="1904"/>
      <c r="J8" s="1904"/>
      <c r="K8" s="1904"/>
      <c r="L8" s="1904"/>
      <c r="M8" s="1904"/>
      <c r="N8" s="1904"/>
      <c r="O8" s="1904"/>
      <c r="P8" s="1905"/>
      <c r="Q8" s="1906"/>
      <c r="R8" s="1905"/>
      <c r="S8" s="1841"/>
      <c r="T8" s="1841"/>
      <c r="U8" s="1841"/>
      <c r="V8" s="1841"/>
      <c r="W8" s="1907">
        <f t="shared" si="0"/>
        <v>0</v>
      </c>
      <c r="X8" s="1907">
        <f t="shared" si="1"/>
        <v>0</v>
      </c>
      <c r="Y8" s="1905" t="e">
        <f>U8/'表05-1'!$D$257</f>
        <v>#DIV/0!</v>
      </c>
      <c r="Z8" s="1904"/>
      <c r="AA8" s="1904"/>
      <c r="AB8" s="1904"/>
      <c r="AC8" s="1904"/>
    </row>
    <row r="9" spans="1:30">
      <c r="A9" s="1861">
        <f t="shared" si="2"/>
        <v>4</v>
      </c>
      <c r="B9" s="1903"/>
      <c r="C9" s="1904"/>
      <c r="D9" s="1904"/>
      <c r="E9" s="1904"/>
      <c r="F9" s="1904"/>
      <c r="G9" s="1904"/>
      <c r="H9" s="1904"/>
      <c r="I9" s="1904"/>
      <c r="J9" s="1904"/>
      <c r="K9" s="1904"/>
      <c r="L9" s="1904"/>
      <c r="M9" s="1904"/>
      <c r="N9" s="1904"/>
      <c r="O9" s="1904"/>
      <c r="P9" s="1905"/>
      <c r="Q9" s="1906"/>
      <c r="R9" s="1905"/>
      <c r="S9" s="1841"/>
      <c r="T9" s="1841"/>
      <c r="U9" s="1841"/>
      <c r="V9" s="1841"/>
      <c r="W9" s="1907">
        <f t="shared" si="0"/>
        <v>0</v>
      </c>
      <c r="X9" s="1907">
        <f t="shared" si="1"/>
        <v>0</v>
      </c>
      <c r="Y9" s="1905" t="e">
        <f>U9/'表05-1'!$D$257</f>
        <v>#DIV/0!</v>
      </c>
      <c r="Z9" s="1904"/>
      <c r="AA9" s="1904"/>
      <c r="AB9" s="1904"/>
      <c r="AC9" s="1904"/>
    </row>
    <row r="10" spans="1:30">
      <c r="A10" s="1861">
        <f t="shared" si="2"/>
        <v>5</v>
      </c>
      <c r="B10" s="1903"/>
      <c r="C10" s="1904"/>
      <c r="D10" s="1904"/>
      <c r="E10" s="1904"/>
      <c r="F10" s="1904"/>
      <c r="G10" s="1904"/>
      <c r="H10" s="1904"/>
      <c r="I10" s="1904"/>
      <c r="J10" s="1904"/>
      <c r="K10" s="1904"/>
      <c r="L10" s="1904"/>
      <c r="M10" s="1904"/>
      <c r="N10" s="1904"/>
      <c r="O10" s="1904"/>
      <c r="P10" s="1905"/>
      <c r="Q10" s="1906"/>
      <c r="R10" s="1905"/>
      <c r="S10" s="1841"/>
      <c r="T10" s="1841"/>
      <c r="U10" s="1841"/>
      <c r="V10" s="1841"/>
      <c r="W10" s="1907">
        <f t="shared" si="0"/>
        <v>0</v>
      </c>
      <c r="X10" s="1907">
        <f t="shared" si="1"/>
        <v>0</v>
      </c>
      <c r="Y10" s="1905" t="e">
        <f>U10/'表05-1'!$D$257</f>
        <v>#DIV/0!</v>
      </c>
      <c r="Z10" s="1904"/>
      <c r="AA10" s="1904"/>
      <c r="AB10" s="1904"/>
      <c r="AC10" s="1904"/>
    </row>
    <row r="11" spans="1:30">
      <c r="A11" s="1861">
        <f t="shared" si="2"/>
        <v>6</v>
      </c>
      <c r="B11" s="1903"/>
      <c r="C11" s="1904"/>
      <c r="D11" s="1904"/>
      <c r="E11" s="1904"/>
      <c r="F11" s="1904"/>
      <c r="G11" s="1904"/>
      <c r="H11" s="1904"/>
      <c r="I11" s="1904"/>
      <c r="J11" s="1904"/>
      <c r="K11" s="1904"/>
      <c r="L11" s="1904"/>
      <c r="M11" s="1904"/>
      <c r="N11" s="1904"/>
      <c r="O11" s="1904"/>
      <c r="P11" s="1905"/>
      <c r="Q11" s="1906"/>
      <c r="R11" s="1905"/>
      <c r="S11" s="1841"/>
      <c r="T11" s="1841"/>
      <c r="U11" s="1841"/>
      <c r="V11" s="1841"/>
      <c r="W11" s="1907">
        <f t="shared" si="0"/>
        <v>0</v>
      </c>
      <c r="X11" s="1907">
        <f t="shared" si="1"/>
        <v>0</v>
      </c>
      <c r="Y11" s="1905" t="e">
        <f>U11/'表05-1'!$D$257</f>
        <v>#DIV/0!</v>
      </c>
      <c r="Z11" s="1904"/>
      <c r="AA11" s="1904"/>
      <c r="AB11" s="1904"/>
      <c r="AC11" s="1904"/>
    </row>
    <row r="12" spans="1:30">
      <c r="A12" s="1861">
        <f t="shared" si="2"/>
        <v>7</v>
      </c>
      <c r="B12" s="1903"/>
      <c r="C12" s="1904"/>
      <c r="D12" s="1904"/>
      <c r="E12" s="1904"/>
      <c r="F12" s="1904"/>
      <c r="G12" s="1904"/>
      <c r="H12" s="1904"/>
      <c r="I12" s="1904"/>
      <c r="J12" s="1904"/>
      <c r="K12" s="1904"/>
      <c r="L12" s="1904"/>
      <c r="M12" s="1904"/>
      <c r="N12" s="1904"/>
      <c r="O12" s="1904"/>
      <c r="P12" s="1905"/>
      <c r="Q12" s="1906"/>
      <c r="R12" s="1905"/>
      <c r="S12" s="1841"/>
      <c r="T12" s="1841"/>
      <c r="U12" s="1841"/>
      <c r="V12" s="1841"/>
      <c r="W12" s="1907">
        <f t="shared" si="0"/>
        <v>0</v>
      </c>
      <c r="X12" s="1907">
        <f t="shared" si="1"/>
        <v>0</v>
      </c>
      <c r="Y12" s="1905" t="e">
        <f>U12/'表05-1'!$D$257</f>
        <v>#DIV/0!</v>
      </c>
      <c r="Z12" s="1904"/>
      <c r="AA12" s="1904"/>
      <c r="AB12" s="1904"/>
      <c r="AC12" s="1904"/>
      <c r="AD12" s="1908"/>
    </row>
    <row r="13" spans="1:30">
      <c r="A13" s="1861">
        <f t="shared" si="2"/>
        <v>8</v>
      </c>
      <c r="B13" s="1903"/>
      <c r="C13" s="1909"/>
      <c r="D13" s="1909"/>
      <c r="E13" s="1909"/>
      <c r="F13" s="1909"/>
      <c r="G13" s="1909"/>
      <c r="H13" s="1909"/>
      <c r="I13" s="1909"/>
      <c r="J13" s="1904"/>
      <c r="K13" s="1904"/>
      <c r="L13" s="1904"/>
      <c r="M13" s="1904"/>
      <c r="N13" s="1904"/>
      <c r="O13" s="1904"/>
      <c r="P13" s="1905"/>
      <c r="Q13" s="1906"/>
      <c r="R13" s="1905"/>
      <c r="S13" s="1906"/>
      <c r="T13" s="1906"/>
      <c r="U13" s="1906"/>
      <c r="V13" s="1910"/>
      <c r="W13" s="1907">
        <f t="shared" si="0"/>
        <v>0</v>
      </c>
      <c r="X13" s="1907">
        <f>+U13-AA13</f>
        <v>0</v>
      </c>
      <c r="Y13" s="1905" t="e">
        <f>U13/'表05-1'!$D$257</f>
        <v>#DIV/0!</v>
      </c>
      <c r="Z13" s="1904"/>
      <c r="AA13" s="1904"/>
      <c r="AB13" s="1904"/>
      <c r="AC13" s="1904"/>
      <c r="AD13" s="1908"/>
    </row>
    <row r="14" spans="1:30">
      <c r="A14" s="1861">
        <f t="shared" si="2"/>
        <v>9</v>
      </c>
      <c r="B14" s="1903"/>
      <c r="C14" s="1909"/>
      <c r="D14" s="1909"/>
      <c r="E14" s="1909"/>
      <c r="F14" s="1909"/>
      <c r="G14" s="1909"/>
      <c r="H14" s="1909"/>
      <c r="I14" s="1909"/>
      <c r="J14" s="1904"/>
      <c r="K14" s="1904"/>
      <c r="L14" s="1904"/>
      <c r="M14" s="1904"/>
      <c r="N14" s="1904"/>
      <c r="O14" s="1904"/>
      <c r="P14" s="1905"/>
      <c r="Q14" s="1906"/>
      <c r="R14" s="1905"/>
      <c r="S14" s="1906"/>
      <c r="T14" s="1906"/>
      <c r="U14" s="1906"/>
      <c r="V14" s="1910"/>
      <c r="W14" s="1907">
        <f t="shared" si="0"/>
        <v>0</v>
      </c>
      <c r="X14" s="1907">
        <f t="shared" si="1"/>
        <v>0</v>
      </c>
      <c r="Y14" s="1905" t="e">
        <f>U14/'表05-1'!$D$257</f>
        <v>#DIV/0!</v>
      </c>
      <c r="Z14" s="1904"/>
      <c r="AA14" s="1904"/>
      <c r="AB14" s="1904"/>
      <c r="AC14" s="1904"/>
      <c r="AD14" s="1908"/>
    </row>
    <row r="15" spans="1:30">
      <c r="A15" s="1861">
        <f t="shared" si="2"/>
        <v>10</v>
      </c>
      <c r="B15" s="1911"/>
      <c r="C15" s="1909"/>
      <c r="D15" s="1909"/>
      <c r="E15" s="1909"/>
      <c r="F15" s="1909"/>
      <c r="G15" s="1909"/>
      <c r="H15" s="1909"/>
      <c r="I15" s="1909"/>
      <c r="J15" s="1904"/>
      <c r="K15" s="1904"/>
      <c r="L15" s="1904"/>
      <c r="M15" s="1904"/>
      <c r="N15" s="1904"/>
      <c r="O15" s="1904"/>
      <c r="P15" s="1905"/>
      <c r="Q15" s="1906"/>
      <c r="R15" s="1905"/>
      <c r="S15" s="1906"/>
      <c r="T15" s="1906"/>
      <c r="U15" s="1906"/>
      <c r="V15" s="1910"/>
      <c r="W15" s="1907">
        <f t="shared" si="0"/>
        <v>0</v>
      </c>
      <c r="X15" s="1907">
        <f>+U15-AA15</f>
        <v>0</v>
      </c>
      <c r="Y15" s="1905" t="e">
        <f>U15/'表05-1'!$D$257</f>
        <v>#DIV/0!</v>
      </c>
      <c r="Z15" s="1904"/>
      <c r="AA15" s="1904"/>
      <c r="AB15" s="1904"/>
      <c r="AC15" s="1904"/>
      <c r="AD15" s="1908"/>
    </row>
    <row r="16" spans="1:30">
      <c r="A16" s="1870"/>
      <c r="B16" s="1912"/>
      <c r="C16" s="1913"/>
      <c r="D16" s="1913"/>
      <c r="E16" s="1913"/>
      <c r="F16" s="1913"/>
      <c r="G16" s="1913"/>
      <c r="H16" s="1913"/>
      <c r="I16" s="1913"/>
      <c r="J16" s="1914"/>
      <c r="K16" s="1914"/>
      <c r="L16" s="1914"/>
      <c r="M16" s="1914"/>
      <c r="N16" s="1914"/>
      <c r="O16" s="1914"/>
      <c r="P16" s="1915"/>
      <c r="Q16" s="1916"/>
      <c r="R16" s="1915"/>
      <c r="S16" s="1916"/>
      <c r="T16" s="1916"/>
      <c r="U16" s="1916"/>
      <c r="V16" s="1917"/>
      <c r="W16" s="1916"/>
      <c r="X16" s="1916"/>
      <c r="Y16" s="1915"/>
      <c r="Z16" s="1914"/>
      <c r="AA16" s="1914"/>
      <c r="AB16" s="1914"/>
      <c r="AC16" s="1914"/>
      <c r="AD16" s="1873"/>
    </row>
    <row r="17" spans="1:30" ht="16.5">
      <c r="A17" s="1918" t="s">
        <v>3538</v>
      </c>
      <c r="B17" s="1503"/>
      <c r="C17" s="1503"/>
      <c r="D17" s="1503"/>
      <c r="E17" s="1503"/>
      <c r="F17" s="1503"/>
      <c r="G17" s="1503"/>
      <c r="H17" s="1503"/>
      <c r="I17" s="1503"/>
      <c r="J17" s="1503"/>
      <c r="K17" s="1503"/>
      <c r="L17" s="1503"/>
      <c r="M17" s="1503"/>
      <c r="N17" s="1503"/>
      <c r="O17" s="1503"/>
      <c r="P17" s="1503"/>
      <c r="Q17" s="1503"/>
      <c r="R17" s="1503"/>
      <c r="S17" s="1503"/>
      <c r="T17" s="1503"/>
      <c r="U17" s="1503"/>
      <c r="V17" s="1503"/>
    </row>
    <row r="18" spans="1:30" ht="16.5">
      <c r="A18" s="1870">
        <v>1</v>
      </c>
      <c r="B18" s="1503" t="s">
        <v>3890</v>
      </c>
      <c r="C18" s="1503"/>
      <c r="D18" s="1503"/>
      <c r="E18" s="1503"/>
      <c r="F18" s="1503"/>
      <c r="G18" s="1503"/>
      <c r="H18" s="1503"/>
      <c r="I18" s="1503"/>
      <c r="J18" s="1503"/>
      <c r="K18" s="1503"/>
      <c r="L18" s="1503"/>
      <c r="M18" s="1503"/>
      <c r="N18" s="1503"/>
      <c r="O18" s="1503"/>
      <c r="P18" s="1503"/>
      <c r="Q18" s="1503"/>
      <c r="R18" s="1503"/>
      <c r="S18" s="1503"/>
      <c r="T18" s="1503"/>
      <c r="U18" s="1503"/>
      <c r="V18" s="1503"/>
    </row>
    <row r="19" spans="1:30" ht="16.5">
      <c r="A19" s="1870">
        <v>2</v>
      </c>
      <c r="B19" s="1503" t="s">
        <v>3891</v>
      </c>
      <c r="C19" s="1503"/>
      <c r="D19" s="1503"/>
      <c r="E19" s="1503"/>
      <c r="F19" s="1503"/>
      <c r="G19" s="1503"/>
      <c r="H19" s="1503"/>
      <c r="I19" s="1503"/>
      <c r="J19" s="1503"/>
      <c r="K19" s="1503"/>
      <c r="L19" s="1503"/>
      <c r="M19" s="1503"/>
      <c r="N19" s="1503"/>
      <c r="O19" s="1503"/>
      <c r="P19" s="1503"/>
      <c r="Q19" s="1503"/>
      <c r="R19" s="1503"/>
      <c r="S19" s="1503"/>
      <c r="T19" s="1503"/>
      <c r="U19" s="1503"/>
      <c r="V19" s="1503"/>
    </row>
    <row r="20" spans="1:30" s="1919" customFormat="1" ht="16.5">
      <c r="A20" s="1870"/>
      <c r="B20" s="1503" t="s">
        <v>3892</v>
      </c>
      <c r="C20" s="1503"/>
      <c r="D20" s="1503"/>
      <c r="E20" s="1503"/>
      <c r="F20" s="1503"/>
      <c r="G20" s="1503"/>
      <c r="H20" s="1503"/>
      <c r="I20" s="1503"/>
      <c r="J20" s="1503"/>
      <c r="K20" s="1503"/>
      <c r="L20" s="1503"/>
      <c r="M20" s="1503"/>
      <c r="N20" s="1503"/>
      <c r="O20" s="1503"/>
      <c r="P20" s="1503"/>
      <c r="Q20" s="1503"/>
      <c r="R20" s="1503"/>
      <c r="S20" s="1503"/>
      <c r="T20" s="1503"/>
      <c r="U20" s="1503"/>
      <c r="V20" s="1503"/>
      <c r="W20" s="1857"/>
      <c r="X20" s="1857"/>
      <c r="Y20" s="1857"/>
      <c r="Z20" s="1857"/>
      <c r="AA20" s="1857"/>
      <c r="AB20" s="1857"/>
      <c r="AC20" s="1857"/>
      <c r="AD20" s="1857"/>
    </row>
    <row r="21" spans="1:30" ht="16.5">
      <c r="A21" s="1870">
        <v>3</v>
      </c>
      <c r="B21" s="1503" t="s">
        <v>7041</v>
      </c>
      <c r="C21" s="1503"/>
      <c r="D21" s="1503"/>
      <c r="E21" s="1503"/>
      <c r="F21" s="1503"/>
      <c r="G21" s="1503"/>
      <c r="H21" s="1503"/>
      <c r="I21" s="1503"/>
      <c r="J21" s="1503"/>
      <c r="K21" s="1503"/>
      <c r="L21" s="1503"/>
      <c r="M21" s="1503"/>
      <c r="N21" s="1503"/>
      <c r="O21" s="1503"/>
      <c r="P21" s="1503"/>
      <c r="Q21" s="1503"/>
      <c r="R21" s="1503"/>
      <c r="S21" s="1503"/>
      <c r="T21" s="1503"/>
      <c r="U21" s="1503"/>
      <c r="V21" s="1503"/>
    </row>
    <row r="22" spans="1:30" ht="16.5">
      <c r="A22" s="1870">
        <v>4</v>
      </c>
      <c r="B22" s="1503" t="s">
        <v>3893</v>
      </c>
      <c r="C22" s="1503"/>
      <c r="D22" s="1503"/>
      <c r="E22" s="1503"/>
      <c r="F22" s="1503"/>
      <c r="G22" s="1503"/>
      <c r="H22" s="1503"/>
      <c r="I22" s="1503"/>
      <c r="J22" s="1503"/>
      <c r="K22" s="1503"/>
      <c r="L22" s="1503"/>
      <c r="M22" s="1503"/>
      <c r="N22" s="1503"/>
      <c r="O22" s="1503"/>
      <c r="P22" s="1503"/>
      <c r="Q22" s="1503"/>
      <c r="R22" s="1503"/>
      <c r="S22" s="1503"/>
      <c r="T22" s="1503"/>
      <c r="U22" s="1503"/>
      <c r="V22" s="1503"/>
    </row>
    <row r="23" spans="1:30" ht="16.5">
      <c r="A23" s="1870">
        <v>5</v>
      </c>
      <c r="B23" s="1503" t="s">
        <v>3851</v>
      </c>
      <c r="C23" s="1503"/>
      <c r="D23" s="1503"/>
      <c r="E23" s="1503"/>
      <c r="F23" s="1503"/>
      <c r="G23" s="1503"/>
      <c r="H23" s="1503"/>
      <c r="I23" s="1503"/>
      <c r="J23" s="1503"/>
      <c r="K23" s="1503"/>
      <c r="L23" s="1503"/>
      <c r="M23" s="1503"/>
      <c r="N23" s="1503"/>
      <c r="O23" s="1503"/>
      <c r="P23" s="1503"/>
      <c r="Q23" s="1503"/>
      <c r="R23" s="1503"/>
      <c r="S23" s="1503"/>
      <c r="T23" s="1503"/>
      <c r="U23" s="1503"/>
      <c r="V23" s="1503"/>
    </row>
    <row r="24" spans="1:30" ht="16.5">
      <c r="A24" s="1870">
        <v>6</v>
      </c>
      <c r="B24" s="1503" t="s">
        <v>3852</v>
      </c>
      <c r="C24" s="1892"/>
      <c r="D24" s="1892"/>
      <c r="E24" s="1892"/>
      <c r="F24" s="1892"/>
      <c r="G24" s="1892"/>
      <c r="H24" s="1892"/>
      <c r="I24" s="1892"/>
      <c r="J24" s="1892"/>
      <c r="K24" s="1892"/>
      <c r="L24" s="1892"/>
      <c r="M24" s="1892"/>
      <c r="N24" s="1892"/>
      <c r="O24" s="1892"/>
      <c r="P24" s="1892"/>
      <c r="Q24" s="1892"/>
      <c r="R24" s="1892"/>
      <c r="S24" s="1892"/>
      <c r="T24" s="1503"/>
      <c r="U24" s="1503"/>
      <c r="V24" s="1503"/>
    </row>
    <row r="25" spans="1:30" ht="16.5">
      <c r="A25" s="1870"/>
      <c r="B25" s="1503" t="s">
        <v>3894</v>
      </c>
      <c r="C25" s="1503"/>
      <c r="D25" s="1503"/>
      <c r="E25" s="1503"/>
      <c r="F25" s="1503"/>
      <c r="G25" s="1503"/>
      <c r="H25" s="1503"/>
      <c r="I25" s="1503"/>
      <c r="J25" s="1503"/>
      <c r="K25" s="1503"/>
      <c r="L25" s="1503"/>
      <c r="M25" s="1503"/>
      <c r="N25" s="1503"/>
      <c r="O25" s="1503"/>
      <c r="P25" s="1503"/>
      <c r="Q25" s="1503"/>
      <c r="R25" s="1503"/>
      <c r="S25" s="1503"/>
      <c r="T25" s="1503"/>
      <c r="U25" s="1503"/>
      <c r="V25" s="1503"/>
    </row>
    <row r="26" spans="1:30" ht="16.5">
      <c r="A26" s="1870">
        <v>7</v>
      </c>
      <c r="B26" s="1892" t="s">
        <v>3895</v>
      </c>
      <c r="C26" s="1503"/>
      <c r="D26" s="1503"/>
      <c r="E26" s="1503"/>
      <c r="F26" s="1503"/>
      <c r="G26" s="1503"/>
      <c r="H26" s="1503"/>
      <c r="I26" s="1503"/>
      <c r="J26" s="1503"/>
      <c r="K26" s="1503"/>
      <c r="L26" s="1503"/>
      <c r="M26" s="1503"/>
      <c r="N26" s="1503"/>
      <c r="O26" s="1503"/>
      <c r="P26" s="1503"/>
      <c r="Q26" s="1503"/>
      <c r="R26" s="1503"/>
      <c r="S26" s="1503"/>
      <c r="T26" s="1503"/>
      <c r="U26" s="1503"/>
      <c r="V26" s="1503"/>
    </row>
    <row r="27" spans="1:30" ht="16.5">
      <c r="A27" s="1870"/>
      <c r="B27" s="1892" t="s">
        <v>3896</v>
      </c>
      <c r="C27" s="1503"/>
      <c r="D27" s="1503"/>
      <c r="E27" s="1503"/>
      <c r="F27" s="1503"/>
      <c r="G27" s="1503"/>
      <c r="H27" s="1503"/>
      <c r="I27" s="1503"/>
      <c r="J27" s="1503"/>
      <c r="K27" s="1503"/>
      <c r="L27" s="1503"/>
      <c r="M27" s="1503"/>
      <c r="N27" s="1503"/>
      <c r="O27" s="1503"/>
      <c r="P27" s="1503"/>
      <c r="Q27" s="1503"/>
      <c r="R27" s="1503"/>
      <c r="S27" s="1503"/>
      <c r="T27" s="1503"/>
      <c r="U27" s="1503"/>
      <c r="V27" s="1503"/>
    </row>
    <row r="28" spans="1:30" ht="16.5">
      <c r="A28" s="1870">
        <v>8</v>
      </c>
      <c r="B28" s="1503" t="s">
        <v>3897</v>
      </c>
      <c r="C28" s="1503"/>
      <c r="D28" s="1503"/>
      <c r="E28" s="1503"/>
      <c r="F28" s="1503"/>
      <c r="G28" s="1503"/>
      <c r="H28" s="1503"/>
      <c r="I28" s="1503"/>
      <c r="J28" s="1503"/>
      <c r="K28" s="1503"/>
      <c r="L28" s="1503"/>
      <c r="M28" s="1503"/>
      <c r="N28" s="1503"/>
      <c r="O28" s="1503"/>
      <c r="P28" s="1503"/>
      <c r="Q28" s="1503"/>
      <c r="R28" s="1503"/>
      <c r="S28" s="1503"/>
      <c r="T28" s="1503"/>
      <c r="U28" s="1503"/>
      <c r="V28" s="1503"/>
    </row>
    <row r="29" spans="1:30" ht="16.5">
      <c r="A29" s="1870">
        <v>9</v>
      </c>
      <c r="B29" s="1503" t="s">
        <v>3853</v>
      </c>
      <c r="C29" s="1503"/>
      <c r="D29" s="1503"/>
      <c r="E29" s="1503"/>
      <c r="F29" s="1503"/>
      <c r="G29" s="1503"/>
      <c r="H29" s="1503"/>
      <c r="I29" s="1503"/>
      <c r="J29" s="1503"/>
      <c r="K29" s="1503"/>
      <c r="L29" s="1503"/>
      <c r="M29" s="1503"/>
      <c r="N29" s="1503"/>
      <c r="O29" s="1503"/>
      <c r="P29" s="1503"/>
      <c r="Q29" s="1503"/>
      <c r="R29" s="1503"/>
      <c r="S29" s="1503"/>
      <c r="T29" s="1503"/>
      <c r="U29" s="1503"/>
      <c r="V29" s="1503"/>
    </row>
    <row r="30" spans="1:30" ht="16.5">
      <c r="A30" s="1870">
        <v>10</v>
      </c>
      <c r="B30" s="1503" t="s">
        <v>3898</v>
      </c>
      <c r="C30" s="1503"/>
      <c r="D30" s="1503"/>
      <c r="E30" s="1503"/>
      <c r="F30" s="1503"/>
      <c r="G30" s="1503"/>
      <c r="H30" s="1503"/>
      <c r="I30" s="1503"/>
      <c r="J30" s="1503"/>
      <c r="K30" s="1503"/>
      <c r="L30" s="1503"/>
      <c r="M30" s="1503"/>
      <c r="N30" s="1503"/>
      <c r="O30" s="1503"/>
      <c r="P30" s="1503"/>
      <c r="Q30" s="1503"/>
      <c r="R30" s="1503"/>
      <c r="S30" s="1503"/>
      <c r="T30" s="1503"/>
      <c r="U30" s="1503"/>
      <c r="V30" s="1503"/>
    </row>
    <row r="31" spans="1:30" ht="16.5">
      <c r="A31" s="1870">
        <v>11</v>
      </c>
      <c r="B31" s="1503" t="s">
        <v>3899</v>
      </c>
      <c r="C31" s="1894"/>
      <c r="D31" s="1894"/>
      <c r="E31" s="1894"/>
      <c r="F31" s="1894"/>
      <c r="G31" s="1894"/>
      <c r="H31" s="1894"/>
      <c r="I31" s="1894"/>
      <c r="J31" s="1894"/>
      <c r="K31" s="1894"/>
      <c r="L31" s="1894"/>
      <c r="M31" s="1894"/>
      <c r="N31" s="1894"/>
      <c r="O31" s="1894"/>
      <c r="P31" s="1894"/>
      <c r="Q31" s="1894"/>
      <c r="R31" s="1894"/>
      <c r="S31" s="1894"/>
      <c r="T31" s="1894"/>
      <c r="U31" s="1894"/>
      <c r="V31" s="1894"/>
      <c r="W31" s="1848"/>
      <c r="X31" s="1848"/>
      <c r="Y31" s="1848"/>
      <c r="Z31" s="1848"/>
      <c r="AA31" s="1848"/>
      <c r="AB31" s="1848"/>
      <c r="AC31" s="1848"/>
    </row>
    <row r="32" spans="1:30" ht="16.5">
      <c r="A32" s="1870">
        <v>12</v>
      </c>
      <c r="B32" s="1503" t="s">
        <v>3839</v>
      </c>
      <c r="C32" s="1503"/>
      <c r="D32" s="1503"/>
      <c r="E32" s="1503"/>
      <c r="F32" s="1503"/>
      <c r="G32" s="1503"/>
      <c r="H32" s="1503"/>
      <c r="I32" s="1503"/>
      <c r="J32" s="1503"/>
      <c r="K32" s="1503"/>
      <c r="L32" s="1503"/>
      <c r="M32" s="1503"/>
      <c r="N32" s="1503"/>
      <c r="O32" s="1503"/>
      <c r="P32" s="1503"/>
      <c r="Q32" s="1503"/>
      <c r="R32" s="1503"/>
      <c r="S32" s="1503"/>
      <c r="T32" s="1503"/>
      <c r="U32" s="1503"/>
      <c r="V32" s="1503"/>
    </row>
    <row r="33" spans="1:30" ht="16.5">
      <c r="A33" s="1870">
        <v>13</v>
      </c>
      <c r="B33" s="1503" t="s">
        <v>3840</v>
      </c>
      <c r="C33" s="1895"/>
      <c r="D33" s="1895"/>
      <c r="E33" s="1895"/>
      <c r="F33" s="1895"/>
      <c r="G33" s="1895"/>
      <c r="H33" s="1895"/>
      <c r="I33" s="1895"/>
      <c r="J33" s="1895"/>
      <c r="K33" s="1895"/>
      <c r="L33" s="1895"/>
      <c r="M33" s="1503"/>
      <c r="N33" s="1503"/>
      <c r="O33" s="1503"/>
      <c r="P33" s="1503"/>
      <c r="Q33" s="1503"/>
      <c r="R33" s="1503"/>
      <c r="S33" s="1503"/>
      <c r="T33" s="1503"/>
      <c r="U33" s="1503"/>
      <c r="V33" s="1503"/>
    </row>
    <row r="34" spans="1:30" ht="16.5">
      <c r="A34" s="1870">
        <v>14</v>
      </c>
      <c r="B34" s="1894" t="s">
        <v>4175</v>
      </c>
      <c r="C34" s="1503"/>
      <c r="D34" s="1503"/>
      <c r="E34" s="1503"/>
      <c r="F34" s="1503"/>
      <c r="G34" s="1503"/>
      <c r="H34" s="1503"/>
      <c r="I34" s="1503"/>
      <c r="J34" s="1503"/>
      <c r="K34" s="1503"/>
      <c r="L34" s="1503"/>
      <c r="M34" s="1503"/>
      <c r="N34" s="1503"/>
      <c r="O34" s="1503"/>
      <c r="P34" s="1503"/>
      <c r="Q34" s="1503"/>
      <c r="R34" s="1503"/>
      <c r="S34" s="1503"/>
      <c r="T34" s="1503"/>
      <c r="U34" s="1503"/>
      <c r="V34" s="1503"/>
    </row>
    <row r="35" spans="1:30" ht="16.5">
      <c r="A35" s="1870">
        <v>15</v>
      </c>
      <c r="B35" s="1503" t="s">
        <v>3854</v>
      </c>
      <c r="C35" s="1503"/>
      <c r="D35" s="1503"/>
      <c r="E35" s="1503"/>
      <c r="F35" s="1503"/>
      <c r="G35" s="1503"/>
      <c r="H35" s="1503"/>
      <c r="I35" s="1503"/>
      <c r="J35" s="1503"/>
      <c r="K35" s="1503"/>
      <c r="L35" s="1503"/>
      <c r="M35" s="1503"/>
      <c r="N35" s="1503"/>
      <c r="O35" s="1503"/>
      <c r="P35" s="1503"/>
      <c r="Q35" s="1503"/>
      <c r="R35" s="1503"/>
      <c r="S35" s="1503"/>
      <c r="T35" s="1503"/>
      <c r="U35" s="1503"/>
      <c r="V35" s="1503"/>
    </row>
    <row r="36" spans="1:30" ht="16.5">
      <c r="A36" s="1870">
        <v>16</v>
      </c>
      <c r="B36" s="1895" t="s">
        <v>3900</v>
      </c>
      <c r="C36" s="1503"/>
      <c r="D36" s="1503"/>
      <c r="E36" s="1503"/>
      <c r="F36" s="1503"/>
      <c r="G36" s="1503"/>
      <c r="H36" s="1503"/>
      <c r="I36" s="1503"/>
      <c r="J36" s="1503"/>
      <c r="K36" s="1503"/>
      <c r="L36" s="1503"/>
      <c r="M36" s="1503"/>
      <c r="N36" s="1503"/>
      <c r="O36" s="1503"/>
      <c r="P36" s="1503"/>
      <c r="Q36" s="1503"/>
      <c r="R36" s="1503"/>
      <c r="S36" s="1503"/>
      <c r="T36" s="1503"/>
      <c r="U36" s="1503"/>
      <c r="V36" s="1503"/>
    </row>
    <row r="37" spans="1:30" s="1919" customFormat="1" ht="16.5">
      <c r="A37" s="1870">
        <v>17</v>
      </c>
      <c r="B37" s="1897" t="s">
        <v>7042</v>
      </c>
      <c r="C37" s="1503"/>
      <c r="D37" s="1503"/>
      <c r="E37" s="1503"/>
      <c r="F37" s="1503"/>
      <c r="G37" s="1503"/>
      <c r="H37" s="1503"/>
      <c r="I37" s="1503"/>
      <c r="J37" s="1503"/>
      <c r="K37" s="1503"/>
      <c r="L37" s="1503"/>
      <c r="M37" s="1503"/>
      <c r="N37" s="1503"/>
      <c r="O37" s="1503"/>
      <c r="P37" s="1503"/>
      <c r="Q37" s="1503"/>
      <c r="R37" s="1503"/>
      <c r="S37" s="1503"/>
      <c r="T37" s="1503"/>
      <c r="U37" s="1503"/>
      <c r="V37" s="1503"/>
      <c r="W37" s="1857"/>
      <c r="X37" s="1857"/>
      <c r="Y37" s="1857"/>
      <c r="Z37" s="1857"/>
      <c r="AA37" s="1857"/>
      <c r="AB37" s="1857"/>
      <c r="AC37" s="1857"/>
      <c r="AD37" s="1857"/>
    </row>
    <row r="38" spans="1:30" ht="16.5">
      <c r="A38" s="1870"/>
      <c r="B38" s="1897" t="s">
        <v>7043</v>
      </c>
    </row>
    <row r="39" spans="1:30" ht="16.5">
      <c r="A39" s="1870">
        <v>18</v>
      </c>
      <c r="B39" s="1897" t="s">
        <v>3901</v>
      </c>
    </row>
    <row r="40" spans="1:30" ht="16.5">
      <c r="A40" s="1870">
        <v>19</v>
      </c>
      <c r="B40" s="1503" t="s">
        <v>3855</v>
      </c>
    </row>
  </sheetData>
  <mergeCells count="22">
    <mergeCell ref="A3:A5"/>
    <mergeCell ref="B3:F3"/>
    <mergeCell ref="G3:G4"/>
    <mergeCell ref="H3:H4"/>
    <mergeCell ref="V3:V4"/>
    <mergeCell ref="I3:I4"/>
    <mergeCell ref="N3:N4"/>
    <mergeCell ref="J3:J4"/>
    <mergeCell ref="K3:K4"/>
    <mergeCell ref="M3:M4"/>
    <mergeCell ref="O3:O4"/>
    <mergeCell ref="L3:L4"/>
    <mergeCell ref="AC3:AC4"/>
    <mergeCell ref="Z3:Z4"/>
    <mergeCell ref="Y3:Y4"/>
    <mergeCell ref="AA3:AA4"/>
    <mergeCell ref="P3:P4"/>
    <mergeCell ref="R3:R4"/>
    <mergeCell ref="S3:U3"/>
    <mergeCell ref="AB3:AB4"/>
    <mergeCell ref="Q3:Q4"/>
    <mergeCell ref="W3:X3"/>
  </mergeCells>
  <phoneticPr fontId="29" type="noConversion"/>
  <printOptions horizontalCentered="1"/>
  <pageMargins left="0.39370078740157483" right="0.19685039370078741" top="0.39370078740157483" bottom="0.39370078740157483" header="0" footer="0"/>
  <pageSetup paperSize="9" scale="30" orientation="landscape" horizontalDpi="4294967295" verticalDpi="4294967295" r:id="rId1"/>
  <headerFooter alignWithMargins="0">
    <oddFooter>&amp;C&amp;"Times New Roman,標準"&amp;P+36&amp;R&amp;"Times New Roman,標準"&amp;A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79"/>
  <sheetViews>
    <sheetView zoomScaleNormal="100" workbookViewId="0">
      <pane xSplit="3" ySplit="5" topLeftCell="D27" activePane="bottomRight" state="frozen"/>
      <selection pane="topRight"/>
      <selection pane="bottomLeft"/>
      <selection pane="bottomRight"/>
    </sheetView>
  </sheetViews>
  <sheetFormatPr defaultColWidth="15.625" defaultRowHeight="0" customHeight="1" zeroHeight="1"/>
  <cols>
    <col min="1" max="1" width="5.625" style="1920" customWidth="1"/>
    <col min="2" max="2" width="15.625" style="1920" customWidth="1"/>
    <col min="3" max="3" width="45.625" style="1920" customWidth="1"/>
    <col min="4" max="16384" width="15.625" style="1920"/>
  </cols>
  <sheetData>
    <row r="1" spans="1:17" ht="16.5">
      <c r="A1" s="2409" t="s">
        <v>7073</v>
      </c>
      <c r="B1" s="1921"/>
      <c r="C1" s="1921"/>
    </row>
    <row r="2" spans="1:17" ht="16.5">
      <c r="A2" s="1922" t="s">
        <v>3902</v>
      </c>
      <c r="B2" s="1529"/>
      <c r="C2" s="1529"/>
      <c r="M2" s="1923"/>
      <c r="N2" s="1923"/>
      <c r="O2" s="1923"/>
      <c r="P2" s="1923"/>
      <c r="Q2" s="1942" t="s">
        <v>3876</v>
      </c>
    </row>
    <row r="3" spans="1:17" ht="16.5">
      <c r="A3" s="2567" t="s">
        <v>2343</v>
      </c>
      <c r="B3" s="2563" t="s">
        <v>3770</v>
      </c>
      <c r="C3" s="2563"/>
      <c r="D3" s="1924" t="s">
        <v>3816</v>
      </c>
      <c r="E3" s="1924"/>
      <c r="F3" s="1924"/>
      <c r="G3" s="1924"/>
      <c r="H3" s="1924" t="s">
        <v>3817</v>
      </c>
      <c r="I3" s="1924"/>
      <c r="J3" s="1924"/>
      <c r="K3" s="1924"/>
      <c r="L3" s="1924" t="s">
        <v>3856</v>
      </c>
      <c r="M3" s="1924"/>
      <c r="N3" s="1924"/>
      <c r="O3" s="1924"/>
      <c r="P3" s="1924"/>
      <c r="Q3" s="2563" t="s">
        <v>2436</v>
      </c>
    </row>
    <row r="4" spans="1:17" ht="49.5">
      <c r="A4" s="2567"/>
      <c r="B4" s="2563"/>
      <c r="C4" s="2563"/>
      <c r="D4" s="2214" t="s">
        <v>3632</v>
      </c>
      <c r="E4" s="2213" t="s">
        <v>3857</v>
      </c>
      <c r="F4" s="2212" t="s">
        <v>3820</v>
      </c>
      <c r="G4" s="2212" t="s">
        <v>3821</v>
      </c>
      <c r="H4" s="2214" t="s">
        <v>3632</v>
      </c>
      <c r="I4" s="2213" t="s">
        <v>3857</v>
      </c>
      <c r="J4" s="2212" t="s">
        <v>3820</v>
      </c>
      <c r="K4" s="2212" t="s">
        <v>3821</v>
      </c>
      <c r="L4" s="2214" t="s">
        <v>3632</v>
      </c>
      <c r="M4" s="2213" t="s">
        <v>3857</v>
      </c>
      <c r="N4" s="2212" t="s">
        <v>3820</v>
      </c>
      <c r="O4" s="2212" t="s">
        <v>3821</v>
      </c>
      <c r="P4" s="2213" t="s">
        <v>3858</v>
      </c>
      <c r="Q4" s="2564"/>
    </row>
    <row r="5" spans="1:17" ht="15.75">
      <c r="A5" s="2567"/>
      <c r="B5" s="2571" t="s">
        <v>66</v>
      </c>
      <c r="C5" s="2571"/>
      <c r="D5" s="2218" t="s">
        <v>67</v>
      </c>
      <c r="E5" s="2218" t="s">
        <v>68</v>
      </c>
      <c r="F5" s="2218" t="s">
        <v>69</v>
      </c>
      <c r="G5" s="1860" t="s">
        <v>70</v>
      </c>
      <c r="H5" s="1860" t="s">
        <v>71</v>
      </c>
      <c r="I5" s="1860" t="s">
        <v>72</v>
      </c>
      <c r="J5" s="1860" t="s">
        <v>73</v>
      </c>
      <c r="K5" s="1860" t="s">
        <v>74</v>
      </c>
      <c r="L5" s="1883" t="s">
        <v>75</v>
      </c>
      <c r="M5" s="1883" t="s">
        <v>234</v>
      </c>
      <c r="N5" s="1883" t="s">
        <v>235</v>
      </c>
      <c r="O5" s="1883" t="s">
        <v>286</v>
      </c>
      <c r="P5" s="1883" t="s">
        <v>287</v>
      </c>
      <c r="Q5" s="1883" t="s">
        <v>288</v>
      </c>
    </row>
    <row r="6" spans="1:17" ht="16.5">
      <c r="A6" s="1925">
        <v>1</v>
      </c>
      <c r="B6" s="2568" t="s">
        <v>3834</v>
      </c>
      <c r="C6" s="1926" t="s">
        <v>3877</v>
      </c>
      <c r="D6" s="1927"/>
      <c r="E6" s="1927"/>
      <c r="F6" s="1927"/>
      <c r="G6" s="1927"/>
      <c r="H6" s="1927"/>
      <c r="I6" s="1927"/>
      <c r="J6" s="1927"/>
      <c r="K6" s="1927"/>
      <c r="L6" s="1927"/>
      <c r="M6" s="1927"/>
      <c r="N6" s="1927"/>
      <c r="O6" s="1927"/>
      <c r="P6" s="1927"/>
      <c r="Q6" s="1928"/>
    </row>
    <row r="7" spans="1:17" ht="33">
      <c r="A7" s="1925">
        <f>A6+1</f>
        <v>2</v>
      </c>
      <c r="B7" s="2569"/>
      <c r="C7" s="1929" t="s">
        <v>3878</v>
      </c>
      <c r="D7" s="1927"/>
      <c r="E7" s="1927"/>
      <c r="F7" s="1927"/>
      <c r="G7" s="1927"/>
      <c r="H7" s="1927"/>
      <c r="I7" s="1927"/>
      <c r="J7" s="1927"/>
      <c r="K7" s="1927"/>
      <c r="L7" s="1927"/>
      <c r="M7" s="1927"/>
      <c r="N7" s="1927"/>
      <c r="O7" s="1927"/>
      <c r="P7" s="1927"/>
      <c r="Q7" s="1928"/>
    </row>
    <row r="8" spans="1:17" ht="33">
      <c r="A8" s="1925">
        <f>A7+1</f>
        <v>3</v>
      </c>
      <c r="B8" s="2569"/>
      <c r="C8" s="1929" t="s">
        <v>3879</v>
      </c>
      <c r="D8" s="1927"/>
      <c r="E8" s="1927"/>
      <c r="F8" s="1927"/>
      <c r="G8" s="1927"/>
      <c r="H8" s="1927"/>
      <c r="I8" s="1927"/>
      <c r="J8" s="1927"/>
      <c r="K8" s="1927"/>
      <c r="L8" s="1927"/>
      <c r="M8" s="1927"/>
      <c r="N8" s="1927"/>
      <c r="O8" s="1927"/>
      <c r="P8" s="1927"/>
      <c r="Q8" s="1928"/>
    </row>
    <row r="9" spans="1:17" ht="16.5">
      <c r="A9" s="1925">
        <f t="shared" ref="A9:A39" si="0">A8+1</f>
        <v>4</v>
      </c>
      <c r="B9" s="2569"/>
      <c r="C9" s="1929" t="s">
        <v>3880</v>
      </c>
      <c r="D9" s="1927"/>
      <c r="E9" s="1927"/>
      <c r="F9" s="1927"/>
      <c r="G9" s="1927"/>
      <c r="H9" s="1927"/>
      <c r="I9" s="1927"/>
      <c r="J9" s="1927"/>
      <c r="K9" s="1927"/>
      <c r="L9" s="1927"/>
      <c r="M9" s="1927"/>
      <c r="N9" s="1927"/>
      <c r="O9" s="1927"/>
      <c r="P9" s="1927"/>
      <c r="Q9" s="1928"/>
    </row>
    <row r="10" spans="1:17" ht="16.5">
      <c r="A10" s="1925">
        <f t="shared" si="0"/>
        <v>5</v>
      </c>
      <c r="B10" s="2569"/>
      <c r="C10" s="1929" t="s">
        <v>3881</v>
      </c>
      <c r="D10" s="1927"/>
      <c r="E10" s="1927"/>
      <c r="F10" s="1927"/>
      <c r="G10" s="1927"/>
      <c r="H10" s="1927"/>
      <c r="I10" s="1927"/>
      <c r="J10" s="1927"/>
      <c r="K10" s="1927"/>
      <c r="L10" s="1927"/>
      <c r="M10" s="1927"/>
      <c r="N10" s="1927"/>
      <c r="O10" s="1927"/>
      <c r="P10" s="1927"/>
      <c r="Q10" s="1928"/>
    </row>
    <row r="11" spans="1:17" ht="16.5">
      <c r="A11" s="1925">
        <f t="shared" si="0"/>
        <v>6</v>
      </c>
      <c r="B11" s="2569"/>
      <c r="C11" s="1929" t="s">
        <v>3882</v>
      </c>
      <c r="D11" s="1927"/>
      <c r="E11" s="1927"/>
      <c r="F11" s="1927"/>
      <c r="G11" s="1927"/>
      <c r="H11" s="1927"/>
      <c r="I11" s="1927"/>
      <c r="J11" s="1927"/>
      <c r="K11" s="1927"/>
      <c r="L11" s="1927"/>
      <c r="M11" s="1927"/>
      <c r="N11" s="1927"/>
      <c r="O11" s="1927"/>
      <c r="P11" s="1927"/>
      <c r="Q11" s="1928"/>
    </row>
    <row r="12" spans="1:17" ht="16.5">
      <c r="A12" s="1925">
        <f t="shared" si="0"/>
        <v>7</v>
      </c>
      <c r="B12" s="2569"/>
      <c r="C12" s="1929" t="s">
        <v>3883</v>
      </c>
      <c r="D12" s="1927"/>
      <c r="E12" s="1927"/>
      <c r="F12" s="1927"/>
      <c r="G12" s="1927"/>
      <c r="H12" s="1927"/>
      <c r="I12" s="1927"/>
      <c r="J12" s="1927"/>
      <c r="K12" s="1927"/>
      <c r="L12" s="1927"/>
      <c r="M12" s="1927"/>
      <c r="N12" s="1927"/>
      <c r="O12" s="1927"/>
      <c r="P12" s="1927"/>
      <c r="Q12" s="1928"/>
    </row>
    <row r="13" spans="1:17" ht="16.5">
      <c r="A13" s="1925">
        <f t="shared" si="0"/>
        <v>8</v>
      </c>
      <c r="B13" s="2569"/>
      <c r="C13" s="1926" t="s">
        <v>3884</v>
      </c>
      <c r="D13" s="1927"/>
      <c r="E13" s="1927"/>
      <c r="F13" s="1927"/>
      <c r="G13" s="1927"/>
      <c r="H13" s="1927"/>
      <c r="I13" s="1927"/>
      <c r="J13" s="1927"/>
      <c r="K13" s="1927"/>
      <c r="L13" s="1927"/>
      <c r="M13" s="1927"/>
      <c r="N13" s="1927"/>
      <c r="O13" s="1927"/>
      <c r="P13" s="1927"/>
      <c r="Q13" s="1928"/>
    </row>
    <row r="14" spans="1:17" ht="33">
      <c r="A14" s="1925">
        <f t="shared" si="0"/>
        <v>9</v>
      </c>
      <c r="B14" s="2569"/>
      <c r="C14" s="1929" t="s">
        <v>3878</v>
      </c>
      <c r="D14" s="1927"/>
      <c r="E14" s="1927"/>
      <c r="F14" s="1927"/>
      <c r="G14" s="1927"/>
      <c r="H14" s="1927"/>
      <c r="I14" s="1927"/>
      <c r="J14" s="1927"/>
      <c r="K14" s="1927"/>
      <c r="L14" s="1927"/>
      <c r="M14" s="1927"/>
      <c r="N14" s="1927"/>
      <c r="O14" s="1927"/>
      <c r="P14" s="1927"/>
      <c r="Q14" s="1928"/>
    </row>
    <row r="15" spans="1:17" ht="33">
      <c r="A15" s="1925">
        <f t="shared" si="0"/>
        <v>10</v>
      </c>
      <c r="B15" s="2569"/>
      <c r="C15" s="1929" t="s">
        <v>3879</v>
      </c>
      <c r="D15" s="1927"/>
      <c r="E15" s="1927"/>
      <c r="F15" s="1927"/>
      <c r="G15" s="1927"/>
      <c r="H15" s="1927"/>
      <c r="I15" s="1927"/>
      <c r="J15" s="1927"/>
      <c r="K15" s="1927"/>
      <c r="L15" s="1927"/>
      <c r="M15" s="1927"/>
      <c r="N15" s="1927"/>
      <c r="O15" s="1927"/>
      <c r="P15" s="1927"/>
      <c r="Q15" s="1928"/>
    </row>
    <row r="16" spans="1:17" ht="16.5">
      <c r="A16" s="1925">
        <f t="shared" si="0"/>
        <v>11</v>
      </c>
      <c r="B16" s="2569"/>
      <c r="C16" s="1929" t="s">
        <v>3880</v>
      </c>
      <c r="D16" s="1927"/>
      <c r="E16" s="1927"/>
      <c r="F16" s="1927"/>
      <c r="G16" s="1927"/>
      <c r="H16" s="1927"/>
      <c r="I16" s="1927"/>
      <c r="J16" s="1927"/>
      <c r="K16" s="1927"/>
      <c r="L16" s="1927"/>
      <c r="M16" s="1927"/>
      <c r="N16" s="1927"/>
      <c r="O16" s="1927"/>
      <c r="P16" s="1927"/>
      <c r="Q16" s="1928"/>
    </row>
    <row r="17" spans="1:17" ht="16.5">
      <c r="A17" s="1925">
        <f t="shared" si="0"/>
        <v>12</v>
      </c>
      <c r="B17" s="2569"/>
      <c r="C17" s="1929" t="s">
        <v>3881</v>
      </c>
      <c r="D17" s="1927"/>
      <c r="E17" s="1927"/>
      <c r="F17" s="1927"/>
      <c r="G17" s="1927"/>
      <c r="H17" s="1927"/>
      <c r="I17" s="1927"/>
      <c r="J17" s="1927"/>
      <c r="K17" s="1927"/>
      <c r="L17" s="1927"/>
      <c r="M17" s="1927"/>
      <c r="N17" s="1927"/>
      <c r="O17" s="1927"/>
      <c r="P17" s="1927"/>
      <c r="Q17" s="1928"/>
    </row>
    <row r="18" spans="1:17" ht="16.5">
      <c r="A18" s="1925">
        <f t="shared" si="0"/>
        <v>13</v>
      </c>
      <c r="B18" s="2569"/>
      <c r="C18" s="1929" t="s">
        <v>3882</v>
      </c>
      <c r="D18" s="1927"/>
      <c r="E18" s="1927"/>
      <c r="F18" s="1927"/>
      <c r="G18" s="1927"/>
      <c r="H18" s="1927"/>
      <c r="I18" s="1927"/>
      <c r="J18" s="1927"/>
      <c r="K18" s="1927"/>
      <c r="L18" s="1927"/>
      <c r="M18" s="1927"/>
      <c r="N18" s="1927"/>
      <c r="O18" s="1927"/>
      <c r="P18" s="1927"/>
      <c r="Q18" s="1928"/>
    </row>
    <row r="19" spans="1:17" ht="16.5">
      <c r="A19" s="1925">
        <f t="shared" si="0"/>
        <v>14</v>
      </c>
      <c r="B19" s="2569"/>
      <c r="C19" s="1929" t="s">
        <v>3752</v>
      </c>
      <c r="D19" s="1927"/>
      <c r="E19" s="1927"/>
      <c r="F19" s="1927"/>
      <c r="G19" s="1927"/>
      <c r="H19" s="1927"/>
      <c r="I19" s="1927"/>
      <c r="J19" s="1927"/>
      <c r="K19" s="1927"/>
      <c r="L19" s="1927"/>
      <c r="M19" s="1927"/>
      <c r="N19" s="1927"/>
      <c r="O19" s="1927"/>
      <c r="P19" s="1927"/>
      <c r="Q19" s="1928"/>
    </row>
    <row r="20" spans="1:17" ht="16.5">
      <c r="A20" s="1925">
        <f t="shared" si="0"/>
        <v>15</v>
      </c>
      <c r="B20" s="2570"/>
      <c r="C20" s="1930" t="s">
        <v>3859</v>
      </c>
      <c r="D20" s="1927"/>
      <c r="E20" s="1927"/>
      <c r="F20" s="1927"/>
      <c r="G20" s="1927"/>
      <c r="H20" s="1927"/>
      <c r="I20" s="1927"/>
      <c r="J20" s="1927"/>
      <c r="K20" s="1927"/>
      <c r="L20" s="1927"/>
      <c r="M20" s="1927"/>
      <c r="N20" s="1927"/>
      <c r="O20" s="1927"/>
      <c r="P20" s="1927"/>
      <c r="Q20" s="1928"/>
    </row>
    <row r="21" spans="1:17" ht="16.5">
      <c r="A21" s="1925">
        <f t="shared" si="0"/>
        <v>16</v>
      </c>
      <c r="B21" s="2568" t="s">
        <v>3860</v>
      </c>
      <c r="C21" s="1926" t="s">
        <v>3861</v>
      </c>
      <c r="D21" s="1927"/>
      <c r="E21" s="1927"/>
      <c r="F21" s="1927"/>
      <c r="G21" s="1927"/>
      <c r="H21" s="1927"/>
      <c r="I21" s="1927"/>
      <c r="J21" s="1927"/>
      <c r="K21" s="1927"/>
      <c r="L21" s="1927"/>
      <c r="M21" s="1927"/>
      <c r="N21" s="1927"/>
      <c r="O21" s="1927"/>
      <c r="P21" s="1927"/>
      <c r="Q21" s="1928"/>
    </row>
    <row r="22" spans="1:17" ht="16.5">
      <c r="A22" s="1925">
        <f t="shared" si="0"/>
        <v>17</v>
      </c>
      <c r="B22" s="2569"/>
      <c r="C22" s="1926" t="s">
        <v>2445</v>
      </c>
      <c r="D22" s="1927"/>
      <c r="E22" s="1927"/>
      <c r="F22" s="1927"/>
      <c r="G22" s="1927"/>
      <c r="H22" s="1927"/>
      <c r="I22" s="1927"/>
      <c r="J22" s="1927"/>
      <c r="K22" s="1927"/>
      <c r="L22" s="1927"/>
      <c r="M22" s="1927"/>
      <c r="N22" s="1927"/>
      <c r="O22" s="1927"/>
      <c r="P22" s="1927"/>
      <c r="Q22" s="1928"/>
    </row>
    <row r="23" spans="1:17" ht="16.5">
      <c r="A23" s="1925">
        <f t="shared" si="0"/>
        <v>18</v>
      </c>
      <c r="B23" s="2569"/>
      <c r="C23" s="1926" t="s">
        <v>3862</v>
      </c>
      <c r="D23" s="1927"/>
      <c r="E23" s="1927"/>
      <c r="F23" s="1927"/>
      <c r="G23" s="1927"/>
      <c r="H23" s="1927"/>
      <c r="I23" s="1927"/>
      <c r="J23" s="1927"/>
      <c r="K23" s="1927"/>
      <c r="L23" s="1927"/>
      <c r="M23" s="1927"/>
      <c r="N23" s="1927"/>
      <c r="O23" s="1927"/>
      <c r="P23" s="1927"/>
      <c r="Q23" s="1928"/>
    </row>
    <row r="24" spans="1:17" ht="16.5">
      <c r="A24" s="1925">
        <f t="shared" si="0"/>
        <v>19</v>
      </c>
      <c r="B24" s="2569"/>
      <c r="C24" s="1926" t="s">
        <v>3863</v>
      </c>
      <c r="D24" s="1927"/>
      <c r="E24" s="1927"/>
      <c r="F24" s="1927"/>
      <c r="G24" s="1927"/>
      <c r="H24" s="1927"/>
      <c r="I24" s="1927"/>
      <c r="J24" s="1927"/>
      <c r="K24" s="1927"/>
      <c r="L24" s="1927"/>
      <c r="M24" s="1927"/>
      <c r="N24" s="1927"/>
      <c r="O24" s="1927"/>
      <c r="P24" s="1927"/>
      <c r="Q24" s="1928"/>
    </row>
    <row r="25" spans="1:17" ht="16.5">
      <c r="A25" s="1925">
        <f t="shared" si="0"/>
        <v>20</v>
      </c>
      <c r="B25" s="2570"/>
      <c r="C25" s="1930" t="s">
        <v>3859</v>
      </c>
      <c r="D25" s="1927"/>
      <c r="E25" s="1927"/>
      <c r="F25" s="1927"/>
      <c r="G25" s="1927"/>
      <c r="H25" s="1927"/>
      <c r="I25" s="1927"/>
      <c r="J25" s="1927"/>
      <c r="K25" s="1927"/>
      <c r="L25" s="1927"/>
      <c r="M25" s="1927"/>
      <c r="N25" s="1927"/>
      <c r="O25" s="1927"/>
      <c r="P25" s="1927"/>
      <c r="Q25" s="1928"/>
    </row>
    <row r="26" spans="1:17" ht="15.75" customHeight="1">
      <c r="A26" s="1925">
        <f t="shared" si="0"/>
        <v>21</v>
      </c>
      <c r="B26" s="2565" t="s">
        <v>3864</v>
      </c>
      <c r="C26" s="2566"/>
      <c r="D26" s="1927"/>
      <c r="E26" s="1927"/>
      <c r="F26" s="1927"/>
      <c r="G26" s="1927"/>
      <c r="H26" s="1927"/>
      <c r="I26" s="1927"/>
      <c r="J26" s="1927"/>
      <c r="K26" s="1927"/>
      <c r="L26" s="1927"/>
      <c r="M26" s="1927"/>
      <c r="N26" s="1927"/>
      <c r="O26" s="1927"/>
      <c r="P26" s="1927"/>
      <c r="Q26" s="1928"/>
    </row>
    <row r="27" spans="1:17" ht="15.75" customHeight="1">
      <c r="A27" s="1925">
        <f t="shared" si="0"/>
        <v>22</v>
      </c>
      <c r="B27" s="2565" t="s">
        <v>2404</v>
      </c>
      <c r="C27" s="2566"/>
      <c r="D27" s="1927"/>
      <c r="E27" s="1927"/>
      <c r="F27" s="1927"/>
      <c r="G27" s="1927"/>
      <c r="H27" s="1927"/>
      <c r="I27" s="1927"/>
      <c r="J27" s="1927"/>
      <c r="K27" s="1927"/>
      <c r="L27" s="1927"/>
      <c r="M27" s="1927"/>
      <c r="N27" s="1927"/>
      <c r="O27" s="1927"/>
      <c r="P27" s="1927"/>
      <c r="Q27" s="1928"/>
    </row>
    <row r="28" spans="1:17" ht="15.75" customHeight="1">
      <c r="A28" s="1925">
        <f t="shared" si="0"/>
        <v>23</v>
      </c>
      <c r="B28" s="2565" t="s">
        <v>3865</v>
      </c>
      <c r="C28" s="2566"/>
      <c r="D28" s="1927"/>
      <c r="E28" s="1927"/>
      <c r="F28" s="1927"/>
      <c r="G28" s="1927"/>
      <c r="H28" s="1927"/>
      <c r="I28" s="1927"/>
      <c r="J28" s="1927"/>
      <c r="K28" s="1927"/>
      <c r="L28" s="1927"/>
      <c r="M28" s="1927"/>
      <c r="N28" s="1927"/>
      <c r="O28" s="1927"/>
      <c r="P28" s="1927"/>
      <c r="Q28" s="1928"/>
    </row>
    <row r="29" spans="1:17" ht="15.75" customHeight="1">
      <c r="A29" s="1925">
        <f t="shared" si="0"/>
        <v>24</v>
      </c>
      <c r="B29" s="2565" t="s">
        <v>7036</v>
      </c>
      <c r="C29" s="2566"/>
      <c r="D29" s="1927"/>
      <c r="E29" s="1927"/>
      <c r="F29" s="1927"/>
      <c r="G29" s="1927"/>
      <c r="H29" s="1927"/>
      <c r="I29" s="1927"/>
      <c r="J29" s="1927"/>
      <c r="K29" s="1927"/>
      <c r="L29" s="1927"/>
      <c r="M29" s="1927"/>
      <c r="N29" s="1927"/>
      <c r="O29" s="1927"/>
      <c r="P29" s="1927"/>
      <c r="Q29" s="1928"/>
    </row>
    <row r="30" spans="1:17" ht="15.75" customHeight="1">
      <c r="A30" s="1925">
        <f t="shared" si="0"/>
        <v>25</v>
      </c>
      <c r="B30" s="2565" t="s">
        <v>3866</v>
      </c>
      <c r="C30" s="2566"/>
      <c r="D30" s="1927"/>
      <c r="E30" s="1927"/>
      <c r="F30" s="1927"/>
      <c r="G30" s="1927"/>
      <c r="H30" s="1927"/>
      <c r="I30" s="1927"/>
      <c r="J30" s="1927"/>
      <c r="K30" s="1927"/>
      <c r="L30" s="1927"/>
      <c r="M30" s="1927"/>
      <c r="N30" s="1927"/>
      <c r="O30" s="1927"/>
      <c r="P30" s="1927"/>
      <c r="Q30" s="1928"/>
    </row>
    <row r="31" spans="1:17" ht="15.75" customHeight="1">
      <c r="A31" s="1925">
        <f t="shared" si="0"/>
        <v>26</v>
      </c>
      <c r="B31" s="2565" t="s">
        <v>3867</v>
      </c>
      <c r="C31" s="2566"/>
      <c r="D31" s="1927"/>
      <c r="E31" s="1927"/>
      <c r="F31" s="1927"/>
      <c r="G31" s="1927"/>
      <c r="H31" s="1927"/>
      <c r="I31" s="1927"/>
      <c r="J31" s="1927"/>
      <c r="K31" s="1927"/>
      <c r="L31" s="1927"/>
      <c r="M31" s="1927"/>
      <c r="N31" s="1927"/>
      <c r="O31" s="1927"/>
      <c r="P31" s="1927"/>
      <c r="Q31" s="1928"/>
    </row>
    <row r="32" spans="1:17" ht="15.75" customHeight="1">
      <c r="A32" s="1925">
        <f t="shared" si="0"/>
        <v>27</v>
      </c>
      <c r="B32" s="2565" t="s">
        <v>3868</v>
      </c>
      <c r="C32" s="2566"/>
      <c r="D32" s="1927"/>
      <c r="E32" s="1927"/>
      <c r="F32" s="1927"/>
      <c r="G32" s="1927"/>
      <c r="H32" s="1927"/>
      <c r="I32" s="1927"/>
      <c r="J32" s="1927"/>
      <c r="K32" s="1927"/>
      <c r="L32" s="1927"/>
      <c r="M32" s="1927"/>
      <c r="N32" s="1927"/>
      <c r="O32" s="1927"/>
      <c r="P32" s="1927"/>
      <c r="Q32" s="1928"/>
    </row>
    <row r="33" spans="1:18" ht="15.75" customHeight="1">
      <c r="A33" s="1925">
        <f t="shared" si="0"/>
        <v>28</v>
      </c>
      <c r="B33" s="2565" t="s">
        <v>3869</v>
      </c>
      <c r="C33" s="2566"/>
      <c r="D33" s="1927"/>
      <c r="E33" s="1927"/>
      <c r="F33" s="1927"/>
      <c r="G33" s="1927"/>
      <c r="H33" s="1927"/>
      <c r="I33" s="1927"/>
      <c r="J33" s="1927"/>
      <c r="K33" s="1927"/>
      <c r="L33" s="1927"/>
      <c r="M33" s="1927"/>
      <c r="N33" s="1927"/>
      <c r="O33" s="1927"/>
      <c r="P33" s="1927"/>
      <c r="Q33" s="1928"/>
    </row>
    <row r="34" spans="1:18" ht="16.5" customHeight="1">
      <c r="A34" s="1925">
        <f t="shared" si="0"/>
        <v>29</v>
      </c>
      <c r="B34" s="2572" t="s">
        <v>7037</v>
      </c>
      <c r="C34" s="1926" t="s">
        <v>3870</v>
      </c>
      <c r="D34" s="1927"/>
      <c r="E34" s="1927"/>
      <c r="F34" s="1927"/>
      <c r="G34" s="1927"/>
      <c r="H34" s="1927"/>
      <c r="I34" s="1927"/>
      <c r="J34" s="1927"/>
      <c r="K34" s="1927"/>
      <c r="L34" s="1931"/>
      <c r="M34" s="1927"/>
      <c r="N34" s="1927"/>
      <c r="O34" s="1927"/>
      <c r="P34" s="1927"/>
      <c r="Q34" s="1928"/>
    </row>
    <row r="35" spans="1:18" ht="16.5">
      <c r="A35" s="1925">
        <f t="shared" si="0"/>
        <v>30</v>
      </c>
      <c r="B35" s="2573"/>
      <c r="C35" s="1926" t="s">
        <v>3871</v>
      </c>
      <c r="D35" s="1927"/>
      <c r="E35" s="1927"/>
      <c r="F35" s="1927"/>
      <c r="G35" s="1927"/>
      <c r="H35" s="1927"/>
      <c r="I35" s="1927"/>
      <c r="J35" s="1927"/>
      <c r="K35" s="1927"/>
      <c r="L35" s="1931"/>
      <c r="M35" s="1927"/>
      <c r="N35" s="1927"/>
      <c r="O35" s="1927"/>
      <c r="P35" s="1927"/>
      <c r="Q35" s="1928"/>
    </row>
    <row r="36" spans="1:18" ht="16.5">
      <c r="A36" s="1925">
        <f t="shared" si="0"/>
        <v>31</v>
      </c>
      <c r="B36" s="2573"/>
      <c r="C36" s="1929" t="s">
        <v>3885</v>
      </c>
      <c r="D36" s="1927"/>
      <c r="E36" s="1927"/>
      <c r="F36" s="1927"/>
      <c r="G36" s="1927"/>
      <c r="H36" s="1932"/>
      <c r="I36" s="1932"/>
      <c r="J36" s="1932"/>
      <c r="K36" s="1932"/>
      <c r="L36" s="1931"/>
      <c r="M36" s="1927"/>
      <c r="N36" s="1927"/>
      <c r="O36" s="1927"/>
      <c r="P36" s="1927"/>
      <c r="Q36" s="1928"/>
    </row>
    <row r="37" spans="1:18" ht="16.5">
      <c r="A37" s="1925">
        <f t="shared" si="0"/>
        <v>32</v>
      </c>
      <c r="B37" s="2573"/>
      <c r="C37" s="1929" t="s">
        <v>2405</v>
      </c>
      <c r="D37" s="1927"/>
      <c r="E37" s="1927"/>
      <c r="F37" s="1927"/>
      <c r="G37" s="1927"/>
      <c r="H37" s="1932"/>
      <c r="I37" s="1932"/>
      <c r="J37" s="1932"/>
      <c r="K37" s="1932"/>
      <c r="L37" s="1931"/>
      <c r="M37" s="1927"/>
      <c r="N37" s="1927"/>
      <c r="O37" s="1927"/>
      <c r="P37" s="1927"/>
      <c r="Q37" s="1928"/>
    </row>
    <row r="38" spans="1:18" ht="16.5">
      <c r="A38" s="1925">
        <f t="shared" si="0"/>
        <v>33</v>
      </c>
      <c r="B38" s="2574"/>
      <c r="C38" s="1926" t="s">
        <v>3872</v>
      </c>
      <c r="D38" s="1927"/>
      <c r="E38" s="1927"/>
      <c r="F38" s="1927"/>
      <c r="G38" s="1927"/>
      <c r="H38" s="1927"/>
      <c r="I38" s="1927"/>
      <c r="J38" s="1927"/>
      <c r="K38" s="1927"/>
      <c r="L38" s="1931"/>
      <c r="M38" s="1927"/>
      <c r="N38" s="1927"/>
      <c r="O38" s="1927"/>
      <c r="P38" s="1927"/>
      <c r="Q38" s="1928"/>
    </row>
    <row r="39" spans="1:18" ht="15.75" customHeight="1">
      <c r="A39" s="1925">
        <f t="shared" si="0"/>
        <v>34</v>
      </c>
      <c r="B39" s="2575" t="s">
        <v>3873</v>
      </c>
      <c r="C39" s="2576"/>
      <c r="D39" s="1927"/>
      <c r="E39" s="1927"/>
      <c r="F39" s="1927"/>
      <c r="G39" s="1927"/>
      <c r="H39" s="1927"/>
      <c r="I39" s="1927"/>
      <c r="J39" s="1927"/>
      <c r="K39" s="1927"/>
      <c r="L39" s="1927"/>
      <c r="M39" s="1927"/>
      <c r="N39" s="1927"/>
      <c r="O39" s="1927"/>
      <c r="P39" s="1927"/>
      <c r="Q39" s="1928"/>
    </row>
    <row r="40" spans="1:18" ht="15.75">
      <c r="A40" s="2395"/>
      <c r="B40" s="1933"/>
      <c r="C40" s="1933"/>
      <c r="D40" s="1934"/>
      <c r="E40" s="1934"/>
      <c r="F40" s="1934"/>
      <c r="G40" s="1934"/>
      <c r="H40" s="1934"/>
      <c r="I40" s="1934"/>
      <c r="J40" s="1934"/>
      <c r="K40" s="1934"/>
      <c r="L40" s="1934"/>
      <c r="M40" s="1934"/>
      <c r="N40" s="1934"/>
      <c r="O40" s="1934"/>
      <c r="P40" s="1934"/>
      <c r="Q40" s="1935"/>
    </row>
    <row r="41" spans="1:18" ht="16.5">
      <c r="A41" s="1936" t="s">
        <v>3538</v>
      </c>
      <c r="B41" s="1937"/>
      <c r="C41" s="1921"/>
      <c r="D41" s="1921"/>
      <c r="E41" s="1921"/>
      <c r="F41" s="1921"/>
      <c r="G41" s="1921"/>
      <c r="H41" s="1921"/>
      <c r="I41" s="1921"/>
      <c r="J41" s="1921"/>
      <c r="K41" s="1921"/>
      <c r="L41" s="1921"/>
      <c r="M41" s="1921"/>
      <c r="N41" s="1921"/>
      <c r="O41" s="1921"/>
      <c r="P41" s="1921"/>
      <c r="Q41" s="1921"/>
    </row>
    <row r="42" spans="1:18" ht="16.5">
      <c r="A42" s="1938">
        <v>1</v>
      </c>
      <c r="B42" s="1939" t="s">
        <v>3874</v>
      </c>
      <c r="C42" s="1937"/>
      <c r="D42" s="1937"/>
      <c r="E42" s="1937"/>
      <c r="F42" s="1937"/>
      <c r="G42" s="1937"/>
      <c r="H42" s="1937"/>
      <c r="I42" s="1937"/>
      <c r="J42" s="1937"/>
      <c r="K42" s="1937"/>
      <c r="L42" s="1937"/>
      <c r="M42" s="1937"/>
      <c r="N42" s="1937"/>
      <c r="O42" s="1937"/>
      <c r="P42" s="1937"/>
      <c r="Q42" s="1937"/>
      <c r="R42" s="1940"/>
    </row>
    <row r="43" spans="1:18" ht="15.75" customHeight="1">
      <c r="A43" s="1938">
        <v>2</v>
      </c>
      <c r="B43" s="1853" t="s">
        <v>7038</v>
      </c>
      <c r="C43" s="1853"/>
      <c r="D43" s="1921"/>
      <c r="E43" s="1921"/>
      <c r="F43" s="1921"/>
      <c r="G43" s="1921"/>
      <c r="H43" s="1921"/>
      <c r="I43" s="1921"/>
      <c r="J43" s="1921"/>
      <c r="K43" s="1921"/>
      <c r="L43" s="1921"/>
      <c r="M43" s="1921"/>
      <c r="N43" s="1921"/>
      <c r="O43" s="1921"/>
      <c r="P43" s="1921"/>
      <c r="Q43" s="1921"/>
    </row>
    <row r="44" spans="1:18" ht="16.5">
      <c r="A44" s="1941">
        <v>3</v>
      </c>
      <c r="B44" s="1505" t="s">
        <v>7039</v>
      </c>
      <c r="C44" s="1937"/>
      <c r="D44" s="1937"/>
      <c r="E44" s="1937"/>
      <c r="F44" s="1937"/>
      <c r="G44" s="1937"/>
      <c r="H44" s="1937"/>
      <c r="I44" s="1937"/>
      <c r="J44" s="1937"/>
      <c r="K44" s="1937"/>
      <c r="L44" s="1937"/>
      <c r="M44" s="1937"/>
      <c r="N44" s="1937"/>
      <c r="O44" s="1937"/>
      <c r="P44" s="1937"/>
      <c r="Q44" s="1921"/>
    </row>
    <row r="45" spans="1:18" ht="16.5">
      <c r="A45" s="1941">
        <v>4</v>
      </c>
      <c r="B45" s="1853" t="s">
        <v>3262</v>
      </c>
      <c r="C45" s="1921"/>
      <c r="D45" s="1921"/>
      <c r="E45" s="1921"/>
      <c r="F45" s="1921"/>
      <c r="G45" s="1921"/>
      <c r="H45" s="1921"/>
      <c r="I45" s="1921"/>
      <c r="J45" s="1921"/>
      <c r="K45" s="1921"/>
      <c r="L45" s="1921"/>
      <c r="M45" s="1921"/>
      <c r="N45" s="1921"/>
      <c r="O45" s="1921"/>
      <c r="P45" s="1921"/>
      <c r="Q45" s="1921"/>
    </row>
    <row r="46" spans="1:18" ht="15.75" customHeight="1">
      <c r="A46" s="1941">
        <v>5</v>
      </c>
      <c r="B46" s="1853" t="s">
        <v>3875</v>
      </c>
      <c r="C46" s="1505"/>
      <c r="D46" s="1505"/>
      <c r="E46" s="1505"/>
      <c r="F46" s="1505"/>
      <c r="G46" s="1505"/>
      <c r="H46" s="1505"/>
      <c r="I46" s="1505"/>
      <c r="J46" s="1505"/>
      <c r="K46" s="1505"/>
      <c r="L46" s="1505"/>
      <c r="M46" s="1505"/>
      <c r="N46" s="1505"/>
      <c r="O46" s="1505"/>
      <c r="P46" s="1505"/>
      <c r="Q46" s="1505"/>
    </row>
    <row r="47" spans="1:18" ht="15.75"/>
    <row r="48" spans="1:18" ht="15.75"/>
    <row r="49" ht="15.75"/>
    <row r="50" ht="15.75"/>
    <row r="51" ht="15.75"/>
    <row r="52" ht="15.75"/>
    <row r="53" ht="15.75"/>
    <row r="54" ht="15.75"/>
    <row r="55" ht="15.75"/>
    <row r="56" ht="15.75"/>
    <row r="57" ht="15.75"/>
    <row r="58" ht="15.75"/>
    <row r="59" ht="15.75"/>
    <row r="60" ht="15.75"/>
    <row r="61" ht="15.75"/>
    <row r="62" ht="15.75"/>
    <row r="63" ht="15.75"/>
    <row r="64" ht="15.75"/>
    <row r="65" ht="15.75"/>
    <row r="66" ht="15.75"/>
    <row r="67" ht="15.75"/>
    <row r="68" ht="15.75"/>
    <row r="69" ht="15.75"/>
    <row r="70" ht="15.75"/>
    <row r="71" ht="15.75"/>
    <row r="72" ht="15.75"/>
    <row r="73" ht="15.75"/>
    <row r="74" ht="15.75"/>
    <row r="75" ht="15.75"/>
    <row r="76" ht="15.75"/>
    <row r="77" ht="15.75"/>
    <row r="78" ht="15.75"/>
    <row r="79" ht="15.75"/>
  </sheetData>
  <mergeCells count="16">
    <mergeCell ref="B34:B38"/>
    <mergeCell ref="B39:C39"/>
    <mergeCell ref="B32:C32"/>
    <mergeCell ref="B28:C28"/>
    <mergeCell ref="B31:C31"/>
    <mergeCell ref="B33:C33"/>
    <mergeCell ref="B30:C30"/>
    <mergeCell ref="B29:C29"/>
    <mergeCell ref="Q3:Q4"/>
    <mergeCell ref="B27:C27"/>
    <mergeCell ref="B26:C26"/>
    <mergeCell ref="A3:A5"/>
    <mergeCell ref="B6:B20"/>
    <mergeCell ref="B5:C5"/>
    <mergeCell ref="B3:C4"/>
    <mergeCell ref="B21:B25"/>
  </mergeCells>
  <phoneticPr fontId="29" type="noConversion"/>
  <dataValidations count="1">
    <dataValidation type="decimal" allowBlank="1" showInputMessage="1" showErrorMessage="1" errorTitle="錯誤" error="輸入資料格式錯誤!!" sqref="D6:P40">
      <formula1>-9.99999999999999E+28</formula1>
      <formula2>9.99999999999999E+28</formula2>
    </dataValidation>
  </dataValidations>
  <printOptions horizontalCentered="1"/>
  <pageMargins left="0.39370078740157483" right="0.23622047244094491" top="0.39370078740157483" bottom="0.35433070866141736" header="0.51181102362204722" footer="0.15748031496062992"/>
  <pageSetup paperSize="9" scale="55" orientation="landscape" horizontalDpi="4294967295" verticalDpi="4294967295" r:id="rId1"/>
  <headerFooter alignWithMargins="0">
    <oddFooter>&amp;C&amp;P/&amp;N&amp;R&amp;F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79</vt:i4>
      </vt:variant>
      <vt:variant>
        <vt:lpstr>已命名的範圍</vt:lpstr>
      </vt:variant>
      <vt:variant>
        <vt:i4>35</vt:i4>
      </vt:variant>
    </vt:vector>
  </HeadingPairs>
  <TitlesOfParts>
    <vt:vector size="114" baseType="lpstr">
      <vt:lpstr>封面</vt:lpstr>
      <vt:lpstr>目錄</vt:lpstr>
      <vt:lpstr>表03</vt:lpstr>
      <vt:lpstr>表05-1</vt:lpstr>
      <vt:lpstr>表06</vt:lpstr>
      <vt:lpstr>表09-1</vt:lpstr>
      <vt:lpstr>表09-2</vt:lpstr>
      <vt:lpstr>表10-1</vt:lpstr>
      <vt:lpstr>表10-2</vt:lpstr>
      <vt:lpstr>表10-3</vt:lpstr>
      <vt:lpstr>表10-4</vt:lpstr>
      <vt:lpstr>表11-1</vt:lpstr>
      <vt:lpstr>表11-2</vt:lpstr>
      <vt:lpstr>表12-1</vt:lpstr>
      <vt:lpstr>表12-2</vt:lpstr>
      <vt:lpstr>表13-1</vt:lpstr>
      <vt:lpstr>表13-2</vt:lpstr>
      <vt:lpstr>表13-4</vt:lpstr>
      <vt:lpstr>表16-1-1</vt:lpstr>
      <vt:lpstr>表16-1-2</vt:lpstr>
      <vt:lpstr>表16-1-3</vt:lpstr>
      <vt:lpstr>表16-1-4</vt:lpstr>
      <vt:lpstr>表16-1-5</vt:lpstr>
      <vt:lpstr>表16-2-1</vt:lpstr>
      <vt:lpstr>表16-2-2</vt:lpstr>
      <vt:lpstr>表16-2-3</vt:lpstr>
      <vt:lpstr>表19-3-1</vt:lpstr>
      <vt:lpstr>表19-3-2</vt:lpstr>
      <vt:lpstr>表19-4</vt:lpstr>
      <vt:lpstr>表19-5</vt:lpstr>
      <vt:lpstr>表19-6</vt:lpstr>
      <vt:lpstr>表20-1</vt:lpstr>
      <vt:lpstr>表20-2</vt:lpstr>
      <vt:lpstr>表21-1</vt:lpstr>
      <vt:lpstr>表21-2</vt:lpstr>
      <vt:lpstr>表22-3</vt:lpstr>
      <vt:lpstr>表22-4</vt:lpstr>
      <vt:lpstr>表23-1</vt:lpstr>
      <vt:lpstr>表23-2</vt:lpstr>
      <vt:lpstr>表24-1</vt:lpstr>
      <vt:lpstr>表24-2</vt:lpstr>
      <vt:lpstr>表25-1</vt:lpstr>
      <vt:lpstr>表25-2</vt:lpstr>
      <vt:lpstr>表25-3</vt:lpstr>
      <vt:lpstr>表30-1</vt:lpstr>
      <vt:lpstr>表30-2</vt:lpstr>
      <vt:lpstr>表30-3</vt:lpstr>
      <vt:lpstr>表30-3-1</vt:lpstr>
      <vt:lpstr>表30-3-2</vt:lpstr>
      <vt:lpstr>表30-3-3</vt:lpstr>
      <vt:lpstr>表30-4</vt:lpstr>
      <vt:lpstr>表30-4-1</vt:lpstr>
      <vt:lpstr>表30-4-2</vt:lpstr>
      <vt:lpstr>表30-5</vt:lpstr>
      <vt:lpstr>表30-5-1</vt:lpstr>
      <vt:lpstr>表30-5-2</vt:lpstr>
      <vt:lpstr>表30-6</vt:lpstr>
      <vt:lpstr>表30-6-1</vt:lpstr>
      <vt:lpstr>表30-7</vt:lpstr>
      <vt:lpstr>表30-7-1</vt:lpstr>
      <vt:lpstr>表30-8</vt:lpstr>
      <vt:lpstr>表30-8-1 </vt:lpstr>
      <vt:lpstr>表30-8-2</vt:lpstr>
      <vt:lpstr>表30-8-3</vt:lpstr>
      <vt:lpstr>表30-8-4</vt:lpstr>
      <vt:lpstr>表30-8-5</vt:lpstr>
      <vt:lpstr>表30-8-6</vt:lpstr>
      <vt:lpstr>表30-8-7</vt:lpstr>
      <vt:lpstr>表30-9</vt:lpstr>
      <vt:lpstr>表30-10</vt:lpstr>
      <vt:lpstr>表30-11</vt:lpstr>
      <vt:lpstr>表30-12</vt:lpstr>
      <vt:lpstr>表30-13</vt:lpstr>
      <vt:lpstr>表30-14</vt:lpstr>
      <vt:lpstr>表30-15</vt:lpstr>
      <vt:lpstr>表30-16</vt:lpstr>
      <vt:lpstr>表30-14-1</vt:lpstr>
      <vt:lpstr>表30-14-2</vt:lpstr>
      <vt:lpstr>表30-14-3</vt:lpstr>
      <vt:lpstr>表06!Print_Area</vt:lpstr>
      <vt:lpstr>'表09-1'!Print_Area</vt:lpstr>
      <vt:lpstr>'表10-3'!Print_Area</vt:lpstr>
      <vt:lpstr>'表12-1'!Print_Area</vt:lpstr>
      <vt:lpstr>'表13-1'!Print_Area</vt:lpstr>
      <vt:lpstr>'表13-4'!Print_Area</vt:lpstr>
      <vt:lpstr>'表19-4'!Print_Area</vt:lpstr>
      <vt:lpstr>'表19-5'!Print_Area</vt:lpstr>
      <vt:lpstr>'表19-6'!Print_Area</vt:lpstr>
      <vt:lpstr>'表22-3'!Print_Area</vt:lpstr>
      <vt:lpstr>'表30-14-1'!Print_Area</vt:lpstr>
      <vt:lpstr>'表30-14-2'!Print_Area</vt:lpstr>
      <vt:lpstr>'表30-2'!Print_Area</vt:lpstr>
      <vt:lpstr>'表30-4-1'!Print_Area</vt:lpstr>
      <vt:lpstr>'表30-4-2'!Print_Area</vt:lpstr>
      <vt:lpstr>'表30-8-4'!Print_Area</vt:lpstr>
      <vt:lpstr>'表30-8-5'!Print_Area</vt:lpstr>
      <vt:lpstr>目錄!Print_Titles</vt:lpstr>
      <vt:lpstr>表03!Print_Titles</vt:lpstr>
      <vt:lpstr>'表05-1'!Print_Titles</vt:lpstr>
      <vt:lpstr>'表10-1'!Print_Titles</vt:lpstr>
      <vt:lpstr>'表10-4'!Print_Titles</vt:lpstr>
      <vt:lpstr>'表11-2'!Print_Titles</vt:lpstr>
      <vt:lpstr>'表16-1-1'!Print_Titles</vt:lpstr>
      <vt:lpstr>'表16-1-2'!Print_Titles</vt:lpstr>
      <vt:lpstr>'表16-1-3'!Print_Titles</vt:lpstr>
      <vt:lpstr>'表16-1-4'!Print_Titles</vt:lpstr>
      <vt:lpstr>'表16-1-5'!Print_Titles</vt:lpstr>
      <vt:lpstr>'表30-13'!Print_Titles</vt:lpstr>
      <vt:lpstr>'表30-2'!Print_Titles</vt:lpstr>
      <vt:lpstr>'表30-3'!Print_Titles</vt:lpstr>
      <vt:lpstr>'表30-3-1'!Print_Titles</vt:lpstr>
      <vt:lpstr>'表30-3-2'!Print_Titles</vt:lpstr>
      <vt:lpstr>'表30-3-3'!Print_Titles</vt:lpstr>
      <vt:lpstr>'表30-5'!Print_Titles</vt:lpstr>
    </vt:vector>
  </TitlesOfParts>
  <Company>CentralRe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TII</dc:creator>
  <cp:lastModifiedBy>劉佳韻</cp:lastModifiedBy>
  <cp:lastPrinted>2018-10-08T04:01:38Z</cp:lastPrinted>
  <dcterms:created xsi:type="dcterms:W3CDTF">2009-03-06T03:10:17Z</dcterms:created>
  <dcterms:modified xsi:type="dcterms:W3CDTF">2020-07-31T07:09:39Z</dcterms:modified>
</cp:coreProperties>
</file>